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\csepulvedaa\Documents\REM\REM24\SERIES REM\SERIE A\"/>
    </mc:Choice>
  </mc:AlternateContent>
  <xr:revisionPtr revIDLastSave="0" documentId="13_ncr:1_{BB544600-E61A-4FC7-A525-D9AA24066EEA}" xr6:coauthVersionLast="47" xr6:coauthVersionMax="47" xr10:uidLastSave="{00000000-0000-0000-0000-000000000000}"/>
  <workbookProtection workbookAlgorithmName="SHA-512" workbookHashValue="hxvPRF+i9dOCVqDsGHVe8aaSuSm4+OcZGB3AmihF/wLaQYMynjLM0fKNijxfE0GM4RJrQpMOkt/5E3NjyRr5KQ==" workbookSaltValue="a1ZPTeShbw4vKf9POZ5Zug==" workbookSpinCount="100000" lockStructure="1"/>
  <bookViews>
    <workbookView xWindow="-120" yWindow="-120" windowWidth="29040" windowHeight="15840" tabRatio="932" xr2:uid="{00000000-000D-0000-FFFF-FFFF00000000}"/>
  </bookViews>
  <sheets>
    <sheet name="NOMBRE" sheetId="17" r:id="rId1"/>
    <sheet name="A01" sheetId="32" r:id="rId2"/>
    <sheet name="A02" sheetId="33" r:id="rId3"/>
    <sheet name="A03" sheetId="34" r:id="rId4"/>
    <sheet name="A04" sheetId="28" r:id="rId5"/>
    <sheet name="A05" sheetId="29" r:id="rId6"/>
    <sheet name="A06" sheetId="45" r:id="rId7"/>
    <sheet name="A07" sheetId="46" r:id="rId8"/>
    <sheet name="A08" sheetId="4" r:id="rId9"/>
    <sheet name="A09" sheetId="13" r:id="rId10"/>
    <sheet name="A11" sheetId="47" r:id="rId11"/>
    <sheet name="A11a" sheetId="36" r:id="rId12"/>
    <sheet name="A19a" sheetId="37" r:id="rId13"/>
    <sheet name="A19b" sheetId="38" r:id="rId14"/>
    <sheet name="A21" sheetId="5" r:id="rId15"/>
    <sheet name="A23" sheetId="19" r:id="rId16"/>
    <sheet name="A24" sheetId="39" r:id="rId17"/>
    <sheet name="A25" sheetId="27" r:id="rId18"/>
    <sheet name="A26" sheetId="22" r:id="rId19"/>
    <sheet name="A27" sheetId="31" r:id="rId20"/>
    <sheet name="A28" sheetId="48" r:id="rId21"/>
    <sheet name="A29" sheetId="41" r:id="rId22"/>
    <sheet name="A30" sheetId="42" r:id="rId23"/>
    <sheet name="A30AR" sheetId="43" r:id="rId24"/>
    <sheet name="A31" sheetId="23" r:id="rId25"/>
    <sheet name="A32" sheetId="24" r:id="rId26"/>
    <sheet name="A33" sheetId="11" r:id="rId27"/>
    <sheet name="Control" sheetId="18" r:id="rId28"/>
    <sheet name="MACROS" sheetId="4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37" i="29" l="1"/>
  <c r="CC38" i="29"/>
  <c r="CC39" i="29"/>
  <c r="CC40" i="29"/>
  <c r="CC41" i="29"/>
  <c r="CC52" i="29"/>
  <c r="CC53" i="29"/>
  <c r="CC54" i="29"/>
  <c r="CC55" i="29"/>
  <c r="CK38" i="32"/>
  <c r="CA38" i="32"/>
  <c r="D254" i="34"/>
  <c r="C254" i="34" s="1"/>
  <c r="E254" i="34"/>
  <c r="D255" i="34"/>
  <c r="E255" i="34"/>
  <c r="C255" i="34" l="1"/>
  <c r="CL114" i="24"/>
  <c r="CL115" i="24"/>
  <c r="CL113" i="24"/>
  <c r="CD114" i="24"/>
  <c r="CD115" i="24"/>
  <c r="CD113" i="24"/>
  <c r="V140" i="46" l="1"/>
  <c r="V141" i="46"/>
  <c r="V142" i="46"/>
  <c r="V143" i="46"/>
  <c r="V144" i="46"/>
  <c r="V145" i="46"/>
  <c r="V146" i="46"/>
  <c r="V147" i="46"/>
  <c r="V148" i="46"/>
  <c r="V149" i="46"/>
  <c r="V150" i="46"/>
  <c r="V151" i="46"/>
  <c r="V152" i="46"/>
  <c r="V153" i="46"/>
  <c r="V154" i="46"/>
  <c r="BM140" i="46"/>
  <c r="BM141" i="46"/>
  <c r="BM142" i="46"/>
  <c r="BM143" i="46"/>
  <c r="BM144" i="46"/>
  <c r="BM145" i="46"/>
  <c r="BM146" i="46"/>
  <c r="BM147" i="46"/>
  <c r="BM148" i="46"/>
  <c r="BM149" i="46"/>
  <c r="BM150" i="46"/>
  <c r="BM151" i="46"/>
  <c r="BM152" i="46"/>
  <c r="BM153" i="46"/>
  <c r="BM154" i="46"/>
  <c r="BL140" i="46"/>
  <c r="BL141" i="46"/>
  <c r="BL142" i="46"/>
  <c r="BL143" i="46"/>
  <c r="BL144" i="46"/>
  <c r="BL145" i="46"/>
  <c r="BL146" i="46"/>
  <c r="BL147" i="46"/>
  <c r="BL148" i="46"/>
  <c r="BL149" i="46"/>
  <c r="BL150" i="46"/>
  <c r="BL151" i="46"/>
  <c r="BL152" i="46"/>
  <c r="BL153" i="46"/>
  <c r="BL154" i="46"/>
  <c r="BF140" i="46"/>
  <c r="BF141" i="46"/>
  <c r="BF142" i="46"/>
  <c r="BF143" i="46"/>
  <c r="BF144" i="46"/>
  <c r="BF145" i="46"/>
  <c r="BF146" i="46"/>
  <c r="BF147" i="46"/>
  <c r="BF148" i="46"/>
  <c r="BF149" i="46"/>
  <c r="BF150" i="46"/>
  <c r="BF151" i="46"/>
  <c r="BF152" i="46"/>
  <c r="BF153" i="46"/>
  <c r="BF154" i="46"/>
  <c r="BE140" i="46"/>
  <c r="BE141" i="46"/>
  <c r="BE142" i="46"/>
  <c r="BE143" i="46"/>
  <c r="BE144" i="46"/>
  <c r="BE145" i="46"/>
  <c r="BE146" i="46"/>
  <c r="BE147" i="46"/>
  <c r="BE148" i="46"/>
  <c r="BE149" i="46"/>
  <c r="BE150" i="46"/>
  <c r="BE151" i="46"/>
  <c r="BE152" i="46"/>
  <c r="BE153" i="46"/>
  <c r="BE154" i="46"/>
  <c r="AY183" i="47" l="1"/>
  <c r="AX117" i="47"/>
  <c r="AX118" i="47"/>
  <c r="AX116" i="47"/>
  <c r="AX115" i="47"/>
  <c r="AX114" i="47"/>
  <c r="AX113" i="47"/>
  <c r="AX112" i="47"/>
  <c r="AX111" i="47"/>
  <c r="AX109" i="47"/>
  <c r="AX91" i="47"/>
  <c r="AX90" i="47"/>
  <c r="AX87" i="47"/>
  <c r="AX84" i="47"/>
  <c r="AX80" i="47"/>
  <c r="AX73" i="47"/>
  <c r="AX74" i="47"/>
  <c r="AX72" i="47"/>
  <c r="AX71" i="47"/>
  <c r="AX70" i="47"/>
  <c r="AX69" i="47"/>
  <c r="AX67" i="47"/>
  <c r="AX68" i="47"/>
  <c r="AX66" i="47"/>
  <c r="AX65" i="47"/>
  <c r="DM140" i="47"/>
  <c r="DM139" i="47"/>
  <c r="DM138" i="47"/>
  <c r="DM135" i="47"/>
  <c r="DM131" i="47"/>
  <c r="DM118" i="47"/>
  <c r="DM117" i="47"/>
  <c r="DM116" i="47"/>
  <c r="DM113" i="47"/>
  <c r="DM109" i="47"/>
  <c r="DM96" i="47"/>
  <c r="DM95" i="47"/>
  <c r="DM94" i="47"/>
  <c r="DM91" i="47"/>
  <c r="DM87" i="47"/>
  <c r="DM74" i="47"/>
  <c r="DM73" i="47"/>
  <c r="DM72" i="47"/>
  <c r="DM69" i="47"/>
  <c r="DM65" i="47"/>
  <c r="DM52" i="47"/>
  <c r="DM51" i="47"/>
  <c r="DM50" i="47"/>
  <c r="DM47" i="47"/>
  <c r="DM29" i="47"/>
  <c r="DM30" i="47"/>
  <c r="DM28" i="47"/>
  <c r="DM25" i="47"/>
  <c r="DM21" i="47"/>
  <c r="AX25" i="47"/>
  <c r="AX47" i="47"/>
  <c r="AX51" i="47"/>
  <c r="AX52" i="47"/>
  <c r="AX50" i="47"/>
  <c r="DM43" i="47"/>
  <c r="DC196" i="13" l="1"/>
  <c r="DC195" i="13"/>
  <c r="DC194" i="13"/>
  <c r="DC193" i="13"/>
  <c r="DC192" i="13"/>
  <c r="DC191" i="13"/>
  <c r="DC190" i="13"/>
  <c r="DC189" i="13"/>
  <c r="DC188" i="13"/>
  <c r="DC187" i="13"/>
  <c r="DC186" i="13"/>
  <c r="DC185" i="13"/>
  <c r="DC184" i="13"/>
  <c r="DC183" i="13"/>
  <c r="DC182" i="13"/>
  <c r="DC181" i="13"/>
  <c r="DC180" i="13"/>
  <c r="DC179" i="13"/>
  <c r="DC178" i="13"/>
  <c r="DC177" i="13"/>
  <c r="DC175" i="13"/>
  <c r="DC174" i="13"/>
  <c r="DC173" i="13"/>
  <c r="DC172" i="13"/>
  <c r="DC171" i="13"/>
  <c r="DC170" i="13"/>
  <c r="DC169" i="13"/>
  <c r="DC168" i="13"/>
  <c r="DC167" i="13"/>
  <c r="DC166" i="13"/>
  <c r="DC165" i="13"/>
  <c r="DC162" i="13"/>
  <c r="DE63" i="13"/>
  <c r="DE62" i="13"/>
  <c r="DE61" i="13"/>
  <c r="DE59" i="13"/>
  <c r="DE58" i="13"/>
  <c r="DE57" i="13"/>
  <c r="DE56" i="13"/>
  <c r="DE55" i="13"/>
  <c r="DE53" i="13"/>
  <c r="DE52" i="13"/>
  <c r="DE51" i="13"/>
  <c r="DE50" i="13"/>
  <c r="DE49" i="13"/>
  <c r="DE48" i="13"/>
  <c r="DE47" i="13"/>
  <c r="CM211" i="24" l="1"/>
  <c r="CM210" i="24"/>
  <c r="CE211" i="24"/>
  <c r="CE210" i="24"/>
  <c r="CD121" i="24"/>
  <c r="CB129" i="31"/>
  <c r="CA129" i="31"/>
  <c r="CA138" i="39"/>
  <c r="CA139" i="39"/>
  <c r="CA137" i="39"/>
  <c r="CA134" i="39"/>
  <c r="CA135" i="39"/>
  <c r="CA133" i="39"/>
  <c r="CA71" i="39"/>
  <c r="CA72" i="39"/>
  <c r="CA70" i="39"/>
  <c r="CC125" i="19"/>
  <c r="CB125" i="19"/>
  <c r="CI109" i="37"/>
  <c r="CJ109" i="37"/>
  <c r="CI110" i="37"/>
  <c r="CJ110" i="37"/>
  <c r="BZ109" i="37"/>
  <c r="CA109" i="37"/>
  <c r="BZ110" i="37"/>
  <c r="CA110" i="37"/>
  <c r="CJ108" i="37"/>
  <c r="CI108" i="37"/>
  <c r="BZ108" i="37"/>
  <c r="CA108" i="37"/>
  <c r="CA82" i="37"/>
  <c r="CA83" i="37"/>
  <c r="CA84" i="37"/>
  <c r="CA85" i="37"/>
  <c r="CA86" i="37"/>
  <c r="CA87" i="37"/>
  <c r="CA88" i="37"/>
  <c r="CA89" i="37"/>
  <c r="CA90" i="37"/>
  <c r="CA91" i="37"/>
  <c r="CA92" i="37"/>
  <c r="CA81" i="37"/>
  <c r="CB85" i="37"/>
  <c r="CB91" i="37"/>
  <c r="CO47" i="37"/>
  <c r="CO48" i="37"/>
  <c r="CO49" i="37"/>
  <c r="CO50" i="37"/>
  <c r="CO51" i="37"/>
  <c r="CO52" i="37"/>
  <c r="CO53" i="37"/>
  <c r="CO54" i="37"/>
  <c r="CO55" i="37"/>
  <c r="CO56" i="37"/>
  <c r="CO57" i="37"/>
  <c r="CO58" i="37"/>
  <c r="CO59" i="37"/>
  <c r="CO60" i="37"/>
  <c r="CO61" i="37"/>
  <c r="CO62" i="37"/>
  <c r="CO63" i="37"/>
  <c r="CO64" i="37"/>
  <c r="CO65" i="37"/>
  <c r="CO66" i="37"/>
  <c r="CO67" i="37"/>
  <c r="CO68" i="37"/>
  <c r="CO69" i="37"/>
  <c r="CO70" i="37"/>
  <c r="CO71" i="37"/>
  <c r="CO72" i="37"/>
  <c r="CO73" i="37"/>
  <c r="CO74" i="37"/>
  <c r="CO75" i="37"/>
  <c r="CO76" i="37"/>
  <c r="CO46" i="37"/>
  <c r="CF47" i="37"/>
  <c r="CF48" i="37"/>
  <c r="CF49" i="37"/>
  <c r="CF50" i="37"/>
  <c r="CF51" i="37"/>
  <c r="CF52" i="37"/>
  <c r="CF53" i="37"/>
  <c r="CF54" i="37"/>
  <c r="CF55" i="37"/>
  <c r="CF56" i="37"/>
  <c r="CF57" i="37"/>
  <c r="CF58" i="37"/>
  <c r="CF59" i="37"/>
  <c r="CF60" i="37"/>
  <c r="CF61" i="37"/>
  <c r="CF62" i="37"/>
  <c r="CF63" i="37"/>
  <c r="CF64" i="37"/>
  <c r="CF65" i="37"/>
  <c r="CF66" i="37"/>
  <c r="CF67" i="37"/>
  <c r="CF68" i="37"/>
  <c r="CF69" i="37"/>
  <c r="CF70" i="37"/>
  <c r="CF71" i="37"/>
  <c r="CF72" i="37"/>
  <c r="CF73" i="37"/>
  <c r="CF74" i="37"/>
  <c r="CF75" i="37"/>
  <c r="CF76" i="37"/>
  <c r="CF46" i="37"/>
  <c r="DY210" i="47"/>
  <c r="DY209" i="47"/>
  <c r="DY208" i="47"/>
  <c r="DY207" i="47"/>
  <c r="DY206" i="47"/>
  <c r="DY205" i="47"/>
  <c r="DY204" i="47"/>
  <c r="DY203" i="47"/>
  <c r="DY202" i="47"/>
  <c r="DY201" i="47"/>
  <c r="DY200" i="47"/>
  <c r="DY189" i="47"/>
  <c r="DY190" i="47"/>
  <c r="DY191" i="47"/>
  <c r="DY192" i="47"/>
  <c r="DY193" i="47"/>
  <c r="DY194" i="47"/>
  <c r="DY195" i="47"/>
  <c r="DY196" i="47"/>
  <c r="DY188" i="47"/>
  <c r="DX210" i="47"/>
  <c r="DX209" i="47"/>
  <c r="DX208" i="47"/>
  <c r="DX207" i="47"/>
  <c r="DX206" i="47"/>
  <c r="DX205" i="47"/>
  <c r="DX204" i="47"/>
  <c r="DX203" i="47"/>
  <c r="DX202" i="47"/>
  <c r="DX201" i="47"/>
  <c r="DX200" i="47"/>
  <c r="DX189" i="47"/>
  <c r="DX190" i="47"/>
  <c r="DX191" i="47"/>
  <c r="DX192" i="47"/>
  <c r="DX193" i="47"/>
  <c r="DX194" i="47"/>
  <c r="DX195" i="47"/>
  <c r="DX196" i="47"/>
  <c r="DX188" i="47"/>
  <c r="CU210" i="47"/>
  <c r="CU209" i="47"/>
  <c r="CU208" i="47"/>
  <c r="CU207" i="47"/>
  <c r="CU206" i="47"/>
  <c r="CU205" i="47"/>
  <c r="CU204" i="47"/>
  <c r="CU203" i="47"/>
  <c r="CU202" i="47"/>
  <c r="CU201" i="47"/>
  <c r="CU200" i="47"/>
  <c r="CU189" i="47"/>
  <c r="CU190" i="47"/>
  <c r="CU191" i="47"/>
  <c r="CU192" i="47"/>
  <c r="CU193" i="47"/>
  <c r="CU194" i="47"/>
  <c r="CU195" i="47"/>
  <c r="CU196" i="47"/>
  <c r="CU188" i="47"/>
  <c r="CT210" i="47"/>
  <c r="CT209" i="47"/>
  <c r="CT208" i="47"/>
  <c r="CT207" i="47"/>
  <c r="CT206" i="47"/>
  <c r="CT205" i="47"/>
  <c r="CT204" i="47"/>
  <c r="CT203" i="47"/>
  <c r="CT202" i="47"/>
  <c r="CT201" i="47"/>
  <c r="CT200" i="47"/>
  <c r="CT189" i="47"/>
  <c r="CT190" i="47"/>
  <c r="CT191" i="47"/>
  <c r="CT192" i="47"/>
  <c r="CT193" i="47"/>
  <c r="CT194" i="47"/>
  <c r="CT195" i="47"/>
  <c r="CT196" i="47"/>
  <c r="CT188" i="47"/>
  <c r="CH30" i="47"/>
  <c r="CG30" i="47"/>
  <c r="CK13" i="47"/>
  <c r="CF21" i="47"/>
  <c r="DI310" i="13" l="1"/>
  <c r="DI311" i="13"/>
  <c r="DI312" i="13"/>
  <c r="DI313" i="13"/>
  <c r="DI309" i="13"/>
  <c r="CX310" i="13"/>
  <c r="CX311" i="13"/>
  <c r="CX312" i="13"/>
  <c r="CX313" i="13"/>
  <c r="CX309" i="13"/>
  <c r="DJ220" i="13"/>
  <c r="DJ221" i="13"/>
  <c r="DJ222" i="13"/>
  <c r="DJ223" i="13"/>
  <c r="DJ224" i="13"/>
  <c r="DJ225" i="13"/>
  <c r="DJ226" i="13"/>
  <c r="DJ227" i="13"/>
  <c r="DJ228" i="13"/>
  <c r="DJ229" i="13"/>
  <c r="DJ230" i="13"/>
  <c r="DJ231" i="13"/>
  <c r="DJ232" i="13"/>
  <c r="DJ233" i="13"/>
  <c r="DJ234" i="13"/>
  <c r="DJ235" i="13"/>
  <c r="DJ236" i="13"/>
  <c r="DJ237" i="13"/>
  <c r="DJ238" i="13"/>
  <c r="DJ257" i="13"/>
  <c r="DJ258" i="13"/>
  <c r="DJ259" i="13"/>
  <c r="DJ260" i="13"/>
  <c r="DJ261" i="13"/>
  <c r="DJ262" i="13"/>
  <c r="DJ263" i="13"/>
  <c r="DJ264" i="13"/>
  <c r="DJ265" i="13"/>
  <c r="DJ266" i="13"/>
  <c r="DJ267" i="13"/>
  <c r="DJ268" i="13"/>
  <c r="DJ269" i="13"/>
  <c r="DJ270" i="13"/>
  <c r="DJ271" i="13"/>
  <c r="DJ272" i="13"/>
  <c r="DJ273" i="13"/>
  <c r="DJ274" i="13"/>
  <c r="DJ275" i="13"/>
  <c r="DJ276" i="13"/>
  <c r="DJ277" i="13"/>
  <c r="DJ278" i="13"/>
  <c r="DJ279" i="13"/>
  <c r="DJ280" i="13"/>
  <c r="DJ281" i="13"/>
  <c r="DJ282" i="13"/>
  <c r="DJ283" i="13"/>
  <c r="DJ284" i="13"/>
  <c r="DJ285" i="13"/>
  <c r="DJ286" i="13"/>
  <c r="DJ287" i="13"/>
  <c r="DJ288" i="13"/>
  <c r="DJ289" i="13"/>
  <c r="DJ290" i="13"/>
  <c r="DJ291" i="13"/>
  <c r="DJ292" i="13"/>
  <c r="DJ293" i="13"/>
  <c r="DJ294" i="13"/>
  <c r="DJ295" i="13"/>
  <c r="DJ296" i="13"/>
  <c r="DJ297" i="13"/>
  <c r="DJ298" i="13"/>
  <c r="DJ219" i="13"/>
  <c r="CZ220" i="13"/>
  <c r="CZ221" i="13"/>
  <c r="CZ222" i="13"/>
  <c r="CZ223" i="13"/>
  <c r="CZ224" i="13"/>
  <c r="CZ225" i="13"/>
  <c r="CZ226" i="13"/>
  <c r="CZ227" i="13"/>
  <c r="CZ228" i="13"/>
  <c r="CZ229" i="13"/>
  <c r="CZ230" i="13"/>
  <c r="CZ231" i="13"/>
  <c r="CZ232" i="13"/>
  <c r="CZ233" i="13"/>
  <c r="CZ234" i="13"/>
  <c r="CZ235" i="13"/>
  <c r="CZ236" i="13"/>
  <c r="CZ237" i="13"/>
  <c r="CZ238" i="13"/>
  <c r="CZ257" i="13"/>
  <c r="CZ258" i="13"/>
  <c r="CZ259" i="13"/>
  <c r="CZ260" i="13"/>
  <c r="CZ261" i="13"/>
  <c r="CZ262" i="13"/>
  <c r="CZ263" i="13"/>
  <c r="CZ264" i="13"/>
  <c r="CZ265" i="13"/>
  <c r="CZ266" i="13"/>
  <c r="CZ267" i="13"/>
  <c r="CZ268" i="13"/>
  <c r="CZ269" i="13"/>
  <c r="CZ270" i="13"/>
  <c r="CZ271" i="13"/>
  <c r="CZ272" i="13"/>
  <c r="CZ273" i="13"/>
  <c r="CZ274" i="13"/>
  <c r="CZ275" i="13"/>
  <c r="CZ276" i="13"/>
  <c r="CZ277" i="13"/>
  <c r="CZ278" i="13"/>
  <c r="CZ279" i="13"/>
  <c r="CZ280" i="13"/>
  <c r="CZ281" i="13"/>
  <c r="CZ282" i="13"/>
  <c r="CZ283" i="13"/>
  <c r="CZ284" i="13"/>
  <c r="CZ285" i="13"/>
  <c r="CZ286" i="13"/>
  <c r="CZ287" i="13"/>
  <c r="CZ288" i="13"/>
  <c r="CZ289" i="13"/>
  <c r="CZ290" i="13"/>
  <c r="CZ291" i="13"/>
  <c r="CZ292" i="13"/>
  <c r="CZ293" i="13"/>
  <c r="CZ294" i="13"/>
  <c r="CZ295" i="13"/>
  <c r="CZ296" i="13"/>
  <c r="CZ297" i="13"/>
  <c r="CZ298" i="13"/>
  <c r="CZ219" i="13"/>
  <c r="DJ147" i="13"/>
  <c r="DJ148" i="13"/>
  <c r="DJ149" i="13"/>
  <c r="DJ150" i="13"/>
  <c r="DJ151" i="13"/>
  <c r="DJ152" i="13"/>
  <c r="DJ153" i="13"/>
  <c r="DJ154" i="13"/>
  <c r="DJ146" i="13"/>
  <c r="CZ147" i="13"/>
  <c r="CZ148" i="13"/>
  <c r="CZ149" i="13"/>
  <c r="CZ150" i="13"/>
  <c r="CZ151" i="13"/>
  <c r="CZ152" i="13"/>
  <c r="CZ153" i="13"/>
  <c r="CZ154" i="13"/>
  <c r="CZ146" i="13"/>
  <c r="DG147" i="13"/>
  <c r="DG148" i="13"/>
  <c r="DG149" i="13"/>
  <c r="DG150" i="13"/>
  <c r="DG151" i="13"/>
  <c r="DG152" i="13"/>
  <c r="DG153" i="13"/>
  <c r="DG154" i="13"/>
  <c r="DG146" i="13"/>
  <c r="CW147" i="13"/>
  <c r="CW148" i="13"/>
  <c r="CW149" i="13"/>
  <c r="CW150" i="13"/>
  <c r="CW151" i="13"/>
  <c r="CW152" i="13"/>
  <c r="CW153" i="13"/>
  <c r="CW154" i="13"/>
  <c r="CW146" i="13"/>
  <c r="DJ140" i="13"/>
  <c r="DJ139" i="13"/>
  <c r="DJ138" i="13"/>
  <c r="DJ137" i="13"/>
  <c r="DJ136" i="13"/>
  <c r="DJ135" i="13"/>
  <c r="DJ134" i="13"/>
  <c r="DJ133" i="13"/>
  <c r="DJ132" i="13"/>
  <c r="DJ131" i="13"/>
  <c r="DJ130" i="13"/>
  <c r="DJ129" i="13"/>
  <c r="DJ128" i="13"/>
  <c r="DJ127" i="13"/>
  <c r="DJ126" i="13"/>
  <c r="DJ125" i="13"/>
  <c r="DJ124" i="13"/>
  <c r="DJ123" i="13"/>
  <c r="DJ122" i="13"/>
  <c r="DJ121" i="13"/>
  <c r="DJ120" i="13"/>
  <c r="DJ119" i="13"/>
  <c r="DJ118" i="13"/>
  <c r="DJ117" i="13"/>
  <c r="DJ116" i="13"/>
  <c r="DJ115" i="13"/>
  <c r="DJ114" i="13"/>
  <c r="DJ113" i="13"/>
  <c r="DJ112" i="13"/>
  <c r="DJ111" i="13"/>
  <c r="DJ110" i="13"/>
  <c r="DJ109" i="13"/>
  <c r="DJ108" i="13"/>
  <c r="DJ107" i="13"/>
  <c r="DJ106" i="13"/>
  <c r="DJ105" i="13"/>
  <c r="DJ104" i="13"/>
  <c r="DJ103" i="13"/>
  <c r="DJ102" i="13"/>
  <c r="DJ101" i="13"/>
  <c r="DJ100" i="13"/>
  <c r="DJ99" i="13"/>
  <c r="DJ89" i="13"/>
  <c r="DJ90" i="13"/>
  <c r="DJ91" i="13"/>
  <c r="DJ92" i="13"/>
  <c r="DJ93" i="13"/>
  <c r="DJ94" i="13"/>
  <c r="DJ95" i="13"/>
  <c r="DJ96" i="13"/>
  <c r="DJ97" i="13"/>
  <c r="DJ88" i="13"/>
  <c r="DG140" i="13"/>
  <c r="DG139" i="13"/>
  <c r="DG138" i="13"/>
  <c r="DG137" i="13"/>
  <c r="DG136" i="13"/>
  <c r="DG135" i="13"/>
  <c r="DG134" i="13"/>
  <c r="DG133" i="13"/>
  <c r="DG132" i="13"/>
  <c r="DG131" i="13"/>
  <c r="DG130" i="13"/>
  <c r="DG129" i="13"/>
  <c r="DG128" i="13"/>
  <c r="DG127" i="13"/>
  <c r="DG126" i="13"/>
  <c r="DG118" i="13"/>
  <c r="DG116" i="13"/>
  <c r="DG115" i="13"/>
  <c r="DG114" i="13"/>
  <c r="DG113" i="13"/>
  <c r="DG112" i="13"/>
  <c r="DG111" i="13"/>
  <c r="DG110" i="13"/>
  <c r="DG109" i="13"/>
  <c r="DG108" i="13"/>
  <c r="DG107" i="13"/>
  <c r="DG106" i="13"/>
  <c r="DG105" i="13"/>
  <c r="DG104" i="13"/>
  <c r="DG103" i="13"/>
  <c r="DG102" i="13"/>
  <c r="DG101" i="13"/>
  <c r="DG100" i="13"/>
  <c r="DG99" i="13"/>
  <c r="DG98" i="13"/>
  <c r="DG96" i="13"/>
  <c r="DG95" i="13"/>
  <c r="DG94" i="13"/>
  <c r="DG92" i="13"/>
  <c r="DG91" i="13"/>
  <c r="DG90" i="13"/>
  <c r="DG89" i="13"/>
  <c r="DG88" i="13"/>
  <c r="CZ140" i="13"/>
  <c r="CZ139" i="13"/>
  <c r="CZ138" i="13"/>
  <c r="CZ137" i="13"/>
  <c r="CZ136" i="13"/>
  <c r="CZ135" i="13"/>
  <c r="CZ134" i="13"/>
  <c r="CZ133" i="13"/>
  <c r="CZ132" i="13"/>
  <c r="CZ131" i="13"/>
  <c r="CZ130" i="13"/>
  <c r="CZ129" i="13"/>
  <c r="CZ128" i="13"/>
  <c r="CZ127" i="13"/>
  <c r="CZ126" i="13"/>
  <c r="CZ125" i="13"/>
  <c r="CZ124" i="13"/>
  <c r="CZ123" i="13"/>
  <c r="CZ122" i="13"/>
  <c r="CZ121" i="13"/>
  <c r="CZ120" i="13"/>
  <c r="CZ119" i="13"/>
  <c r="CZ118" i="13"/>
  <c r="CZ117" i="13"/>
  <c r="CZ116" i="13"/>
  <c r="CZ115" i="13"/>
  <c r="CZ114" i="13"/>
  <c r="CZ113" i="13"/>
  <c r="CZ112" i="13"/>
  <c r="CZ111" i="13"/>
  <c r="CZ110" i="13"/>
  <c r="CZ109" i="13"/>
  <c r="CZ108" i="13"/>
  <c r="CZ107" i="13"/>
  <c r="CZ106" i="13"/>
  <c r="CZ105" i="13"/>
  <c r="CZ104" i="13"/>
  <c r="CZ103" i="13"/>
  <c r="CZ102" i="13"/>
  <c r="CZ101" i="13"/>
  <c r="CZ100" i="13"/>
  <c r="CZ99" i="13"/>
  <c r="CZ89" i="13"/>
  <c r="CZ90" i="13"/>
  <c r="CZ91" i="13"/>
  <c r="CZ92" i="13"/>
  <c r="CZ93" i="13"/>
  <c r="CZ94" i="13"/>
  <c r="CZ95" i="13"/>
  <c r="CZ96" i="13"/>
  <c r="CZ97" i="13"/>
  <c r="CZ88" i="13"/>
  <c r="CW140" i="13"/>
  <c r="CW139" i="13"/>
  <c r="CW138" i="13"/>
  <c r="CW137" i="13"/>
  <c r="CW136" i="13"/>
  <c r="CW135" i="13"/>
  <c r="CW134" i="13"/>
  <c r="CW133" i="13"/>
  <c r="CW132" i="13"/>
  <c r="CW131" i="13"/>
  <c r="CW130" i="13"/>
  <c r="CW129" i="13"/>
  <c r="CW128" i="13"/>
  <c r="CW127" i="13"/>
  <c r="CW126" i="13"/>
  <c r="CW118" i="13"/>
  <c r="CW116" i="13"/>
  <c r="CW115" i="13"/>
  <c r="CW114" i="13"/>
  <c r="CW113" i="13"/>
  <c r="CW112" i="13"/>
  <c r="CW111" i="13"/>
  <c r="CW110" i="13"/>
  <c r="CW109" i="13"/>
  <c r="CW108" i="13"/>
  <c r="CW107" i="13"/>
  <c r="CW106" i="13"/>
  <c r="CW105" i="13"/>
  <c r="CW104" i="13"/>
  <c r="CW103" i="13"/>
  <c r="CW102" i="13"/>
  <c r="CW101" i="13"/>
  <c r="CW100" i="13"/>
  <c r="CW99" i="13"/>
  <c r="CW98" i="13"/>
  <c r="CW96" i="13"/>
  <c r="CW95" i="13"/>
  <c r="CW94" i="13"/>
  <c r="CW89" i="13"/>
  <c r="CW90" i="13"/>
  <c r="CW91" i="13"/>
  <c r="CW92" i="13"/>
  <c r="CW88" i="13"/>
  <c r="DJ63" i="13" l="1"/>
  <c r="DJ62" i="13"/>
  <c r="DJ61" i="13"/>
  <c r="DJ59" i="13"/>
  <c r="DJ58" i="13"/>
  <c r="DJ57" i="13"/>
  <c r="DJ56" i="13"/>
  <c r="DJ55" i="13"/>
  <c r="DJ53" i="13"/>
  <c r="DJ52" i="13"/>
  <c r="DJ51" i="13"/>
  <c r="DJ50" i="13"/>
  <c r="DJ49" i="13"/>
  <c r="DJ48" i="13"/>
  <c r="DJ47" i="13"/>
  <c r="DJ44" i="13"/>
  <c r="DJ41" i="13"/>
  <c r="DG63" i="13"/>
  <c r="DG62" i="13"/>
  <c r="DG61" i="13"/>
  <c r="DG59" i="13"/>
  <c r="DG58" i="13"/>
  <c r="DG57" i="13"/>
  <c r="DG56" i="13"/>
  <c r="DG55" i="13"/>
  <c r="DG53" i="13"/>
  <c r="DG52" i="13"/>
  <c r="DG51" i="13"/>
  <c r="DG50" i="13"/>
  <c r="DG49" i="13"/>
  <c r="DG48" i="13"/>
  <c r="DG47" i="13"/>
  <c r="DG45" i="13"/>
  <c r="DG44" i="13"/>
  <c r="DG42" i="13"/>
  <c r="DG41" i="13"/>
  <c r="CZ63" i="13"/>
  <c r="CZ62" i="13"/>
  <c r="CZ61" i="13"/>
  <c r="CZ59" i="13"/>
  <c r="CZ58" i="13"/>
  <c r="CZ57" i="13"/>
  <c r="CZ56" i="13"/>
  <c r="CZ55" i="13"/>
  <c r="CZ53" i="13"/>
  <c r="CZ52" i="13"/>
  <c r="CZ51" i="13"/>
  <c r="CZ50" i="13"/>
  <c r="CZ49" i="13"/>
  <c r="CZ48" i="13"/>
  <c r="CZ47" i="13"/>
  <c r="CZ44" i="13"/>
  <c r="CZ41" i="13"/>
  <c r="CW63" i="13"/>
  <c r="CW62" i="13"/>
  <c r="CW61" i="13"/>
  <c r="CW59" i="13"/>
  <c r="CW58" i="13"/>
  <c r="CW57" i="13"/>
  <c r="CW56" i="13"/>
  <c r="CW55" i="13"/>
  <c r="CW53" i="13"/>
  <c r="CW52" i="13"/>
  <c r="CW51" i="13"/>
  <c r="CW50" i="13"/>
  <c r="CW49" i="13"/>
  <c r="CW48" i="13"/>
  <c r="CW47" i="13"/>
  <c r="CW45" i="13"/>
  <c r="CW44" i="13"/>
  <c r="CW42" i="13"/>
  <c r="CW41" i="13"/>
  <c r="DJ20" i="13"/>
  <c r="DJ21" i="13"/>
  <c r="DJ22" i="13"/>
  <c r="DJ23" i="13"/>
  <c r="DJ24" i="13"/>
  <c r="DJ25" i="13"/>
  <c r="DJ26" i="13"/>
  <c r="DJ27" i="13"/>
  <c r="DJ28" i="13"/>
  <c r="DJ29" i="13"/>
  <c r="DJ30" i="13"/>
  <c r="DJ31" i="13"/>
  <c r="DJ32" i="13"/>
  <c r="DJ33" i="13"/>
  <c r="DJ34" i="13"/>
  <c r="DJ35" i="13"/>
  <c r="DJ19" i="13"/>
  <c r="DG35" i="13"/>
  <c r="DG34" i="13"/>
  <c r="DG33" i="13"/>
  <c r="DG32" i="13"/>
  <c r="DG31" i="13"/>
  <c r="DG30" i="13"/>
  <c r="DG29" i="13"/>
  <c r="DG28" i="13"/>
  <c r="DG27" i="13"/>
  <c r="DG26" i="13"/>
  <c r="DG25" i="13"/>
  <c r="DG24" i="13"/>
  <c r="DG23" i="13"/>
  <c r="DG22" i="13"/>
  <c r="DG21" i="13"/>
  <c r="DG20" i="13"/>
  <c r="DG19" i="13"/>
  <c r="CZ20" i="13"/>
  <c r="CZ21" i="13"/>
  <c r="CZ22" i="13"/>
  <c r="CZ23" i="13"/>
  <c r="CZ24" i="13"/>
  <c r="CZ25" i="13"/>
  <c r="CZ26" i="13"/>
  <c r="CZ27" i="13"/>
  <c r="CZ28" i="13"/>
  <c r="CZ29" i="13"/>
  <c r="CZ30" i="13"/>
  <c r="CZ31" i="13"/>
  <c r="CZ32" i="13"/>
  <c r="CZ33" i="13"/>
  <c r="CZ34" i="13"/>
  <c r="CZ35" i="13"/>
  <c r="CZ19" i="13"/>
  <c r="CW20" i="13"/>
  <c r="CW21" i="13"/>
  <c r="CW22" i="13"/>
  <c r="CW23" i="13"/>
  <c r="CW24" i="13"/>
  <c r="CW25" i="13"/>
  <c r="CW26" i="13"/>
  <c r="CW27" i="13"/>
  <c r="CW28" i="13"/>
  <c r="CW29" i="13"/>
  <c r="CW30" i="13"/>
  <c r="CW31" i="13"/>
  <c r="CW32" i="13"/>
  <c r="CW33" i="13"/>
  <c r="CW34" i="13"/>
  <c r="CW35" i="13"/>
  <c r="CW19" i="13"/>
  <c r="DJ13" i="13"/>
  <c r="DJ14" i="13"/>
  <c r="DJ15" i="13"/>
  <c r="DJ12" i="13"/>
  <c r="DG13" i="13"/>
  <c r="DG14" i="13"/>
  <c r="DG15" i="13"/>
  <c r="DG12" i="13"/>
  <c r="CW13" i="13"/>
  <c r="CW14" i="13"/>
  <c r="CW15" i="13"/>
  <c r="CZ13" i="13"/>
  <c r="CZ14" i="13"/>
  <c r="CZ15" i="13"/>
  <c r="CZ12" i="13"/>
  <c r="CW12" i="13"/>
  <c r="DZ238" i="47" l="1"/>
  <c r="EA238" i="47"/>
  <c r="DZ239" i="47"/>
  <c r="EA239" i="47"/>
  <c r="DZ240" i="47"/>
  <c r="EA240" i="47"/>
  <c r="DZ241" i="47"/>
  <c r="EA241" i="47"/>
  <c r="DZ242" i="47"/>
  <c r="EA242" i="47"/>
  <c r="DZ243" i="47"/>
  <c r="EA243" i="47"/>
  <c r="DZ244" i="47"/>
  <c r="EA244" i="47"/>
  <c r="DZ245" i="47"/>
  <c r="EA245" i="47"/>
  <c r="DZ246" i="47"/>
  <c r="EA246" i="47"/>
  <c r="DZ247" i="47"/>
  <c r="EA247" i="47"/>
  <c r="DZ248" i="47"/>
  <c r="EA248" i="47"/>
  <c r="DZ249" i="47"/>
  <c r="EA249" i="47"/>
  <c r="DZ250" i="47"/>
  <c r="EA250" i="47"/>
  <c r="DZ251" i="47"/>
  <c r="EA251" i="47"/>
  <c r="DZ252" i="47"/>
  <c r="EA252" i="47"/>
  <c r="DZ253" i="47"/>
  <c r="EA253" i="47"/>
  <c r="DZ254" i="47"/>
  <c r="EA254" i="47"/>
  <c r="DZ255" i="47"/>
  <c r="EA255" i="47"/>
  <c r="DZ256" i="47"/>
  <c r="EA256" i="47"/>
  <c r="DZ257" i="47"/>
  <c r="EA257" i="47"/>
  <c r="DZ258" i="47"/>
  <c r="EA258" i="47"/>
  <c r="DZ259" i="47"/>
  <c r="EA259" i="47"/>
  <c r="DZ237" i="47"/>
  <c r="EA237" i="47"/>
  <c r="CV238" i="47"/>
  <c r="CW238" i="47"/>
  <c r="CV239" i="47"/>
  <c r="CW239" i="47"/>
  <c r="CV240" i="47"/>
  <c r="CW240" i="47"/>
  <c r="CV241" i="47"/>
  <c r="CW241" i="47"/>
  <c r="CV242" i="47"/>
  <c r="CW242" i="47"/>
  <c r="CV243" i="47"/>
  <c r="CW243" i="47"/>
  <c r="CV244" i="47"/>
  <c r="CW244" i="47"/>
  <c r="CV245" i="47"/>
  <c r="CW245" i="47"/>
  <c r="CV246" i="47"/>
  <c r="CW246" i="47"/>
  <c r="CV247" i="47"/>
  <c r="CW247" i="47"/>
  <c r="CV248" i="47"/>
  <c r="CW248" i="47"/>
  <c r="CV249" i="47"/>
  <c r="CW249" i="47"/>
  <c r="CV250" i="47"/>
  <c r="CW250" i="47"/>
  <c r="CV251" i="47"/>
  <c r="CW251" i="47"/>
  <c r="CV252" i="47"/>
  <c r="CW252" i="47"/>
  <c r="CV253" i="47"/>
  <c r="CW253" i="47"/>
  <c r="CV254" i="47"/>
  <c r="CW254" i="47"/>
  <c r="CV255" i="47"/>
  <c r="CW255" i="47"/>
  <c r="CV256" i="47"/>
  <c r="CW256" i="47"/>
  <c r="CV257" i="47"/>
  <c r="CW257" i="47"/>
  <c r="CV258" i="47"/>
  <c r="CW258" i="47"/>
  <c r="CV259" i="47"/>
  <c r="CW259" i="47"/>
  <c r="CW237" i="47"/>
  <c r="CV237" i="47"/>
  <c r="EA183" i="47"/>
  <c r="DZ183" i="47"/>
  <c r="EA182" i="47"/>
  <c r="DZ182" i="47"/>
  <c r="EA181" i="47"/>
  <c r="DZ181" i="47"/>
  <c r="EA180" i="47"/>
  <c r="DZ180" i="47"/>
  <c r="EA179" i="47"/>
  <c r="DZ179" i="47"/>
  <c r="EA178" i="47"/>
  <c r="DZ178" i="47"/>
  <c r="EA177" i="47"/>
  <c r="DZ177" i="47"/>
  <c r="EA176" i="47"/>
  <c r="DZ176" i="47"/>
  <c r="EA175" i="47"/>
  <c r="DZ175" i="47"/>
  <c r="EA174" i="47"/>
  <c r="DZ174" i="47"/>
  <c r="EA173" i="47"/>
  <c r="DZ173" i="47"/>
  <c r="DZ162" i="47"/>
  <c r="EA162" i="47"/>
  <c r="DZ163" i="47"/>
  <c r="EA163" i="47"/>
  <c r="DZ164" i="47"/>
  <c r="EA164" i="47"/>
  <c r="DZ165" i="47"/>
  <c r="EA165" i="47"/>
  <c r="DZ166" i="47"/>
  <c r="EA166" i="47"/>
  <c r="DZ167" i="47"/>
  <c r="EA167" i="47"/>
  <c r="DZ168" i="47"/>
  <c r="EA168" i="47"/>
  <c r="DZ169" i="47"/>
  <c r="EA169" i="47"/>
  <c r="EA161" i="47"/>
  <c r="DZ161" i="47"/>
  <c r="CW183" i="47"/>
  <c r="CV183" i="47"/>
  <c r="CW182" i="47"/>
  <c r="CV182" i="47"/>
  <c r="CW181" i="47"/>
  <c r="CV181" i="47"/>
  <c r="CW180" i="47"/>
  <c r="CV180" i="47"/>
  <c r="CW179" i="47"/>
  <c r="CV179" i="47"/>
  <c r="CW178" i="47"/>
  <c r="CV178" i="47"/>
  <c r="CW177" i="47"/>
  <c r="CV177" i="47"/>
  <c r="CW176" i="47"/>
  <c r="CV176" i="47"/>
  <c r="CW175" i="47"/>
  <c r="CV175" i="47"/>
  <c r="CW174" i="47"/>
  <c r="CV174" i="47"/>
  <c r="CW173" i="47"/>
  <c r="CV173" i="47"/>
  <c r="CV162" i="47"/>
  <c r="CW162" i="47"/>
  <c r="CV163" i="47"/>
  <c r="CW163" i="47"/>
  <c r="CV164" i="47"/>
  <c r="CW164" i="47"/>
  <c r="CV165" i="47"/>
  <c r="CW165" i="47"/>
  <c r="CV166" i="47"/>
  <c r="CW166" i="47"/>
  <c r="CV167" i="47"/>
  <c r="CW167" i="47"/>
  <c r="CV168" i="47"/>
  <c r="CW168" i="47"/>
  <c r="CV169" i="47"/>
  <c r="CW169" i="47"/>
  <c r="CW161" i="47"/>
  <c r="CV161" i="47"/>
  <c r="CT161" i="47"/>
  <c r="DX161" i="47"/>
  <c r="BW39" i="22"/>
  <c r="BX39" i="22"/>
  <c r="BW40" i="22"/>
  <c r="BX40" i="22"/>
  <c r="BW41" i="22"/>
  <c r="BX41" i="22"/>
  <c r="BX38" i="22"/>
  <c r="BW38" i="22"/>
  <c r="BQ39" i="22"/>
  <c r="BR39" i="22"/>
  <c r="BQ40" i="22"/>
  <c r="BR40" i="22"/>
  <c r="BQ41" i="22"/>
  <c r="BR41" i="22"/>
  <c r="BR38" i="22"/>
  <c r="BQ38" i="22"/>
  <c r="AC176" i="13"/>
  <c r="AD164" i="13"/>
  <c r="DL67" i="13"/>
  <c r="DB67" i="13"/>
  <c r="DA67" i="13"/>
  <c r="CZ67" i="13"/>
  <c r="CY68" i="13"/>
  <c r="CY69" i="13"/>
  <c r="CY70" i="13"/>
  <c r="CY71" i="13"/>
  <c r="CY72" i="13"/>
  <c r="CY73" i="13"/>
  <c r="CY74" i="13"/>
  <c r="CY75" i="13"/>
  <c r="CY76" i="13"/>
  <c r="CY77" i="13"/>
  <c r="CY78" i="13"/>
  <c r="CY67" i="13"/>
  <c r="CX67" i="13"/>
  <c r="CW67" i="13"/>
  <c r="E37" i="11" l="1"/>
  <c r="D37" i="11"/>
  <c r="C37" i="11" l="1"/>
  <c r="C77" i="22"/>
  <c r="C67" i="22"/>
  <c r="C69" i="22"/>
  <c r="CB37" i="11" l="1"/>
  <c r="CA37" i="11"/>
  <c r="CD13" i="38" l="1"/>
  <c r="CE13" i="38"/>
  <c r="CD14" i="38"/>
  <c r="CE14" i="38"/>
  <c r="CD15" i="38"/>
  <c r="CE15" i="38"/>
  <c r="CD16" i="38"/>
  <c r="CE16" i="38"/>
  <c r="CD17" i="38"/>
  <c r="CE17" i="38"/>
  <c r="CD18" i="38"/>
  <c r="CE18" i="38"/>
  <c r="CD19" i="38"/>
  <c r="CE19" i="38"/>
  <c r="CD20" i="38"/>
  <c r="CE20" i="38"/>
  <c r="CD21" i="38"/>
  <c r="CE21" i="38"/>
  <c r="CD22" i="38"/>
  <c r="CE22" i="38"/>
  <c r="CD23" i="38"/>
  <c r="CE23" i="38"/>
  <c r="CD24" i="38"/>
  <c r="CE24" i="38"/>
  <c r="CD25" i="38"/>
  <c r="CE25" i="38"/>
  <c r="CD26" i="38"/>
  <c r="CE26" i="38"/>
  <c r="CD27" i="38"/>
  <c r="CE27" i="38"/>
  <c r="CD28" i="38"/>
  <c r="CE28" i="38"/>
  <c r="CD29" i="38"/>
  <c r="CE29" i="38"/>
  <c r="CD12" i="38"/>
  <c r="CA13" i="38"/>
  <c r="CB13" i="38"/>
  <c r="CA14" i="38"/>
  <c r="CB14" i="38"/>
  <c r="CA15" i="38"/>
  <c r="CB15" i="38"/>
  <c r="CA16" i="38"/>
  <c r="CB16" i="38"/>
  <c r="CA17" i="38"/>
  <c r="CB17" i="38"/>
  <c r="CA18" i="38"/>
  <c r="CB18" i="38"/>
  <c r="CA19" i="38"/>
  <c r="L19" i="38" s="1"/>
  <c r="CB19" i="38"/>
  <c r="CA20" i="38"/>
  <c r="CB20" i="38"/>
  <c r="CA21" i="38"/>
  <c r="CB21" i="38"/>
  <c r="CA22" i="38"/>
  <c r="CB22" i="38"/>
  <c r="CA23" i="38"/>
  <c r="L23" i="38" s="1"/>
  <c r="CB23" i="38"/>
  <c r="CA24" i="38"/>
  <c r="CB24" i="38"/>
  <c r="CA25" i="38"/>
  <c r="CB25" i="38"/>
  <c r="CA26" i="38"/>
  <c r="CB26" i="38"/>
  <c r="CA27" i="38"/>
  <c r="L27" i="38" s="1"/>
  <c r="CB27" i="38"/>
  <c r="CA28" i="38"/>
  <c r="CB28" i="38"/>
  <c r="CA29" i="38"/>
  <c r="CB29" i="38"/>
  <c r="CB12" i="38"/>
  <c r="CA12" i="38"/>
  <c r="L29" i="38" l="1"/>
  <c r="L25" i="38"/>
  <c r="L24" i="38"/>
  <c r="L22" i="38"/>
  <c r="L18" i="38"/>
  <c r="L21" i="38"/>
  <c r="L20" i="38"/>
  <c r="L17" i="38"/>
  <c r="L16" i="38"/>
  <c r="L15" i="38"/>
  <c r="L26" i="38"/>
  <c r="L28" i="38"/>
  <c r="BV124" i="4" l="1"/>
  <c r="BU124" i="4"/>
  <c r="BT124" i="4"/>
  <c r="BS124" i="4"/>
  <c r="BR124" i="4"/>
  <c r="BO124" i="4"/>
  <c r="CE12" i="38"/>
  <c r="CA96" i="36" l="1"/>
  <c r="CA95" i="36"/>
  <c r="CA92" i="36"/>
  <c r="CA91" i="36"/>
  <c r="CA57" i="36"/>
  <c r="CA58" i="36"/>
  <c r="CA59" i="36"/>
  <c r="CA56" i="36"/>
  <c r="CA51" i="36"/>
  <c r="CA52" i="36"/>
  <c r="CA53" i="36"/>
  <c r="CA50" i="36"/>
  <c r="CA36" i="36"/>
  <c r="CA35" i="36"/>
  <c r="CA23" i="36"/>
  <c r="CA22" i="36"/>
  <c r="CM39" i="32" l="1"/>
  <c r="CC39" i="32"/>
  <c r="CL38" i="32"/>
  <c r="CK39" i="32"/>
  <c r="CA39" i="32"/>
  <c r="CC37" i="32"/>
  <c r="CB38" i="32"/>
  <c r="CB37" i="32"/>
  <c r="CB36" i="32"/>
  <c r="CK36" i="32"/>
  <c r="C13" i="32"/>
  <c r="CL13" i="32" s="1"/>
  <c r="CP13" i="32" l="1"/>
  <c r="CO13" i="32"/>
  <c r="CR13" i="32"/>
  <c r="CQ13" i="32"/>
  <c r="BQ61" i="28"/>
  <c r="BQ60" i="28"/>
  <c r="BQ58" i="28"/>
  <c r="BQ57" i="28"/>
  <c r="B57" i="28"/>
  <c r="B122" i="45"/>
  <c r="B113" i="24"/>
  <c r="CB113" i="24" s="1"/>
  <c r="D108" i="37"/>
  <c r="AS80" i="5"/>
  <c r="AS81" i="5"/>
  <c r="AS82" i="5"/>
  <c r="AS83" i="5"/>
  <c r="AS84" i="5"/>
  <c r="AS85" i="5"/>
  <c r="AS86" i="5"/>
  <c r="AS87" i="5"/>
  <c r="AS88" i="5"/>
  <c r="AS89" i="5"/>
  <c r="AS90" i="5"/>
  <c r="AS91" i="5"/>
  <c r="AS79" i="5"/>
  <c r="AO80" i="5"/>
  <c r="AO81" i="5"/>
  <c r="AO82" i="5"/>
  <c r="AO83" i="5"/>
  <c r="AO84" i="5"/>
  <c r="AO85" i="5"/>
  <c r="AO86" i="5"/>
  <c r="AO87" i="5"/>
  <c r="AO88" i="5"/>
  <c r="AO89" i="5"/>
  <c r="AO90" i="5"/>
  <c r="AO91" i="5"/>
  <c r="AO79" i="5"/>
  <c r="E90" i="29"/>
  <c r="B120" i="24"/>
  <c r="CC114" i="24"/>
  <c r="CC115" i="24"/>
  <c r="CK114" i="24"/>
  <c r="CK115" i="24"/>
  <c r="CK113" i="24"/>
  <c r="CC113" i="24"/>
  <c r="CL120" i="24"/>
  <c r="CD120" i="24"/>
  <c r="CR113" i="24" l="1"/>
  <c r="DX246" i="47"/>
  <c r="DY246" i="47"/>
  <c r="DX247" i="47"/>
  <c r="DY247" i="47"/>
  <c r="DX248" i="47"/>
  <c r="DY248" i="47"/>
  <c r="CT246" i="47"/>
  <c r="CU246" i="47"/>
  <c r="CT247" i="47"/>
  <c r="CU247" i="47"/>
  <c r="CT248" i="47"/>
  <c r="CU248" i="47"/>
  <c r="CC237" i="47"/>
  <c r="DY259" i="47"/>
  <c r="DX259" i="47"/>
  <c r="DG259" i="47"/>
  <c r="DF259" i="47"/>
  <c r="CU259" i="47"/>
  <c r="CT259" i="47"/>
  <c r="CC259" i="47"/>
  <c r="CB259" i="47"/>
  <c r="DY258" i="47"/>
  <c r="DX258" i="47"/>
  <c r="DG258" i="47"/>
  <c r="DF258" i="47"/>
  <c r="CU258" i="47"/>
  <c r="CT258" i="47"/>
  <c r="CC258" i="47"/>
  <c r="CB258" i="47"/>
  <c r="DY257" i="47"/>
  <c r="DX257" i="47"/>
  <c r="DG257" i="47"/>
  <c r="DF257" i="47"/>
  <c r="CU257" i="47"/>
  <c r="CT257" i="47"/>
  <c r="CC257" i="47"/>
  <c r="CB257" i="47"/>
  <c r="DY256" i="47"/>
  <c r="DX256" i="47"/>
  <c r="DG256" i="47"/>
  <c r="DF256" i="47"/>
  <c r="CU256" i="47"/>
  <c r="CT256" i="47"/>
  <c r="CC256" i="47"/>
  <c r="CB256" i="47"/>
  <c r="DY255" i="47"/>
  <c r="DX255" i="47"/>
  <c r="DG255" i="47"/>
  <c r="DF255" i="47"/>
  <c r="CU255" i="47"/>
  <c r="CT255" i="47"/>
  <c r="CC255" i="47"/>
  <c r="CB255" i="47"/>
  <c r="DY254" i="47"/>
  <c r="DX254" i="47"/>
  <c r="DG254" i="47"/>
  <c r="DF254" i="47"/>
  <c r="CU254" i="47"/>
  <c r="CT254" i="47"/>
  <c r="CC254" i="47"/>
  <c r="CB254" i="47"/>
  <c r="DY253" i="47"/>
  <c r="DX253" i="47"/>
  <c r="DG253" i="47"/>
  <c r="DF253" i="47"/>
  <c r="CU253" i="47"/>
  <c r="CT253" i="47"/>
  <c r="CC253" i="47"/>
  <c r="CB253" i="47"/>
  <c r="DY252" i="47"/>
  <c r="DX252" i="47"/>
  <c r="DG252" i="47"/>
  <c r="DF252" i="47"/>
  <c r="CU252" i="47"/>
  <c r="CT252" i="47"/>
  <c r="CC252" i="47"/>
  <c r="CB252" i="47"/>
  <c r="DY251" i="47"/>
  <c r="DX251" i="47"/>
  <c r="DG251" i="47"/>
  <c r="DF251" i="47"/>
  <c r="CU251" i="47"/>
  <c r="CT251" i="47"/>
  <c r="CC251" i="47"/>
  <c r="CB251" i="47"/>
  <c r="DY250" i="47"/>
  <c r="DX250" i="47"/>
  <c r="DG250" i="47"/>
  <c r="DF250" i="47"/>
  <c r="CU250" i="47"/>
  <c r="CT250" i="47"/>
  <c r="CC250" i="47"/>
  <c r="CB250" i="47"/>
  <c r="DY249" i="47"/>
  <c r="DX249" i="47"/>
  <c r="DG249" i="47"/>
  <c r="DF249" i="47"/>
  <c r="CU249" i="47"/>
  <c r="CT249" i="47"/>
  <c r="CC249" i="47"/>
  <c r="CB249" i="47"/>
  <c r="DG248" i="47"/>
  <c r="DF248" i="47"/>
  <c r="CC248" i="47"/>
  <c r="CB248" i="47"/>
  <c r="DG247" i="47"/>
  <c r="DF247" i="47"/>
  <c r="CC247" i="47"/>
  <c r="CB247" i="47"/>
  <c r="DG246" i="47"/>
  <c r="DF246" i="47"/>
  <c r="CC246" i="47"/>
  <c r="CB246" i="47"/>
  <c r="DY245" i="47"/>
  <c r="DX245" i="47"/>
  <c r="DG245" i="47"/>
  <c r="DF245" i="47"/>
  <c r="CU245" i="47"/>
  <c r="CT245" i="47"/>
  <c r="CC245" i="47"/>
  <c r="CB245" i="47"/>
  <c r="DY244" i="47"/>
  <c r="DX244" i="47"/>
  <c r="DG244" i="47"/>
  <c r="DF244" i="47"/>
  <c r="CU244" i="47"/>
  <c r="CT244" i="47"/>
  <c r="CC244" i="47"/>
  <c r="CB244" i="47"/>
  <c r="DY243" i="47"/>
  <c r="DX243" i="47"/>
  <c r="DG243" i="47"/>
  <c r="DF243" i="47"/>
  <c r="CU243" i="47"/>
  <c r="CT243" i="47"/>
  <c r="CC243" i="47"/>
  <c r="CB243" i="47"/>
  <c r="DY242" i="47"/>
  <c r="DX242" i="47"/>
  <c r="DG242" i="47"/>
  <c r="DF242" i="47"/>
  <c r="CU242" i="47"/>
  <c r="CT242" i="47"/>
  <c r="CC242" i="47"/>
  <c r="CB242" i="47"/>
  <c r="DY241" i="47"/>
  <c r="DX241" i="47"/>
  <c r="DG241" i="47"/>
  <c r="DF241" i="47"/>
  <c r="CU241" i="47"/>
  <c r="CT241" i="47"/>
  <c r="CC241" i="47"/>
  <c r="CB241" i="47"/>
  <c r="DY240" i="47"/>
  <c r="DX240" i="47"/>
  <c r="DG240" i="47"/>
  <c r="DF240" i="47"/>
  <c r="CU240" i="47"/>
  <c r="CT240" i="47"/>
  <c r="CC240" i="47"/>
  <c r="CB240" i="47"/>
  <c r="DY239" i="47"/>
  <c r="DX239" i="47"/>
  <c r="DG239" i="47"/>
  <c r="CU239" i="47"/>
  <c r="CT239" i="47"/>
  <c r="CC239" i="47"/>
  <c r="DY238" i="47"/>
  <c r="DX238" i="47"/>
  <c r="DG238" i="47"/>
  <c r="CU238" i="47"/>
  <c r="CT238" i="47"/>
  <c r="CC238" i="47"/>
  <c r="DY237" i="47"/>
  <c r="DX237" i="47"/>
  <c r="DG237" i="47"/>
  <c r="CU237" i="47"/>
  <c r="CT237" i="47"/>
  <c r="DG210" i="47"/>
  <c r="DF210" i="47"/>
  <c r="CC210" i="47"/>
  <c r="CB210" i="47"/>
  <c r="DG209" i="47"/>
  <c r="DF209" i="47"/>
  <c r="CC209" i="47"/>
  <c r="CB209" i="47"/>
  <c r="DG208" i="47"/>
  <c r="DF208" i="47"/>
  <c r="CC208" i="47"/>
  <c r="CB208" i="47"/>
  <c r="DG207" i="47"/>
  <c r="DF207" i="47"/>
  <c r="CC207" i="47"/>
  <c r="CB207" i="47"/>
  <c r="DG206" i="47"/>
  <c r="DF206" i="47"/>
  <c r="CC206" i="47"/>
  <c r="CB206" i="47"/>
  <c r="DG205" i="47"/>
  <c r="DF205" i="47"/>
  <c r="CC205" i="47"/>
  <c r="CB205" i="47"/>
  <c r="DG204" i="47"/>
  <c r="DF204" i="47"/>
  <c r="CC204" i="47"/>
  <c r="CB204" i="47"/>
  <c r="DG203" i="47"/>
  <c r="DF203" i="47"/>
  <c r="CC203" i="47"/>
  <c r="CB203" i="47"/>
  <c r="DG202" i="47"/>
  <c r="DF202" i="47"/>
  <c r="CC202" i="47"/>
  <c r="CB202" i="47"/>
  <c r="DG201" i="47"/>
  <c r="DF201" i="47"/>
  <c r="CC201" i="47"/>
  <c r="CB201" i="47"/>
  <c r="DG200" i="47"/>
  <c r="DF200" i="47"/>
  <c r="CC200" i="47"/>
  <c r="CB200" i="47"/>
  <c r="DG199" i="47"/>
  <c r="DF199" i="47"/>
  <c r="CC199" i="47"/>
  <c r="CB199" i="47"/>
  <c r="DG198" i="47"/>
  <c r="DF198" i="47"/>
  <c r="CC198" i="47"/>
  <c r="CB198" i="47"/>
  <c r="DG197" i="47"/>
  <c r="DF197" i="47"/>
  <c r="CC197" i="47"/>
  <c r="CB197" i="47"/>
  <c r="DG196" i="47"/>
  <c r="DF196" i="47"/>
  <c r="CC196" i="47"/>
  <c r="CB196" i="47"/>
  <c r="DG195" i="47"/>
  <c r="DF195" i="47"/>
  <c r="CC195" i="47"/>
  <c r="CB195" i="47"/>
  <c r="DG194" i="47"/>
  <c r="DF194" i="47"/>
  <c r="CC194" i="47"/>
  <c r="CB194" i="47"/>
  <c r="DG193" i="47"/>
  <c r="DF193" i="47"/>
  <c r="CC193" i="47"/>
  <c r="CB193" i="47"/>
  <c r="DG192" i="47"/>
  <c r="DF192" i="47"/>
  <c r="CC192" i="47"/>
  <c r="CB192" i="47"/>
  <c r="DG191" i="47"/>
  <c r="DF191" i="47"/>
  <c r="CC191" i="47"/>
  <c r="CB191" i="47"/>
  <c r="DG190" i="47"/>
  <c r="CC190" i="47"/>
  <c r="DG189" i="47"/>
  <c r="CC189" i="47"/>
  <c r="DG188" i="47"/>
  <c r="CC188" i="47"/>
  <c r="DY162" i="47"/>
  <c r="DY163" i="47"/>
  <c r="DY164" i="47"/>
  <c r="DY165" i="47"/>
  <c r="DY166" i="47"/>
  <c r="DY167" i="47"/>
  <c r="DY168" i="47"/>
  <c r="DY169" i="47"/>
  <c r="DY173" i="47"/>
  <c r="DY174" i="47"/>
  <c r="DY175" i="47"/>
  <c r="DY176" i="47"/>
  <c r="DY177" i="47"/>
  <c r="DY178" i="47"/>
  <c r="DY179" i="47"/>
  <c r="DY180" i="47"/>
  <c r="DY181" i="47"/>
  <c r="DY182" i="47"/>
  <c r="DY183" i="47"/>
  <c r="DY161" i="47"/>
  <c r="DX162" i="47"/>
  <c r="DX163" i="47"/>
  <c r="DX164" i="47"/>
  <c r="DX165" i="47"/>
  <c r="DX166" i="47"/>
  <c r="DX167" i="47"/>
  <c r="DX168" i="47"/>
  <c r="DX169" i="47"/>
  <c r="DX173" i="47"/>
  <c r="DX174" i="47"/>
  <c r="DX175" i="47"/>
  <c r="DX176" i="47"/>
  <c r="DX177" i="47"/>
  <c r="DX178" i="47"/>
  <c r="DX179" i="47"/>
  <c r="DX180" i="47"/>
  <c r="DX181" i="47"/>
  <c r="DX182" i="47"/>
  <c r="DX183" i="47"/>
  <c r="CC161" i="47"/>
  <c r="CT162" i="47"/>
  <c r="CU162" i="47"/>
  <c r="CT163" i="47"/>
  <c r="CU163" i="47"/>
  <c r="CT164" i="47"/>
  <c r="CU164" i="47"/>
  <c r="CT165" i="47"/>
  <c r="CU165" i="47"/>
  <c r="CT166" i="47"/>
  <c r="CU166" i="47"/>
  <c r="CT167" i="47"/>
  <c r="CU167" i="47"/>
  <c r="CT168" i="47"/>
  <c r="CU168" i="47"/>
  <c r="CT169" i="47"/>
  <c r="CU169" i="47"/>
  <c r="CT173" i="47"/>
  <c r="CU173" i="47"/>
  <c r="CT174" i="47"/>
  <c r="CU174" i="47"/>
  <c r="CT175" i="47"/>
  <c r="CU175" i="47"/>
  <c r="CT176" i="47"/>
  <c r="CU176" i="47"/>
  <c r="CT177" i="47"/>
  <c r="CU177" i="47"/>
  <c r="CT178" i="47"/>
  <c r="CU178" i="47"/>
  <c r="CT179" i="47"/>
  <c r="CU179" i="47"/>
  <c r="CT180" i="47"/>
  <c r="CU180" i="47"/>
  <c r="CT181" i="47"/>
  <c r="CU181" i="47"/>
  <c r="CT182" i="47"/>
  <c r="CU182" i="47"/>
  <c r="CT183" i="47"/>
  <c r="CU183" i="47"/>
  <c r="CU161" i="47"/>
  <c r="CK30" i="48"/>
  <c r="CE30" i="48" s="1"/>
  <c r="CJ30" i="48"/>
  <c r="CD30" i="48" s="1"/>
  <c r="CI30" i="48"/>
  <c r="CC30" i="48" s="1"/>
  <c r="CH30" i="48"/>
  <c r="CB30" i="48" s="1"/>
  <c r="J79" i="5"/>
  <c r="BI124" i="4"/>
  <c r="BJ124" i="4"/>
  <c r="BK124" i="4"/>
  <c r="BL124" i="4"/>
  <c r="BM124" i="4"/>
  <c r="BF124" i="4"/>
  <c r="BR123" i="4"/>
  <c r="BV123" i="4"/>
  <c r="BU123" i="4"/>
  <c r="BT123" i="4"/>
  <c r="BS123" i="4"/>
  <c r="BO123" i="4"/>
  <c r="BF123" i="4"/>
  <c r="BM123" i="4"/>
  <c r="BL123" i="4"/>
  <c r="BK123" i="4"/>
  <c r="BJ123" i="4"/>
  <c r="BI123" i="4"/>
  <c r="C129" i="4"/>
  <c r="C128" i="4"/>
  <c r="BI128" i="4" s="1"/>
  <c r="C130" i="28"/>
  <c r="CA231" i="34"/>
  <c r="CB231" i="34"/>
  <c r="CC231" i="34"/>
  <c r="CD231" i="34"/>
  <c r="CA232" i="34"/>
  <c r="CB232" i="34"/>
  <c r="CC232" i="34"/>
  <c r="CD232" i="34"/>
  <c r="CA233" i="34"/>
  <c r="CB233" i="34"/>
  <c r="CC233" i="34"/>
  <c r="CD233" i="34"/>
  <c r="CA234" i="34"/>
  <c r="CB234" i="34"/>
  <c r="CC234" i="34"/>
  <c r="CD234" i="34"/>
  <c r="CA235" i="34"/>
  <c r="CB235" i="34"/>
  <c r="CC235" i="34"/>
  <c r="CD235" i="34"/>
  <c r="CN235" i="34"/>
  <c r="CM235" i="34"/>
  <c r="CL235" i="34"/>
  <c r="CK235" i="34"/>
  <c r="CN234" i="34"/>
  <c r="CM234" i="34"/>
  <c r="CL234" i="34"/>
  <c r="CK234" i="34"/>
  <c r="CN233" i="34"/>
  <c r="CM233" i="34"/>
  <c r="CL233" i="34"/>
  <c r="CK233" i="34"/>
  <c r="CN232" i="34"/>
  <c r="CM232" i="34"/>
  <c r="CL232" i="34"/>
  <c r="CK232" i="34"/>
  <c r="CN231" i="34"/>
  <c r="CM231" i="34"/>
  <c r="CL231" i="34"/>
  <c r="CK231" i="34"/>
  <c r="CN230" i="34"/>
  <c r="CM230" i="34"/>
  <c r="CL230" i="34"/>
  <c r="CK230" i="34"/>
  <c r="CB230" i="34"/>
  <c r="CA230" i="34"/>
  <c r="CD230" i="34"/>
  <c r="CC230" i="34"/>
  <c r="CK218" i="34"/>
  <c r="CL218" i="34"/>
  <c r="CM218" i="34"/>
  <c r="CN218" i="34"/>
  <c r="CK219" i="34"/>
  <c r="CL219" i="34"/>
  <c r="CM219" i="34"/>
  <c r="CN219" i="34"/>
  <c r="CK220" i="34"/>
  <c r="CL220" i="34"/>
  <c r="CM220" i="34"/>
  <c r="CN220" i="34"/>
  <c r="CK221" i="34"/>
  <c r="CL221" i="34"/>
  <c r="CM221" i="34"/>
  <c r="CN221" i="34"/>
  <c r="CK222" i="34"/>
  <c r="CL222" i="34"/>
  <c r="CM222" i="34"/>
  <c r="CN222" i="34"/>
  <c r="CK223" i="34"/>
  <c r="CL223" i="34"/>
  <c r="CM223" i="34"/>
  <c r="CN223" i="34"/>
  <c r="CK224" i="34"/>
  <c r="CL224" i="34"/>
  <c r="CM224" i="34"/>
  <c r="CN224" i="34"/>
  <c r="CK225" i="34"/>
  <c r="CL225" i="34"/>
  <c r="CM225" i="34"/>
  <c r="CN225" i="34"/>
  <c r="CL217" i="34"/>
  <c r="CK217" i="34"/>
  <c r="CA218" i="34"/>
  <c r="CB218" i="34"/>
  <c r="CC218" i="34"/>
  <c r="CD218" i="34"/>
  <c r="CA219" i="34"/>
  <c r="CB219" i="34"/>
  <c r="CC219" i="34"/>
  <c r="CD219" i="34"/>
  <c r="CA220" i="34"/>
  <c r="CB220" i="34"/>
  <c r="CC220" i="34"/>
  <c r="CD220" i="34"/>
  <c r="CA221" i="34"/>
  <c r="CB221" i="34"/>
  <c r="CC221" i="34"/>
  <c r="CD221" i="34"/>
  <c r="CA222" i="34"/>
  <c r="CB222" i="34"/>
  <c r="CC222" i="34"/>
  <c r="CD222" i="34"/>
  <c r="CA223" i="34"/>
  <c r="CB223" i="34"/>
  <c r="CC223" i="34"/>
  <c r="CD223" i="34"/>
  <c r="CA224" i="34"/>
  <c r="CB224" i="34"/>
  <c r="CC224" i="34"/>
  <c r="CD224" i="34"/>
  <c r="CA225" i="34"/>
  <c r="CB225" i="34"/>
  <c r="CC225" i="34"/>
  <c r="CD225" i="34"/>
  <c r="CA217" i="34"/>
  <c r="CB217" i="34"/>
  <c r="BQ293" i="29"/>
  <c r="BQ294" i="29"/>
  <c r="BQ295" i="29"/>
  <c r="BQ296" i="29"/>
  <c r="BQ297" i="29"/>
  <c r="BQ298" i="29"/>
  <c r="BQ299" i="29"/>
  <c r="BQ300" i="29"/>
  <c r="BQ301" i="29"/>
  <c r="BQ302" i="29"/>
  <c r="BQ303" i="29"/>
  <c r="BQ304" i="29"/>
  <c r="BQ305" i="29"/>
  <c r="BQ306" i="29"/>
  <c r="BQ307" i="29"/>
  <c r="BQ308" i="29"/>
  <c r="BQ309" i="29"/>
  <c r="BQ292" i="29"/>
  <c r="D177" i="29"/>
  <c r="G233" i="34" l="1"/>
  <c r="G232" i="34"/>
  <c r="G225" i="34"/>
  <c r="G223" i="34"/>
  <c r="G218" i="34"/>
  <c r="G221" i="34"/>
  <c r="G219" i="34"/>
  <c r="BR130" i="28"/>
  <c r="BO130" i="28"/>
  <c r="G220" i="34"/>
  <c r="G222" i="34"/>
  <c r="G224" i="34"/>
  <c r="G235" i="34"/>
  <c r="G231" i="34"/>
  <c r="G234" i="34"/>
  <c r="G230" i="34"/>
  <c r="D90" i="29"/>
  <c r="BQ24" i="29"/>
  <c r="BQ19" i="29"/>
  <c r="BQ20" i="29"/>
  <c r="BQ21" i="29"/>
  <c r="BQ22" i="29"/>
  <c r="BQ23" i="29"/>
  <c r="BQ25" i="29"/>
  <c r="BQ26" i="29"/>
  <c r="BQ27" i="29"/>
  <c r="BQ28" i="29"/>
  <c r="BQ29" i="29"/>
  <c r="BQ30" i="29"/>
  <c r="BQ31" i="29"/>
  <c r="BQ18" i="29"/>
  <c r="BR19" i="29"/>
  <c r="BS19" i="29"/>
  <c r="BR20" i="29"/>
  <c r="BS20" i="29"/>
  <c r="BR21" i="29"/>
  <c r="BS21" i="29"/>
  <c r="BR22" i="29"/>
  <c r="BS22" i="29"/>
  <c r="BR23" i="29"/>
  <c r="BS23" i="29"/>
  <c r="BR24" i="29"/>
  <c r="BS24" i="29"/>
  <c r="BR25" i="29"/>
  <c r="BS25" i="29"/>
  <c r="BR26" i="29"/>
  <c r="BS26" i="29"/>
  <c r="BR27" i="29"/>
  <c r="BS27" i="29"/>
  <c r="BR28" i="29"/>
  <c r="BS28" i="29"/>
  <c r="BR29" i="29"/>
  <c r="BS29" i="29"/>
  <c r="BR30" i="29"/>
  <c r="BS30" i="29"/>
  <c r="BR31" i="29"/>
  <c r="BS31" i="29"/>
  <c r="CB19" i="29"/>
  <c r="CB20" i="29"/>
  <c r="CB21" i="29"/>
  <c r="CB22" i="29"/>
  <c r="CB23" i="29"/>
  <c r="CB24" i="29"/>
  <c r="CB25" i="29"/>
  <c r="CB26" i="29"/>
  <c r="CB27" i="29"/>
  <c r="CB28" i="29"/>
  <c r="CB29" i="29"/>
  <c r="CB30" i="29"/>
  <c r="CB31" i="29"/>
  <c r="CB18" i="29"/>
  <c r="BS18" i="29"/>
  <c r="BR18" i="29"/>
  <c r="CK37" i="32"/>
  <c r="CL37" i="32"/>
  <c r="CM37" i="32"/>
  <c r="CM36" i="32"/>
  <c r="CL36" i="32"/>
  <c r="CC36" i="32"/>
  <c r="CA36" i="32"/>
  <c r="B366" i="29"/>
  <c r="B365" i="29"/>
  <c r="O370" i="29"/>
  <c r="E370" i="29"/>
  <c r="F370" i="29"/>
  <c r="G370" i="29"/>
  <c r="H370" i="29"/>
  <c r="I370" i="29"/>
  <c r="J370" i="29"/>
  <c r="K370" i="29"/>
  <c r="L370" i="29"/>
  <c r="M370" i="29"/>
  <c r="N370" i="29"/>
  <c r="D370" i="29"/>
  <c r="C370" i="29"/>
  <c r="G27" i="29" l="1"/>
  <c r="G29" i="29"/>
  <c r="G20" i="29"/>
  <c r="G28" i="29"/>
  <c r="G19" i="29"/>
  <c r="G22" i="29"/>
  <c r="G31" i="29"/>
  <c r="G25" i="29"/>
  <c r="G23" i="29"/>
  <c r="G30" i="29"/>
  <c r="G24" i="29"/>
  <c r="G26" i="29"/>
  <c r="G21" i="29"/>
  <c r="G18" i="29"/>
  <c r="CD70" i="39"/>
  <c r="CD71" i="39"/>
  <c r="CD72" i="39"/>
  <c r="CO71" i="39"/>
  <c r="CO72" i="39"/>
  <c r="CO70" i="39"/>
  <c r="CN14" i="39"/>
  <c r="CN15" i="39"/>
  <c r="CN16" i="39"/>
  <c r="CN17" i="39"/>
  <c r="CN18" i="39"/>
  <c r="CN19" i="39"/>
  <c r="CN20" i="39"/>
  <c r="CN21" i="39"/>
  <c r="CN22" i="39"/>
  <c r="CN13" i="39"/>
  <c r="CC14" i="39"/>
  <c r="CC15" i="39"/>
  <c r="CC16" i="39"/>
  <c r="CC17" i="39"/>
  <c r="CC18" i="39"/>
  <c r="CC19" i="39"/>
  <c r="CC20" i="39"/>
  <c r="CC21" i="39"/>
  <c r="CC22" i="39"/>
  <c r="CC13" i="39"/>
  <c r="L13" i="38"/>
  <c r="L14" i="38"/>
  <c r="L12" i="38"/>
  <c r="CA100" i="37"/>
  <c r="CL67" i="37" l="1"/>
  <c r="CC67" i="37"/>
  <c r="CL66" i="37"/>
  <c r="CC66" i="37"/>
  <c r="CL65" i="37"/>
  <c r="CC65" i="37"/>
  <c r="CL64" i="37"/>
  <c r="CC64" i="37"/>
  <c r="CL63" i="37"/>
  <c r="CC63" i="37"/>
  <c r="CK86" i="34"/>
  <c r="CA86" i="34" s="1"/>
  <c r="CM86" i="34"/>
  <c r="CL86" i="34"/>
  <c r="B120" i="48"/>
  <c r="CG120" i="48" s="1"/>
  <c r="CB120" i="48" l="1"/>
  <c r="CB309" i="29"/>
  <c r="CB308" i="29"/>
  <c r="CB307" i="29"/>
  <c r="CB306" i="29"/>
  <c r="CB305" i="29"/>
  <c r="CB304" i="29"/>
  <c r="CB303" i="29"/>
  <c r="CB302" i="29"/>
  <c r="CB301" i="29"/>
  <c r="CB300" i="29"/>
  <c r="CB299" i="29"/>
  <c r="CB298" i="29"/>
  <c r="CB297" i="29"/>
  <c r="CB296" i="29"/>
  <c r="CB295" i="29"/>
  <c r="CB294" i="29"/>
  <c r="CB293" i="29"/>
  <c r="CD245" i="29"/>
  <c r="CL87" i="34"/>
  <c r="CB87" i="34" s="1"/>
  <c r="CK87" i="34"/>
  <c r="CA87" i="34" s="1"/>
  <c r="CM87" i="34"/>
  <c r="CC87" i="34" s="1"/>
  <c r="CC86" i="34"/>
  <c r="CB86" i="34"/>
  <c r="F86" i="34" l="1"/>
  <c r="F87" i="34"/>
  <c r="BN156" i="4" l="1"/>
  <c r="BN157" i="4"/>
  <c r="BN158" i="4"/>
  <c r="BN159" i="4"/>
  <c r="BN160" i="4"/>
  <c r="BN155" i="4"/>
  <c r="BI156" i="4"/>
  <c r="G156" i="4" s="1"/>
  <c r="BI157" i="4"/>
  <c r="G157" i="4" s="1"/>
  <c r="BI158" i="4"/>
  <c r="G158" i="4" s="1"/>
  <c r="BI159" i="4"/>
  <c r="G159" i="4" s="1"/>
  <c r="BI160" i="4"/>
  <c r="G160" i="4" s="1"/>
  <c r="BI155" i="4"/>
  <c r="G155" i="4" s="1"/>
  <c r="B12" i="46"/>
  <c r="BE12" i="46" l="1"/>
  <c r="BF12" i="46"/>
  <c r="BM12" i="46"/>
  <c r="CC107" i="39"/>
  <c r="CC108" i="39"/>
  <c r="CC109" i="39"/>
  <c r="CC110" i="39"/>
  <c r="CC111" i="39"/>
  <c r="CC106" i="39"/>
  <c r="CD107" i="39"/>
  <c r="CD108" i="39"/>
  <c r="CD109" i="39"/>
  <c r="CD110" i="39"/>
  <c r="CD111" i="39"/>
  <c r="CD106" i="39"/>
  <c r="AH205" i="13" l="1"/>
  <c r="AH206" i="13"/>
  <c r="BW61" i="28"/>
  <c r="BW60" i="28"/>
  <c r="BW58" i="28"/>
  <c r="BW57" i="28"/>
  <c r="CB59" i="41" l="1"/>
  <c r="CB63" i="41"/>
  <c r="CB64" i="41"/>
  <c r="CH96" i="36" l="1"/>
  <c r="CG96" i="36"/>
  <c r="CH95" i="36"/>
  <c r="CG95" i="36"/>
  <c r="CB96" i="36"/>
  <c r="CB95" i="36"/>
  <c r="CH92" i="36"/>
  <c r="CH91" i="36"/>
  <c r="CG92" i="36"/>
  <c r="CG91" i="36"/>
  <c r="CB92" i="36"/>
  <c r="CB91" i="36"/>
  <c r="CH57" i="36"/>
  <c r="CH58" i="36"/>
  <c r="CH59" i="36"/>
  <c r="CH56" i="36"/>
  <c r="CG57" i="36"/>
  <c r="CG58" i="36"/>
  <c r="CG59" i="36"/>
  <c r="CG56" i="36"/>
  <c r="CB57" i="36"/>
  <c r="CB58" i="36"/>
  <c r="CB59" i="36"/>
  <c r="CB56" i="36"/>
  <c r="CH51" i="36"/>
  <c r="CH52" i="36"/>
  <c r="CH53" i="36"/>
  <c r="CH50" i="36"/>
  <c r="CG51" i="36"/>
  <c r="CG52" i="36"/>
  <c r="CG53" i="36"/>
  <c r="CG50" i="36"/>
  <c r="CB51" i="36"/>
  <c r="CB52" i="36"/>
  <c r="CB53" i="36"/>
  <c r="CB50" i="36"/>
  <c r="CH36" i="36"/>
  <c r="CH35" i="36"/>
  <c r="CG36" i="36"/>
  <c r="CG35" i="36"/>
  <c r="CB36" i="36"/>
  <c r="E36" i="36" s="1"/>
  <c r="CB35" i="36"/>
  <c r="E35" i="36" s="1"/>
  <c r="CH23" i="36"/>
  <c r="CH22" i="36"/>
  <c r="CG23" i="36"/>
  <c r="CG22" i="36"/>
  <c r="CB23" i="36"/>
  <c r="CB22" i="36"/>
  <c r="CW68" i="13"/>
  <c r="CW69" i="13"/>
  <c r="CW70" i="13"/>
  <c r="CW71" i="13"/>
  <c r="CW72" i="13"/>
  <c r="CW73" i="13"/>
  <c r="CW74" i="13"/>
  <c r="CW75" i="13"/>
  <c r="CW76" i="13"/>
  <c r="CW77" i="13"/>
  <c r="CW78" i="13"/>
  <c r="DL68" i="13"/>
  <c r="DL69" i="13"/>
  <c r="DL70" i="13"/>
  <c r="DL71" i="13"/>
  <c r="DL72" i="13"/>
  <c r="DL73" i="13"/>
  <c r="DL74" i="13"/>
  <c r="DL75" i="13"/>
  <c r="DL76" i="13"/>
  <c r="DL77" i="13"/>
  <c r="DL78" i="13"/>
  <c r="DK68" i="13"/>
  <c r="DK69" i="13"/>
  <c r="DK70" i="13"/>
  <c r="DK71" i="13"/>
  <c r="DK72" i="13"/>
  <c r="DK73" i="13"/>
  <c r="DK74" i="13"/>
  <c r="DK75" i="13"/>
  <c r="DK76" i="13"/>
  <c r="DK77" i="13"/>
  <c r="DK78" i="13"/>
  <c r="DK67" i="13"/>
  <c r="DJ68" i="13"/>
  <c r="DJ69" i="13"/>
  <c r="DJ70" i="13"/>
  <c r="DJ71" i="13"/>
  <c r="DJ72" i="13"/>
  <c r="DJ73" i="13"/>
  <c r="DJ74" i="13"/>
  <c r="DJ75" i="13"/>
  <c r="DJ76" i="13"/>
  <c r="DJ77" i="13"/>
  <c r="DJ78" i="13"/>
  <c r="DJ67" i="13"/>
  <c r="DI68" i="13"/>
  <c r="DI69" i="13"/>
  <c r="DI70" i="13"/>
  <c r="DI71" i="13"/>
  <c r="DI72" i="13"/>
  <c r="DI73" i="13"/>
  <c r="DI74" i="13"/>
  <c r="DI75" i="13"/>
  <c r="DI76" i="13"/>
  <c r="DI77" i="13"/>
  <c r="DI78" i="13"/>
  <c r="DI67" i="13"/>
  <c r="DH68" i="13"/>
  <c r="DH69" i="13"/>
  <c r="DH70" i="13"/>
  <c r="DH71" i="13"/>
  <c r="DH72" i="13"/>
  <c r="DH73" i="13"/>
  <c r="DH74" i="13"/>
  <c r="DH75" i="13"/>
  <c r="DH76" i="13"/>
  <c r="DH77" i="13"/>
  <c r="DH78" i="13"/>
  <c r="DH67" i="13"/>
  <c r="DG68" i="13"/>
  <c r="DG69" i="13"/>
  <c r="DG70" i="13"/>
  <c r="DG71" i="13"/>
  <c r="DG72" i="13"/>
  <c r="DG73" i="13"/>
  <c r="DG74" i="13"/>
  <c r="DG75" i="13"/>
  <c r="DG76" i="13"/>
  <c r="DG77" i="13"/>
  <c r="DG78" i="13"/>
  <c r="DG67" i="13"/>
  <c r="DB68" i="13"/>
  <c r="DB69" i="13"/>
  <c r="DB70" i="13"/>
  <c r="DB71" i="13"/>
  <c r="DB72" i="13"/>
  <c r="DB73" i="13"/>
  <c r="DB74" i="13"/>
  <c r="DB75" i="13"/>
  <c r="DB76" i="13"/>
  <c r="DB77" i="13"/>
  <c r="DB78" i="13"/>
  <c r="DA68" i="13"/>
  <c r="DA69" i="13"/>
  <c r="DA70" i="13"/>
  <c r="DA71" i="13"/>
  <c r="DA72" i="13"/>
  <c r="DA73" i="13"/>
  <c r="DA74" i="13"/>
  <c r="DA75" i="13"/>
  <c r="DA76" i="13"/>
  <c r="DA77" i="13"/>
  <c r="DA78" i="13"/>
  <c r="CZ68" i="13"/>
  <c r="CZ69" i="13"/>
  <c r="CZ70" i="13"/>
  <c r="CZ71" i="13"/>
  <c r="CZ72" i="13"/>
  <c r="CZ73" i="13"/>
  <c r="CZ74" i="13"/>
  <c r="CZ75" i="13"/>
  <c r="CZ76" i="13"/>
  <c r="CZ77" i="13"/>
  <c r="CZ78" i="13"/>
  <c r="CX68" i="13"/>
  <c r="CX69" i="13"/>
  <c r="CX70" i="13"/>
  <c r="CX71" i="13"/>
  <c r="CX72" i="13"/>
  <c r="CX73" i="13"/>
  <c r="CX74" i="13"/>
  <c r="CX75" i="13"/>
  <c r="CX76" i="13"/>
  <c r="CX77" i="13"/>
  <c r="CX78" i="13"/>
  <c r="K77" i="13" l="1"/>
  <c r="K72" i="13"/>
  <c r="K75" i="13"/>
  <c r="K74" i="13"/>
  <c r="K71" i="13"/>
  <c r="K68" i="13"/>
  <c r="K76" i="13"/>
  <c r="K70" i="13"/>
  <c r="K73" i="13"/>
  <c r="K78" i="13"/>
  <c r="K69" i="13"/>
  <c r="K67" i="13"/>
  <c r="CB292" i="29" l="1"/>
  <c r="CD19" i="29" l="1"/>
  <c r="CD20" i="29"/>
  <c r="CD21" i="29"/>
  <c r="CD22" i="29"/>
  <c r="CD23" i="29"/>
  <c r="CD24" i="29"/>
  <c r="CD25" i="29"/>
  <c r="CD26" i="29"/>
  <c r="CD27" i="29"/>
  <c r="CD28" i="29"/>
  <c r="CD29" i="29"/>
  <c r="CD30" i="29"/>
  <c r="CD31" i="29"/>
  <c r="CD18" i="29"/>
  <c r="CC19" i="29"/>
  <c r="CC20" i="29"/>
  <c r="CC21" i="29"/>
  <c r="CC22" i="29"/>
  <c r="CC23" i="29"/>
  <c r="CC24" i="29"/>
  <c r="CC25" i="29"/>
  <c r="CC26" i="29"/>
  <c r="CC27" i="29"/>
  <c r="CC28" i="29"/>
  <c r="CC29" i="29"/>
  <c r="CC30" i="29"/>
  <c r="CC31" i="29"/>
  <c r="CC18" i="29"/>
  <c r="CO107" i="39" l="1"/>
  <c r="CO108" i="39"/>
  <c r="CO109" i="39"/>
  <c r="CO110" i="39"/>
  <c r="CO111" i="39"/>
  <c r="CO106" i="39"/>
  <c r="CN107" i="39"/>
  <c r="CN108" i="39"/>
  <c r="CN109" i="39"/>
  <c r="CN110" i="39"/>
  <c r="CN111" i="39"/>
  <c r="CN106" i="39"/>
  <c r="F108" i="39"/>
  <c r="F109" i="39"/>
  <c r="F110" i="39"/>
  <c r="CC71" i="39"/>
  <c r="CC72" i="39"/>
  <c r="CC70" i="39"/>
  <c r="CN71" i="39"/>
  <c r="CN72" i="39"/>
  <c r="CN70" i="39"/>
  <c r="CM71" i="39"/>
  <c r="CM72" i="39"/>
  <c r="CM70" i="39"/>
  <c r="CB71" i="39"/>
  <c r="CB72" i="39"/>
  <c r="CB70" i="39"/>
  <c r="CL71" i="39"/>
  <c r="CL72" i="39"/>
  <c r="CL70" i="39"/>
  <c r="CM14" i="39"/>
  <c r="CM15" i="39"/>
  <c r="CM16" i="39"/>
  <c r="CM17" i="39"/>
  <c r="CM18" i="39"/>
  <c r="CM19" i="39"/>
  <c r="CM20" i="39"/>
  <c r="CM21" i="39"/>
  <c r="CM22" i="39"/>
  <c r="CM13" i="39"/>
  <c r="CB14" i="39"/>
  <c r="CB15" i="39"/>
  <c r="CB16" i="39"/>
  <c r="CB17" i="39"/>
  <c r="CB18" i="39"/>
  <c r="CB19" i="39"/>
  <c r="CB20" i="39"/>
  <c r="CB21" i="39"/>
  <c r="CB22" i="39"/>
  <c r="CB13" i="39"/>
  <c r="CL14" i="39"/>
  <c r="CL15" i="39"/>
  <c r="CL16" i="39"/>
  <c r="CL17" i="39"/>
  <c r="CL18" i="39"/>
  <c r="CL19" i="39"/>
  <c r="CL20" i="39"/>
  <c r="CL21" i="39"/>
  <c r="CL22" i="39"/>
  <c r="CL13" i="39"/>
  <c r="CA14" i="39"/>
  <c r="CA15" i="39"/>
  <c r="CA16" i="39"/>
  <c r="CA17" i="39"/>
  <c r="CA18" i="39"/>
  <c r="CA19" i="39"/>
  <c r="CA20" i="39"/>
  <c r="CA21" i="39"/>
  <c r="CA22" i="39"/>
  <c r="CA13" i="39"/>
  <c r="F106" i="39" l="1"/>
  <c r="U72" i="39"/>
  <c r="U71" i="39"/>
  <c r="U70" i="39"/>
  <c r="CM107" i="39" l="1"/>
  <c r="CL107" i="39"/>
  <c r="CA107" i="39"/>
  <c r="CB107" i="39"/>
  <c r="CM111" i="39"/>
  <c r="CL111" i="39"/>
  <c r="CB111" i="39"/>
  <c r="F107" i="39" l="1"/>
  <c r="CA111" i="39"/>
  <c r="F111" i="39" s="1"/>
  <c r="DF153" i="47" l="1"/>
  <c r="DF154" i="47"/>
  <c r="DF155" i="47"/>
  <c r="DF156" i="47"/>
  <c r="DF152" i="47"/>
  <c r="DF145" i="47"/>
  <c r="DF146" i="47"/>
  <c r="DF147" i="47"/>
  <c r="DF148" i="47"/>
  <c r="DF144" i="47"/>
  <c r="B99" i="5" l="1"/>
  <c r="AO99" i="5" l="1"/>
  <c r="H99" i="5" s="1"/>
  <c r="AS99" i="5"/>
  <c r="E57" i="36"/>
  <c r="E58" i="36"/>
  <c r="E59" i="36"/>
  <c r="E51" i="36"/>
  <c r="E52" i="36"/>
  <c r="E53" i="36"/>
  <c r="E23" i="36"/>
  <c r="N14" i="36"/>
  <c r="N17" i="36"/>
  <c r="E91" i="36" l="1"/>
  <c r="E96" i="36"/>
  <c r="E56" i="36"/>
  <c r="E92" i="36"/>
  <c r="E95" i="36"/>
  <c r="E50" i="36"/>
  <c r="E22" i="36"/>
  <c r="R59" i="29"/>
  <c r="Q59" i="29"/>
  <c r="R35" i="29"/>
  <c r="S35" i="29"/>
  <c r="T35" i="29"/>
  <c r="U35" i="29"/>
  <c r="Q35" i="29"/>
  <c r="B103" i="39"/>
  <c r="B102" i="39"/>
  <c r="B101" i="39"/>
  <c r="M35" i="29" l="1"/>
  <c r="A5" i="11" l="1"/>
  <c r="A4" i="11"/>
  <c r="A3" i="11"/>
  <c r="A2" i="11"/>
  <c r="A5" i="24"/>
  <c r="A4" i="24"/>
  <c r="A3" i="24"/>
  <c r="A2" i="24"/>
  <c r="A5" i="23"/>
  <c r="A4" i="23"/>
  <c r="A3" i="23"/>
  <c r="A2" i="23"/>
  <c r="A5" i="43"/>
  <c r="A4" i="43"/>
  <c r="A3" i="43"/>
  <c r="A2" i="43"/>
  <c r="A5" i="42"/>
  <c r="A4" i="42"/>
  <c r="A3" i="42"/>
  <c r="A2" i="42"/>
  <c r="A5" i="41"/>
  <c r="A4" i="41"/>
  <c r="A3" i="41"/>
  <c r="A2" i="41"/>
  <c r="A5" i="48"/>
  <c r="A4" i="48"/>
  <c r="A3" i="48"/>
  <c r="A2" i="48"/>
  <c r="A5" i="31"/>
  <c r="A4" i="31"/>
  <c r="A3" i="31"/>
  <c r="A2" i="31"/>
  <c r="A5" i="22"/>
  <c r="A4" i="22"/>
  <c r="A3" i="22"/>
  <c r="A2" i="22"/>
  <c r="A5" i="27"/>
  <c r="A4" i="27"/>
  <c r="A3" i="27"/>
  <c r="A2" i="27"/>
  <c r="A5" i="39"/>
  <c r="A4" i="39"/>
  <c r="A3" i="39"/>
  <c r="A2" i="39"/>
  <c r="A5" i="19"/>
  <c r="A4" i="19"/>
  <c r="A3" i="19"/>
  <c r="A2" i="19"/>
  <c r="A5" i="5"/>
  <c r="A4" i="5"/>
  <c r="A3" i="5"/>
  <c r="A2" i="5"/>
  <c r="A5" i="38"/>
  <c r="A4" i="38"/>
  <c r="A3" i="38"/>
  <c r="A2" i="38"/>
  <c r="A5" i="37"/>
  <c r="A4" i="37"/>
  <c r="A3" i="37"/>
  <c r="A2" i="37"/>
  <c r="A5" i="36"/>
  <c r="A4" i="36"/>
  <c r="A3" i="36"/>
  <c r="A2" i="36"/>
  <c r="A5" i="47"/>
  <c r="A4" i="47"/>
  <c r="A3" i="47"/>
  <c r="A2" i="47"/>
  <c r="A5" i="13"/>
  <c r="A4" i="13"/>
  <c r="A3" i="13"/>
  <c r="A2" i="13"/>
  <c r="A5" i="4"/>
  <c r="A4" i="4"/>
  <c r="A3" i="4"/>
  <c r="A2" i="4"/>
  <c r="A5" i="46"/>
  <c r="A4" i="46"/>
  <c r="A3" i="46"/>
  <c r="A2" i="46"/>
  <c r="A5" i="45"/>
  <c r="A4" i="45"/>
  <c r="A3" i="45"/>
  <c r="A2" i="45"/>
  <c r="A5" i="29"/>
  <c r="A4" i="29"/>
  <c r="A3" i="29"/>
  <c r="A2" i="29"/>
  <c r="A5" i="28"/>
  <c r="A4" i="28"/>
  <c r="A3" i="28"/>
  <c r="A2" i="28"/>
  <c r="A5" i="34"/>
  <c r="A4" i="34"/>
  <c r="A3" i="34"/>
  <c r="A2" i="34"/>
  <c r="A5" i="33"/>
  <c r="A4" i="33"/>
  <c r="A3" i="33"/>
  <c r="A2" i="33"/>
  <c r="A5" i="32"/>
  <c r="A4" i="32"/>
  <c r="A3" i="32"/>
  <c r="A2" i="32"/>
  <c r="F229" i="34" l="1"/>
  <c r="E229" i="34"/>
  <c r="D229" i="34"/>
  <c r="C229" i="34"/>
  <c r="C13" i="48"/>
  <c r="D13" i="48"/>
  <c r="C14" i="48"/>
  <c r="D14" i="48"/>
  <c r="C15" i="48"/>
  <c r="D15" i="48"/>
  <c r="C16" i="48"/>
  <c r="D16" i="48"/>
  <c r="C17" i="48"/>
  <c r="D17" i="48"/>
  <c r="C18" i="48"/>
  <c r="D18" i="48"/>
  <c r="E19" i="48"/>
  <c r="F19" i="48"/>
  <c r="G19" i="48"/>
  <c r="H19" i="48"/>
  <c r="I19" i="48"/>
  <c r="J19" i="48"/>
  <c r="K19" i="48"/>
  <c r="L19" i="48"/>
  <c r="M19" i="48"/>
  <c r="N19" i="48"/>
  <c r="O19" i="48"/>
  <c r="P19" i="48"/>
  <c r="Q19" i="48"/>
  <c r="R19" i="48"/>
  <c r="S19" i="48"/>
  <c r="T19" i="48"/>
  <c r="U19" i="48"/>
  <c r="V19" i="48"/>
  <c r="W19" i="48"/>
  <c r="X19" i="48"/>
  <c r="Y19" i="48"/>
  <c r="Z19" i="48"/>
  <c r="AA19" i="48"/>
  <c r="AB19" i="48"/>
  <c r="AC19" i="48"/>
  <c r="AD19" i="48"/>
  <c r="AE19" i="48"/>
  <c r="AF19" i="48"/>
  <c r="AG19" i="48"/>
  <c r="AH19" i="48"/>
  <c r="AI19" i="48"/>
  <c r="AJ19" i="48"/>
  <c r="AK19" i="48"/>
  <c r="AL19" i="48"/>
  <c r="AM19" i="48"/>
  <c r="AN19" i="48"/>
  <c r="AO19" i="48"/>
  <c r="AP19" i="48"/>
  <c r="AQ19" i="48"/>
  <c r="AR19" i="48"/>
  <c r="AS19" i="48"/>
  <c r="C20" i="48"/>
  <c r="D20" i="48"/>
  <c r="C21" i="48"/>
  <c r="D21" i="48"/>
  <c r="C22" i="48"/>
  <c r="D22" i="48"/>
  <c r="C23" i="48"/>
  <c r="D23" i="48"/>
  <c r="C24" i="48"/>
  <c r="D24" i="48"/>
  <c r="D29" i="48"/>
  <c r="E29" i="48"/>
  <c r="D30" i="48"/>
  <c r="E30" i="48"/>
  <c r="D31" i="48"/>
  <c r="E31" i="48"/>
  <c r="D32" i="48"/>
  <c r="E32" i="48"/>
  <c r="D33" i="48"/>
  <c r="E33" i="48"/>
  <c r="D34" i="48"/>
  <c r="E34" i="48"/>
  <c r="D35" i="48"/>
  <c r="E35" i="48"/>
  <c r="D36" i="48"/>
  <c r="E36" i="48"/>
  <c r="D37" i="48"/>
  <c r="E37" i="48"/>
  <c r="D38" i="48"/>
  <c r="E38" i="48"/>
  <c r="D39" i="48"/>
  <c r="E39" i="48"/>
  <c r="D40" i="48"/>
  <c r="E40" i="48"/>
  <c r="D41" i="48"/>
  <c r="E41" i="48"/>
  <c r="D42" i="48"/>
  <c r="E42" i="48"/>
  <c r="D43" i="48"/>
  <c r="E43" i="48"/>
  <c r="D44" i="48"/>
  <c r="E44" i="48"/>
  <c r="D45" i="48"/>
  <c r="E45" i="48"/>
  <c r="D46" i="48"/>
  <c r="E46" i="48"/>
  <c r="D47" i="48"/>
  <c r="E47" i="48"/>
  <c r="D48" i="48"/>
  <c r="E48" i="48"/>
  <c r="D49" i="48"/>
  <c r="E49" i="48"/>
  <c r="D50" i="48"/>
  <c r="E50" i="48"/>
  <c r="B54" i="48"/>
  <c r="B55" i="48"/>
  <c r="B56" i="48"/>
  <c r="B57" i="48"/>
  <c r="B58" i="48"/>
  <c r="C59" i="48"/>
  <c r="D59" i="48"/>
  <c r="E59" i="48"/>
  <c r="F59" i="48"/>
  <c r="G59" i="48"/>
  <c r="H59" i="48"/>
  <c r="B63" i="48"/>
  <c r="B64" i="48"/>
  <c r="B65" i="48"/>
  <c r="B66" i="48"/>
  <c r="C67" i="48"/>
  <c r="D67" i="48"/>
  <c r="E67" i="48"/>
  <c r="F67" i="48"/>
  <c r="G67" i="48"/>
  <c r="H67" i="48"/>
  <c r="I67" i="48"/>
  <c r="J67" i="48"/>
  <c r="K67" i="48"/>
  <c r="L67" i="48"/>
  <c r="M67" i="48"/>
  <c r="N67" i="48"/>
  <c r="O67" i="48"/>
  <c r="P67" i="48"/>
  <c r="Q67" i="48"/>
  <c r="R67" i="48"/>
  <c r="S67" i="48"/>
  <c r="T67" i="48"/>
  <c r="U67" i="48"/>
  <c r="V67" i="48"/>
  <c r="W67" i="48"/>
  <c r="X67" i="48"/>
  <c r="Y67" i="48"/>
  <c r="Z67" i="48"/>
  <c r="B71" i="48"/>
  <c r="CD71" i="48" s="1"/>
  <c r="B72" i="48"/>
  <c r="B73" i="48"/>
  <c r="B74" i="48"/>
  <c r="C75" i="48"/>
  <c r="D75" i="48"/>
  <c r="E75" i="48"/>
  <c r="F75" i="48"/>
  <c r="G75" i="48"/>
  <c r="H75" i="48"/>
  <c r="I75" i="48"/>
  <c r="J75" i="48"/>
  <c r="K75" i="48"/>
  <c r="L75" i="48"/>
  <c r="M75" i="48"/>
  <c r="N75" i="48"/>
  <c r="O75" i="48"/>
  <c r="P75" i="48"/>
  <c r="Q75" i="48"/>
  <c r="R75" i="48"/>
  <c r="S75" i="48"/>
  <c r="T75" i="48"/>
  <c r="U75" i="48"/>
  <c r="V75" i="48"/>
  <c r="W75" i="48"/>
  <c r="X75" i="48"/>
  <c r="Y75" i="48"/>
  <c r="Z75" i="48"/>
  <c r="B95" i="48"/>
  <c r="C95" i="48"/>
  <c r="D95" i="48"/>
  <c r="E95" i="48"/>
  <c r="B103" i="48"/>
  <c r="C103" i="48"/>
  <c r="D103" i="48"/>
  <c r="E103" i="48"/>
  <c r="B111" i="48"/>
  <c r="C111" i="48"/>
  <c r="D111" i="48"/>
  <c r="E111" i="48"/>
  <c r="B115" i="48"/>
  <c r="B116" i="48"/>
  <c r="B121" i="48"/>
  <c r="B122" i="48"/>
  <c r="C147" i="48"/>
  <c r="D147" i="48"/>
  <c r="C148" i="48"/>
  <c r="D148" i="48"/>
  <c r="C149" i="48"/>
  <c r="D149" i="48"/>
  <c r="C150" i="48"/>
  <c r="D150" i="48"/>
  <c r="C151" i="48"/>
  <c r="D151" i="48"/>
  <c r="C152" i="48"/>
  <c r="D152" i="48"/>
  <c r="C153" i="48"/>
  <c r="D153" i="48"/>
  <c r="C154" i="48"/>
  <c r="D154" i="48"/>
  <c r="C155" i="48"/>
  <c r="D155" i="48"/>
  <c r="C156" i="48"/>
  <c r="D156" i="48"/>
  <c r="C157" i="48"/>
  <c r="D157" i="48"/>
  <c r="C158" i="48"/>
  <c r="D158" i="48"/>
  <c r="C159" i="48"/>
  <c r="D159" i="48"/>
  <c r="C160" i="48"/>
  <c r="D160" i="48"/>
  <c r="C161" i="48"/>
  <c r="D161" i="48"/>
  <c r="C162" i="48"/>
  <c r="D162" i="48"/>
  <c r="C163" i="48"/>
  <c r="D163" i="48"/>
  <c r="C164" i="48"/>
  <c r="D164" i="48"/>
  <c r="C165" i="48"/>
  <c r="D165" i="48"/>
  <c r="C166" i="48"/>
  <c r="D166" i="48"/>
  <c r="C167" i="48"/>
  <c r="D167" i="48"/>
  <c r="C168" i="48"/>
  <c r="D168" i="48"/>
  <c r="C169" i="48"/>
  <c r="D169" i="48"/>
  <c r="C170" i="48"/>
  <c r="D170" i="48"/>
  <c r="C171" i="48"/>
  <c r="D171" i="48"/>
  <c r="C172" i="48"/>
  <c r="D172" i="48"/>
  <c r="C173" i="48"/>
  <c r="D173" i="48"/>
  <c r="C174" i="48"/>
  <c r="D174" i="48"/>
  <c r="C175" i="48"/>
  <c r="D175" i="48"/>
  <c r="E176" i="48"/>
  <c r="F176" i="48"/>
  <c r="G176" i="48"/>
  <c r="H176" i="48"/>
  <c r="I176" i="48"/>
  <c r="J176" i="48"/>
  <c r="K176" i="48"/>
  <c r="L176" i="48"/>
  <c r="M176" i="48"/>
  <c r="N176" i="48"/>
  <c r="O176" i="48"/>
  <c r="P176" i="48"/>
  <c r="Q176" i="48"/>
  <c r="R176" i="48"/>
  <c r="S176" i="48"/>
  <c r="T176" i="48"/>
  <c r="U176" i="48"/>
  <c r="V176" i="48"/>
  <c r="W176" i="48"/>
  <c r="X176" i="48"/>
  <c r="Y176" i="48"/>
  <c r="Z176" i="48"/>
  <c r="AA176" i="48"/>
  <c r="AB176" i="48"/>
  <c r="AC176" i="48"/>
  <c r="AD176" i="48"/>
  <c r="AE176" i="48"/>
  <c r="AF176" i="48"/>
  <c r="AG176" i="48"/>
  <c r="AH176" i="48"/>
  <c r="AI176" i="48"/>
  <c r="AJ176" i="48"/>
  <c r="AK176" i="48"/>
  <c r="AL176" i="48"/>
  <c r="AM176" i="48"/>
  <c r="AN176" i="48"/>
  <c r="AO176" i="48"/>
  <c r="C177" i="48"/>
  <c r="D177" i="48"/>
  <c r="C178" i="48"/>
  <c r="D178" i="48"/>
  <c r="C179" i="48"/>
  <c r="D179" i="48"/>
  <c r="C180" i="48"/>
  <c r="D180" i="48"/>
  <c r="C181" i="48"/>
  <c r="D181" i="48"/>
  <c r="B186" i="48"/>
  <c r="B187" i="48"/>
  <c r="B188" i="48"/>
  <c r="B189" i="48"/>
  <c r="B190" i="48"/>
  <c r="B191" i="48"/>
  <c r="B192" i="48"/>
  <c r="C193" i="48"/>
  <c r="D193" i="48"/>
  <c r="E193" i="48"/>
  <c r="F193" i="48"/>
  <c r="G193" i="48"/>
  <c r="H193" i="48"/>
  <c r="I193" i="48"/>
  <c r="J193" i="48"/>
  <c r="K193" i="48"/>
  <c r="L193" i="48"/>
  <c r="M193" i="48"/>
  <c r="N193" i="48"/>
  <c r="O193" i="48"/>
  <c r="P193" i="48"/>
  <c r="Q193" i="48"/>
  <c r="R193" i="48"/>
  <c r="S193" i="48"/>
  <c r="T193" i="48"/>
  <c r="U193" i="48"/>
  <c r="V193" i="48"/>
  <c r="W193" i="48"/>
  <c r="X193" i="48"/>
  <c r="B198" i="48"/>
  <c r="B199" i="48"/>
  <c r="B200" i="48"/>
  <c r="B201" i="48"/>
  <c r="B202" i="48"/>
  <c r="B203" i="48"/>
  <c r="C204" i="48"/>
  <c r="D204" i="48"/>
  <c r="E204" i="48"/>
  <c r="F204" i="48"/>
  <c r="G204" i="48"/>
  <c r="H204" i="48"/>
  <c r="I204" i="48"/>
  <c r="J204" i="48"/>
  <c r="K204" i="48"/>
  <c r="L204" i="48"/>
  <c r="M204" i="48"/>
  <c r="N204" i="48"/>
  <c r="O204" i="48"/>
  <c r="P204" i="48"/>
  <c r="Q204" i="48"/>
  <c r="R204" i="48"/>
  <c r="S204" i="48"/>
  <c r="T204" i="48"/>
  <c r="U204" i="48"/>
  <c r="V204" i="48"/>
  <c r="W204" i="48"/>
  <c r="X204" i="48"/>
  <c r="B209" i="48"/>
  <c r="B210" i="48"/>
  <c r="B211" i="48"/>
  <c r="B212" i="48"/>
  <c r="C213" i="48"/>
  <c r="D213" i="48"/>
  <c r="E213" i="48"/>
  <c r="F213" i="48"/>
  <c r="G213" i="48"/>
  <c r="H213" i="48"/>
  <c r="I213" i="48"/>
  <c r="J213" i="48"/>
  <c r="K213" i="48"/>
  <c r="L213" i="48"/>
  <c r="M213" i="48"/>
  <c r="N213" i="48"/>
  <c r="O213" i="48"/>
  <c r="P213" i="48"/>
  <c r="Q213" i="48"/>
  <c r="R213" i="48"/>
  <c r="S213" i="48"/>
  <c r="T213" i="48"/>
  <c r="U213" i="48"/>
  <c r="V213" i="48"/>
  <c r="W213" i="48"/>
  <c r="X213" i="48"/>
  <c r="B247" i="48"/>
  <c r="B252" i="48"/>
  <c r="B253" i="48"/>
  <c r="B254" i="48"/>
  <c r="B258" i="48"/>
  <c r="B259" i="48"/>
  <c r="B260" i="48"/>
  <c r="B261" i="48"/>
  <c r="B262" i="48"/>
  <c r="B263" i="48"/>
  <c r="B264" i="48"/>
  <c r="B265" i="48"/>
  <c r="B266" i="48"/>
  <c r="B267" i="48"/>
  <c r="B268" i="48"/>
  <c r="B269" i="48"/>
  <c r="B270" i="48"/>
  <c r="B271" i="48"/>
  <c r="B272" i="48"/>
  <c r="B273" i="48"/>
  <c r="B274" i="48"/>
  <c r="B275" i="48"/>
  <c r="B276" i="48"/>
  <c r="B277" i="48"/>
  <c r="B278" i="48"/>
  <c r="B279" i="48"/>
  <c r="B280" i="48"/>
  <c r="B281" i="48"/>
  <c r="B282" i="48"/>
  <c r="B283" i="48"/>
  <c r="B284" i="48"/>
  <c r="B288" i="48"/>
  <c r="B289" i="48"/>
  <c r="B290" i="48"/>
  <c r="B291" i="48"/>
  <c r="B292" i="48"/>
  <c r="B293" i="48"/>
  <c r="B294" i="48"/>
  <c r="B295" i="48"/>
  <c r="B296" i="48"/>
  <c r="B297" i="48"/>
  <c r="B298" i="48"/>
  <c r="B299" i="48"/>
  <c r="B300" i="48"/>
  <c r="B301" i="48"/>
  <c r="B302" i="48"/>
  <c r="B303" i="48"/>
  <c r="B304" i="48"/>
  <c r="B305" i="48"/>
  <c r="B306" i="48"/>
  <c r="B307" i="48"/>
  <c r="B308" i="48"/>
  <c r="D298" i="47"/>
  <c r="C298" i="47"/>
  <c r="D297" i="47"/>
  <c r="C297" i="47"/>
  <c r="D296" i="47"/>
  <c r="C296" i="47"/>
  <c r="D291" i="47"/>
  <c r="C291" i="47"/>
  <c r="D290" i="47"/>
  <c r="C290" i="47"/>
  <c r="D285" i="47"/>
  <c r="C285" i="47"/>
  <c r="D284" i="47"/>
  <c r="C284" i="47"/>
  <c r="D283" i="47"/>
  <c r="C283" i="47"/>
  <c r="D282" i="47"/>
  <c r="C282" i="47"/>
  <c r="D281" i="47"/>
  <c r="C281" i="47"/>
  <c r="D280" i="47"/>
  <c r="C280" i="47"/>
  <c r="B275" i="47"/>
  <c r="B274" i="47"/>
  <c r="B273" i="47"/>
  <c r="B272" i="47"/>
  <c r="B271" i="47"/>
  <c r="B267" i="47"/>
  <c r="CB267" i="47" s="1"/>
  <c r="B266" i="47"/>
  <c r="CB266" i="47" s="1"/>
  <c r="B265" i="47"/>
  <c r="CB265" i="47" s="1"/>
  <c r="B264" i="47"/>
  <c r="CB264" i="47" s="1"/>
  <c r="B263" i="47"/>
  <c r="CB263" i="47" s="1"/>
  <c r="D259" i="47"/>
  <c r="C259" i="47"/>
  <c r="CK259" i="47" s="1"/>
  <c r="D258" i="47"/>
  <c r="C258" i="47"/>
  <c r="CK258" i="47" s="1"/>
  <c r="D257" i="47"/>
  <c r="C257" i="47"/>
  <c r="CK257" i="47" s="1"/>
  <c r="D256" i="47"/>
  <c r="C256" i="47"/>
  <c r="CK256" i="47" s="1"/>
  <c r="D255" i="47"/>
  <c r="C255" i="47"/>
  <c r="CK255" i="47" s="1"/>
  <c r="D254" i="47"/>
  <c r="C254" i="47"/>
  <c r="CK254" i="47" s="1"/>
  <c r="D253" i="47"/>
  <c r="C253" i="47"/>
  <c r="CK253" i="47" s="1"/>
  <c r="D252" i="47"/>
  <c r="C252" i="47"/>
  <c r="CK252" i="47" s="1"/>
  <c r="D251" i="47"/>
  <c r="C251" i="47"/>
  <c r="CK251" i="47" s="1"/>
  <c r="D250" i="47"/>
  <c r="C250" i="47"/>
  <c r="CK250" i="47" s="1"/>
  <c r="D249" i="47"/>
  <c r="C249" i="47"/>
  <c r="CK249" i="47" s="1"/>
  <c r="D248" i="47"/>
  <c r="C248" i="47"/>
  <c r="CK248" i="47" s="1"/>
  <c r="D247" i="47"/>
  <c r="C247" i="47"/>
  <c r="CK247" i="47" s="1"/>
  <c r="D246" i="47"/>
  <c r="C246" i="47"/>
  <c r="CK246" i="47" s="1"/>
  <c r="D245" i="47"/>
  <c r="C245" i="47"/>
  <c r="CK245" i="47" s="1"/>
  <c r="D244" i="47"/>
  <c r="C244" i="47"/>
  <c r="CK244" i="47" s="1"/>
  <c r="D243" i="47"/>
  <c r="C243" i="47"/>
  <c r="CK243" i="47" s="1"/>
  <c r="D242" i="47"/>
  <c r="C242" i="47"/>
  <c r="CK242" i="47" s="1"/>
  <c r="D241" i="47"/>
  <c r="C241" i="47"/>
  <c r="CK241" i="47" s="1"/>
  <c r="D240" i="47"/>
  <c r="C240" i="47"/>
  <c r="CK240" i="47" s="1"/>
  <c r="D239" i="47"/>
  <c r="C239" i="47"/>
  <c r="CK239" i="47" s="1"/>
  <c r="D238" i="47"/>
  <c r="C238" i="47"/>
  <c r="CK238" i="47" s="1"/>
  <c r="D237" i="47"/>
  <c r="C237" i="47"/>
  <c r="CK237" i="47" s="1"/>
  <c r="C232" i="47"/>
  <c r="B232" i="47"/>
  <c r="C231" i="47"/>
  <c r="B231" i="47"/>
  <c r="C230" i="47"/>
  <c r="B230" i="47"/>
  <c r="C229" i="47"/>
  <c r="B229" i="47"/>
  <c r="C228" i="47"/>
  <c r="B228" i="47"/>
  <c r="C227" i="47"/>
  <c r="B227" i="47"/>
  <c r="C226" i="47"/>
  <c r="B226" i="47"/>
  <c r="DJ221" i="47"/>
  <c r="CF221" i="47" s="1"/>
  <c r="C221" i="47"/>
  <c r="B221" i="47"/>
  <c r="DJ220" i="47"/>
  <c r="CF220" i="47" s="1"/>
  <c r="C220" i="47"/>
  <c r="B220" i="47"/>
  <c r="DJ219" i="47"/>
  <c r="CF219" i="47" s="1"/>
  <c r="C219" i="47"/>
  <c r="B219" i="47"/>
  <c r="DJ218" i="47"/>
  <c r="CF218" i="47" s="1"/>
  <c r="C218" i="47"/>
  <c r="B218" i="47"/>
  <c r="DJ217" i="47"/>
  <c r="CF217" i="47" s="1"/>
  <c r="C217" i="47"/>
  <c r="B217" i="47"/>
  <c r="DJ216" i="47"/>
  <c r="CF216" i="47" s="1"/>
  <c r="C216" i="47"/>
  <c r="B216" i="47"/>
  <c r="DJ215" i="47"/>
  <c r="CF215" i="47" s="1"/>
  <c r="C215" i="47"/>
  <c r="B215" i="47"/>
  <c r="D210" i="47"/>
  <c r="C210" i="47"/>
  <c r="D209" i="47"/>
  <c r="C209" i="47"/>
  <c r="D208" i="47"/>
  <c r="C208" i="47"/>
  <c r="D207" i="47"/>
  <c r="C207" i="47"/>
  <c r="D206" i="47"/>
  <c r="C206" i="47"/>
  <c r="D205" i="47"/>
  <c r="C205" i="47"/>
  <c r="D204" i="47"/>
  <c r="C204" i="47"/>
  <c r="D203" i="47"/>
  <c r="C203" i="47"/>
  <c r="D202" i="47"/>
  <c r="C202" i="47"/>
  <c r="D201" i="47"/>
  <c r="C201" i="47"/>
  <c r="D200" i="47"/>
  <c r="C200" i="47"/>
  <c r="D199" i="47"/>
  <c r="C199" i="47"/>
  <c r="D198" i="47"/>
  <c r="C198" i="47"/>
  <c r="D197" i="47"/>
  <c r="C197" i="47"/>
  <c r="D196" i="47"/>
  <c r="C196" i="47"/>
  <c r="D195" i="47"/>
  <c r="C195" i="47"/>
  <c r="D194" i="47"/>
  <c r="C194" i="47"/>
  <c r="D193" i="47"/>
  <c r="C193" i="47"/>
  <c r="D192" i="47"/>
  <c r="C192" i="47"/>
  <c r="D191" i="47"/>
  <c r="C191" i="47"/>
  <c r="D190" i="47"/>
  <c r="C190" i="47"/>
  <c r="D189" i="47"/>
  <c r="C189" i="47"/>
  <c r="D188" i="47"/>
  <c r="C188" i="47"/>
  <c r="DG183" i="47"/>
  <c r="DF183" i="47"/>
  <c r="CC183" i="47"/>
  <c r="CB183" i="47"/>
  <c r="D183" i="47"/>
  <c r="C183" i="47"/>
  <c r="DG182" i="47"/>
  <c r="DF182" i="47"/>
  <c r="CC182" i="47"/>
  <c r="CB182" i="47"/>
  <c r="D182" i="47"/>
  <c r="C182" i="47"/>
  <c r="DG181" i="47"/>
  <c r="DF181" i="47"/>
  <c r="CC181" i="47"/>
  <c r="CB181" i="47"/>
  <c r="D181" i="47"/>
  <c r="C181" i="47"/>
  <c r="DG180" i="47"/>
  <c r="DF180" i="47"/>
  <c r="CC180" i="47"/>
  <c r="CB180" i="47"/>
  <c r="D180" i="47"/>
  <c r="C180" i="47"/>
  <c r="DG179" i="47"/>
  <c r="DF179" i="47"/>
  <c r="CC179" i="47"/>
  <c r="CB179" i="47"/>
  <c r="D179" i="47"/>
  <c r="C179" i="47"/>
  <c r="DG178" i="47"/>
  <c r="DF178" i="47"/>
  <c r="CC178" i="47"/>
  <c r="CB178" i="47"/>
  <c r="D178" i="47"/>
  <c r="C178" i="47"/>
  <c r="DG177" i="47"/>
  <c r="DF177" i="47"/>
  <c r="CC177" i="47"/>
  <c r="CB177" i="47"/>
  <c r="D177" i="47"/>
  <c r="C177" i="47"/>
  <c r="DG176" i="47"/>
  <c r="DF176" i="47"/>
  <c r="CC176" i="47"/>
  <c r="CB176" i="47"/>
  <c r="D176" i="47"/>
  <c r="C176" i="47"/>
  <c r="DG175" i="47"/>
  <c r="DF175" i="47"/>
  <c r="CC175" i="47"/>
  <c r="CB175" i="47"/>
  <c r="D175" i="47"/>
  <c r="C175" i="47"/>
  <c r="DG174" i="47"/>
  <c r="DF174" i="47"/>
  <c r="CC174" i="47"/>
  <c r="CB174" i="47"/>
  <c r="D174" i="47"/>
  <c r="C174" i="47"/>
  <c r="DG173" i="47"/>
  <c r="DF173" i="47"/>
  <c r="CC173" i="47"/>
  <c r="CB173" i="47"/>
  <c r="D173" i="47"/>
  <c r="C173" i="47"/>
  <c r="DG172" i="47"/>
  <c r="DF172" i="47"/>
  <c r="CC172" i="47"/>
  <c r="CB172" i="47"/>
  <c r="D172" i="47"/>
  <c r="C172" i="47"/>
  <c r="DG171" i="47"/>
  <c r="DF171" i="47"/>
  <c r="CC171" i="47"/>
  <c r="CB171" i="47"/>
  <c r="D171" i="47"/>
  <c r="C171" i="47"/>
  <c r="DG170" i="47"/>
  <c r="DF170" i="47"/>
  <c r="CC170" i="47"/>
  <c r="CB170" i="47"/>
  <c r="D170" i="47"/>
  <c r="C170" i="47"/>
  <c r="DG169" i="47"/>
  <c r="DF169" i="47"/>
  <c r="CC169" i="47"/>
  <c r="CB169" i="47"/>
  <c r="D169" i="47"/>
  <c r="C169" i="47"/>
  <c r="DG168" i="47"/>
  <c r="DF168" i="47"/>
  <c r="CC168" i="47"/>
  <c r="CB168" i="47"/>
  <c r="D168" i="47"/>
  <c r="C168" i="47"/>
  <c r="DG167" i="47"/>
  <c r="DF167" i="47"/>
  <c r="CC167" i="47"/>
  <c r="CB167" i="47"/>
  <c r="D167" i="47"/>
  <c r="C167" i="47"/>
  <c r="DG166" i="47"/>
  <c r="DF166" i="47"/>
  <c r="CC166" i="47"/>
  <c r="CB166" i="47"/>
  <c r="D166" i="47"/>
  <c r="C166" i="47"/>
  <c r="DG165" i="47"/>
  <c r="DF165" i="47"/>
  <c r="CC165" i="47"/>
  <c r="CB165" i="47"/>
  <c r="D165" i="47"/>
  <c r="C165" i="47"/>
  <c r="DG164" i="47"/>
  <c r="DF164" i="47"/>
  <c r="CC164" i="47"/>
  <c r="CB164" i="47"/>
  <c r="D164" i="47"/>
  <c r="C164" i="47"/>
  <c r="DG163" i="47"/>
  <c r="CC163" i="47"/>
  <c r="D163" i="47"/>
  <c r="C163" i="47"/>
  <c r="DG162" i="47"/>
  <c r="CC162" i="47"/>
  <c r="D162" i="47"/>
  <c r="C162" i="47"/>
  <c r="DG161" i="47"/>
  <c r="D161" i="47"/>
  <c r="C161" i="47"/>
  <c r="DM156" i="47"/>
  <c r="DL156" i="47"/>
  <c r="DK156" i="47"/>
  <c r="DJ156" i="47"/>
  <c r="DI156" i="47"/>
  <c r="DH156" i="47"/>
  <c r="DG156" i="47"/>
  <c r="DE156" i="47"/>
  <c r="CI156" i="47"/>
  <c r="CH156" i="47"/>
  <c r="CG156" i="47"/>
  <c r="CF156" i="47"/>
  <c r="CE156" i="47"/>
  <c r="CD156" i="47"/>
  <c r="CC156" i="47"/>
  <c r="CB156" i="47"/>
  <c r="CA156" i="47"/>
  <c r="DM155" i="47"/>
  <c r="DL155" i="47"/>
  <c r="DK155" i="47"/>
  <c r="DJ155" i="47"/>
  <c r="DI155" i="47"/>
  <c r="DH155" i="47"/>
  <c r="DG155" i="47"/>
  <c r="DE155" i="47"/>
  <c r="CI155" i="47"/>
  <c r="CH155" i="47"/>
  <c r="CG155" i="47"/>
  <c r="CF155" i="47"/>
  <c r="CE155" i="47"/>
  <c r="CD155" i="47"/>
  <c r="CC155" i="47"/>
  <c r="CB155" i="47"/>
  <c r="CA155" i="47"/>
  <c r="DM154" i="47"/>
  <c r="DL154" i="47"/>
  <c r="DK154" i="47"/>
  <c r="DJ154" i="47"/>
  <c r="DI154" i="47"/>
  <c r="DH154" i="47"/>
  <c r="DG154" i="47"/>
  <c r="DE154" i="47"/>
  <c r="CI154" i="47"/>
  <c r="CH154" i="47"/>
  <c r="CG154" i="47"/>
  <c r="CF154" i="47"/>
  <c r="CE154" i="47"/>
  <c r="CD154" i="47"/>
  <c r="CC154" i="47"/>
  <c r="CB154" i="47"/>
  <c r="CA154" i="47"/>
  <c r="DM153" i="47"/>
  <c r="DL153" i="47"/>
  <c r="DK153" i="47"/>
  <c r="DJ153" i="47"/>
  <c r="DI153" i="47"/>
  <c r="DH153" i="47"/>
  <c r="DG153" i="47"/>
  <c r="DE153" i="47"/>
  <c r="CI153" i="47"/>
  <c r="CH153" i="47"/>
  <c r="CG153" i="47"/>
  <c r="CF153" i="47"/>
  <c r="CE153" i="47"/>
  <c r="CD153" i="47"/>
  <c r="CC153" i="47"/>
  <c r="CB153" i="47"/>
  <c r="CA153" i="47"/>
  <c r="DM152" i="47"/>
  <c r="DL152" i="47"/>
  <c r="DK152" i="47"/>
  <c r="DJ152" i="47"/>
  <c r="DI152" i="47"/>
  <c r="DH152" i="47"/>
  <c r="DG152" i="47"/>
  <c r="DE152" i="47"/>
  <c r="CI152" i="47"/>
  <c r="CH152" i="47"/>
  <c r="CG152" i="47"/>
  <c r="CF152" i="47"/>
  <c r="CE152" i="47"/>
  <c r="CD152" i="47"/>
  <c r="CC152" i="47"/>
  <c r="CB152" i="47"/>
  <c r="CA152" i="47"/>
  <c r="DM148" i="47"/>
  <c r="DL148" i="47"/>
  <c r="DK148" i="47"/>
  <c r="DJ148" i="47"/>
  <c r="DI148" i="47"/>
  <c r="DH148" i="47"/>
  <c r="DG148" i="47"/>
  <c r="DE148" i="47"/>
  <c r="CI148" i="47"/>
  <c r="CH148" i="47"/>
  <c r="CG148" i="47"/>
  <c r="CF148" i="47"/>
  <c r="CE148" i="47"/>
  <c r="CD148" i="47"/>
  <c r="CC148" i="47"/>
  <c r="CB148" i="47"/>
  <c r="CA148" i="47"/>
  <c r="DM147" i="47"/>
  <c r="DL147" i="47"/>
  <c r="DK147" i="47"/>
  <c r="DJ147" i="47"/>
  <c r="DI147" i="47"/>
  <c r="DH147" i="47"/>
  <c r="DG147" i="47"/>
  <c r="DE147" i="47"/>
  <c r="CI147" i="47"/>
  <c r="CH147" i="47"/>
  <c r="CG147" i="47"/>
  <c r="CF147" i="47"/>
  <c r="CE147" i="47"/>
  <c r="CD147" i="47"/>
  <c r="CC147" i="47"/>
  <c r="CB147" i="47"/>
  <c r="CA147" i="47"/>
  <c r="DM146" i="47"/>
  <c r="DL146" i="47"/>
  <c r="DK146" i="47"/>
  <c r="DJ146" i="47"/>
  <c r="DI146" i="47"/>
  <c r="DH146" i="47"/>
  <c r="DG146" i="47"/>
  <c r="DE146" i="47"/>
  <c r="CI146" i="47"/>
  <c r="CH146" i="47"/>
  <c r="CG146" i="47"/>
  <c r="CF146" i="47"/>
  <c r="CE146" i="47"/>
  <c r="CD146" i="47"/>
  <c r="CC146" i="47"/>
  <c r="CB146" i="47"/>
  <c r="CA146" i="47"/>
  <c r="DM145" i="47"/>
  <c r="DL145" i="47"/>
  <c r="DK145" i="47"/>
  <c r="DJ145" i="47"/>
  <c r="DI145" i="47"/>
  <c r="DH145" i="47"/>
  <c r="DG145" i="47"/>
  <c r="DE145" i="47"/>
  <c r="CI145" i="47"/>
  <c r="CH145" i="47"/>
  <c r="CG145" i="47"/>
  <c r="CF145" i="47"/>
  <c r="CE145" i="47"/>
  <c r="CD145" i="47"/>
  <c r="CC145" i="47"/>
  <c r="CB145" i="47"/>
  <c r="CA145" i="47"/>
  <c r="DM144" i="47"/>
  <c r="DL144" i="47"/>
  <c r="DK144" i="47"/>
  <c r="DJ144" i="47"/>
  <c r="DI144" i="47"/>
  <c r="DH144" i="47"/>
  <c r="DG144" i="47"/>
  <c r="DE144" i="47"/>
  <c r="CI144" i="47"/>
  <c r="CH144" i="47"/>
  <c r="CG144" i="47"/>
  <c r="CF144" i="47"/>
  <c r="CE144" i="47"/>
  <c r="CD144" i="47"/>
  <c r="CC144" i="47"/>
  <c r="CB144" i="47"/>
  <c r="CA144" i="47"/>
  <c r="EB140" i="47"/>
  <c r="EA140" i="47"/>
  <c r="DZ140" i="47"/>
  <c r="DY140" i="47"/>
  <c r="DX140" i="47"/>
  <c r="DW140" i="47"/>
  <c r="DV140" i="47"/>
  <c r="DU140" i="47"/>
  <c r="DT140" i="47"/>
  <c r="DS140" i="47"/>
  <c r="DR140" i="47"/>
  <c r="DQ140" i="47"/>
  <c r="DP140" i="47"/>
  <c r="DO140" i="47"/>
  <c r="DN140" i="47"/>
  <c r="DL140" i="47"/>
  <c r="DK140" i="47"/>
  <c r="DJ140" i="47"/>
  <c r="CX140" i="47"/>
  <c r="CW140" i="47"/>
  <c r="CV140" i="47"/>
  <c r="CU140" i="47"/>
  <c r="CT140" i="47"/>
  <c r="CS140" i="47"/>
  <c r="CR140" i="47"/>
  <c r="CQ140" i="47"/>
  <c r="CP140" i="47"/>
  <c r="CO140" i="47"/>
  <c r="CN140" i="47"/>
  <c r="CM140" i="47"/>
  <c r="CL140" i="47"/>
  <c r="CK140" i="47"/>
  <c r="CJ140" i="47"/>
  <c r="CI140" i="47"/>
  <c r="CH140" i="47"/>
  <c r="CG140" i="47"/>
  <c r="CF140" i="47"/>
  <c r="C140" i="47"/>
  <c r="B140" i="47"/>
  <c r="EB139" i="47"/>
  <c r="EA139" i="47"/>
  <c r="DZ139" i="47"/>
  <c r="DY139" i="47"/>
  <c r="DX139" i="47"/>
  <c r="DW139" i="47"/>
  <c r="DV139" i="47"/>
  <c r="DU139" i="47"/>
  <c r="DT139" i="47"/>
  <c r="DS139" i="47"/>
  <c r="DR139" i="47"/>
  <c r="DQ139" i="47"/>
  <c r="DP139" i="47"/>
  <c r="DO139" i="47"/>
  <c r="DN139" i="47"/>
  <c r="DL139" i="47"/>
  <c r="DK139" i="47"/>
  <c r="DJ139" i="47"/>
  <c r="CX139" i="47"/>
  <c r="CW139" i="47"/>
  <c r="CV139" i="47"/>
  <c r="CU139" i="47"/>
  <c r="CT139" i="47"/>
  <c r="CS139" i="47"/>
  <c r="CR139" i="47"/>
  <c r="CQ139" i="47"/>
  <c r="CP139" i="47"/>
  <c r="CO139" i="47"/>
  <c r="CN139" i="47"/>
  <c r="CM139" i="47"/>
  <c r="CL139" i="47"/>
  <c r="CK139" i="47"/>
  <c r="CJ139" i="47"/>
  <c r="CI139" i="47"/>
  <c r="CH139" i="47"/>
  <c r="CG139" i="47"/>
  <c r="CF139" i="47"/>
  <c r="C139" i="47"/>
  <c r="B139" i="47"/>
  <c r="EB138" i="47"/>
  <c r="EA138" i="47"/>
  <c r="DZ138" i="47"/>
  <c r="DY138" i="47"/>
  <c r="DX138" i="47"/>
  <c r="DW138" i="47"/>
  <c r="DV138" i="47"/>
  <c r="DU138" i="47"/>
  <c r="DT138" i="47"/>
  <c r="DS138" i="47"/>
  <c r="DR138" i="47"/>
  <c r="DQ138" i="47"/>
  <c r="DP138" i="47"/>
  <c r="DO138" i="47"/>
  <c r="DN138" i="47"/>
  <c r="DL138" i="47"/>
  <c r="DK138" i="47"/>
  <c r="DJ138" i="47"/>
  <c r="CX138" i="47"/>
  <c r="CW138" i="47"/>
  <c r="CV138" i="47"/>
  <c r="CU138" i="47"/>
  <c r="CT138" i="47"/>
  <c r="CS138" i="47"/>
  <c r="CR138" i="47"/>
  <c r="CQ138" i="47"/>
  <c r="CP138" i="47"/>
  <c r="CO138" i="47"/>
  <c r="CN138" i="47"/>
  <c r="CM138" i="47"/>
  <c r="CL138" i="47"/>
  <c r="CK138" i="47"/>
  <c r="CJ138" i="47"/>
  <c r="CI138" i="47"/>
  <c r="CH138" i="47"/>
  <c r="CG138" i="47"/>
  <c r="CF138" i="47"/>
  <c r="C138" i="47"/>
  <c r="B138" i="47"/>
  <c r="DX137" i="47"/>
  <c r="DW137" i="47"/>
  <c r="DV137" i="47"/>
  <c r="DU137" i="47"/>
  <c r="DT137" i="47"/>
  <c r="DS137" i="47"/>
  <c r="DR137" i="47"/>
  <c r="DQ137" i="47"/>
  <c r="DP137" i="47"/>
  <c r="CT137" i="47"/>
  <c r="CS137" i="47"/>
  <c r="CR137" i="47"/>
  <c r="CQ137" i="47"/>
  <c r="CP137" i="47"/>
  <c r="CO137" i="47"/>
  <c r="CN137" i="47"/>
  <c r="CM137" i="47"/>
  <c r="CL137" i="47"/>
  <c r="C137" i="47"/>
  <c r="B137" i="47"/>
  <c r="EB136" i="47"/>
  <c r="EA136" i="47"/>
  <c r="DZ136" i="47"/>
  <c r="DY136" i="47"/>
  <c r="DX136" i="47"/>
  <c r="DW136" i="47"/>
  <c r="DV136" i="47"/>
  <c r="DU136" i="47"/>
  <c r="DT136" i="47"/>
  <c r="DS136" i="47"/>
  <c r="DR136" i="47"/>
  <c r="DQ136" i="47"/>
  <c r="DP136" i="47"/>
  <c r="CX136" i="47"/>
  <c r="CW136" i="47"/>
  <c r="CV136" i="47"/>
  <c r="CU136" i="47"/>
  <c r="CT136" i="47"/>
  <c r="CS136" i="47"/>
  <c r="CR136" i="47"/>
  <c r="CQ136" i="47"/>
  <c r="CP136" i="47"/>
  <c r="CO136" i="47"/>
  <c r="CN136" i="47"/>
  <c r="CM136" i="47"/>
  <c r="CL136" i="47"/>
  <c r="C136" i="47"/>
  <c r="B136" i="47"/>
  <c r="EB135" i="47"/>
  <c r="EA135" i="47"/>
  <c r="DZ135" i="47"/>
  <c r="DY135" i="47"/>
  <c r="DX135" i="47"/>
  <c r="DW135" i="47"/>
  <c r="DV135" i="47"/>
  <c r="DU135" i="47"/>
  <c r="DT135" i="47"/>
  <c r="DS135" i="47"/>
  <c r="DR135" i="47"/>
  <c r="DQ135" i="47"/>
  <c r="DP135" i="47"/>
  <c r="DO135" i="47"/>
  <c r="DN135" i="47"/>
  <c r="DL135" i="47"/>
  <c r="DK135" i="47"/>
  <c r="DJ135" i="47"/>
  <c r="CX135" i="47"/>
  <c r="CW135" i="47"/>
  <c r="CV135" i="47"/>
  <c r="CU135" i="47"/>
  <c r="CT135" i="47"/>
  <c r="CS135" i="47"/>
  <c r="CR135" i="47"/>
  <c r="CQ135" i="47"/>
  <c r="CP135" i="47"/>
  <c r="CO135" i="47"/>
  <c r="CN135" i="47"/>
  <c r="CM135" i="47"/>
  <c r="CL135" i="47"/>
  <c r="CK135" i="47"/>
  <c r="CJ135" i="47"/>
  <c r="CI135" i="47"/>
  <c r="CH135" i="47"/>
  <c r="CG135" i="47"/>
  <c r="CF135" i="47"/>
  <c r="C135" i="47"/>
  <c r="B135" i="47"/>
  <c r="EB134" i="47"/>
  <c r="EA134" i="47"/>
  <c r="DZ134" i="47"/>
  <c r="DY134" i="47"/>
  <c r="DX134" i="47"/>
  <c r="DW134" i="47"/>
  <c r="DV134" i="47"/>
  <c r="DU134" i="47"/>
  <c r="DT134" i="47"/>
  <c r="DS134" i="47"/>
  <c r="DR134" i="47"/>
  <c r="DQ134" i="47"/>
  <c r="DP134" i="47"/>
  <c r="DO134" i="47"/>
  <c r="CX134" i="47"/>
  <c r="CW134" i="47"/>
  <c r="CV134" i="47"/>
  <c r="CU134" i="47"/>
  <c r="CT134" i="47"/>
  <c r="CS134" i="47"/>
  <c r="CR134" i="47"/>
  <c r="CQ134" i="47"/>
  <c r="CP134" i="47"/>
  <c r="CO134" i="47"/>
  <c r="CN134" i="47"/>
  <c r="CM134" i="47"/>
  <c r="CL134" i="47"/>
  <c r="CK134" i="47"/>
  <c r="C134" i="47"/>
  <c r="B134" i="47"/>
  <c r="EB133" i="47"/>
  <c r="EA133" i="47"/>
  <c r="DZ133" i="47"/>
  <c r="DY133" i="47"/>
  <c r="DX133" i="47"/>
  <c r="DW133" i="47"/>
  <c r="DV133" i="47"/>
  <c r="DU133" i="47"/>
  <c r="DT133" i="47"/>
  <c r="DS133" i="47"/>
  <c r="DR133" i="47"/>
  <c r="DQ133" i="47"/>
  <c r="DP133" i="47"/>
  <c r="CX133" i="47"/>
  <c r="CW133" i="47"/>
  <c r="CV133" i="47"/>
  <c r="CU133" i="47"/>
  <c r="CT133" i="47"/>
  <c r="CS133" i="47"/>
  <c r="CR133" i="47"/>
  <c r="CQ133" i="47"/>
  <c r="CP133" i="47"/>
  <c r="CO133" i="47"/>
  <c r="CN133" i="47"/>
  <c r="CM133" i="47"/>
  <c r="CL133" i="47"/>
  <c r="C133" i="47"/>
  <c r="B133" i="47"/>
  <c r="DL132" i="47"/>
  <c r="DK132" i="47"/>
  <c r="DJ132" i="47"/>
  <c r="CH132" i="47"/>
  <c r="CG132" i="47"/>
  <c r="CF132" i="47"/>
  <c r="C132" i="47"/>
  <c r="B132" i="47"/>
  <c r="EB131" i="47"/>
  <c r="EA131" i="47"/>
  <c r="DZ131" i="47"/>
  <c r="DY131" i="47"/>
  <c r="DX131" i="47"/>
  <c r="DW131" i="47"/>
  <c r="DV131" i="47"/>
  <c r="DU131" i="47"/>
  <c r="DT131" i="47"/>
  <c r="DS131" i="47"/>
  <c r="DR131" i="47"/>
  <c r="DQ131" i="47"/>
  <c r="DP131" i="47"/>
  <c r="DO131" i="47"/>
  <c r="DN131" i="47"/>
  <c r="DL131" i="47"/>
  <c r="DK131" i="47"/>
  <c r="DJ131" i="47"/>
  <c r="CX131" i="47"/>
  <c r="CW131" i="47"/>
  <c r="CV131" i="47"/>
  <c r="CU131" i="47"/>
  <c r="CT131" i="47"/>
  <c r="CS131" i="47"/>
  <c r="CR131" i="47"/>
  <c r="CQ131" i="47"/>
  <c r="CP131" i="47"/>
  <c r="CO131" i="47"/>
  <c r="CN131" i="47"/>
  <c r="CM131" i="47"/>
  <c r="CL131" i="47"/>
  <c r="CK131" i="47"/>
  <c r="CJ131" i="47"/>
  <c r="CI131" i="47"/>
  <c r="CH131" i="47"/>
  <c r="CG131" i="47"/>
  <c r="CF131" i="47"/>
  <c r="C131" i="47"/>
  <c r="B131" i="47"/>
  <c r="EB130" i="47"/>
  <c r="EA130" i="47"/>
  <c r="DZ130" i="47"/>
  <c r="DY130" i="47"/>
  <c r="DX130" i="47"/>
  <c r="DW130" i="47"/>
  <c r="DV130" i="47"/>
  <c r="DU130" i="47"/>
  <c r="DT130" i="47"/>
  <c r="DS130" i="47"/>
  <c r="DR130" i="47"/>
  <c r="DQ130" i="47"/>
  <c r="DP130" i="47"/>
  <c r="DO130" i="47"/>
  <c r="CX130" i="47"/>
  <c r="CW130" i="47"/>
  <c r="CV130" i="47"/>
  <c r="CU130" i="47"/>
  <c r="CT130" i="47"/>
  <c r="CS130" i="47"/>
  <c r="CR130" i="47"/>
  <c r="CQ130" i="47"/>
  <c r="CP130" i="47"/>
  <c r="CO130" i="47"/>
  <c r="CN130" i="47"/>
  <c r="CM130" i="47"/>
  <c r="CL130" i="47"/>
  <c r="CK130" i="47"/>
  <c r="C130" i="47"/>
  <c r="B130" i="47"/>
  <c r="EB129" i="47"/>
  <c r="EA129" i="47"/>
  <c r="DZ129" i="47"/>
  <c r="DY129" i="47"/>
  <c r="DX129" i="47"/>
  <c r="DW129" i="47"/>
  <c r="DV129" i="47"/>
  <c r="DU129" i="47"/>
  <c r="DT129" i="47"/>
  <c r="DS129" i="47"/>
  <c r="DR129" i="47"/>
  <c r="DQ129" i="47"/>
  <c r="DP129" i="47"/>
  <c r="DO129" i="47"/>
  <c r="CX129" i="47"/>
  <c r="CW129" i="47"/>
  <c r="CV129" i="47"/>
  <c r="CU129" i="47"/>
  <c r="CT129" i="47"/>
  <c r="CS129" i="47"/>
  <c r="CR129" i="47"/>
  <c r="CQ129" i="47"/>
  <c r="CP129" i="47"/>
  <c r="CO129" i="47"/>
  <c r="CN129" i="47"/>
  <c r="CM129" i="47"/>
  <c r="CL129" i="47"/>
  <c r="CK129" i="47"/>
  <c r="C129" i="47"/>
  <c r="B129" i="47"/>
  <c r="EB128" i="47"/>
  <c r="EA128" i="47"/>
  <c r="DZ128" i="47"/>
  <c r="DY128" i="47"/>
  <c r="DX128" i="47"/>
  <c r="DW128" i="47"/>
  <c r="DV128" i="47"/>
  <c r="DU128" i="47"/>
  <c r="DT128" i="47"/>
  <c r="DS128" i="47"/>
  <c r="DR128" i="47"/>
  <c r="DQ128" i="47"/>
  <c r="DP128" i="47"/>
  <c r="DO128" i="47"/>
  <c r="CX128" i="47"/>
  <c r="CW128" i="47"/>
  <c r="CV128" i="47"/>
  <c r="CU128" i="47"/>
  <c r="CT128" i="47"/>
  <c r="CS128" i="47"/>
  <c r="CR128" i="47"/>
  <c r="CQ128" i="47"/>
  <c r="CP128" i="47"/>
  <c r="CO128" i="47"/>
  <c r="CN128" i="47"/>
  <c r="CM128" i="47"/>
  <c r="CL128" i="47"/>
  <c r="CK128" i="47"/>
  <c r="C128" i="47"/>
  <c r="B128" i="47"/>
  <c r="EB127" i="47"/>
  <c r="EA127" i="47"/>
  <c r="DZ127" i="47"/>
  <c r="DY127" i="47"/>
  <c r="DX127" i="47"/>
  <c r="DW127" i="47"/>
  <c r="DV127" i="47"/>
  <c r="DU127" i="47"/>
  <c r="DT127" i="47"/>
  <c r="DS127" i="47"/>
  <c r="DR127" i="47"/>
  <c r="DQ127" i="47"/>
  <c r="DP127" i="47"/>
  <c r="DO127" i="47"/>
  <c r="CX127" i="47"/>
  <c r="CW127" i="47"/>
  <c r="CV127" i="47"/>
  <c r="CU127" i="47"/>
  <c r="CT127" i="47"/>
  <c r="CS127" i="47"/>
  <c r="CR127" i="47"/>
  <c r="CQ127" i="47"/>
  <c r="CP127" i="47"/>
  <c r="CO127" i="47"/>
  <c r="CN127" i="47"/>
  <c r="CM127" i="47"/>
  <c r="CL127" i="47"/>
  <c r="CK127" i="47"/>
  <c r="C127" i="47"/>
  <c r="B127" i="47"/>
  <c r="EB126" i="47"/>
  <c r="EA126" i="47"/>
  <c r="DZ126" i="47"/>
  <c r="DY126" i="47"/>
  <c r="DX126" i="47"/>
  <c r="DW126" i="47"/>
  <c r="DV126" i="47"/>
  <c r="DU126" i="47"/>
  <c r="DT126" i="47"/>
  <c r="DS126" i="47"/>
  <c r="DR126" i="47"/>
  <c r="DQ126" i="47"/>
  <c r="DP126" i="47"/>
  <c r="DO126" i="47"/>
  <c r="CX126" i="47"/>
  <c r="CW126" i="47"/>
  <c r="CV126" i="47"/>
  <c r="CU126" i="47"/>
  <c r="CT126" i="47"/>
  <c r="CS126" i="47"/>
  <c r="CR126" i="47"/>
  <c r="CQ126" i="47"/>
  <c r="CP126" i="47"/>
  <c r="CO126" i="47"/>
  <c r="CN126" i="47"/>
  <c r="CM126" i="47"/>
  <c r="CL126" i="47"/>
  <c r="CK126" i="47"/>
  <c r="C126" i="47"/>
  <c r="B126" i="47"/>
  <c r="EB125" i="47"/>
  <c r="EA125" i="47"/>
  <c r="DZ125" i="47"/>
  <c r="DY125" i="47"/>
  <c r="DX125" i="47"/>
  <c r="DW125" i="47"/>
  <c r="DV125" i="47"/>
  <c r="DU125" i="47"/>
  <c r="DT125" i="47"/>
  <c r="DS125" i="47"/>
  <c r="DR125" i="47"/>
  <c r="DQ125" i="47"/>
  <c r="DP125" i="47"/>
  <c r="DO125" i="47"/>
  <c r="CX125" i="47"/>
  <c r="CW125" i="47"/>
  <c r="CV125" i="47"/>
  <c r="CU125" i="47"/>
  <c r="CT125" i="47"/>
  <c r="CS125" i="47"/>
  <c r="CR125" i="47"/>
  <c r="CQ125" i="47"/>
  <c r="CP125" i="47"/>
  <c r="CO125" i="47"/>
  <c r="CN125" i="47"/>
  <c r="CM125" i="47"/>
  <c r="CL125" i="47"/>
  <c r="CK125" i="47"/>
  <c r="C125" i="47"/>
  <c r="B125" i="47"/>
  <c r="EB124" i="47"/>
  <c r="EA124" i="47"/>
  <c r="DZ124" i="47"/>
  <c r="DY124" i="47"/>
  <c r="DX124" i="47"/>
  <c r="DW124" i="47"/>
  <c r="DV124" i="47"/>
  <c r="DU124" i="47"/>
  <c r="DT124" i="47"/>
  <c r="DS124" i="47"/>
  <c r="DR124" i="47"/>
  <c r="DQ124" i="47"/>
  <c r="DP124" i="47"/>
  <c r="DO124" i="47"/>
  <c r="CX124" i="47"/>
  <c r="CW124" i="47"/>
  <c r="CV124" i="47"/>
  <c r="CU124" i="47"/>
  <c r="CT124" i="47"/>
  <c r="CS124" i="47"/>
  <c r="CR124" i="47"/>
  <c r="CQ124" i="47"/>
  <c r="CP124" i="47"/>
  <c r="CO124" i="47"/>
  <c r="CN124" i="47"/>
  <c r="CM124" i="47"/>
  <c r="CL124" i="47"/>
  <c r="CK124" i="47"/>
  <c r="C124" i="47"/>
  <c r="B124" i="47"/>
  <c r="EB123" i="47"/>
  <c r="EA123" i="47"/>
  <c r="DZ123" i="47"/>
  <c r="DY123" i="47"/>
  <c r="DX123" i="47"/>
  <c r="DW123" i="47"/>
  <c r="DV123" i="47"/>
  <c r="DU123" i="47"/>
  <c r="DT123" i="47"/>
  <c r="DS123" i="47"/>
  <c r="DR123" i="47"/>
  <c r="DQ123" i="47"/>
  <c r="DP123" i="47"/>
  <c r="DO123" i="47"/>
  <c r="CX123" i="47"/>
  <c r="CW123" i="47"/>
  <c r="CV123" i="47"/>
  <c r="CU123" i="47"/>
  <c r="CT123" i="47"/>
  <c r="CS123" i="47"/>
  <c r="CR123" i="47"/>
  <c r="CQ123" i="47"/>
  <c r="CP123" i="47"/>
  <c r="CO123" i="47"/>
  <c r="CN123" i="47"/>
  <c r="CM123" i="47"/>
  <c r="CL123" i="47"/>
  <c r="CK123" i="47"/>
  <c r="C123" i="47"/>
  <c r="B123" i="47"/>
  <c r="EB118" i="47"/>
  <c r="EA118" i="47"/>
  <c r="DZ118" i="47"/>
  <c r="DY118" i="47"/>
  <c r="DX118" i="47"/>
  <c r="DW118" i="47"/>
  <c r="DV118" i="47"/>
  <c r="DU118" i="47"/>
  <c r="DT118" i="47"/>
  <c r="DS118" i="47"/>
  <c r="DR118" i="47"/>
  <c r="DQ118" i="47"/>
  <c r="DP118" i="47"/>
  <c r="DO118" i="47"/>
  <c r="DN118" i="47"/>
  <c r="DL118" i="47"/>
  <c r="DK118" i="47"/>
  <c r="DJ118" i="47"/>
  <c r="CX118" i="47"/>
  <c r="CW118" i="47"/>
  <c r="CV118" i="47"/>
  <c r="CU118" i="47"/>
  <c r="CT118" i="47"/>
  <c r="CS118" i="47"/>
  <c r="CR118" i="47"/>
  <c r="CQ118" i="47"/>
  <c r="CP118" i="47"/>
  <c r="CO118" i="47"/>
  <c r="CN118" i="47"/>
  <c r="CM118" i="47"/>
  <c r="CL118" i="47"/>
  <c r="CK118" i="47"/>
  <c r="CJ118" i="47"/>
  <c r="CI118" i="47"/>
  <c r="CH118" i="47"/>
  <c r="CG118" i="47"/>
  <c r="CF118" i="47"/>
  <c r="C118" i="47"/>
  <c r="B118" i="47"/>
  <c r="EB117" i="47"/>
  <c r="EA117" i="47"/>
  <c r="DZ117" i="47"/>
  <c r="DY117" i="47"/>
  <c r="DX117" i="47"/>
  <c r="DW117" i="47"/>
  <c r="DV117" i="47"/>
  <c r="DU117" i="47"/>
  <c r="DT117" i="47"/>
  <c r="DS117" i="47"/>
  <c r="DR117" i="47"/>
  <c r="DQ117" i="47"/>
  <c r="DP117" i="47"/>
  <c r="DO117" i="47"/>
  <c r="DN117" i="47"/>
  <c r="DL117" i="47"/>
  <c r="DK117" i="47"/>
  <c r="DJ117" i="47"/>
  <c r="CX117" i="47"/>
  <c r="CW117" i="47"/>
  <c r="CV117" i="47"/>
  <c r="CU117" i="47"/>
  <c r="CT117" i="47"/>
  <c r="CS117" i="47"/>
  <c r="CR117" i="47"/>
  <c r="CQ117" i="47"/>
  <c r="CP117" i="47"/>
  <c r="CO117" i="47"/>
  <c r="CN117" i="47"/>
  <c r="CM117" i="47"/>
  <c r="CL117" i="47"/>
  <c r="CK117" i="47"/>
  <c r="CJ117" i="47"/>
  <c r="CI117" i="47"/>
  <c r="CH117" i="47"/>
  <c r="CG117" i="47"/>
  <c r="CF117" i="47"/>
  <c r="C117" i="47"/>
  <c r="B117" i="47"/>
  <c r="EB116" i="47"/>
  <c r="EA116" i="47"/>
  <c r="DZ116" i="47"/>
  <c r="DY116" i="47"/>
  <c r="DX116" i="47"/>
  <c r="DW116" i="47"/>
  <c r="DV116" i="47"/>
  <c r="DU116" i="47"/>
  <c r="DT116" i="47"/>
  <c r="DS116" i="47"/>
  <c r="DR116" i="47"/>
  <c r="DQ116" i="47"/>
  <c r="DP116" i="47"/>
  <c r="DO116" i="47"/>
  <c r="DN116" i="47"/>
  <c r="DL116" i="47"/>
  <c r="DK116" i="47"/>
  <c r="DJ116" i="47"/>
  <c r="CX116" i="47"/>
  <c r="CW116" i="47"/>
  <c r="CV116" i="47"/>
  <c r="CU116" i="47"/>
  <c r="CT116" i="47"/>
  <c r="CS116" i="47"/>
  <c r="CR116" i="47"/>
  <c r="CQ116" i="47"/>
  <c r="CP116" i="47"/>
  <c r="CO116" i="47"/>
  <c r="CN116" i="47"/>
  <c r="CM116" i="47"/>
  <c r="CL116" i="47"/>
  <c r="CK116" i="47"/>
  <c r="CJ116" i="47"/>
  <c r="CI116" i="47"/>
  <c r="CH116" i="47"/>
  <c r="CG116" i="47"/>
  <c r="CF116" i="47"/>
  <c r="C116" i="47"/>
  <c r="B116" i="47"/>
  <c r="DX115" i="47"/>
  <c r="DW115" i="47"/>
  <c r="DV115" i="47"/>
  <c r="DU115" i="47"/>
  <c r="DT115" i="47"/>
  <c r="DS115" i="47"/>
  <c r="DR115" i="47"/>
  <c r="DQ115" i="47"/>
  <c r="DP115" i="47"/>
  <c r="CT115" i="47"/>
  <c r="CS115" i="47"/>
  <c r="CR115" i="47"/>
  <c r="CQ115" i="47"/>
  <c r="CP115" i="47"/>
  <c r="CO115" i="47"/>
  <c r="CN115" i="47"/>
  <c r="CM115" i="47"/>
  <c r="CL115" i="47"/>
  <c r="C115" i="47"/>
  <c r="B115" i="47"/>
  <c r="EB114" i="47"/>
  <c r="EA114" i="47"/>
  <c r="DZ114" i="47"/>
  <c r="DY114" i="47"/>
  <c r="DX114" i="47"/>
  <c r="DW114" i="47"/>
  <c r="DV114" i="47"/>
  <c r="DU114" i="47"/>
  <c r="DT114" i="47"/>
  <c r="DS114" i="47"/>
  <c r="DR114" i="47"/>
  <c r="DQ114" i="47"/>
  <c r="DP114" i="47"/>
  <c r="CX114" i="47"/>
  <c r="CW114" i="47"/>
  <c r="CV114" i="47"/>
  <c r="CU114" i="47"/>
  <c r="CT114" i="47"/>
  <c r="CS114" i="47"/>
  <c r="CR114" i="47"/>
  <c r="CQ114" i="47"/>
  <c r="CP114" i="47"/>
  <c r="CO114" i="47"/>
  <c r="CN114" i="47"/>
  <c r="CM114" i="47"/>
  <c r="CL114" i="47"/>
  <c r="C114" i="47"/>
  <c r="B114" i="47"/>
  <c r="EB113" i="47"/>
  <c r="EA113" i="47"/>
  <c r="DZ113" i="47"/>
  <c r="DY113" i="47"/>
  <c r="DX113" i="47"/>
  <c r="DW113" i="47"/>
  <c r="DV113" i="47"/>
  <c r="DU113" i="47"/>
  <c r="DT113" i="47"/>
  <c r="DS113" i="47"/>
  <c r="DR113" i="47"/>
  <c r="DQ113" i="47"/>
  <c r="DP113" i="47"/>
  <c r="DO113" i="47"/>
  <c r="DN113" i="47"/>
  <c r="DL113" i="47"/>
  <c r="DK113" i="47"/>
  <c r="DJ113" i="47"/>
  <c r="CX113" i="47"/>
  <c r="CW113" i="47"/>
  <c r="CV113" i="47"/>
  <c r="CU113" i="47"/>
  <c r="CT113" i="47"/>
  <c r="CS113" i="47"/>
  <c r="CR113" i="47"/>
  <c r="CQ113" i="47"/>
  <c r="CP113" i="47"/>
  <c r="CO113" i="47"/>
  <c r="CN113" i="47"/>
  <c r="CM113" i="47"/>
  <c r="CL113" i="47"/>
  <c r="CK113" i="47"/>
  <c r="CJ113" i="47"/>
  <c r="CI113" i="47"/>
  <c r="CH113" i="47"/>
  <c r="CG113" i="47"/>
  <c r="CF113" i="47"/>
  <c r="C113" i="47"/>
  <c r="B113" i="47"/>
  <c r="EB112" i="47"/>
  <c r="EA112" i="47"/>
  <c r="DZ112" i="47"/>
  <c r="DY112" i="47"/>
  <c r="DX112" i="47"/>
  <c r="DW112" i="47"/>
  <c r="DV112" i="47"/>
  <c r="DU112" i="47"/>
  <c r="DT112" i="47"/>
  <c r="DS112" i="47"/>
  <c r="DR112" i="47"/>
  <c r="DQ112" i="47"/>
  <c r="DP112" i="47"/>
  <c r="DO112" i="47"/>
  <c r="CX112" i="47"/>
  <c r="CW112" i="47"/>
  <c r="CV112" i="47"/>
  <c r="CU112" i="47"/>
  <c r="CT112" i="47"/>
  <c r="CS112" i="47"/>
  <c r="CR112" i="47"/>
  <c r="CQ112" i="47"/>
  <c r="CP112" i="47"/>
  <c r="CO112" i="47"/>
  <c r="CN112" i="47"/>
  <c r="CM112" i="47"/>
  <c r="CL112" i="47"/>
  <c r="CK112" i="47"/>
  <c r="C112" i="47"/>
  <c r="B112" i="47"/>
  <c r="EB111" i="47"/>
  <c r="EA111" i="47"/>
  <c r="DZ111" i="47"/>
  <c r="DY111" i="47"/>
  <c r="DX111" i="47"/>
  <c r="DW111" i="47"/>
  <c r="DV111" i="47"/>
  <c r="DU111" i="47"/>
  <c r="DT111" i="47"/>
  <c r="DS111" i="47"/>
  <c r="DR111" i="47"/>
  <c r="DQ111" i="47"/>
  <c r="DP111" i="47"/>
  <c r="CX111" i="47"/>
  <c r="CW111" i="47"/>
  <c r="CV111" i="47"/>
  <c r="CU111" i="47"/>
  <c r="CT111" i="47"/>
  <c r="CS111" i="47"/>
  <c r="CR111" i="47"/>
  <c r="CQ111" i="47"/>
  <c r="CP111" i="47"/>
  <c r="CO111" i="47"/>
  <c r="CN111" i="47"/>
  <c r="CM111" i="47"/>
  <c r="CL111" i="47"/>
  <c r="C111" i="47"/>
  <c r="B111" i="47"/>
  <c r="DL110" i="47"/>
  <c r="DK110" i="47"/>
  <c r="DJ110" i="47"/>
  <c r="CH110" i="47"/>
  <c r="CG110" i="47"/>
  <c r="CF110" i="47"/>
  <c r="C110" i="47"/>
  <c r="B110" i="47"/>
  <c r="EB109" i="47"/>
  <c r="EA109" i="47"/>
  <c r="DZ109" i="47"/>
  <c r="DY109" i="47"/>
  <c r="DX109" i="47"/>
  <c r="DW109" i="47"/>
  <c r="DV109" i="47"/>
  <c r="DU109" i="47"/>
  <c r="DT109" i="47"/>
  <c r="DS109" i="47"/>
  <c r="DR109" i="47"/>
  <c r="DQ109" i="47"/>
  <c r="DP109" i="47"/>
  <c r="DO109" i="47"/>
  <c r="DN109" i="47"/>
  <c r="DL109" i="47"/>
  <c r="DK109" i="47"/>
  <c r="DJ109" i="47"/>
  <c r="CX109" i="47"/>
  <c r="CW109" i="47"/>
  <c r="CV109" i="47"/>
  <c r="CU109" i="47"/>
  <c r="CT109" i="47"/>
  <c r="CS109" i="47"/>
  <c r="CR109" i="47"/>
  <c r="CQ109" i="47"/>
  <c r="CP109" i="47"/>
  <c r="CO109" i="47"/>
  <c r="CN109" i="47"/>
  <c r="CM109" i="47"/>
  <c r="CL109" i="47"/>
  <c r="CK109" i="47"/>
  <c r="CJ109" i="47"/>
  <c r="CI109" i="47"/>
  <c r="CH109" i="47"/>
  <c r="CG109" i="47"/>
  <c r="CF109" i="47"/>
  <c r="C109" i="47"/>
  <c r="B109" i="47"/>
  <c r="EB108" i="47"/>
  <c r="EA108" i="47"/>
  <c r="DZ108" i="47"/>
  <c r="DY108" i="47"/>
  <c r="DX108" i="47"/>
  <c r="DW108" i="47"/>
  <c r="DV108" i="47"/>
  <c r="DU108" i="47"/>
  <c r="DT108" i="47"/>
  <c r="DS108" i="47"/>
  <c r="DR108" i="47"/>
  <c r="DQ108" i="47"/>
  <c r="DP108" i="47"/>
  <c r="DO108" i="47"/>
  <c r="CX108" i="47"/>
  <c r="CW108" i="47"/>
  <c r="CV108" i="47"/>
  <c r="CU108" i="47"/>
  <c r="CT108" i="47"/>
  <c r="CS108" i="47"/>
  <c r="CR108" i="47"/>
  <c r="CQ108" i="47"/>
  <c r="CP108" i="47"/>
  <c r="CO108" i="47"/>
  <c r="CN108" i="47"/>
  <c r="CM108" i="47"/>
  <c r="CL108" i="47"/>
  <c r="CK108" i="47"/>
  <c r="C108" i="47"/>
  <c r="B108" i="47"/>
  <c r="EB107" i="47"/>
  <c r="EA107" i="47"/>
  <c r="DZ107" i="47"/>
  <c r="DY107" i="47"/>
  <c r="DX107" i="47"/>
  <c r="DW107" i="47"/>
  <c r="DV107" i="47"/>
  <c r="DU107" i="47"/>
  <c r="DT107" i="47"/>
  <c r="DS107" i="47"/>
  <c r="DR107" i="47"/>
  <c r="DQ107" i="47"/>
  <c r="DP107" i="47"/>
  <c r="DO107" i="47"/>
  <c r="CX107" i="47"/>
  <c r="CW107" i="47"/>
  <c r="CV107" i="47"/>
  <c r="CU107" i="47"/>
  <c r="CT107" i="47"/>
  <c r="CS107" i="47"/>
  <c r="CR107" i="47"/>
  <c r="CQ107" i="47"/>
  <c r="CP107" i="47"/>
  <c r="CO107" i="47"/>
  <c r="CN107" i="47"/>
  <c r="CM107" i="47"/>
  <c r="CL107" i="47"/>
  <c r="CK107" i="47"/>
  <c r="C107" i="47"/>
  <c r="B107" i="47"/>
  <c r="EB106" i="47"/>
  <c r="EA106" i="47"/>
  <c r="DZ106" i="47"/>
  <c r="DY106" i="47"/>
  <c r="DX106" i="47"/>
  <c r="DW106" i="47"/>
  <c r="DV106" i="47"/>
  <c r="DU106" i="47"/>
  <c r="DT106" i="47"/>
  <c r="DS106" i="47"/>
  <c r="DR106" i="47"/>
  <c r="DQ106" i="47"/>
  <c r="DP106" i="47"/>
  <c r="DO106" i="47"/>
  <c r="CX106" i="47"/>
  <c r="CW106" i="47"/>
  <c r="CV106" i="47"/>
  <c r="CU106" i="47"/>
  <c r="CT106" i="47"/>
  <c r="CS106" i="47"/>
  <c r="CR106" i="47"/>
  <c r="CQ106" i="47"/>
  <c r="CP106" i="47"/>
  <c r="CO106" i="47"/>
  <c r="CN106" i="47"/>
  <c r="CM106" i="47"/>
  <c r="CL106" i="47"/>
  <c r="CK106" i="47"/>
  <c r="C106" i="47"/>
  <c r="B106" i="47"/>
  <c r="EB105" i="47"/>
  <c r="EA105" i="47"/>
  <c r="DZ105" i="47"/>
  <c r="DY105" i="47"/>
  <c r="DX105" i="47"/>
  <c r="DW105" i="47"/>
  <c r="DV105" i="47"/>
  <c r="DU105" i="47"/>
  <c r="DT105" i="47"/>
  <c r="DS105" i="47"/>
  <c r="DR105" i="47"/>
  <c r="DQ105" i="47"/>
  <c r="DP105" i="47"/>
  <c r="DO105" i="47"/>
  <c r="CX105" i="47"/>
  <c r="CW105" i="47"/>
  <c r="CV105" i="47"/>
  <c r="CU105" i="47"/>
  <c r="CT105" i="47"/>
  <c r="CS105" i="47"/>
  <c r="CR105" i="47"/>
  <c r="CQ105" i="47"/>
  <c r="CP105" i="47"/>
  <c r="CO105" i="47"/>
  <c r="CN105" i="47"/>
  <c r="CM105" i="47"/>
  <c r="CL105" i="47"/>
  <c r="CK105" i="47"/>
  <c r="C105" i="47"/>
  <c r="B105" i="47"/>
  <c r="EB104" i="47"/>
  <c r="EA104" i="47"/>
  <c r="DZ104" i="47"/>
  <c r="DY104" i="47"/>
  <c r="DX104" i="47"/>
  <c r="DW104" i="47"/>
  <c r="DV104" i="47"/>
  <c r="DU104" i="47"/>
  <c r="DT104" i="47"/>
  <c r="DS104" i="47"/>
  <c r="DR104" i="47"/>
  <c r="DQ104" i="47"/>
  <c r="DP104" i="47"/>
  <c r="DO104" i="47"/>
  <c r="CX104" i="47"/>
  <c r="CW104" i="47"/>
  <c r="CV104" i="47"/>
  <c r="CU104" i="47"/>
  <c r="CT104" i="47"/>
  <c r="CS104" i="47"/>
  <c r="CR104" i="47"/>
  <c r="CQ104" i="47"/>
  <c r="CP104" i="47"/>
  <c r="CO104" i="47"/>
  <c r="CN104" i="47"/>
  <c r="CM104" i="47"/>
  <c r="CL104" i="47"/>
  <c r="CK104" i="47"/>
  <c r="C104" i="47"/>
  <c r="B104" i="47"/>
  <c r="EB103" i="47"/>
  <c r="EA103" i="47"/>
  <c r="DZ103" i="47"/>
  <c r="DY103" i="47"/>
  <c r="DX103" i="47"/>
  <c r="DW103" i="47"/>
  <c r="DV103" i="47"/>
  <c r="DU103" i="47"/>
  <c r="DT103" i="47"/>
  <c r="DS103" i="47"/>
  <c r="DR103" i="47"/>
  <c r="DQ103" i="47"/>
  <c r="DP103" i="47"/>
  <c r="DO103" i="47"/>
  <c r="CX103" i="47"/>
  <c r="CW103" i="47"/>
  <c r="CV103" i="47"/>
  <c r="CU103" i="47"/>
  <c r="CT103" i="47"/>
  <c r="CS103" i="47"/>
  <c r="CR103" i="47"/>
  <c r="CQ103" i="47"/>
  <c r="CP103" i="47"/>
  <c r="CO103" i="47"/>
  <c r="CN103" i="47"/>
  <c r="CM103" i="47"/>
  <c r="CL103" i="47"/>
  <c r="CK103" i="47"/>
  <c r="C103" i="47"/>
  <c r="B103" i="47"/>
  <c r="EB102" i="47"/>
  <c r="EA102" i="47"/>
  <c r="DZ102" i="47"/>
  <c r="DY102" i="47"/>
  <c r="DX102" i="47"/>
  <c r="DW102" i="47"/>
  <c r="DV102" i="47"/>
  <c r="DU102" i="47"/>
  <c r="DT102" i="47"/>
  <c r="DS102" i="47"/>
  <c r="DR102" i="47"/>
  <c r="DQ102" i="47"/>
  <c r="DP102" i="47"/>
  <c r="DO102" i="47"/>
  <c r="CX102" i="47"/>
  <c r="CW102" i="47"/>
  <c r="CV102" i="47"/>
  <c r="CU102" i="47"/>
  <c r="CT102" i="47"/>
  <c r="CS102" i="47"/>
  <c r="CR102" i="47"/>
  <c r="CQ102" i="47"/>
  <c r="CP102" i="47"/>
  <c r="CO102" i="47"/>
  <c r="CN102" i="47"/>
  <c r="CM102" i="47"/>
  <c r="CL102" i="47"/>
  <c r="CK102" i="47"/>
  <c r="C102" i="47"/>
  <c r="B102" i="47"/>
  <c r="EB101" i="47"/>
  <c r="EA101" i="47"/>
  <c r="DZ101" i="47"/>
  <c r="DY101" i="47"/>
  <c r="DX101" i="47"/>
  <c r="DW101" i="47"/>
  <c r="DV101" i="47"/>
  <c r="DU101" i="47"/>
  <c r="DT101" i="47"/>
  <c r="DS101" i="47"/>
  <c r="DR101" i="47"/>
  <c r="DQ101" i="47"/>
  <c r="DP101" i="47"/>
  <c r="DO101" i="47"/>
  <c r="CX101" i="47"/>
  <c r="CW101" i="47"/>
  <c r="CV101" i="47"/>
  <c r="CU101" i="47"/>
  <c r="CT101" i="47"/>
  <c r="CS101" i="47"/>
  <c r="CR101" i="47"/>
  <c r="CQ101" i="47"/>
  <c r="CP101" i="47"/>
  <c r="CO101" i="47"/>
  <c r="CN101" i="47"/>
  <c r="CM101" i="47"/>
  <c r="CL101" i="47"/>
  <c r="CK101" i="47"/>
  <c r="C101" i="47"/>
  <c r="B101" i="47"/>
  <c r="EB96" i="47"/>
  <c r="EA96" i="47"/>
  <c r="DZ96" i="47"/>
  <c r="DY96" i="47"/>
  <c r="DX96" i="47"/>
  <c r="DW96" i="47"/>
  <c r="DV96" i="47"/>
  <c r="DU96" i="47"/>
  <c r="DT96" i="47"/>
  <c r="DS96" i="47"/>
  <c r="DR96" i="47"/>
  <c r="DQ96" i="47"/>
  <c r="DP96" i="47"/>
  <c r="DO96" i="47"/>
  <c r="DN96" i="47"/>
  <c r="DL96" i="47"/>
  <c r="DK96" i="47"/>
  <c r="DJ96" i="47"/>
  <c r="CX96" i="47"/>
  <c r="CW96" i="47"/>
  <c r="CV96" i="47"/>
  <c r="CU96" i="47"/>
  <c r="CT96" i="47"/>
  <c r="CS96" i="47"/>
  <c r="CR96" i="47"/>
  <c r="CQ96" i="47"/>
  <c r="CP96" i="47"/>
  <c r="CO96" i="47"/>
  <c r="CN96" i="47"/>
  <c r="CM96" i="47"/>
  <c r="CL96" i="47"/>
  <c r="CK96" i="47"/>
  <c r="CJ96" i="47"/>
  <c r="CI96" i="47"/>
  <c r="CH96" i="47"/>
  <c r="CG96" i="47"/>
  <c r="CF96" i="47"/>
  <c r="C96" i="47"/>
  <c r="B96" i="47"/>
  <c r="EB95" i="47"/>
  <c r="EA95" i="47"/>
  <c r="DZ95" i="47"/>
  <c r="DY95" i="47"/>
  <c r="DX95" i="47"/>
  <c r="DW95" i="47"/>
  <c r="DV95" i="47"/>
  <c r="DU95" i="47"/>
  <c r="DT95" i="47"/>
  <c r="DS95" i="47"/>
  <c r="DR95" i="47"/>
  <c r="DQ95" i="47"/>
  <c r="DP95" i="47"/>
  <c r="DO95" i="47"/>
  <c r="DN95" i="47"/>
  <c r="DL95" i="47"/>
  <c r="DK95" i="47"/>
  <c r="DJ95" i="47"/>
  <c r="CX95" i="47"/>
  <c r="CW95" i="47"/>
  <c r="CV95" i="47"/>
  <c r="CU95" i="47"/>
  <c r="CT95" i="47"/>
  <c r="CS95" i="47"/>
  <c r="CR95" i="47"/>
  <c r="CQ95" i="47"/>
  <c r="CP95" i="47"/>
  <c r="CO95" i="47"/>
  <c r="CN95" i="47"/>
  <c r="CM95" i="47"/>
  <c r="CL95" i="47"/>
  <c r="CK95" i="47"/>
  <c r="CJ95" i="47"/>
  <c r="CI95" i="47"/>
  <c r="CH95" i="47"/>
  <c r="CG95" i="47"/>
  <c r="CF95" i="47"/>
  <c r="C95" i="47"/>
  <c r="B95" i="47"/>
  <c r="EB94" i="47"/>
  <c r="EA94" i="47"/>
  <c r="DZ94" i="47"/>
  <c r="DY94" i="47"/>
  <c r="DX94" i="47"/>
  <c r="DW94" i="47"/>
  <c r="DV94" i="47"/>
  <c r="DU94" i="47"/>
  <c r="DT94" i="47"/>
  <c r="DS94" i="47"/>
  <c r="DR94" i="47"/>
  <c r="DQ94" i="47"/>
  <c r="DP94" i="47"/>
  <c r="DO94" i="47"/>
  <c r="DN94" i="47"/>
  <c r="DL94" i="47"/>
  <c r="DK94" i="47"/>
  <c r="DJ94" i="47"/>
  <c r="CX94" i="47"/>
  <c r="CW94" i="47"/>
  <c r="CV94" i="47"/>
  <c r="CU94" i="47"/>
  <c r="CT94" i="47"/>
  <c r="CS94" i="47"/>
  <c r="CR94" i="47"/>
  <c r="CQ94" i="47"/>
  <c r="CP94" i="47"/>
  <c r="CO94" i="47"/>
  <c r="CN94" i="47"/>
  <c r="CM94" i="47"/>
  <c r="CL94" i="47"/>
  <c r="CK94" i="47"/>
  <c r="CJ94" i="47"/>
  <c r="CI94" i="47"/>
  <c r="CH94" i="47"/>
  <c r="CG94" i="47"/>
  <c r="CF94" i="47"/>
  <c r="C94" i="47"/>
  <c r="B94" i="47"/>
  <c r="DX93" i="47"/>
  <c r="DW93" i="47"/>
  <c r="DV93" i="47"/>
  <c r="DU93" i="47"/>
  <c r="DT93" i="47"/>
  <c r="DS93" i="47"/>
  <c r="DR93" i="47"/>
  <c r="DQ93" i="47"/>
  <c r="DP93" i="47"/>
  <c r="CT93" i="47"/>
  <c r="CS93" i="47"/>
  <c r="CR93" i="47"/>
  <c r="CQ93" i="47"/>
  <c r="CP93" i="47"/>
  <c r="CO93" i="47"/>
  <c r="CN93" i="47"/>
  <c r="CM93" i="47"/>
  <c r="CL93" i="47"/>
  <c r="C93" i="47"/>
  <c r="B93" i="47"/>
  <c r="EB92" i="47"/>
  <c r="EA92" i="47"/>
  <c r="DZ92" i="47"/>
  <c r="DY92" i="47"/>
  <c r="DX92" i="47"/>
  <c r="DW92" i="47"/>
  <c r="DV92" i="47"/>
  <c r="DU92" i="47"/>
  <c r="DT92" i="47"/>
  <c r="DS92" i="47"/>
  <c r="DR92" i="47"/>
  <c r="DQ92" i="47"/>
  <c r="DP92" i="47"/>
  <c r="CX92" i="47"/>
  <c r="CW92" i="47"/>
  <c r="CV92" i="47"/>
  <c r="CU92" i="47"/>
  <c r="CT92" i="47"/>
  <c r="CS92" i="47"/>
  <c r="CR92" i="47"/>
  <c r="CQ92" i="47"/>
  <c r="CP92" i="47"/>
  <c r="CO92" i="47"/>
  <c r="CN92" i="47"/>
  <c r="CM92" i="47"/>
  <c r="CL92" i="47"/>
  <c r="C92" i="47"/>
  <c r="B92" i="47"/>
  <c r="EB91" i="47"/>
  <c r="EA91" i="47"/>
  <c r="DZ91" i="47"/>
  <c r="DY91" i="47"/>
  <c r="DX91" i="47"/>
  <c r="DW91" i="47"/>
  <c r="DV91" i="47"/>
  <c r="DU91" i="47"/>
  <c r="DT91" i="47"/>
  <c r="DS91" i="47"/>
  <c r="DR91" i="47"/>
  <c r="DQ91" i="47"/>
  <c r="DP91" i="47"/>
  <c r="DO91" i="47"/>
  <c r="DN91" i="47"/>
  <c r="DL91" i="47"/>
  <c r="DK91" i="47"/>
  <c r="DJ91" i="47"/>
  <c r="CX91" i="47"/>
  <c r="CW91" i="47"/>
  <c r="CV91" i="47"/>
  <c r="CU91" i="47"/>
  <c r="CT91" i="47"/>
  <c r="CS91" i="47"/>
  <c r="CR91" i="47"/>
  <c r="CQ91" i="47"/>
  <c r="CP91" i="47"/>
  <c r="CO91" i="47"/>
  <c r="CN91" i="47"/>
  <c r="CM91" i="47"/>
  <c r="CL91" i="47"/>
  <c r="CK91" i="47"/>
  <c r="CJ91" i="47"/>
  <c r="CI91" i="47"/>
  <c r="CH91" i="47"/>
  <c r="CG91" i="47"/>
  <c r="CF91" i="47"/>
  <c r="C91" i="47"/>
  <c r="B91" i="47"/>
  <c r="EB90" i="47"/>
  <c r="EA90" i="47"/>
  <c r="DZ90" i="47"/>
  <c r="DY90" i="47"/>
  <c r="DX90" i="47"/>
  <c r="DW90" i="47"/>
  <c r="DV90" i="47"/>
  <c r="DU90" i="47"/>
  <c r="DT90" i="47"/>
  <c r="DS90" i="47"/>
  <c r="DR90" i="47"/>
  <c r="DQ90" i="47"/>
  <c r="DP90" i="47"/>
  <c r="DO90" i="47"/>
  <c r="CX90" i="47"/>
  <c r="CW90" i="47"/>
  <c r="CV90" i="47"/>
  <c r="CU90" i="47"/>
  <c r="CT90" i="47"/>
  <c r="CS90" i="47"/>
  <c r="CR90" i="47"/>
  <c r="CQ90" i="47"/>
  <c r="CP90" i="47"/>
  <c r="CO90" i="47"/>
  <c r="CN90" i="47"/>
  <c r="CM90" i="47"/>
  <c r="CL90" i="47"/>
  <c r="CK90" i="47"/>
  <c r="C90" i="47"/>
  <c r="B90" i="47"/>
  <c r="EB89" i="47"/>
  <c r="EA89" i="47"/>
  <c r="DZ89" i="47"/>
  <c r="DY89" i="47"/>
  <c r="DX89" i="47"/>
  <c r="DW89" i="47"/>
  <c r="DV89" i="47"/>
  <c r="DU89" i="47"/>
  <c r="DT89" i="47"/>
  <c r="DS89" i="47"/>
  <c r="DR89" i="47"/>
  <c r="DQ89" i="47"/>
  <c r="DP89" i="47"/>
  <c r="CX89" i="47"/>
  <c r="CW89" i="47"/>
  <c r="CV89" i="47"/>
  <c r="CU89" i="47"/>
  <c r="CT89" i="47"/>
  <c r="CS89" i="47"/>
  <c r="CR89" i="47"/>
  <c r="CQ89" i="47"/>
  <c r="CP89" i="47"/>
  <c r="CO89" i="47"/>
  <c r="CN89" i="47"/>
  <c r="CM89" i="47"/>
  <c r="CL89" i="47"/>
  <c r="C89" i="47"/>
  <c r="B89" i="47"/>
  <c r="DL88" i="47"/>
  <c r="DK88" i="47"/>
  <c r="DJ88" i="47"/>
  <c r="CH88" i="47"/>
  <c r="CG88" i="47"/>
  <c r="CF88" i="47"/>
  <c r="C88" i="47"/>
  <c r="B88" i="47"/>
  <c r="EB87" i="47"/>
  <c r="EA87" i="47"/>
  <c r="DZ87" i="47"/>
  <c r="DY87" i="47"/>
  <c r="DX87" i="47"/>
  <c r="DW87" i="47"/>
  <c r="DV87" i="47"/>
  <c r="DU87" i="47"/>
  <c r="DT87" i="47"/>
  <c r="DS87" i="47"/>
  <c r="DR87" i="47"/>
  <c r="DQ87" i="47"/>
  <c r="DP87" i="47"/>
  <c r="DO87" i="47"/>
  <c r="DN87" i="47"/>
  <c r="DL87" i="47"/>
  <c r="DK87" i="47"/>
  <c r="DJ87" i="47"/>
  <c r="CX87" i="47"/>
  <c r="CW87" i="47"/>
  <c r="CV87" i="47"/>
  <c r="CU87" i="47"/>
  <c r="CT87" i="47"/>
  <c r="CS87" i="47"/>
  <c r="CR87" i="47"/>
  <c r="CQ87" i="47"/>
  <c r="CP87" i="47"/>
  <c r="CO87" i="47"/>
  <c r="CN87" i="47"/>
  <c r="CM87" i="47"/>
  <c r="CL87" i="47"/>
  <c r="CK87" i="47"/>
  <c r="CJ87" i="47"/>
  <c r="CI87" i="47"/>
  <c r="CH87" i="47"/>
  <c r="CG87" i="47"/>
  <c r="CF87" i="47"/>
  <c r="C87" i="47"/>
  <c r="B87" i="47"/>
  <c r="EB86" i="47"/>
  <c r="EA86" i="47"/>
  <c r="DZ86" i="47"/>
  <c r="DY86" i="47"/>
  <c r="DX86" i="47"/>
  <c r="DW86" i="47"/>
  <c r="DV86" i="47"/>
  <c r="DU86" i="47"/>
  <c r="DT86" i="47"/>
  <c r="DS86" i="47"/>
  <c r="DR86" i="47"/>
  <c r="DQ86" i="47"/>
  <c r="DP86" i="47"/>
  <c r="DO86" i="47"/>
  <c r="CX86" i="47"/>
  <c r="CW86" i="47"/>
  <c r="CV86" i="47"/>
  <c r="CU86" i="47"/>
  <c r="CT86" i="47"/>
  <c r="CS86" i="47"/>
  <c r="CR86" i="47"/>
  <c r="CQ86" i="47"/>
  <c r="CP86" i="47"/>
  <c r="CO86" i="47"/>
  <c r="CN86" i="47"/>
  <c r="CM86" i="47"/>
  <c r="CL86" i="47"/>
  <c r="CK86" i="47"/>
  <c r="C86" i="47"/>
  <c r="B86" i="47"/>
  <c r="EB85" i="47"/>
  <c r="EA85" i="47"/>
  <c r="DZ85" i="47"/>
  <c r="DY85" i="47"/>
  <c r="DX85" i="47"/>
  <c r="DW85" i="47"/>
  <c r="DV85" i="47"/>
  <c r="DU85" i="47"/>
  <c r="DT85" i="47"/>
  <c r="DS85" i="47"/>
  <c r="DR85" i="47"/>
  <c r="DQ85" i="47"/>
  <c r="DP85" i="47"/>
  <c r="DO85" i="47"/>
  <c r="CX85" i="47"/>
  <c r="CW85" i="47"/>
  <c r="CV85" i="47"/>
  <c r="CU85" i="47"/>
  <c r="CT85" i="47"/>
  <c r="CS85" i="47"/>
  <c r="CR85" i="47"/>
  <c r="CQ85" i="47"/>
  <c r="CP85" i="47"/>
  <c r="CO85" i="47"/>
  <c r="CN85" i="47"/>
  <c r="CM85" i="47"/>
  <c r="CL85" i="47"/>
  <c r="CK85" i="47"/>
  <c r="C85" i="47"/>
  <c r="B85" i="47"/>
  <c r="EB84" i="47"/>
  <c r="EA84" i="47"/>
  <c r="DZ84" i="47"/>
  <c r="DY84" i="47"/>
  <c r="DX84" i="47"/>
  <c r="DW84" i="47"/>
  <c r="DV84" i="47"/>
  <c r="DU84" i="47"/>
  <c r="DT84" i="47"/>
  <c r="DS84" i="47"/>
  <c r="DR84" i="47"/>
  <c r="DQ84" i="47"/>
  <c r="DP84" i="47"/>
  <c r="DO84" i="47"/>
  <c r="CX84" i="47"/>
  <c r="CW84" i="47"/>
  <c r="CV84" i="47"/>
  <c r="CU84" i="47"/>
  <c r="CT84" i="47"/>
  <c r="CS84" i="47"/>
  <c r="CR84" i="47"/>
  <c r="CQ84" i="47"/>
  <c r="CP84" i="47"/>
  <c r="CO84" i="47"/>
  <c r="CN84" i="47"/>
  <c r="CM84" i="47"/>
  <c r="CL84" i="47"/>
  <c r="CK84" i="47"/>
  <c r="C84" i="47"/>
  <c r="B84" i="47"/>
  <c r="EB83" i="47"/>
  <c r="EA83" i="47"/>
  <c r="DZ83" i="47"/>
  <c r="DY83" i="47"/>
  <c r="DX83" i="47"/>
  <c r="DW83" i="47"/>
  <c r="DV83" i="47"/>
  <c r="DU83" i="47"/>
  <c r="DT83" i="47"/>
  <c r="DS83" i="47"/>
  <c r="DR83" i="47"/>
  <c r="DQ83" i="47"/>
  <c r="DP83" i="47"/>
  <c r="DO83" i="47"/>
  <c r="CX83" i="47"/>
  <c r="CW83" i="47"/>
  <c r="CV83" i="47"/>
  <c r="CU83" i="47"/>
  <c r="CT83" i="47"/>
  <c r="CS83" i="47"/>
  <c r="CR83" i="47"/>
  <c r="CQ83" i="47"/>
  <c r="CP83" i="47"/>
  <c r="CO83" i="47"/>
  <c r="CN83" i="47"/>
  <c r="CM83" i="47"/>
  <c r="CL83" i="47"/>
  <c r="CK83" i="47"/>
  <c r="C83" i="47"/>
  <c r="B83" i="47"/>
  <c r="EB82" i="47"/>
  <c r="EA82" i="47"/>
  <c r="DZ82" i="47"/>
  <c r="DY82" i="47"/>
  <c r="DX82" i="47"/>
  <c r="DW82" i="47"/>
  <c r="DV82" i="47"/>
  <c r="DU82" i="47"/>
  <c r="DT82" i="47"/>
  <c r="DS82" i="47"/>
  <c r="DR82" i="47"/>
  <c r="DQ82" i="47"/>
  <c r="DP82" i="47"/>
  <c r="DO82" i="47"/>
  <c r="CX82" i="47"/>
  <c r="CW82" i="47"/>
  <c r="CV82" i="47"/>
  <c r="CU82" i="47"/>
  <c r="CT82" i="47"/>
  <c r="CS82" i="47"/>
  <c r="CR82" i="47"/>
  <c r="CQ82" i="47"/>
  <c r="CP82" i="47"/>
  <c r="CO82" i="47"/>
  <c r="CN82" i="47"/>
  <c r="CM82" i="47"/>
  <c r="CL82" i="47"/>
  <c r="CK82" i="47"/>
  <c r="C82" i="47"/>
  <c r="B82" i="47"/>
  <c r="EB81" i="47"/>
  <c r="EA81" i="47"/>
  <c r="DZ81" i="47"/>
  <c r="DY81" i="47"/>
  <c r="DX81" i="47"/>
  <c r="DW81" i="47"/>
  <c r="DV81" i="47"/>
  <c r="DU81" i="47"/>
  <c r="DT81" i="47"/>
  <c r="DS81" i="47"/>
  <c r="DR81" i="47"/>
  <c r="DQ81" i="47"/>
  <c r="DP81" i="47"/>
  <c r="DO81" i="47"/>
  <c r="CX81" i="47"/>
  <c r="CW81" i="47"/>
  <c r="CV81" i="47"/>
  <c r="CU81" i="47"/>
  <c r="CT81" i="47"/>
  <c r="CS81" i="47"/>
  <c r="CR81" i="47"/>
  <c r="CQ81" i="47"/>
  <c r="CP81" i="47"/>
  <c r="CO81" i="47"/>
  <c r="CN81" i="47"/>
  <c r="CM81" i="47"/>
  <c r="CL81" i="47"/>
  <c r="CK81" i="47"/>
  <c r="C81" i="47"/>
  <c r="B81" i="47"/>
  <c r="EB80" i="47"/>
  <c r="EA80" i="47"/>
  <c r="DZ80" i="47"/>
  <c r="DY80" i="47"/>
  <c r="DX80" i="47"/>
  <c r="DW80" i="47"/>
  <c r="DV80" i="47"/>
  <c r="DU80" i="47"/>
  <c r="DT80" i="47"/>
  <c r="DS80" i="47"/>
  <c r="DR80" i="47"/>
  <c r="DQ80" i="47"/>
  <c r="DP80" i="47"/>
  <c r="DO80" i="47"/>
  <c r="CX80" i="47"/>
  <c r="CW80" i="47"/>
  <c r="CV80" i="47"/>
  <c r="CU80" i="47"/>
  <c r="CT80" i="47"/>
  <c r="CS80" i="47"/>
  <c r="CR80" i="47"/>
  <c r="CQ80" i="47"/>
  <c r="CP80" i="47"/>
  <c r="CO80" i="47"/>
  <c r="CN80" i="47"/>
  <c r="CM80" i="47"/>
  <c r="CL80" i="47"/>
  <c r="CK80" i="47"/>
  <c r="C80" i="47"/>
  <c r="B80" i="47"/>
  <c r="EB79" i="47"/>
  <c r="EA79" i="47"/>
  <c r="DZ79" i="47"/>
  <c r="DY79" i="47"/>
  <c r="DX79" i="47"/>
  <c r="DW79" i="47"/>
  <c r="DV79" i="47"/>
  <c r="DU79" i="47"/>
  <c r="DT79" i="47"/>
  <c r="DS79" i="47"/>
  <c r="DR79" i="47"/>
  <c r="DQ79" i="47"/>
  <c r="DP79" i="47"/>
  <c r="DO79" i="47"/>
  <c r="CX79" i="47"/>
  <c r="CW79" i="47"/>
  <c r="CV79" i="47"/>
  <c r="CU79" i="47"/>
  <c r="CT79" i="47"/>
  <c r="CS79" i="47"/>
  <c r="CR79" i="47"/>
  <c r="CQ79" i="47"/>
  <c r="CP79" i="47"/>
  <c r="CO79" i="47"/>
  <c r="CN79" i="47"/>
  <c r="CM79" i="47"/>
  <c r="CL79" i="47"/>
  <c r="CK79" i="47"/>
  <c r="C79" i="47"/>
  <c r="B79" i="47"/>
  <c r="EB74" i="47"/>
  <c r="EA74" i="47"/>
  <c r="DZ74" i="47"/>
  <c r="DY74" i="47"/>
  <c r="DX74" i="47"/>
  <c r="DW74" i="47"/>
  <c r="DV74" i="47"/>
  <c r="DU74" i="47"/>
  <c r="DT74" i="47"/>
  <c r="DS74" i="47"/>
  <c r="DR74" i="47"/>
  <c r="DQ74" i="47"/>
  <c r="DP74" i="47"/>
  <c r="DO74" i="47"/>
  <c r="DN74" i="47"/>
  <c r="DL74" i="47"/>
  <c r="DK74" i="47"/>
  <c r="DJ74" i="47"/>
  <c r="CX74" i="47"/>
  <c r="CW74" i="47"/>
  <c r="CV74" i="47"/>
  <c r="CU74" i="47"/>
  <c r="CT74" i="47"/>
  <c r="CS74" i="47"/>
  <c r="CR74" i="47"/>
  <c r="CQ74" i="47"/>
  <c r="CP74" i="47"/>
  <c r="CO74" i="47"/>
  <c r="CN74" i="47"/>
  <c r="CM74" i="47"/>
  <c r="CL74" i="47"/>
  <c r="CK74" i="47"/>
  <c r="CJ74" i="47"/>
  <c r="CI74" i="47"/>
  <c r="CH74" i="47"/>
  <c r="CG74" i="47"/>
  <c r="CF74" i="47"/>
  <c r="C74" i="47"/>
  <c r="B74" i="47"/>
  <c r="EB73" i="47"/>
  <c r="EA73" i="47"/>
  <c r="DZ73" i="47"/>
  <c r="DY73" i="47"/>
  <c r="DX73" i="47"/>
  <c r="DW73" i="47"/>
  <c r="DV73" i="47"/>
  <c r="DU73" i="47"/>
  <c r="DT73" i="47"/>
  <c r="DS73" i="47"/>
  <c r="DR73" i="47"/>
  <c r="DQ73" i="47"/>
  <c r="DP73" i="47"/>
  <c r="DO73" i="47"/>
  <c r="DN73" i="47"/>
  <c r="DL73" i="47"/>
  <c r="DK73" i="47"/>
  <c r="DJ73" i="47"/>
  <c r="CX73" i="47"/>
  <c r="CW73" i="47"/>
  <c r="CV73" i="47"/>
  <c r="CU73" i="47"/>
  <c r="CT73" i="47"/>
  <c r="CS73" i="47"/>
  <c r="CR73" i="47"/>
  <c r="CQ73" i="47"/>
  <c r="CP73" i="47"/>
  <c r="CO73" i="47"/>
  <c r="CN73" i="47"/>
  <c r="CM73" i="47"/>
  <c r="CL73" i="47"/>
  <c r="CK73" i="47"/>
  <c r="CJ73" i="47"/>
  <c r="CI73" i="47"/>
  <c r="CH73" i="47"/>
  <c r="CG73" i="47"/>
  <c r="CF73" i="47"/>
  <c r="C73" i="47"/>
  <c r="B73" i="47"/>
  <c r="EB72" i="47"/>
  <c r="EA72" i="47"/>
  <c r="DZ72" i="47"/>
  <c r="DY72" i="47"/>
  <c r="DX72" i="47"/>
  <c r="DW72" i="47"/>
  <c r="DV72" i="47"/>
  <c r="DU72" i="47"/>
  <c r="DT72" i="47"/>
  <c r="DS72" i="47"/>
  <c r="DR72" i="47"/>
  <c r="DQ72" i="47"/>
  <c r="DP72" i="47"/>
  <c r="DO72" i="47"/>
  <c r="DN72" i="47"/>
  <c r="DL72" i="47"/>
  <c r="DK72" i="47"/>
  <c r="DJ72" i="47"/>
  <c r="CX72" i="47"/>
  <c r="CW72" i="47"/>
  <c r="CV72" i="47"/>
  <c r="CU72" i="47"/>
  <c r="CT72" i="47"/>
  <c r="CS72" i="47"/>
  <c r="CR72" i="47"/>
  <c r="CQ72" i="47"/>
  <c r="CP72" i="47"/>
  <c r="CO72" i="47"/>
  <c r="CN72" i="47"/>
  <c r="CM72" i="47"/>
  <c r="CL72" i="47"/>
  <c r="CK72" i="47"/>
  <c r="CJ72" i="47"/>
  <c r="CI72" i="47"/>
  <c r="CH72" i="47"/>
  <c r="CG72" i="47"/>
  <c r="CF72" i="47"/>
  <c r="C72" i="47"/>
  <c r="B72" i="47"/>
  <c r="DX71" i="47"/>
  <c r="DW71" i="47"/>
  <c r="DV71" i="47"/>
  <c r="DU71" i="47"/>
  <c r="DT71" i="47"/>
  <c r="DS71" i="47"/>
  <c r="DR71" i="47"/>
  <c r="DQ71" i="47"/>
  <c r="DP71" i="47"/>
  <c r="CT71" i="47"/>
  <c r="CS71" i="47"/>
  <c r="CR71" i="47"/>
  <c r="CQ71" i="47"/>
  <c r="CP71" i="47"/>
  <c r="CO71" i="47"/>
  <c r="CN71" i="47"/>
  <c r="CM71" i="47"/>
  <c r="CL71" i="47"/>
  <c r="C71" i="47"/>
  <c r="B71" i="47"/>
  <c r="EB70" i="47"/>
  <c r="EA70" i="47"/>
  <c r="DZ70" i="47"/>
  <c r="DY70" i="47"/>
  <c r="DX70" i="47"/>
  <c r="DW70" i="47"/>
  <c r="DV70" i="47"/>
  <c r="DU70" i="47"/>
  <c r="DT70" i="47"/>
  <c r="DS70" i="47"/>
  <c r="DR70" i="47"/>
  <c r="DQ70" i="47"/>
  <c r="DP70" i="47"/>
  <c r="CX70" i="47"/>
  <c r="CW70" i="47"/>
  <c r="CV70" i="47"/>
  <c r="CU70" i="47"/>
  <c r="CT70" i="47"/>
  <c r="CS70" i="47"/>
  <c r="CR70" i="47"/>
  <c r="CQ70" i="47"/>
  <c r="CP70" i="47"/>
  <c r="CO70" i="47"/>
  <c r="CN70" i="47"/>
  <c r="CM70" i="47"/>
  <c r="CL70" i="47"/>
  <c r="C70" i="47"/>
  <c r="B70" i="47"/>
  <c r="EB69" i="47"/>
  <c r="EA69" i="47"/>
  <c r="DZ69" i="47"/>
  <c r="DY69" i="47"/>
  <c r="DX69" i="47"/>
  <c r="DW69" i="47"/>
  <c r="DV69" i="47"/>
  <c r="DU69" i="47"/>
  <c r="DT69" i="47"/>
  <c r="DS69" i="47"/>
  <c r="DR69" i="47"/>
  <c r="DQ69" i="47"/>
  <c r="DP69" i="47"/>
  <c r="DO69" i="47"/>
  <c r="DN69" i="47"/>
  <c r="DL69" i="47"/>
  <c r="DK69" i="47"/>
  <c r="DJ69" i="47"/>
  <c r="CX69" i="47"/>
  <c r="CW69" i="47"/>
  <c r="CV69" i="47"/>
  <c r="CU69" i="47"/>
  <c r="CT69" i="47"/>
  <c r="CS69" i="47"/>
  <c r="CR69" i="47"/>
  <c r="CQ69" i="47"/>
  <c r="CP69" i="47"/>
  <c r="CO69" i="47"/>
  <c r="CN69" i="47"/>
  <c r="CM69" i="47"/>
  <c r="CL69" i="47"/>
  <c r="CK69" i="47"/>
  <c r="CJ69" i="47"/>
  <c r="CI69" i="47"/>
  <c r="CH69" i="47"/>
  <c r="CG69" i="47"/>
  <c r="CF69" i="47"/>
  <c r="C69" i="47"/>
  <c r="B69" i="47"/>
  <c r="EB68" i="47"/>
  <c r="EA68" i="47"/>
  <c r="DZ68" i="47"/>
  <c r="DY68" i="47"/>
  <c r="DX68" i="47"/>
  <c r="DW68" i="47"/>
  <c r="DV68" i="47"/>
  <c r="DU68" i="47"/>
  <c r="DT68" i="47"/>
  <c r="DS68" i="47"/>
  <c r="DR68" i="47"/>
  <c r="DQ68" i="47"/>
  <c r="DP68" i="47"/>
  <c r="DO68" i="47"/>
  <c r="CX68" i="47"/>
  <c r="CW68" i="47"/>
  <c r="CV68" i="47"/>
  <c r="CU68" i="47"/>
  <c r="CT68" i="47"/>
  <c r="CS68" i="47"/>
  <c r="CR68" i="47"/>
  <c r="CQ68" i="47"/>
  <c r="CP68" i="47"/>
  <c r="CO68" i="47"/>
  <c r="CN68" i="47"/>
  <c r="CM68" i="47"/>
  <c r="CL68" i="47"/>
  <c r="CK68" i="47"/>
  <c r="C68" i="47"/>
  <c r="B68" i="47"/>
  <c r="EB67" i="47"/>
  <c r="EA67" i="47"/>
  <c r="DZ67" i="47"/>
  <c r="DY67" i="47"/>
  <c r="DX67" i="47"/>
  <c r="DW67" i="47"/>
  <c r="DV67" i="47"/>
  <c r="DU67" i="47"/>
  <c r="DT67" i="47"/>
  <c r="DS67" i="47"/>
  <c r="DR67" i="47"/>
  <c r="DQ67" i="47"/>
  <c r="DP67" i="47"/>
  <c r="CX67" i="47"/>
  <c r="CW67" i="47"/>
  <c r="CV67" i="47"/>
  <c r="CU67" i="47"/>
  <c r="CT67" i="47"/>
  <c r="CS67" i="47"/>
  <c r="CR67" i="47"/>
  <c r="CQ67" i="47"/>
  <c r="CP67" i="47"/>
  <c r="CO67" i="47"/>
  <c r="CN67" i="47"/>
  <c r="CM67" i="47"/>
  <c r="CL67" i="47"/>
  <c r="C67" i="47"/>
  <c r="B67" i="47"/>
  <c r="DL66" i="47"/>
  <c r="DK66" i="47"/>
  <c r="DJ66" i="47"/>
  <c r="CH66" i="47"/>
  <c r="CG66" i="47"/>
  <c r="CF66" i="47"/>
  <c r="C66" i="47"/>
  <c r="B66" i="47"/>
  <c r="EB65" i="47"/>
  <c r="EA65" i="47"/>
  <c r="DZ65" i="47"/>
  <c r="DY65" i="47"/>
  <c r="DX65" i="47"/>
  <c r="DW65" i="47"/>
  <c r="DV65" i="47"/>
  <c r="DU65" i="47"/>
  <c r="DT65" i="47"/>
  <c r="DS65" i="47"/>
  <c r="DR65" i="47"/>
  <c r="DQ65" i="47"/>
  <c r="DP65" i="47"/>
  <c r="DO65" i="47"/>
  <c r="DN65" i="47"/>
  <c r="DL65" i="47"/>
  <c r="DK65" i="47"/>
  <c r="DJ65" i="47"/>
  <c r="CX65" i="47"/>
  <c r="CW65" i="47"/>
  <c r="CV65" i="47"/>
  <c r="CU65" i="47"/>
  <c r="CT65" i="47"/>
  <c r="CS65" i="47"/>
  <c r="CR65" i="47"/>
  <c r="CQ65" i="47"/>
  <c r="CP65" i="47"/>
  <c r="CO65" i="47"/>
  <c r="CN65" i="47"/>
  <c r="CM65" i="47"/>
  <c r="CL65" i="47"/>
  <c r="CK65" i="47"/>
  <c r="CJ65" i="47"/>
  <c r="CI65" i="47"/>
  <c r="CH65" i="47"/>
  <c r="CG65" i="47"/>
  <c r="CF65" i="47"/>
  <c r="C65" i="47"/>
  <c r="B65" i="47"/>
  <c r="EB64" i="47"/>
  <c r="EA64" i="47"/>
  <c r="DZ64" i="47"/>
  <c r="DY64" i="47"/>
  <c r="DX64" i="47"/>
  <c r="DW64" i="47"/>
  <c r="DV64" i="47"/>
  <c r="DU64" i="47"/>
  <c r="DT64" i="47"/>
  <c r="DS64" i="47"/>
  <c r="DR64" i="47"/>
  <c r="DQ64" i="47"/>
  <c r="DP64" i="47"/>
  <c r="DO64" i="47"/>
  <c r="CX64" i="47"/>
  <c r="CW64" i="47"/>
  <c r="CV64" i="47"/>
  <c r="CU64" i="47"/>
  <c r="CT64" i="47"/>
  <c r="CS64" i="47"/>
  <c r="CR64" i="47"/>
  <c r="CQ64" i="47"/>
  <c r="CP64" i="47"/>
  <c r="CO64" i="47"/>
  <c r="CN64" i="47"/>
  <c r="CM64" i="47"/>
  <c r="CL64" i="47"/>
  <c r="CK64" i="47"/>
  <c r="C64" i="47"/>
  <c r="B64" i="47"/>
  <c r="EB63" i="47"/>
  <c r="EA63" i="47"/>
  <c r="DZ63" i="47"/>
  <c r="DY63" i="47"/>
  <c r="DX63" i="47"/>
  <c r="DW63" i="47"/>
  <c r="DV63" i="47"/>
  <c r="DU63" i="47"/>
  <c r="DT63" i="47"/>
  <c r="DS63" i="47"/>
  <c r="DR63" i="47"/>
  <c r="DQ63" i="47"/>
  <c r="DP63" i="47"/>
  <c r="DO63" i="47"/>
  <c r="CX63" i="47"/>
  <c r="CW63" i="47"/>
  <c r="CV63" i="47"/>
  <c r="CU63" i="47"/>
  <c r="CT63" i="47"/>
  <c r="CS63" i="47"/>
  <c r="CR63" i="47"/>
  <c r="CQ63" i="47"/>
  <c r="CP63" i="47"/>
  <c r="CO63" i="47"/>
  <c r="CN63" i="47"/>
  <c r="CM63" i="47"/>
  <c r="CL63" i="47"/>
  <c r="CK63" i="47"/>
  <c r="C63" i="47"/>
  <c r="B63" i="47"/>
  <c r="EB62" i="47"/>
  <c r="EA62" i="47"/>
  <c r="DZ62" i="47"/>
  <c r="DY62" i="47"/>
  <c r="DX62" i="47"/>
  <c r="DW62" i="47"/>
  <c r="DV62" i="47"/>
  <c r="DU62" i="47"/>
  <c r="DT62" i="47"/>
  <c r="DS62" i="47"/>
  <c r="DR62" i="47"/>
  <c r="DQ62" i="47"/>
  <c r="DP62" i="47"/>
  <c r="DO62" i="47"/>
  <c r="CX62" i="47"/>
  <c r="CW62" i="47"/>
  <c r="CV62" i="47"/>
  <c r="CU62" i="47"/>
  <c r="CT62" i="47"/>
  <c r="CS62" i="47"/>
  <c r="CR62" i="47"/>
  <c r="CQ62" i="47"/>
  <c r="CP62" i="47"/>
  <c r="CO62" i="47"/>
  <c r="CN62" i="47"/>
  <c r="CM62" i="47"/>
  <c r="CL62" i="47"/>
  <c r="CK62" i="47"/>
  <c r="C62" i="47"/>
  <c r="B62" i="47"/>
  <c r="EB61" i="47"/>
  <c r="EA61" i="47"/>
  <c r="DZ61" i="47"/>
  <c r="DY61" i="47"/>
  <c r="DX61" i="47"/>
  <c r="DW61" i="47"/>
  <c r="DV61" i="47"/>
  <c r="DU61" i="47"/>
  <c r="DT61" i="47"/>
  <c r="DS61" i="47"/>
  <c r="DR61" i="47"/>
  <c r="DQ61" i="47"/>
  <c r="DP61" i="47"/>
  <c r="DO61" i="47"/>
  <c r="CX61" i="47"/>
  <c r="CW61" i="47"/>
  <c r="CV61" i="47"/>
  <c r="CU61" i="47"/>
  <c r="CT61" i="47"/>
  <c r="CS61" i="47"/>
  <c r="CR61" i="47"/>
  <c r="CQ61" i="47"/>
  <c r="CP61" i="47"/>
  <c r="CO61" i="47"/>
  <c r="CN61" i="47"/>
  <c r="CM61" i="47"/>
  <c r="CL61" i="47"/>
  <c r="CK61" i="47"/>
  <c r="C61" i="47"/>
  <c r="B61" i="47"/>
  <c r="EB60" i="47"/>
  <c r="EA60" i="47"/>
  <c r="DZ60" i="47"/>
  <c r="DY60" i="47"/>
  <c r="DX60" i="47"/>
  <c r="DW60" i="47"/>
  <c r="DV60" i="47"/>
  <c r="DU60" i="47"/>
  <c r="DT60" i="47"/>
  <c r="DS60" i="47"/>
  <c r="DR60" i="47"/>
  <c r="DQ60" i="47"/>
  <c r="DP60" i="47"/>
  <c r="DO60" i="47"/>
  <c r="CX60" i="47"/>
  <c r="CW60" i="47"/>
  <c r="CV60" i="47"/>
  <c r="CU60" i="47"/>
  <c r="CT60" i="47"/>
  <c r="CS60" i="47"/>
  <c r="CR60" i="47"/>
  <c r="CQ60" i="47"/>
  <c r="CP60" i="47"/>
  <c r="CO60" i="47"/>
  <c r="CN60" i="47"/>
  <c r="CM60" i="47"/>
  <c r="CL60" i="47"/>
  <c r="CK60" i="47"/>
  <c r="C60" i="47"/>
  <c r="B60" i="47"/>
  <c r="EB59" i="47"/>
  <c r="EA59" i="47"/>
  <c r="DZ59" i="47"/>
  <c r="DY59" i="47"/>
  <c r="DX59" i="47"/>
  <c r="DW59" i="47"/>
  <c r="DV59" i="47"/>
  <c r="DU59" i="47"/>
  <c r="DT59" i="47"/>
  <c r="DS59" i="47"/>
  <c r="DR59" i="47"/>
  <c r="DQ59" i="47"/>
  <c r="DP59" i="47"/>
  <c r="DO59" i="47"/>
  <c r="CX59" i="47"/>
  <c r="CW59" i="47"/>
  <c r="CV59" i="47"/>
  <c r="CU59" i="47"/>
  <c r="CT59" i="47"/>
  <c r="CS59" i="47"/>
  <c r="CR59" i="47"/>
  <c r="CQ59" i="47"/>
  <c r="CP59" i="47"/>
  <c r="CO59" i="47"/>
  <c r="CN59" i="47"/>
  <c r="CM59" i="47"/>
  <c r="CL59" i="47"/>
  <c r="CK59" i="47"/>
  <c r="C59" i="47"/>
  <c r="B59" i="47"/>
  <c r="EB58" i="47"/>
  <c r="EA58" i="47"/>
  <c r="DZ58" i="47"/>
  <c r="DY58" i="47"/>
  <c r="DX58" i="47"/>
  <c r="DW58" i="47"/>
  <c r="DV58" i="47"/>
  <c r="DU58" i="47"/>
  <c r="DT58" i="47"/>
  <c r="DS58" i="47"/>
  <c r="DR58" i="47"/>
  <c r="DQ58" i="47"/>
  <c r="DP58" i="47"/>
  <c r="DO58" i="47"/>
  <c r="CX58" i="47"/>
  <c r="CW58" i="47"/>
  <c r="CV58" i="47"/>
  <c r="CU58" i="47"/>
  <c r="CT58" i="47"/>
  <c r="CS58" i="47"/>
  <c r="CR58" i="47"/>
  <c r="CQ58" i="47"/>
  <c r="CP58" i="47"/>
  <c r="CO58" i="47"/>
  <c r="CN58" i="47"/>
  <c r="CM58" i="47"/>
  <c r="CL58" i="47"/>
  <c r="CK58" i="47"/>
  <c r="C58" i="47"/>
  <c r="B58" i="47"/>
  <c r="EB57" i="47"/>
  <c r="EA57" i="47"/>
  <c r="DZ57" i="47"/>
  <c r="DY57" i="47"/>
  <c r="DX57" i="47"/>
  <c r="DW57" i="47"/>
  <c r="DV57" i="47"/>
  <c r="DU57" i="47"/>
  <c r="DT57" i="47"/>
  <c r="DS57" i="47"/>
  <c r="DR57" i="47"/>
  <c r="DQ57" i="47"/>
  <c r="DP57" i="47"/>
  <c r="DO57" i="47"/>
  <c r="CX57" i="47"/>
  <c r="CW57" i="47"/>
  <c r="CV57" i="47"/>
  <c r="CU57" i="47"/>
  <c r="CT57" i="47"/>
  <c r="CS57" i="47"/>
  <c r="CR57" i="47"/>
  <c r="CQ57" i="47"/>
  <c r="CP57" i="47"/>
  <c r="CO57" i="47"/>
  <c r="CN57" i="47"/>
  <c r="CM57" i="47"/>
  <c r="CL57" i="47"/>
  <c r="CK57" i="47"/>
  <c r="C57" i="47"/>
  <c r="B57" i="47"/>
  <c r="EB52" i="47"/>
  <c r="EA52" i="47"/>
  <c r="DZ52" i="47"/>
  <c r="DY52" i="47"/>
  <c r="DX52" i="47"/>
  <c r="DW52" i="47"/>
  <c r="DV52" i="47"/>
  <c r="DU52" i="47"/>
  <c r="DT52" i="47"/>
  <c r="DS52" i="47"/>
  <c r="DR52" i="47"/>
  <c r="DQ52" i="47"/>
  <c r="DP52" i="47"/>
  <c r="DO52" i="47"/>
  <c r="DN52" i="47"/>
  <c r="DL52" i="47"/>
  <c r="DK52" i="47"/>
  <c r="DJ52" i="47"/>
  <c r="CX52" i="47"/>
  <c r="CW52" i="47"/>
  <c r="CV52" i="47"/>
  <c r="CU52" i="47"/>
  <c r="CT52" i="47"/>
  <c r="CS52" i="47"/>
  <c r="CR52" i="47"/>
  <c r="CQ52" i="47"/>
  <c r="CP52" i="47"/>
  <c r="CO52" i="47"/>
  <c r="CN52" i="47"/>
  <c r="CM52" i="47"/>
  <c r="CL52" i="47"/>
  <c r="CK52" i="47"/>
  <c r="CJ52" i="47"/>
  <c r="CI52" i="47"/>
  <c r="CH52" i="47"/>
  <c r="CG52" i="47"/>
  <c r="CF52" i="47"/>
  <c r="C52" i="47"/>
  <c r="B52" i="47"/>
  <c r="EB51" i="47"/>
  <c r="EA51" i="47"/>
  <c r="DZ51" i="47"/>
  <c r="DY51" i="47"/>
  <c r="DX51" i="47"/>
  <c r="DW51" i="47"/>
  <c r="DV51" i="47"/>
  <c r="DU51" i="47"/>
  <c r="DT51" i="47"/>
  <c r="DS51" i="47"/>
  <c r="DR51" i="47"/>
  <c r="DQ51" i="47"/>
  <c r="DP51" i="47"/>
  <c r="DO51" i="47"/>
  <c r="DN51" i="47"/>
  <c r="DL51" i="47"/>
  <c r="DK51" i="47"/>
  <c r="DJ51" i="47"/>
  <c r="CX51" i="47"/>
  <c r="CW51" i="47"/>
  <c r="CV51" i="47"/>
  <c r="CU51" i="47"/>
  <c r="CT51" i="47"/>
  <c r="CS51" i="47"/>
  <c r="CR51" i="47"/>
  <c r="CQ51" i="47"/>
  <c r="CP51" i="47"/>
  <c r="CO51" i="47"/>
  <c r="CN51" i="47"/>
  <c r="CM51" i="47"/>
  <c r="CL51" i="47"/>
  <c r="CK51" i="47"/>
  <c r="CJ51" i="47"/>
  <c r="CI51" i="47"/>
  <c r="CH51" i="47"/>
  <c r="CG51" i="47"/>
  <c r="CF51" i="47"/>
  <c r="C51" i="47"/>
  <c r="B51" i="47"/>
  <c r="EB50" i="47"/>
  <c r="EA50" i="47"/>
  <c r="DZ50" i="47"/>
  <c r="DY50" i="47"/>
  <c r="DX50" i="47"/>
  <c r="DW50" i="47"/>
  <c r="DV50" i="47"/>
  <c r="DU50" i="47"/>
  <c r="DT50" i="47"/>
  <c r="DS50" i="47"/>
  <c r="DR50" i="47"/>
  <c r="DQ50" i="47"/>
  <c r="DP50" i="47"/>
  <c r="DO50" i="47"/>
  <c r="DN50" i="47"/>
  <c r="DL50" i="47"/>
  <c r="DK50" i="47"/>
  <c r="DJ50" i="47"/>
  <c r="CX50" i="47"/>
  <c r="CW50" i="47"/>
  <c r="CV50" i="47"/>
  <c r="CU50" i="47"/>
  <c r="CT50" i="47"/>
  <c r="CS50" i="47"/>
  <c r="CR50" i="47"/>
  <c r="CQ50" i="47"/>
  <c r="CP50" i="47"/>
  <c r="CO50" i="47"/>
  <c r="CN50" i="47"/>
  <c r="CM50" i="47"/>
  <c r="CL50" i="47"/>
  <c r="CK50" i="47"/>
  <c r="CJ50" i="47"/>
  <c r="CI50" i="47"/>
  <c r="CH50" i="47"/>
  <c r="CG50" i="47"/>
  <c r="CF50" i="47"/>
  <c r="C50" i="47"/>
  <c r="B50" i="47"/>
  <c r="DX49" i="47"/>
  <c r="DW49" i="47"/>
  <c r="DV49" i="47"/>
  <c r="DU49" i="47"/>
  <c r="DT49" i="47"/>
  <c r="DS49" i="47"/>
  <c r="DR49" i="47"/>
  <c r="DQ49" i="47"/>
  <c r="DP49" i="47"/>
  <c r="CT49" i="47"/>
  <c r="CS49" i="47"/>
  <c r="CR49" i="47"/>
  <c r="CQ49" i="47"/>
  <c r="CP49" i="47"/>
  <c r="CO49" i="47"/>
  <c r="CN49" i="47"/>
  <c r="CM49" i="47"/>
  <c r="CL49" i="47"/>
  <c r="C49" i="47"/>
  <c r="B49" i="47"/>
  <c r="EB48" i="47"/>
  <c r="EA48" i="47"/>
  <c r="DZ48" i="47"/>
  <c r="DY48" i="47"/>
  <c r="DX48" i="47"/>
  <c r="DW48" i="47"/>
  <c r="DV48" i="47"/>
  <c r="DU48" i="47"/>
  <c r="DT48" i="47"/>
  <c r="DS48" i="47"/>
  <c r="DR48" i="47"/>
  <c r="DQ48" i="47"/>
  <c r="DP48" i="47"/>
  <c r="CX48" i="47"/>
  <c r="CW48" i="47"/>
  <c r="CV48" i="47"/>
  <c r="CU48" i="47"/>
  <c r="CT48" i="47"/>
  <c r="CS48" i="47"/>
  <c r="CR48" i="47"/>
  <c r="CQ48" i="47"/>
  <c r="CP48" i="47"/>
  <c r="CO48" i="47"/>
  <c r="CN48" i="47"/>
  <c r="CM48" i="47"/>
  <c r="CL48" i="47"/>
  <c r="C48" i="47"/>
  <c r="B48" i="47"/>
  <c r="EB47" i="47"/>
  <c r="EA47" i="47"/>
  <c r="DZ47" i="47"/>
  <c r="DY47" i="47"/>
  <c r="DX47" i="47"/>
  <c r="DW47" i="47"/>
  <c r="DV47" i="47"/>
  <c r="DU47" i="47"/>
  <c r="DT47" i="47"/>
  <c r="DS47" i="47"/>
  <c r="DR47" i="47"/>
  <c r="DQ47" i="47"/>
  <c r="DP47" i="47"/>
  <c r="DO47" i="47"/>
  <c r="DN47" i="47"/>
  <c r="DL47" i="47"/>
  <c r="DK47" i="47"/>
  <c r="DJ47" i="47"/>
  <c r="CX47" i="47"/>
  <c r="CW47" i="47"/>
  <c r="CV47" i="47"/>
  <c r="CU47" i="47"/>
  <c r="CT47" i="47"/>
  <c r="CS47" i="47"/>
  <c r="CR47" i="47"/>
  <c r="CQ47" i="47"/>
  <c r="CP47" i="47"/>
  <c r="CO47" i="47"/>
  <c r="CN47" i="47"/>
  <c r="CM47" i="47"/>
  <c r="CL47" i="47"/>
  <c r="CK47" i="47"/>
  <c r="CJ47" i="47"/>
  <c r="CI47" i="47"/>
  <c r="CH47" i="47"/>
  <c r="CG47" i="47"/>
  <c r="CF47" i="47"/>
  <c r="C47" i="47"/>
  <c r="B47" i="47"/>
  <c r="EB46" i="47"/>
  <c r="EA46" i="47"/>
  <c r="DZ46" i="47"/>
  <c r="DY46" i="47"/>
  <c r="DX46" i="47"/>
  <c r="DW46" i="47"/>
  <c r="DV46" i="47"/>
  <c r="DU46" i="47"/>
  <c r="DT46" i="47"/>
  <c r="DS46" i="47"/>
  <c r="DR46" i="47"/>
  <c r="DQ46" i="47"/>
  <c r="DP46" i="47"/>
  <c r="DO46" i="47"/>
  <c r="CX46" i="47"/>
  <c r="CW46" i="47"/>
  <c r="CV46" i="47"/>
  <c r="CU46" i="47"/>
  <c r="CT46" i="47"/>
  <c r="CS46" i="47"/>
  <c r="CR46" i="47"/>
  <c r="CQ46" i="47"/>
  <c r="CP46" i="47"/>
  <c r="CO46" i="47"/>
  <c r="CN46" i="47"/>
  <c r="CM46" i="47"/>
  <c r="CL46" i="47"/>
  <c r="CK46" i="47"/>
  <c r="C46" i="47"/>
  <c r="B46" i="47"/>
  <c r="EB45" i="47"/>
  <c r="EA45" i="47"/>
  <c r="DZ45" i="47"/>
  <c r="DY45" i="47"/>
  <c r="DX45" i="47"/>
  <c r="DW45" i="47"/>
  <c r="DV45" i="47"/>
  <c r="DU45" i="47"/>
  <c r="DT45" i="47"/>
  <c r="DS45" i="47"/>
  <c r="DR45" i="47"/>
  <c r="DQ45" i="47"/>
  <c r="DP45" i="47"/>
  <c r="CX45" i="47"/>
  <c r="CW45" i="47"/>
  <c r="CV45" i="47"/>
  <c r="CU45" i="47"/>
  <c r="CT45" i="47"/>
  <c r="CS45" i="47"/>
  <c r="CR45" i="47"/>
  <c r="CQ45" i="47"/>
  <c r="CP45" i="47"/>
  <c r="CO45" i="47"/>
  <c r="CN45" i="47"/>
  <c r="CM45" i="47"/>
  <c r="CL45" i="47"/>
  <c r="C45" i="47"/>
  <c r="B45" i="47"/>
  <c r="DL44" i="47"/>
  <c r="DK44" i="47"/>
  <c r="DJ44" i="47"/>
  <c r="CH44" i="47"/>
  <c r="CG44" i="47"/>
  <c r="CF44" i="47"/>
  <c r="C44" i="47"/>
  <c r="B44" i="47"/>
  <c r="EB43" i="47"/>
  <c r="EA43" i="47"/>
  <c r="DZ43" i="47"/>
  <c r="DY43" i="47"/>
  <c r="DX43" i="47"/>
  <c r="DW43" i="47"/>
  <c r="DV43" i="47"/>
  <c r="DU43" i="47"/>
  <c r="DT43" i="47"/>
  <c r="DS43" i="47"/>
  <c r="DR43" i="47"/>
  <c r="DQ43" i="47"/>
  <c r="DP43" i="47"/>
  <c r="DO43" i="47"/>
  <c r="DN43" i="47"/>
  <c r="DL43" i="47"/>
  <c r="DK43" i="47"/>
  <c r="DJ43" i="47"/>
  <c r="CX43" i="47"/>
  <c r="CW43" i="47"/>
  <c r="CV43" i="47"/>
  <c r="CU43" i="47"/>
  <c r="CT43" i="47"/>
  <c r="CS43" i="47"/>
  <c r="CR43" i="47"/>
  <c r="CQ43" i="47"/>
  <c r="CP43" i="47"/>
  <c r="CO43" i="47"/>
  <c r="CN43" i="47"/>
  <c r="CM43" i="47"/>
  <c r="CL43" i="47"/>
  <c r="CK43" i="47"/>
  <c r="CJ43" i="47"/>
  <c r="CI43" i="47"/>
  <c r="CH43" i="47"/>
  <c r="CG43" i="47"/>
  <c r="CF43" i="47"/>
  <c r="C43" i="47"/>
  <c r="B43" i="47"/>
  <c r="EB42" i="47"/>
  <c r="EA42" i="47"/>
  <c r="DZ42" i="47"/>
  <c r="DY42" i="47"/>
  <c r="DX42" i="47"/>
  <c r="DW42" i="47"/>
  <c r="DV42" i="47"/>
  <c r="DU42" i="47"/>
  <c r="DT42" i="47"/>
  <c r="DS42" i="47"/>
  <c r="DR42" i="47"/>
  <c r="DQ42" i="47"/>
  <c r="DP42" i="47"/>
  <c r="DO42" i="47"/>
  <c r="CX42" i="47"/>
  <c r="CW42" i="47"/>
  <c r="CV42" i="47"/>
  <c r="CU42" i="47"/>
  <c r="CT42" i="47"/>
  <c r="CS42" i="47"/>
  <c r="CR42" i="47"/>
  <c r="CQ42" i="47"/>
  <c r="CP42" i="47"/>
  <c r="CO42" i="47"/>
  <c r="CN42" i="47"/>
  <c r="CM42" i="47"/>
  <c r="CL42" i="47"/>
  <c r="CK42" i="47"/>
  <c r="C42" i="47"/>
  <c r="B42" i="47"/>
  <c r="EB41" i="47"/>
  <c r="EA41" i="47"/>
  <c r="DZ41" i="47"/>
  <c r="DY41" i="47"/>
  <c r="DX41" i="47"/>
  <c r="DW41" i="47"/>
  <c r="DV41" i="47"/>
  <c r="DU41" i="47"/>
  <c r="DT41" i="47"/>
  <c r="DS41" i="47"/>
  <c r="DR41" i="47"/>
  <c r="DQ41" i="47"/>
  <c r="DP41" i="47"/>
  <c r="DO41" i="47"/>
  <c r="CX41" i="47"/>
  <c r="CW41" i="47"/>
  <c r="CV41" i="47"/>
  <c r="CU41" i="47"/>
  <c r="CT41" i="47"/>
  <c r="CS41" i="47"/>
  <c r="CR41" i="47"/>
  <c r="CQ41" i="47"/>
  <c r="CP41" i="47"/>
  <c r="CO41" i="47"/>
  <c r="CN41" i="47"/>
  <c r="CM41" i="47"/>
  <c r="CL41" i="47"/>
  <c r="CK41" i="47"/>
  <c r="C41" i="47"/>
  <c r="B41" i="47"/>
  <c r="EB40" i="47"/>
  <c r="EA40" i="47"/>
  <c r="DZ40" i="47"/>
  <c r="DY40" i="47"/>
  <c r="DX40" i="47"/>
  <c r="DW40" i="47"/>
  <c r="DV40" i="47"/>
  <c r="DU40" i="47"/>
  <c r="DT40" i="47"/>
  <c r="DS40" i="47"/>
  <c r="DR40" i="47"/>
  <c r="DQ40" i="47"/>
  <c r="DP40" i="47"/>
  <c r="DO40" i="47"/>
  <c r="CX40" i="47"/>
  <c r="CW40" i="47"/>
  <c r="CV40" i="47"/>
  <c r="CU40" i="47"/>
  <c r="CT40" i="47"/>
  <c r="CS40" i="47"/>
  <c r="CR40" i="47"/>
  <c r="CQ40" i="47"/>
  <c r="CP40" i="47"/>
  <c r="CO40" i="47"/>
  <c r="CN40" i="47"/>
  <c r="CM40" i="47"/>
  <c r="CL40" i="47"/>
  <c r="CK40" i="47"/>
  <c r="C40" i="47"/>
  <c r="B40" i="47"/>
  <c r="EB39" i="47"/>
  <c r="EA39" i="47"/>
  <c r="DZ39" i="47"/>
  <c r="DY39" i="47"/>
  <c r="DX39" i="47"/>
  <c r="DW39" i="47"/>
  <c r="DV39" i="47"/>
  <c r="DU39" i="47"/>
  <c r="DT39" i="47"/>
  <c r="DS39" i="47"/>
  <c r="DR39" i="47"/>
  <c r="DQ39" i="47"/>
  <c r="DP39" i="47"/>
  <c r="DO39" i="47"/>
  <c r="CX39" i="47"/>
  <c r="CW39" i="47"/>
  <c r="CV39" i="47"/>
  <c r="CU39" i="47"/>
  <c r="CT39" i="47"/>
  <c r="CS39" i="47"/>
  <c r="CR39" i="47"/>
  <c r="CQ39" i="47"/>
  <c r="CP39" i="47"/>
  <c r="CO39" i="47"/>
  <c r="CN39" i="47"/>
  <c r="CM39" i="47"/>
  <c r="CL39" i="47"/>
  <c r="CK39" i="47"/>
  <c r="C39" i="47"/>
  <c r="B39" i="47"/>
  <c r="EB38" i="47"/>
  <c r="EA38" i="47"/>
  <c r="DZ38" i="47"/>
  <c r="DY38" i="47"/>
  <c r="DX38" i="47"/>
  <c r="DW38" i="47"/>
  <c r="DV38" i="47"/>
  <c r="DU38" i="47"/>
  <c r="DT38" i="47"/>
  <c r="DS38" i="47"/>
  <c r="DR38" i="47"/>
  <c r="DQ38" i="47"/>
  <c r="DP38" i="47"/>
  <c r="DO38" i="47"/>
  <c r="CX38" i="47"/>
  <c r="CW38" i="47"/>
  <c r="CV38" i="47"/>
  <c r="CU38" i="47"/>
  <c r="CT38" i="47"/>
  <c r="CS38" i="47"/>
  <c r="CR38" i="47"/>
  <c r="CQ38" i="47"/>
  <c r="CP38" i="47"/>
  <c r="CO38" i="47"/>
  <c r="CN38" i="47"/>
  <c r="CM38" i="47"/>
  <c r="CL38" i="47"/>
  <c r="CK38" i="47"/>
  <c r="C38" i="47"/>
  <c r="B38" i="47"/>
  <c r="EB37" i="47"/>
  <c r="EA37" i="47"/>
  <c r="DZ37" i="47"/>
  <c r="DY37" i="47"/>
  <c r="DX37" i="47"/>
  <c r="DW37" i="47"/>
  <c r="DV37" i="47"/>
  <c r="DU37" i="47"/>
  <c r="DT37" i="47"/>
  <c r="DS37" i="47"/>
  <c r="DR37" i="47"/>
  <c r="DQ37" i="47"/>
  <c r="DP37" i="47"/>
  <c r="DO37" i="47"/>
  <c r="CX37" i="47"/>
  <c r="CW37" i="47"/>
  <c r="CV37" i="47"/>
  <c r="CU37" i="47"/>
  <c r="CT37" i="47"/>
  <c r="CS37" i="47"/>
  <c r="CR37" i="47"/>
  <c r="CQ37" i="47"/>
  <c r="CP37" i="47"/>
  <c r="CO37" i="47"/>
  <c r="CN37" i="47"/>
  <c r="CM37" i="47"/>
  <c r="CL37" i="47"/>
  <c r="CK37" i="47"/>
  <c r="C37" i="47"/>
  <c r="B37" i="47"/>
  <c r="EB36" i="47"/>
  <c r="EA36" i="47"/>
  <c r="DZ36" i="47"/>
  <c r="DY36" i="47"/>
  <c r="DX36" i="47"/>
  <c r="DW36" i="47"/>
  <c r="DV36" i="47"/>
  <c r="DU36" i="47"/>
  <c r="DT36" i="47"/>
  <c r="DS36" i="47"/>
  <c r="DR36" i="47"/>
  <c r="DQ36" i="47"/>
  <c r="DP36" i="47"/>
  <c r="DO36" i="47"/>
  <c r="CX36" i="47"/>
  <c r="CW36" i="47"/>
  <c r="CV36" i="47"/>
  <c r="CU36" i="47"/>
  <c r="CT36" i="47"/>
  <c r="CS36" i="47"/>
  <c r="CR36" i="47"/>
  <c r="CQ36" i="47"/>
  <c r="CP36" i="47"/>
  <c r="CO36" i="47"/>
  <c r="CN36" i="47"/>
  <c r="CM36" i="47"/>
  <c r="CL36" i="47"/>
  <c r="CK36" i="47"/>
  <c r="C36" i="47"/>
  <c r="B36" i="47"/>
  <c r="EB35" i="47"/>
  <c r="EA35" i="47"/>
  <c r="DZ35" i="47"/>
  <c r="DY35" i="47"/>
  <c r="DX35" i="47"/>
  <c r="DW35" i="47"/>
  <c r="DV35" i="47"/>
  <c r="DU35" i="47"/>
  <c r="DT35" i="47"/>
  <c r="DS35" i="47"/>
  <c r="DR35" i="47"/>
  <c r="DQ35" i="47"/>
  <c r="DP35" i="47"/>
  <c r="DO35" i="47"/>
  <c r="CX35" i="47"/>
  <c r="CW35" i="47"/>
  <c r="CV35" i="47"/>
  <c r="CU35" i="47"/>
  <c r="CT35" i="47"/>
  <c r="CS35" i="47"/>
  <c r="CR35" i="47"/>
  <c r="CQ35" i="47"/>
  <c r="CP35" i="47"/>
  <c r="CO35" i="47"/>
  <c r="CN35" i="47"/>
  <c r="CM35" i="47"/>
  <c r="CL35" i="47"/>
  <c r="CK35" i="47"/>
  <c r="C35" i="47"/>
  <c r="B35" i="47"/>
  <c r="EB30" i="47"/>
  <c r="EA30" i="47"/>
  <c r="DZ30" i="47"/>
  <c r="DY30" i="47"/>
  <c r="DX30" i="47"/>
  <c r="DW30" i="47"/>
  <c r="DV30" i="47"/>
  <c r="DU30" i="47"/>
  <c r="DT30" i="47"/>
  <c r="DS30" i="47"/>
  <c r="DR30" i="47"/>
  <c r="DQ30" i="47"/>
  <c r="DP30" i="47"/>
  <c r="DO30" i="47"/>
  <c r="DN30" i="47"/>
  <c r="DL30" i="47"/>
  <c r="DK30" i="47"/>
  <c r="DJ30" i="47"/>
  <c r="CX30" i="47"/>
  <c r="CW30" i="47"/>
  <c r="CV30" i="47"/>
  <c r="CU30" i="47"/>
  <c r="CT30" i="47"/>
  <c r="CS30" i="47"/>
  <c r="CR30" i="47"/>
  <c r="CQ30" i="47"/>
  <c r="CP30" i="47"/>
  <c r="CO30" i="47"/>
  <c r="CN30" i="47"/>
  <c r="CM30" i="47"/>
  <c r="CL30" i="47"/>
  <c r="CK30" i="47"/>
  <c r="CJ30" i="47"/>
  <c r="CI30" i="47"/>
  <c r="CF30" i="47"/>
  <c r="C30" i="47"/>
  <c r="B30" i="47"/>
  <c r="EB29" i="47"/>
  <c r="EA29" i="47"/>
  <c r="DZ29" i="47"/>
  <c r="DY29" i="47"/>
  <c r="DX29" i="47"/>
  <c r="DW29" i="47"/>
  <c r="DV29" i="47"/>
  <c r="DU29" i="47"/>
  <c r="DT29" i="47"/>
  <c r="DS29" i="47"/>
  <c r="DR29" i="47"/>
  <c r="DQ29" i="47"/>
  <c r="DP29" i="47"/>
  <c r="DO29" i="47"/>
  <c r="DN29" i="47"/>
  <c r="DL29" i="47"/>
  <c r="DK29" i="47"/>
  <c r="DJ29" i="47"/>
  <c r="CX29" i="47"/>
  <c r="CW29" i="47"/>
  <c r="CV29" i="47"/>
  <c r="CU29" i="47"/>
  <c r="CT29" i="47"/>
  <c r="CS29" i="47"/>
  <c r="CR29" i="47"/>
  <c r="CQ29" i="47"/>
  <c r="CP29" i="47"/>
  <c r="CO29" i="47"/>
  <c r="CN29" i="47"/>
  <c r="CM29" i="47"/>
  <c r="CL29" i="47"/>
  <c r="CK29" i="47"/>
  <c r="CJ29" i="47"/>
  <c r="CI29" i="47"/>
  <c r="CH29" i="47"/>
  <c r="CG29" i="47"/>
  <c r="CF29" i="47"/>
  <c r="C29" i="47"/>
  <c r="B29" i="47"/>
  <c r="EB28" i="47"/>
  <c r="EA28" i="47"/>
  <c r="DZ28" i="47"/>
  <c r="DY28" i="47"/>
  <c r="DX28" i="47"/>
  <c r="DW28" i="47"/>
  <c r="DV28" i="47"/>
  <c r="DU28" i="47"/>
  <c r="DT28" i="47"/>
  <c r="DS28" i="47"/>
  <c r="DR28" i="47"/>
  <c r="DQ28" i="47"/>
  <c r="DP28" i="47"/>
  <c r="DO28" i="47"/>
  <c r="DN28" i="47"/>
  <c r="DL28" i="47"/>
  <c r="DK28" i="47"/>
  <c r="DJ28" i="47"/>
  <c r="CX28" i="47"/>
  <c r="CW28" i="47"/>
  <c r="CV28" i="47"/>
  <c r="CU28" i="47"/>
  <c r="CT28" i="47"/>
  <c r="CS28" i="47"/>
  <c r="CR28" i="47"/>
  <c r="CQ28" i="47"/>
  <c r="CP28" i="47"/>
  <c r="CO28" i="47"/>
  <c r="CN28" i="47"/>
  <c r="CM28" i="47"/>
  <c r="CL28" i="47"/>
  <c r="CK28" i="47"/>
  <c r="CJ28" i="47"/>
  <c r="CI28" i="47"/>
  <c r="CH28" i="47"/>
  <c r="CG28" i="47"/>
  <c r="CF28" i="47"/>
  <c r="C28" i="47"/>
  <c r="B28" i="47"/>
  <c r="DX27" i="47"/>
  <c r="DW27" i="47"/>
  <c r="DV27" i="47"/>
  <c r="DU27" i="47"/>
  <c r="DT27" i="47"/>
  <c r="DS27" i="47"/>
  <c r="DR27" i="47"/>
  <c r="DQ27" i="47"/>
  <c r="DP27" i="47"/>
  <c r="CT27" i="47"/>
  <c r="CS27" i="47"/>
  <c r="CR27" i="47"/>
  <c r="CQ27" i="47"/>
  <c r="CP27" i="47"/>
  <c r="CO27" i="47"/>
  <c r="CN27" i="47"/>
  <c r="CM27" i="47"/>
  <c r="CL27" i="47"/>
  <c r="C27" i="47"/>
  <c r="B27" i="47"/>
  <c r="EB26" i="47"/>
  <c r="EA26" i="47"/>
  <c r="DZ26" i="47"/>
  <c r="DY26" i="47"/>
  <c r="DX26" i="47"/>
  <c r="DW26" i="47"/>
  <c r="DV26" i="47"/>
  <c r="DU26" i="47"/>
  <c r="DT26" i="47"/>
  <c r="DS26" i="47"/>
  <c r="DR26" i="47"/>
  <c r="DQ26" i="47"/>
  <c r="DP26" i="47"/>
  <c r="CX26" i="47"/>
  <c r="CW26" i="47"/>
  <c r="CV26" i="47"/>
  <c r="CU26" i="47"/>
  <c r="CT26" i="47"/>
  <c r="CS26" i="47"/>
  <c r="CR26" i="47"/>
  <c r="CQ26" i="47"/>
  <c r="CP26" i="47"/>
  <c r="CO26" i="47"/>
  <c r="CN26" i="47"/>
  <c r="CM26" i="47"/>
  <c r="CL26" i="47"/>
  <c r="C26" i="47"/>
  <c r="B26" i="47"/>
  <c r="EB25" i="47"/>
  <c r="EA25" i="47"/>
  <c r="DZ25" i="47"/>
  <c r="DY25" i="47"/>
  <c r="DX25" i="47"/>
  <c r="DW25" i="47"/>
  <c r="DV25" i="47"/>
  <c r="DU25" i="47"/>
  <c r="DT25" i="47"/>
  <c r="DS25" i="47"/>
  <c r="DR25" i="47"/>
  <c r="DQ25" i="47"/>
  <c r="DP25" i="47"/>
  <c r="DO25" i="47"/>
  <c r="DN25" i="47"/>
  <c r="DL25" i="47"/>
  <c r="DK25" i="47"/>
  <c r="DJ25" i="47"/>
  <c r="CX25" i="47"/>
  <c r="CW25" i="47"/>
  <c r="CV25" i="47"/>
  <c r="CU25" i="47"/>
  <c r="CT25" i="47"/>
  <c r="CS25" i="47"/>
  <c r="CR25" i="47"/>
  <c r="CQ25" i="47"/>
  <c r="CP25" i="47"/>
  <c r="CO25" i="47"/>
  <c r="CN25" i="47"/>
  <c r="CM25" i="47"/>
  <c r="CL25" i="47"/>
  <c r="CK25" i="47"/>
  <c r="CJ25" i="47"/>
  <c r="CI25" i="47"/>
  <c r="CH25" i="47"/>
  <c r="CG25" i="47"/>
  <c r="CF25" i="47"/>
  <c r="C25" i="47"/>
  <c r="B25" i="47"/>
  <c r="EB24" i="47"/>
  <c r="EA24" i="47"/>
  <c r="DZ24" i="47"/>
  <c r="DY24" i="47"/>
  <c r="DX24" i="47"/>
  <c r="DW24" i="47"/>
  <c r="DV24" i="47"/>
  <c r="DU24" i="47"/>
  <c r="DT24" i="47"/>
  <c r="DS24" i="47"/>
  <c r="DR24" i="47"/>
  <c r="DQ24" i="47"/>
  <c r="DP24" i="47"/>
  <c r="DO24" i="47"/>
  <c r="CX24" i="47"/>
  <c r="CW24" i="47"/>
  <c r="CV24" i="47"/>
  <c r="CU24" i="47"/>
  <c r="CT24" i="47"/>
  <c r="CS24" i="47"/>
  <c r="CR24" i="47"/>
  <c r="CQ24" i="47"/>
  <c r="CP24" i="47"/>
  <c r="CO24" i="47"/>
  <c r="CN24" i="47"/>
  <c r="CM24" i="47"/>
  <c r="CL24" i="47"/>
  <c r="CK24" i="47"/>
  <c r="C24" i="47"/>
  <c r="B24" i="47"/>
  <c r="EB23" i="47"/>
  <c r="EA23" i="47"/>
  <c r="DZ23" i="47"/>
  <c r="DY23" i="47"/>
  <c r="DX23" i="47"/>
  <c r="DW23" i="47"/>
  <c r="DV23" i="47"/>
  <c r="DU23" i="47"/>
  <c r="DT23" i="47"/>
  <c r="DS23" i="47"/>
  <c r="DR23" i="47"/>
  <c r="DQ23" i="47"/>
  <c r="DP23" i="47"/>
  <c r="CX23" i="47"/>
  <c r="CW23" i="47"/>
  <c r="CV23" i="47"/>
  <c r="CU23" i="47"/>
  <c r="CT23" i="47"/>
  <c r="CS23" i="47"/>
  <c r="CR23" i="47"/>
  <c r="CQ23" i="47"/>
  <c r="CP23" i="47"/>
  <c r="CO23" i="47"/>
  <c r="CN23" i="47"/>
  <c r="CM23" i="47"/>
  <c r="CL23" i="47"/>
  <c r="C23" i="47"/>
  <c r="B23" i="47"/>
  <c r="DL22" i="47"/>
  <c r="DK22" i="47"/>
  <c r="DJ22" i="47"/>
  <c r="CH22" i="47"/>
  <c r="CG22" i="47"/>
  <c r="CF22" i="47"/>
  <c r="C22" i="47"/>
  <c r="B22" i="47"/>
  <c r="EB21" i="47"/>
  <c r="EA21" i="47"/>
  <c r="DZ21" i="47"/>
  <c r="DY21" i="47"/>
  <c r="DX21" i="47"/>
  <c r="DW21" i="47"/>
  <c r="DV21" i="47"/>
  <c r="DU21" i="47"/>
  <c r="DT21" i="47"/>
  <c r="DS21" i="47"/>
  <c r="DR21" i="47"/>
  <c r="DQ21" i="47"/>
  <c r="DP21" i="47"/>
  <c r="DO21" i="47"/>
  <c r="DN21" i="47"/>
  <c r="DL21" i="47"/>
  <c r="DK21" i="47"/>
  <c r="DJ21" i="47"/>
  <c r="CX21" i="47"/>
  <c r="CW21" i="47"/>
  <c r="CV21" i="47"/>
  <c r="CU21" i="47"/>
  <c r="CT21" i="47"/>
  <c r="CS21" i="47"/>
  <c r="CR21" i="47"/>
  <c r="CQ21" i="47"/>
  <c r="CP21" i="47"/>
  <c r="CO21" i="47"/>
  <c r="CN21" i="47"/>
  <c r="CM21" i="47"/>
  <c r="CL21" i="47"/>
  <c r="CK21" i="47"/>
  <c r="CJ21" i="47"/>
  <c r="CI21" i="47"/>
  <c r="AX21" i="47" s="1"/>
  <c r="CH21" i="47"/>
  <c r="CG21" i="47"/>
  <c r="C21" i="47"/>
  <c r="B21" i="47"/>
  <c r="EB20" i="47"/>
  <c r="EA20" i="47"/>
  <c r="DZ20" i="47"/>
  <c r="DY20" i="47"/>
  <c r="DX20" i="47"/>
  <c r="DW20" i="47"/>
  <c r="DV20" i="47"/>
  <c r="DU20" i="47"/>
  <c r="DT20" i="47"/>
  <c r="DS20" i="47"/>
  <c r="DR20" i="47"/>
  <c r="DQ20" i="47"/>
  <c r="DP20" i="47"/>
  <c r="DO20" i="47"/>
  <c r="CX20" i="47"/>
  <c r="CW20" i="47"/>
  <c r="CV20" i="47"/>
  <c r="CU20" i="47"/>
  <c r="CT20" i="47"/>
  <c r="CS20" i="47"/>
  <c r="CR20" i="47"/>
  <c r="CQ20" i="47"/>
  <c r="CP20" i="47"/>
  <c r="CO20" i="47"/>
  <c r="CN20" i="47"/>
  <c r="CM20" i="47"/>
  <c r="CL20" i="47"/>
  <c r="CK20" i="47"/>
  <c r="C20" i="47"/>
  <c r="B20" i="47"/>
  <c r="EB19" i="47"/>
  <c r="EA19" i="47"/>
  <c r="DZ19" i="47"/>
  <c r="DY19" i="47"/>
  <c r="DX19" i="47"/>
  <c r="DW19" i="47"/>
  <c r="DV19" i="47"/>
  <c r="DU19" i="47"/>
  <c r="DT19" i="47"/>
  <c r="DS19" i="47"/>
  <c r="DR19" i="47"/>
  <c r="DQ19" i="47"/>
  <c r="DP19" i="47"/>
  <c r="DO19" i="47"/>
  <c r="CX19" i="47"/>
  <c r="CW19" i="47"/>
  <c r="CV19" i="47"/>
  <c r="CU19" i="47"/>
  <c r="CT19" i="47"/>
  <c r="CS19" i="47"/>
  <c r="CR19" i="47"/>
  <c r="CQ19" i="47"/>
  <c r="CP19" i="47"/>
  <c r="CO19" i="47"/>
  <c r="CN19" i="47"/>
  <c r="CM19" i="47"/>
  <c r="CL19" i="47"/>
  <c r="CK19" i="47"/>
  <c r="C19" i="47"/>
  <c r="B19" i="47"/>
  <c r="EB18" i="47"/>
  <c r="EA18" i="47"/>
  <c r="DZ18" i="47"/>
  <c r="DY18" i="47"/>
  <c r="DX18" i="47"/>
  <c r="DW18" i="47"/>
  <c r="DV18" i="47"/>
  <c r="DU18" i="47"/>
  <c r="DT18" i="47"/>
  <c r="DS18" i="47"/>
  <c r="DR18" i="47"/>
  <c r="DQ18" i="47"/>
  <c r="DP18" i="47"/>
  <c r="DO18" i="47"/>
  <c r="CX18" i="47"/>
  <c r="CW18" i="47"/>
  <c r="CV18" i="47"/>
  <c r="CU18" i="47"/>
  <c r="CT18" i="47"/>
  <c r="CS18" i="47"/>
  <c r="CR18" i="47"/>
  <c r="CQ18" i="47"/>
  <c r="CP18" i="47"/>
  <c r="CO18" i="47"/>
  <c r="CN18" i="47"/>
  <c r="CM18" i="47"/>
  <c r="CL18" i="47"/>
  <c r="CK18" i="47"/>
  <c r="C18" i="47"/>
  <c r="B18" i="47"/>
  <c r="EB17" i="47"/>
  <c r="EA17" i="47"/>
  <c r="DZ17" i="47"/>
  <c r="DY17" i="47"/>
  <c r="DX17" i="47"/>
  <c r="DW17" i="47"/>
  <c r="DV17" i="47"/>
  <c r="DU17" i="47"/>
  <c r="DT17" i="47"/>
  <c r="DS17" i="47"/>
  <c r="DR17" i="47"/>
  <c r="DQ17" i="47"/>
  <c r="DP17" i="47"/>
  <c r="DO17" i="47"/>
  <c r="CX17" i="47"/>
  <c r="CW17" i="47"/>
  <c r="CV17" i="47"/>
  <c r="CU17" i="47"/>
  <c r="CT17" i="47"/>
  <c r="CS17" i="47"/>
  <c r="CR17" i="47"/>
  <c r="CQ17" i="47"/>
  <c r="CP17" i="47"/>
  <c r="CO17" i="47"/>
  <c r="CN17" i="47"/>
  <c r="CM17" i="47"/>
  <c r="CL17" i="47"/>
  <c r="CK17" i="47"/>
  <c r="C17" i="47"/>
  <c r="B17" i="47"/>
  <c r="EB16" i="47"/>
  <c r="EA16" i="47"/>
  <c r="DZ16" i="47"/>
  <c r="DY16" i="47"/>
  <c r="DX16" i="47"/>
  <c r="DW16" i="47"/>
  <c r="DV16" i="47"/>
  <c r="DU16" i="47"/>
  <c r="DT16" i="47"/>
  <c r="DS16" i="47"/>
  <c r="DR16" i="47"/>
  <c r="DQ16" i="47"/>
  <c r="DP16" i="47"/>
  <c r="DO16" i="47"/>
  <c r="CX16" i="47"/>
  <c r="CW16" i="47"/>
  <c r="CV16" i="47"/>
  <c r="CU16" i="47"/>
  <c r="CT16" i="47"/>
  <c r="CS16" i="47"/>
  <c r="CR16" i="47"/>
  <c r="CQ16" i="47"/>
  <c r="CP16" i="47"/>
  <c r="CO16" i="47"/>
  <c r="CN16" i="47"/>
  <c r="CM16" i="47"/>
  <c r="CL16" i="47"/>
  <c r="CK16" i="47"/>
  <c r="C16" i="47"/>
  <c r="B16" i="47"/>
  <c r="EB15" i="47"/>
  <c r="EA15" i="47"/>
  <c r="DZ15" i="47"/>
  <c r="DY15" i="47"/>
  <c r="DX15" i="47"/>
  <c r="DW15" i="47"/>
  <c r="DV15" i="47"/>
  <c r="DU15" i="47"/>
  <c r="DT15" i="47"/>
  <c r="DS15" i="47"/>
  <c r="DR15" i="47"/>
  <c r="DQ15" i="47"/>
  <c r="DP15" i="47"/>
  <c r="DO15" i="47"/>
  <c r="CX15" i="47"/>
  <c r="CW15" i="47"/>
  <c r="CV15" i="47"/>
  <c r="CU15" i="47"/>
  <c r="CT15" i="47"/>
  <c r="CS15" i="47"/>
  <c r="CR15" i="47"/>
  <c r="CQ15" i="47"/>
  <c r="CP15" i="47"/>
  <c r="CO15" i="47"/>
  <c r="CN15" i="47"/>
  <c r="CM15" i="47"/>
  <c r="CL15" i="47"/>
  <c r="CK15" i="47"/>
  <c r="C15" i="47"/>
  <c r="B15" i="47"/>
  <c r="EB14" i="47"/>
  <c r="EA14" i="47"/>
  <c r="DZ14" i="47"/>
  <c r="DY14" i="47"/>
  <c r="DX14" i="47"/>
  <c r="DW14" i="47"/>
  <c r="DV14" i="47"/>
  <c r="DU14" i="47"/>
  <c r="DT14" i="47"/>
  <c r="DS14" i="47"/>
  <c r="DR14" i="47"/>
  <c r="DQ14" i="47"/>
  <c r="DP14" i="47"/>
  <c r="DO14" i="47"/>
  <c r="CX14" i="47"/>
  <c r="CW14" i="47"/>
  <c r="CV14" i="47"/>
  <c r="CU14" i="47"/>
  <c r="CT14" i="47"/>
  <c r="CS14" i="47"/>
  <c r="CR14" i="47"/>
  <c r="CQ14" i="47"/>
  <c r="CP14" i="47"/>
  <c r="CO14" i="47"/>
  <c r="CN14" i="47"/>
  <c r="CM14" i="47"/>
  <c r="CL14" i="47"/>
  <c r="CK14" i="47"/>
  <c r="C14" i="47"/>
  <c r="B14" i="47"/>
  <c r="EB13" i="47"/>
  <c r="EA13" i="47"/>
  <c r="DZ13" i="47"/>
  <c r="DY13" i="47"/>
  <c r="DX13" i="47"/>
  <c r="DW13" i="47"/>
  <c r="DV13" i="47"/>
  <c r="DU13" i="47"/>
  <c r="DT13" i="47"/>
  <c r="DS13" i="47"/>
  <c r="DR13" i="47"/>
  <c r="DQ13" i="47"/>
  <c r="DP13" i="47"/>
  <c r="DO13" i="47"/>
  <c r="CX13" i="47"/>
  <c r="CW13" i="47"/>
  <c r="CV13" i="47"/>
  <c r="CU13" i="47"/>
  <c r="CT13" i="47"/>
  <c r="CS13" i="47"/>
  <c r="CR13" i="47"/>
  <c r="CQ13" i="47"/>
  <c r="CP13" i="47"/>
  <c r="CO13" i="47"/>
  <c r="CN13" i="47"/>
  <c r="CM13" i="47"/>
  <c r="CL13" i="47"/>
  <c r="C13" i="47"/>
  <c r="B13" i="47"/>
  <c r="E200" i="46"/>
  <c r="D200" i="46"/>
  <c r="E199" i="46"/>
  <c r="D199" i="46"/>
  <c r="E198" i="46"/>
  <c r="D198" i="46"/>
  <c r="E197" i="46"/>
  <c r="D197" i="46"/>
  <c r="E196" i="46"/>
  <c r="D196" i="46"/>
  <c r="E195" i="46"/>
  <c r="D195" i="46"/>
  <c r="E194" i="46"/>
  <c r="D194" i="46"/>
  <c r="E193" i="46"/>
  <c r="D193" i="46"/>
  <c r="E192" i="46"/>
  <c r="D192" i="46"/>
  <c r="E191" i="46"/>
  <c r="D191" i="46"/>
  <c r="E186" i="46"/>
  <c r="D186" i="46"/>
  <c r="E185" i="46"/>
  <c r="D185" i="46"/>
  <c r="E184" i="46"/>
  <c r="D184" i="46"/>
  <c r="E183" i="46"/>
  <c r="D183" i="46"/>
  <c r="E182" i="46"/>
  <c r="D182" i="46"/>
  <c r="E181" i="46"/>
  <c r="D181" i="46"/>
  <c r="E180" i="46"/>
  <c r="D180" i="46"/>
  <c r="E179" i="46"/>
  <c r="D179" i="46"/>
  <c r="E178" i="46"/>
  <c r="D178" i="46"/>
  <c r="E177" i="46"/>
  <c r="D177" i="46"/>
  <c r="E176" i="46"/>
  <c r="D176" i="46"/>
  <c r="AQ171" i="46"/>
  <c r="AP171" i="46"/>
  <c r="AO171" i="46"/>
  <c r="AN171" i="46"/>
  <c r="AM171" i="46"/>
  <c r="AL171" i="46"/>
  <c r="AK171" i="46"/>
  <c r="AJ171" i="46"/>
  <c r="AI171" i="46"/>
  <c r="AH171" i="46"/>
  <c r="AG171" i="46"/>
  <c r="AF171" i="46"/>
  <c r="AE171" i="46"/>
  <c r="AD171" i="46"/>
  <c r="AC171" i="46"/>
  <c r="AB171" i="46"/>
  <c r="AA171" i="46"/>
  <c r="Z171" i="46"/>
  <c r="Y171" i="46"/>
  <c r="X171" i="46"/>
  <c r="W171" i="46"/>
  <c r="V171" i="46"/>
  <c r="U171" i="46"/>
  <c r="T171" i="46"/>
  <c r="S171" i="46"/>
  <c r="R171" i="46"/>
  <c r="Q171" i="46"/>
  <c r="P171" i="46"/>
  <c r="O171" i="46"/>
  <c r="N171" i="46"/>
  <c r="M171" i="46"/>
  <c r="L171" i="46"/>
  <c r="K171" i="46"/>
  <c r="J171" i="46"/>
  <c r="I171" i="46"/>
  <c r="H171" i="46"/>
  <c r="G171" i="46"/>
  <c r="F171" i="46"/>
  <c r="E170" i="46"/>
  <c r="D170" i="46"/>
  <c r="E169" i="46"/>
  <c r="D169" i="46"/>
  <c r="E168" i="46"/>
  <c r="D168" i="46"/>
  <c r="E167" i="46"/>
  <c r="D167" i="46"/>
  <c r="E166" i="46"/>
  <c r="D166" i="46"/>
  <c r="E165" i="46"/>
  <c r="D165" i="46"/>
  <c r="E164" i="46"/>
  <c r="D164" i="46"/>
  <c r="E163" i="46"/>
  <c r="D163" i="46"/>
  <c r="E162" i="46"/>
  <c r="C162" i="46" s="1"/>
  <c r="E161" i="46"/>
  <c r="E160" i="46"/>
  <c r="D160" i="46"/>
  <c r="U155" i="46"/>
  <c r="T155" i="46"/>
  <c r="S155" i="46"/>
  <c r="R155" i="46"/>
  <c r="Q155" i="46"/>
  <c r="P155" i="46"/>
  <c r="O155" i="46"/>
  <c r="N155" i="46"/>
  <c r="M155" i="46"/>
  <c r="L155" i="46"/>
  <c r="K155" i="46"/>
  <c r="J155" i="46"/>
  <c r="I155" i="46"/>
  <c r="H155" i="46"/>
  <c r="G155" i="46"/>
  <c r="F155" i="46"/>
  <c r="E155" i="46"/>
  <c r="D155" i="46"/>
  <c r="C155" i="46"/>
  <c r="B154" i="46"/>
  <c r="B153" i="46"/>
  <c r="B152" i="46"/>
  <c r="B151" i="46"/>
  <c r="B150" i="46"/>
  <c r="B149" i="46"/>
  <c r="B148" i="46"/>
  <c r="B147" i="46"/>
  <c r="B146" i="46"/>
  <c r="B145" i="46"/>
  <c r="B144" i="46"/>
  <c r="B143" i="46"/>
  <c r="B142" i="46"/>
  <c r="B141" i="46"/>
  <c r="B140" i="46"/>
  <c r="B139" i="46"/>
  <c r="AI136" i="46"/>
  <c r="AH136" i="46"/>
  <c r="AG136" i="46"/>
  <c r="AF136" i="46"/>
  <c r="AE136" i="46"/>
  <c r="AD136" i="46"/>
  <c r="AC136" i="46"/>
  <c r="AB136" i="46"/>
  <c r="AA136" i="46"/>
  <c r="Z136" i="46"/>
  <c r="Y136" i="46"/>
  <c r="X136" i="46"/>
  <c r="W136" i="46"/>
  <c r="V136" i="46"/>
  <c r="U136" i="46"/>
  <c r="T136" i="46"/>
  <c r="S136" i="46"/>
  <c r="R136" i="46"/>
  <c r="Q136" i="46"/>
  <c r="P136" i="46"/>
  <c r="O136" i="46"/>
  <c r="M136" i="46"/>
  <c r="L136" i="46"/>
  <c r="K136" i="46"/>
  <c r="I136" i="46"/>
  <c r="H136" i="46"/>
  <c r="G136" i="46"/>
  <c r="E136" i="46"/>
  <c r="D136" i="46"/>
  <c r="C136" i="46"/>
  <c r="N135" i="46"/>
  <c r="J135" i="46"/>
  <c r="F135" i="46"/>
  <c r="B135" i="46"/>
  <c r="N134" i="46"/>
  <c r="J134" i="46"/>
  <c r="F134" i="46"/>
  <c r="B134" i="46"/>
  <c r="N133" i="46"/>
  <c r="J133" i="46"/>
  <c r="F133" i="46"/>
  <c r="B133" i="46"/>
  <c r="N132" i="46"/>
  <c r="J132" i="46"/>
  <c r="F132" i="46"/>
  <c r="B132" i="46"/>
  <c r="N131" i="46"/>
  <c r="J131" i="46"/>
  <c r="F131" i="46"/>
  <c r="B131" i="46"/>
  <c r="N130" i="46"/>
  <c r="J130" i="46"/>
  <c r="F130" i="46"/>
  <c r="B130" i="46"/>
  <c r="N129" i="46"/>
  <c r="J129" i="46"/>
  <c r="F129" i="46"/>
  <c r="B129" i="46"/>
  <c r="N128" i="46"/>
  <c r="J128" i="46"/>
  <c r="F128" i="46"/>
  <c r="B128" i="46"/>
  <c r="N127" i="46"/>
  <c r="J127" i="46"/>
  <c r="F127" i="46"/>
  <c r="B127" i="46"/>
  <c r="N126" i="46"/>
  <c r="J126" i="46"/>
  <c r="F126" i="46"/>
  <c r="B126" i="46"/>
  <c r="N125" i="46"/>
  <c r="J125" i="46"/>
  <c r="F125" i="46"/>
  <c r="B125" i="46"/>
  <c r="N124" i="46"/>
  <c r="J124" i="46"/>
  <c r="F124" i="46"/>
  <c r="B124" i="46"/>
  <c r="N123" i="46"/>
  <c r="J123" i="46"/>
  <c r="F123" i="46"/>
  <c r="B123" i="46"/>
  <c r="N122" i="46"/>
  <c r="J122" i="46"/>
  <c r="F122" i="46"/>
  <c r="B122" i="46"/>
  <c r="N121" i="46"/>
  <c r="J121" i="46"/>
  <c r="F121" i="46"/>
  <c r="B121" i="46"/>
  <c r="N120" i="46"/>
  <c r="J120" i="46"/>
  <c r="F120" i="46"/>
  <c r="B120" i="46"/>
  <c r="N119" i="46"/>
  <c r="J119" i="46"/>
  <c r="F119" i="46"/>
  <c r="B119" i="46"/>
  <c r="N118" i="46"/>
  <c r="J118" i="46"/>
  <c r="F118" i="46"/>
  <c r="B118" i="46"/>
  <c r="N117" i="46"/>
  <c r="J117" i="46"/>
  <c r="F117" i="46"/>
  <c r="B117" i="46"/>
  <c r="N116" i="46"/>
  <c r="J116" i="46"/>
  <c r="F116" i="46"/>
  <c r="B116" i="46"/>
  <c r="N115" i="46"/>
  <c r="J115" i="46"/>
  <c r="F115" i="46"/>
  <c r="B115" i="46"/>
  <c r="N114" i="46"/>
  <c r="J114" i="46"/>
  <c r="F114" i="46"/>
  <c r="B114" i="46"/>
  <c r="N113" i="46"/>
  <c r="J113" i="46"/>
  <c r="F113" i="46"/>
  <c r="B113" i="46"/>
  <c r="N112" i="46"/>
  <c r="J112" i="46"/>
  <c r="F112" i="46"/>
  <c r="B112" i="46"/>
  <c r="N111" i="46"/>
  <c r="J111" i="46"/>
  <c r="F111" i="46"/>
  <c r="B111" i="46"/>
  <c r="N110" i="46"/>
  <c r="J110" i="46"/>
  <c r="F110" i="46"/>
  <c r="B110" i="46"/>
  <c r="N109" i="46"/>
  <c r="J109" i="46"/>
  <c r="F109" i="46"/>
  <c r="B109" i="46"/>
  <c r="N108" i="46"/>
  <c r="J108" i="46"/>
  <c r="F108" i="46"/>
  <c r="B108" i="46"/>
  <c r="N107" i="46"/>
  <c r="J107" i="46"/>
  <c r="F107" i="46"/>
  <c r="B107" i="46"/>
  <c r="N106" i="46"/>
  <c r="J106" i="46"/>
  <c r="F106" i="46"/>
  <c r="B106" i="46"/>
  <c r="N105" i="46"/>
  <c r="J105" i="46"/>
  <c r="F105" i="46"/>
  <c r="B105" i="46"/>
  <c r="N104" i="46"/>
  <c r="J104" i="46"/>
  <c r="F104" i="46"/>
  <c r="B104" i="46"/>
  <c r="N103" i="46"/>
  <c r="J103" i="46"/>
  <c r="F103" i="46"/>
  <c r="B103" i="46"/>
  <c r="N102" i="46"/>
  <c r="J102" i="46"/>
  <c r="F102" i="46"/>
  <c r="B102" i="46"/>
  <c r="N101" i="46"/>
  <c r="J101" i="46"/>
  <c r="F101" i="46"/>
  <c r="B101" i="46"/>
  <c r="N100" i="46"/>
  <c r="J100" i="46"/>
  <c r="F100" i="46"/>
  <c r="B100" i="46"/>
  <c r="N99" i="46"/>
  <c r="J99" i="46"/>
  <c r="F99" i="46"/>
  <c r="B99" i="46"/>
  <c r="N98" i="46"/>
  <c r="J98" i="46"/>
  <c r="F98" i="46"/>
  <c r="B98" i="46"/>
  <c r="N97" i="46"/>
  <c r="J97" i="46"/>
  <c r="F97" i="46"/>
  <c r="B97" i="46"/>
  <c r="N96" i="46"/>
  <c r="J96" i="46"/>
  <c r="F96" i="46"/>
  <c r="B96" i="46"/>
  <c r="N95" i="46"/>
  <c r="J95" i="46"/>
  <c r="F95" i="46"/>
  <c r="B95" i="46"/>
  <c r="N94" i="46"/>
  <c r="J94" i="46"/>
  <c r="F94" i="46"/>
  <c r="B94" i="46"/>
  <c r="N93" i="46"/>
  <c r="J93" i="46"/>
  <c r="F93" i="46"/>
  <c r="B93" i="46"/>
  <c r="N92" i="46"/>
  <c r="J92" i="46"/>
  <c r="F92" i="46"/>
  <c r="B92" i="46"/>
  <c r="N91" i="46"/>
  <c r="J91" i="46"/>
  <c r="F91" i="46"/>
  <c r="B91" i="46"/>
  <c r="N90" i="46"/>
  <c r="J90" i="46"/>
  <c r="F90" i="46"/>
  <c r="B90" i="46"/>
  <c r="N89" i="46"/>
  <c r="J89" i="46"/>
  <c r="F89" i="46"/>
  <c r="B89" i="46"/>
  <c r="N88" i="46"/>
  <c r="J88" i="46"/>
  <c r="F88" i="46"/>
  <c r="B88" i="46"/>
  <c r="N87" i="46"/>
  <c r="J87" i="46"/>
  <c r="F87" i="46"/>
  <c r="B87" i="46"/>
  <c r="N86" i="46"/>
  <c r="J86" i="46"/>
  <c r="F86" i="46"/>
  <c r="B86" i="46"/>
  <c r="N85" i="46"/>
  <c r="J85" i="46"/>
  <c r="F85" i="46"/>
  <c r="B85" i="46"/>
  <c r="N84" i="46"/>
  <c r="J84" i="46"/>
  <c r="F84" i="46"/>
  <c r="B84" i="46"/>
  <c r="N83" i="46"/>
  <c r="J83" i="46"/>
  <c r="F83" i="46"/>
  <c r="B83" i="46"/>
  <c r="N82" i="46"/>
  <c r="J82" i="46"/>
  <c r="F82" i="46"/>
  <c r="B82" i="46"/>
  <c r="N81" i="46"/>
  <c r="J81" i="46"/>
  <c r="F81" i="46"/>
  <c r="B81" i="46"/>
  <c r="N80" i="46"/>
  <c r="J80" i="46"/>
  <c r="F80" i="46"/>
  <c r="B80" i="46"/>
  <c r="N79" i="46"/>
  <c r="J79" i="46"/>
  <c r="F79" i="46"/>
  <c r="B79" i="46"/>
  <c r="N78" i="46"/>
  <c r="J78" i="46"/>
  <c r="F78" i="46"/>
  <c r="B78" i="46"/>
  <c r="N77" i="46"/>
  <c r="J77" i="46"/>
  <c r="F77" i="46"/>
  <c r="B77" i="46"/>
  <c r="N76" i="46"/>
  <c r="J76" i="46"/>
  <c r="F76" i="46"/>
  <c r="B76" i="46"/>
  <c r="AF72" i="46"/>
  <c r="AE72" i="46"/>
  <c r="AD72" i="46"/>
  <c r="AC72" i="46"/>
  <c r="AB72" i="46"/>
  <c r="Z72" i="46"/>
  <c r="Y72" i="46"/>
  <c r="X72" i="46"/>
  <c r="V72" i="46"/>
  <c r="U72" i="46"/>
  <c r="T72" i="46"/>
  <c r="S72" i="46"/>
  <c r="R72" i="46"/>
  <c r="Q72" i="46"/>
  <c r="P72" i="46"/>
  <c r="O72" i="46"/>
  <c r="N72" i="46"/>
  <c r="M72" i="46"/>
  <c r="L72" i="46"/>
  <c r="K72" i="46"/>
  <c r="J72" i="46"/>
  <c r="I72" i="46"/>
  <c r="H72" i="46"/>
  <c r="G72" i="46"/>
  <c r="F72" i="46"/>
  <c r="E72" i="46"/>
  <c r="D72" i="46"/>
  <c r="C72" i="46"/>
  <c r="AA71" i="46"/>
  <c r="W71" i="46"/>
  <c r="B71" i="46"/>
  <c r="AA70" i="46"/>
  <c r="W70" i="46"/>
  <c r="B70" i="46"/>
  <c r="AA69" i="46"/>
  <c r="W69" i="46"/>
  <c r="B69" i="46"/>
  <c r="AA68" i="46"/>
  <c r="W68" i="46"/>
  <c r="B68" i="46"/>
  <c r="AA67" i="46"/>
  <c r="W67" i="46"/>
  <c r="B67" i="46"/>
  <c r="AA66" i="46"/>
  <c r="W66" i="46"/>
  <c r="B66" i="46"/>
  <c r="AA65" i="46"/>
  <c r="W65" i="46"/>
  <c r="B65" i="46"/>
  <c r="AA64" i="46"/>
  <c r="W64" i="46"/>
  <c r="B64" i="46"/>
  <c r="AA63" i="46"/>
  <c r="W63" i="46"/>
  <c r="B63" i="46"/>
  <c r="AA62" i="46"/>
  <c r="W62" i="46"/>
  <c r="B62" i="46"/>
  <c r="AA61" i="46"/>
  <c r="W61" i="46"/>
  <c r="B61" i="46"/>
  <c r="BG61" i="46" s="1"/>
  <c r="AA60" i="46"/>
  <c r="W60" i="46"/>
  <c r="B60" i="46"/>
  <c r="AA59" i="46"/>
  <c r="W59" i="46"/>
  <c r="B59" i="46"/>
  <c r="AA58" i="46"/>
  <c r="W58" i="46"/>
  <c r="B58" i="46"/>
  <c r="AA57" i="46"/>
  <c r="W57" i="46"/>
  <c r="B57" i="46"/>
  <c r="AA56" i="46"/>
  <c r="W56" i="46"/>
  <c r="B56" i="46"/>
  <c r="AA55" i="46"/>
  <c r="W55" i="46"/>
  <c r="B55" i="46"/>
  <c r="AA54" i="46"/>
  <c r="W54" i="46"/>
  <c r="B54" i="46"/>
  <c r="AA53" i="46"/>
  <c r="W53" i="46"/>
  <c r="B53" i="46"/>
  <c r="BG53" i="46" s="1"/>
  <c r="AA52" i="46"/>
  <c r="W52" i="46"/>
  <c r="B52" i="46"/>
  <c r="AA51" i="46"/>
  <c r="W51" i="46"/>
  <c r="B51" i="46"/>
  <c r="AA50" i="46"/>
  <c r="W50" i="46"/>
  <c r="B50" i="46"/>
  <c r="AA49" i="46"/>
  <c r="W49" i="46"/>
  <c r="B49" i="46"/>
  <c r="AA48" i="46"/>
  <c r="W48" i="46"/>
  <c r="B48" i="46"/>
  <c r="AA47" i="46"/>
  <c r="W47" i="46"/>
  <c r="B47" i="46"/>
  <c r="AA46" i="46"/>
  <c r="W46" i="46"/>
  <c r="B46" i="46"/>
  <c r="AA45" i="46"/>
  <c r="W45" i="46"/>
  <c r="B45" i="46"/>
  <c r="BG45" i="46" s="1"/>
  <c r="AA44" i="46"/>
  <c r="W44" i="46"/>
  <c r="B44" i="46"/>
  <c r="AA43" i="46"/>
  <c r="W43" i="46"/>
  <c r="B43" i="46"/>
  <c r="AA42" i="46"/>
  <c r="W42" i="46"/>
  <c r="B42" i="46"/>
  <c r="AA41" i="46"/>
  <c r="W41" i="46"/>
  <c r="B41" i="46"/>
  <c r="AA40" i="46"/>
  <c r="W40" i="46"/>
  <c r="B40" i="46"/>
  <c r="AA39" i="46"/>
  <c r="W39" i="46"/>
  <c r="B39" i="46"/>
  <c r="AA38" i="46"/>
  <c r="W38" i="46"/>
  <c r="B38" i="46"/>
  <c r="AA37" i="46"/>
  <c r="W37" i="46"/>
  <c r="B37" i="46"/>
  <c r="BG37" i="46" s="1"/>
  <c r="AA36" i="46"/>
  <c r="W36" i="46"/>
  <c r="B36" i="46"/>
  <c r="AA35" i="46"/>
  <c r="W35" i="46"/>
  <c r="B35" i="46"/>
  <c r="AA34" i="46"/>
  <c r="W34" i="46"/>
  <c r="B34" i="46"/>
  <c r="AA33" i="46"/>
  <c r="W33" i="46"/>
  <c r="B33" i="46"/>
  <c r="AA32" i="46"/>
  <c r="W32" i="46"/>
  <c r="B32" i="46"/>
  <c r="AA31" i="46"/>
  <c r="W31" i="46"/>
  <c r="B31" i="46"/>
  <c r="AA30" i="46"/>
  <c r="W30" i="46"/>
  <c r="B30" i="46"/>
  <c r="AA29" i="46"/>
  <c r="W29" i="46"/>
  <c r="B29" i="46"/>
  <c r="BG29" i="46" s="1"/>
  <c r="AA28" i="46"/>
  <c r="W28" i="46"/>
  <c r="B28" i="46"/>
  <c r="AA27" i="46"/>
  <c r="W27" i="46"/>
  <c r="B27" i="46"/>
  <c r="AA26" i="46"/>
  <c r="W26" i="46"/>
  <c r="B26" i="46"/>
  <c r="AA25" i="46"/>
  <c r="W25" i="46"/>
  <c r="B25" i="46"/>
  <c r="AA24" i="46"/>
  <c r="W24" i="46"/>
  <c r="B24" i="46"/>
  <c r="AA23" i="46"/>
  <c r="W23" i="46"/>
  <c r="B23" i="46"/>
  <c r="AA22" i="46"/>
  <c r="W22" i="46"/>
  <c r="B22" i="46"/>
  <c r="AA21" i="46"/>
  <c r="W21" i="46"/>
  <c r="B21" i="46"/>
  <c r="BG21" i="46" s="1"/>
  <c r="AA20" i="46"/>
  <c r="W20" i="46"/>
  <c r="B20" i="46"/>
  <c r="AA19" i="46"/>
  <c r="W19" i="46"/>
  <c r="B19" i="46"/>
  <c r="AA18" i="46"/>
  <c r="W18" i="46"/>
  <c r="B18" i="46"/>
  <c r="AA17" i="46"/>
  <c r="W17" i="46"/>
  <c r="B17" i="46"/>
  <c r="AA16" i="46"/>
  <c r="W16" i="46"/>
  <c r="B16" i="46"/>
  <c r="AA15" i="46"/>
  <c r="W15" i="46"/>
  <c r="B15" i="46"/>
  <c r="AA14" i="46"/>
  <c r="W14" i="46"/>
  <c r="B14" i="46"/>
  <c r="AA13" i="46"/>
  <c r="W13" i="46"/>
  <c r="B13" i="46"/>
  <c r="AA12" i="46"/>
  <c r="W12" i="46"/>
  <c r="E160" i="45"/>
  <c r="D160" i="45"/>
  <c r="X159" i="45"/>
  <c r="W159" i="45"/>
  <c r="V159" i="45"/>
  <c r="U159" i="45"/>
  <c r="T159" i="45"/>
  <c r="S159" i="45"/>
  <c r="R159" i="45"/>
  <c r="Q159" i="45"/>
  <c r="P159" i="45"/>
  <c r="O159" i="45"/>
  <c r="N159" i="45"/>
  <c r="M159" i="45"/>
  <c r="L159" i="45"/>
  <c r="K159" i="45"/>
  <c r="J159" i="45"/>
  <c r="I159" i="45"/>
  <c r="H159" i="45"/>
  <c r="G159" i="45"/>
  <c r="F159" i="45"/>
  <c r="E158" i="45"/>
  <c r="D158" i="45"/>
  <c r="E157" i="45"/>
  <c r="D157" i="45"/>
  <c r="E156" i="45"/>
  <c r="D156" i="45"/>
  <c r="X155" i="45"/>
  <c r="W155" i="45"/>
  <c r="V155" i="45"/>
  <c r="U155" i="45"/>
  <c r="T155" i="45"/>
  <c r="S155" i="45"/>
  <c r="R155" i="45"/>
  <c r="Q155" i="45"/>
  <c r="P155" i="45"/>
  <c r="O155" i="45"/>
  <c r="N155" i="45"/>
  <c r="M155" i="45"/>
  <c r="L155" i="45"/>
  <c r="K155" i="45"/>
  <c r="J155" i="45"/>
  <c r="I155" i="45"/>
  <c r="H155" i="45"/>
  <c r="G155" i="45"/>
  <c r="F155" i="45"/>
  <c r="E154" i="45"/>
  <c r="D154" i="45"/>
  <c r="E153" i="45"/>
  <c r="D153" i="45"/>
  <c r="E152" i="45"/>
  <c r="D152" i="45"/>
  <c r="B142" i="45"/>
  <c r="B141" i="45"/>
  <c r="B140" i="45"/>
  <c r="B139" i="45"/>
  <c r="B138" i="45"/>
  <c r="B137" i="45"/>
  <c r="B136" i="45"/>
  <c r="B135" i="45"/>
  <c r="AR130" i="45"/>
  <c r="AQ130" i="45"/>
  <c r="AP130" i="45"/>
  <c r="AO130" i="45"/>
  <c r="AN130" i="45"/>
  <c r="AM130" i="45"/>
  <c r="AL130" i="45"/>
  <c r="AK130" i="45"/>
  <c r="AJ130" i="45"/>
  <c r="AI130" i="45"/>
  <c r="AH130" i="45"/>
  <c r="AG130" i="45"/>
  <c r="AF130" i="45"/>
  <c r="AE130" i="45"/>
  <c r="AD130" i="45"/>
  <c r="AC130" i="45"/>
  <c r="AB130" i="45"/>
  <c r="AA130" i="45"/>
  <c r="Z130" i="45"/>
  <c r="Y130" i="45"/>
  <c r="X130" i="45"/>
  <c r="W130" i="45"/>
  <c r="V130" i="45"/>
  <c r="U130" i="45"/>
  <c r="T130" i="45"/>
  <c r="S130" i="45"/>
  <c r="R130" i="45"/>
  <c r="Q130" i="45"/>
  <c r="P130" i="45"/>
  <c r="O130" i="45"/>
  <c r="N130" i="45"/>
  <c r="M130" i="45"/>
  <c r="L130" i="45"/>
  <c r="K130" i="45"/>
  <c r="J130" i="45"/>
  <c r="I130" i="45"/>
  <c r="H130" i="45"/>
  <c r="G130" i="45"/>
  <c r="F130" i="45"/>
  <c r="E129" i="45"/>
  <c r="D129" i="45"/>
  <c r="E128" i="45"/>
  <c r="D128" i="45"/>
  <c r="E127" i="45"/>
  <c r="D127" i="45"/>
  <c r="D118" i="45"/>
  <c r="C118" i="45"/>
  <c r="D117" i="45"/>
  <c r="C117" i="45"/>
  <c r="D116" i="45"/>
  <c r="C116" i="45"/>
  <c r="D108" i="45"/>
  <c r="C108" i="45"/>
  <c r="D107" i="45"/>
  <c r="C107" i="45"/>
  <c r="D106" i="45"/>
  <c r="C106" i="45"/>
  <c r="F101" i="45"/>
  <c r="E101" i="45"/>
  <c r="D101" i="45"/>
  <c r="C101" i="45"/>
  <c r="B101" i="45"/>
  <c r="E76" i="45"/>
  <c r="D76" i="45"/>
  <c r="E75" i="45"/>
  <c r="D75" i="45"/>
  <c r="E74" i="45"/>
  <c r="D74" i="45"/>
  <c r="E73" i="45"/>
  <c r="D73" i="45"/>
  <c r="E72" i="45"/>
  <c r="D72" i="45"/>
  <c r="E71" i="45"/>
  <c r="D71" i="45"/>
  <c r="E70" i="45"/>
  <c r="D70" i="45"/>
  <c r="E69" i="45"/>
  <c r="D69" i="45"/>
  <c r="E68" i="45"/>
  <c r="D68" i="45"/>
  <c r="E67" i="45"/>
  <c r="D67" i="45"/>
  <c r="E66" i="45"/>
  <c r="D66" i="45"/>
  <c r="E65" i="45"/>
  <c r="D65" i="45"/>
  <c r="E64" i="45"/>
  <c r="D64" i="45"/>
  <c r="E63" i="45"/>
  <c r="D63" i="45"/>
  <c r="E62" i="45"/>
  <c r="D62" i="45"/>
  <c r="E61" i="45"/>
  <c r="D61" i="45"/>
  <c r="E60" i="45"/>
  <c r="D60" i="45"/>
  <c r="E59" i="45"/>
  <c r="D59" i="45"/>
  <c r="E58" i="45"/>
  <c r="D58" i="45"/>
  <c r="E57" i="45"/>
  <c r="D57" i="45"/>
  <c r="E56" i="45"/>
  <c r="D56" i="45"/>
  <c r="E55" i="45"/>
  <c r="D55" i="45"/>
  <c r="E50" i="45"/>
  <c r="D50" i="45"/>
  <c r="E49" i="45"/>
  <c r="D49" i="45"/>
  <c r="M38" i="45"/>
  <c r="L38" i="45"/>
  <c r="K38" i="45"/>
  <c r="J38" i="45"/>
  <c r="I38" i="45"/>
  <c r="H38" i="45"/>
  <c r="G38" i="45"/>
  <c r="F38" i="45"/>
  <c r="D38" i="45"/>
  <c r="C38" i="45"/>
  <c r="E37" i="45"/>
  <c r="B37" i="45"/>
  <c r="E36" i="45"/>
  <c r="B36" i="45"/>
  <c r="AU32" i="45"/>
  <c r="AT32" i="45"/>
  <c r="AS32" i="45"/>
  <c r="AR32" i="45"/>
  <c r="AQ32" i="45"/>
  <c r="AP32" i="45"/>
  <c r="AO32" i="45"/>
  <c r="AN32" i="45"/>
  <c r="AM32" i="45"/>
  <c r="AL32" i="45"/>
  <c r="AK32" i="45"/>
  <c r="AJ32" i="45"/>
  <c r="AI32" i="45"/>
  <c r="AH32" i="45"/>
  <c r="AG32" i="45"/>
  <c r="AF32" i="45"/>
  <c r="AE32" i="45"/>
  <c r="AD32" i="45"/>
  <c r="AC32" i="45"/>
  <c r="AB32" i="45"/>
  <c r="AA32" i="45"/>
  <c r="Z32" i="45"/>
  <c r="Y32" i="45"/>
  <c r="X32" i="45"/>
  <c r="W32" i="45"/>
  <c r="V32" i="45"/>
  <c r="U32" i="45"/>
  <c r="T32" i="45"/>
  <c r="S32" i="45"/>
  <c r="R32" i="45"/>
  <c r="Q32" i="45"/>
  <c r="P32" i="45"/>
  <c r="O32" i="45"/>
  <c r="N32" i="45"/>
  <c r="M32" i="45"/>
  <c r="L32" i="45"/>
  <c r="K32" i="45"/>
  <c r="J32" i="45"/>
  <c r="I32" i="45"/>
  <c r="H32" i="45"/>
  <c r="D32" i="45"/>
  <c r="C32" i="45"/>
  <c r="G31" i="45"/>
  <c r="F31" i="45"/>
  <c r="B31" i="45"/>
  <c r="G30" i="45"/>
  <c r="F30" i="45"/>
  <c r="B30" i="45"/>
  <c r="E26" i="45"/>
  <c r="D26" i="45"/>
  <c r="E25" i="45"/>
  <c r="D25" i="45"/>
  <c r="E24" i="45"/>
  <c r="D24" i="45"/>
  <c r="E23" i="45"/>
  <c r="D23" i="45"/>
  <c r="AU22" i="45"/>
  <c r="AT22" i="45"/>
  <c r="AS22" i="45"/>
  <c r="AR22" i="45"/>
  <c r="AQ22" i="45"/>
  <c r="AP22" i="45"/>
  <c r="AO22" i="45"/>
  <c r="AN22" i="45"/>
  <c r="AM22" i="45"/>
  <c r="AL22" i="45"/>
  <c r="AK22" i="45"/>
  <c r="AJ22" i="45"/>
  <c r="AI22" i="45"/>
  <c r="AH22" i="45"/>
  <c r="AG22" i="45"/>
  <c r="AF22" i="45"/>
  <c r="AE22" i="45"/>
  <c r="AD22" i="45"/>
  <c r="AC22" i="45"/>
  <c r="AB22" i="45"/>
  <c r="AA22" i="45"/>
  <c r="Z22" i="45"/>
  <c r="Y22" i="45"/>
  <c r="X22" i="45"/>
  <c r="W22" i="45"/>
  <c r="V22" i="45"/>
  <c r="U22" i="45"/>
  <c r="T22" i="45"/>
  <c r="S22" i="45"/>
  <c r="R22" i="45"/>
  <c r="Q22" i="45"/>
  <c r="P22" i="45"/>
  <c r="O22" i="45"/>
  <c r="N22" i="45"/>
  <c r="M22" i="45"/>
  <c r="L22" i="45"/>
  <c r="K22" i="45"/>
  <c r="J22" i="45"/>
  <c r="I22" i="45"/>
  <c r="H22" i="45"/>
  <c r="G22" i="45"/>
  <c r="F22" i="45"/>
  <c r="E21" i="45"/>
  <c r="D21" i="45"/>
  <c r="E20" i="45"/>
  <c r="D20" i="45"/>
  <c r="E19" i="45"/>
  <c r="D19" i="45"/>
  <c r="E18" i="45"/>
  <c r="D18" i="45"/>
  <c r="E17" i="45"/>
  <c r="D17" i="45"/>
  <c r="E16" i="45"/>
  <c r="D16" i="45"/>
  <c r="E15" i="45"/>
  <c r="D15" i="45"/>
  <c r="E14" i="45"/>
  <c r="D14" i="45"/>
  <c r="E13" i="45"/>
  <c r="D13" i="45"/>
  <c r="E12" i="45"/>
  <c r="D12" i="45"/>
  <c r="BL139" i="46" l="1"/>
  <c r="BM139" i="46"/>
  <c r="BE139" i="46"/>
  <c r="BF139" i="46"/>
  <c r="CO164" i="47"/>
  <c r="DS164" i="47"/>
  <c r="CO165" i="47"/>
  <c r="DS165" i="47"/>
  <c r="CO166" i="47"/>
  <c r="DS166" i="47"/>
  <c r="CO167" i="47"/>
  <c r="DS167" i="47"/>
  <c r="CO168" i="47"/>
  <c r="DS168" i="47"/>
  <c r="CO169" i="47"/>
  <c r="DS169" i="47"/>
  <c r="DS170" i="47"/>
  <c r="CO170" i="47"/>
  <c r="DS171" i="47"/>
  <c r="CO171" i="47"/>
  <c r="CO172" i="47"/>
  <c r="DS172" i="47"/>
  <c r="CO173" i="47"/>
  <c r="DS173" i="47"/>
  <c r="CO174" i="47"/>
  <c r="DS174" i="47"/>
  <c r="CO175" i="47"/>
  <c r="DS175" i="47"/>
  <c r="CO176" i="47"/>
  <c r="DS176" i="47"/>
  <c r="CO177" i="47"/>
  <c r="DS177" i="47"/>
  <c r="DS178" i="47"/>
  <c r="CO178" i="47"/>
  <c r="DS179" i="47"/>
  <c r="CO179" i="47"/>
  <c r="CO180" i="47"/>
  <c r="DS180" i="47"/>
  <c r="CO181" i="47"/>
  <c r="DS181" i="47"/>
  <c r="CO182" i="47"/>
  <c r="DS182" i="47"/>
  <c r="CO183" i="47"/>
  <c r="DS183" i="47"/>
  <c r="DS163" i="47"/>
  <c r="CO163" i="47"/>
  <c r="DS162" i="47"/>
  <c r="CO162" i="47"/>
  <c r="CO161" i="47"/>
  <c r="DS161" i="47"/>
  <c r="CI249" i="47"/>
  <c r="DM249" i="47"/>
  <c r="CI245" i="47"/>
  <c r="DM245" i="47"/>
  <c r="DM238" i="47"/>
  <c r="CI238" i="47"/>
  <c r="CI242" i="47"/>
  <c r="DM242" i="47"/>
  <c r="DM246" i="47"/>
  <c r="CI246" i="47"/>
  <c r="CI250" i="47"/>
  <c r="DM250" i="47"/>
  <c r="DM254" i="47"/>
  <c r="CI254" i="47"/>
  <c r="CI258" i="47"/>
  <c r="DM258" i="47"/>
  <c r="CI257" i="47"/>
  <c r="DM257" i="47"/>
  <c r="CI239" i="47"/>
  <c r="DM239" i="47"/>
  <c r="CI243" i="47"/>
  <c r="DM243" i="47"/>
  <c r="CI247" i="47"/>
  <c r="DM247" i="47"/>
  <c r="DM251" i="47"/>
  <c r="CI251" i="47"/>
  <c r="CI255" i="47"/>
  <c r="DM255" i="47"/>
  <c r="DM259" i="47"/>
  <c r="CI259" i="47"/>
  <c r="CI253" i="47"/>
  <c r="DM253" i="47"/>
  <c r="CI237" i="47"/>
  <c r="DM237" i="47"/>
  <c r="CI240" i="47"/>
  <c r="DM240" i="47"/>
  <c r="CI244" i="47"/>
  <c r="DM244" i="47"/>
  <c r="CI248" i="47"/>
  <c r="DM248" i="47"/>
  <c r="CI252" i="47"/>
  <c r="DM252" i="47"/>
  <c r="CI256" i="47"/>
  <c r="DM256" i="47"/>
  <c r="CI241" i="47"/>
  <c r="DM241" i="47"/>
  <c r="DL219" i="47"/>
  <c r="CG219" i="47"/>
  <c r="DL217" i="47"/>
  <c r="CG217" i="47"/>
  <c r="CG220" i="47"/>
  <c r="DL220" i="47"/>
  <c r="CG215" i="47"/>
  <c r="DL215" i="47"/>
  <c r="DL218" i="47"/>
  <c r="CG218" i="47"/>
  <c r="CG221" i="47"/>
  <c r="DL221" i="47"/>
  <c r="DG229" i="47"/>
  <c r="DE229" i="47"/>
  <c r="CC229" i="47"/>
  <c r="CC226" i="47"/>
  <c r="DG226" i="47"/>
  <c r="DE226" i="47"/>
  <c r="CC230" i="47"/>
  <c r="DG230" i="47"/>
  <c r="DE230" i="47"/>
  <c r="DE227" i="47"/>
  <c r="DG227" i="47"/>
  <c r="CC227" i="47"/>
  <c r="CC231" i="47"/>
  <c r="DG231" i="47"/>
  <c r="DE231" i="47"/>
  <c r="DG228" i="47"/>
  <c r="DE228" i="47"/>
  <c r="CC228" i="47"/>
  <c r="DE232" i="47"/>
  <c r="CC232" i="47"/>
  <c r="DG232" i="47"/>
  <c r="CG216" i="47"/>
  <c r="DL216" i="47"/>
  <c r="CH219" i="47"/>
  <c r="CI219" i="47"/>
  <c r="CI216" i="47"/>
  <c r="CH216" i="47"/>
  <c r="CI217" i="47"/>
  <c r="CH217" i="47"/>
  <c r="CH220" i="47"/>
  <c r="CI220" i="47"/>
  <c r="CI218" i="47"/>
  <c r="CH218" i="47"/>
  <c r="CH221" i="47"/>
  <c r="CI221" i="47"/>
  <c r="CH215" i="47"/>
  <c r="CI215" i="47"/>
  <c r="CP173" i="47"/>
  <c r="CQ173" i="47"/>
  <c r="CQ174" i="47"/>
  <c r="CP174" i="47"/>
  <c r="CQ175" i="47"/>
  <c r="CP175" i="47"/>
  <c r="CP176" i="47"/>
  <c r="CQ176" i="47"/>
  <c r="CP177" i="47"/>
  <c r="CQ177" i="47"/>
  <c r="CP178" i="47"/>
  <c r="CQ178" i="47"/>
  <c r="CP179" i="47"/>
  <c r="CQ179" i="47"/>
  <c r="CP180" i="47"/>
  <c r="CQ180" i="47"/>
  <c r="CQ181" i="47"/>
  <c r="CP181" i="47"/>
  <c r="CQ182" i="47"/>
  <c r="CP182" i="47"/>
  <c r="CQ183" i="47"/>
  <c r="CP183" i="47"/>
  <c r="CC37" i="47"/>
  <c r="CD37" i="47"/>
  <c r="CE37" i="47"/>
  <c r="CC41" i="47"/>
  <c r="CD41" i="47"/>
  <c r="CE41" i="47"/>
  <c r="CD46" i="47"/>
  <c r="CE46" i="47"/>
  <c r="CC46" i="47"/>
  <c r="CC88" i="47"/>
  <c r="CD88" i="47"/>
  <c r="CE88" i="47"/>
  <c r="DG88" i="47"/>
  <c r="DG115" i="47"/>
  <c r="CC115" i="47"/>
  <c r="CD115" i="47"/>
  <c r="CE115" i="47"/>
  <c r="CI161" i="47"/>
  <c r="CN161" i="47"/>
  <c r="CN163" i="47"/>
  <c r="CI163" i="47"/>
  <c r="CP161" i="47"/>
  <c r="CQ161" i="47"/>
  <c r="CP163" i="47"/>
  <c r="CQ163" i="47"/>
  <c r="CC27" i="47"/>
  <c r="CE27" i="47"/>
  <c r="CD27" i="47"/>
  <c r="DG27" i="47"/>
  <c r="CC36" i="47"/>
  <c r="CD36" i="47"/>
  <c r="CE36" i="47"/>
  <c r="CC40" i="47"/>
  <c r="CD40" i="47"/>
  <c r="CE40" i="47"/>
  <c r="CC49" i="47"/>
  <c r="CD49" i="47"/>
  <c r="CE49" i="47"/>
  <c r="DG49" i="47"/>
  <c r="CC110" i="47"/>
  <c r="CD110" i="47"/>
  <c r="CE110" i="47"/>
  <c r="DG110" i="47"/>
  <c r="DG137" i="47"/>
  <c r="CC137" i="47"/>
  <c r="CD137" i="47"/>
  <c r="CE137" i="47"/>
  <c r="CN162" i="47"/>
  <c r="CI162" i="47"/>
  <c r="CD22" i="47"/>
  <c r="CE22" i="47"/>
  <c r="DG22" i="47"/>
  <c r="CC22" i="47"/>
  <c r="CE35" i="47"/>
  <c r="CD35" i="47"/>
  <c r="CC35" i="47"/>
  <c r="CC39" i="47"/>
  <c r="CD39" i="47"/>
  <c r="CE39" i="47"/>
  <c r="CE43" i="47"/>
  <c r="CD43" i="47"/>
  <c r="CC43" i="47"/>
  <c r="CC44" i="47"/>
  <c r="DG44" i="47"/>
  <c r="CD44" i="47"/>
  <c r="CE44" i="47"/>
  <c r="CC45" i="47"/>
  <c r="CD45" i="47"/>
  <c r="CE45" i="47"/>
  <c r="CE71" i="47"/>
  <c r="DG71" i="47"/>
  <c r="CD71" i="47"/>
  <c r="CC71" i="47"/>
  <c r="CC132" i="47"/>
  <c r="DG132" i="47"/>
  <c r="CD132" i="47"/>
  <c r="CE132" i="47"/>
  <c r="CP162" i="47"/>
  <c r="CQ162" i="47"/>
  <c r="CD38" i="47"/>
  <c r="CE38" i="47"/>
  <c r="CC38" i="47"/>
  <c r="CC42" i="47"/>
  <c r="CD42" i="47"/>
  <c r="CE42" i="47"/>
  <c r="CC47" i="47"/>
  <c r="CD47" i="47"/>
  <c r="CE47" i="47"/>
  <c r="CE48" i="47"/>
  <c r="CC48" i="47"/>
  <c r="CD48" i="47"/>
  <c r="CC50" i="47"/>
  <c r="CD50" i="47"/>
  <c r="CE50" i="47"/>
  <c r="CE51" i="47"/>
  <c r="CC51" i="47"/>
  <c r="CD51" i="47"/>
  <c r="CC52" i="47"/>
  <c r="CD52" i="47"/>
  <c r="CE52" i="47"/>
  <c r="DG66" i="47"/>
  <c r="CC66" i="47"/>
  <c r="CD66" i="47"/>
  <c r="CE66" i="47"/>
  <c r="DG93" i="47"/>
  <c r="CC93" i="47"/>
  <c r="CD93" i="47"/>
  <c r="CE93" i="47"/>
  <c r="CI164" i="47"/>
  <c r="CN164" i="47"/>
  <c r="CI165" i="47"/>
  <c r="CN165" i="47"/>
  <c r="CI166" i="47"/>
  <c r="CN166" i="47"/>
  <c r="CI167" i="47"/>
  <c r="CN167" i="47"/>
  <c r="CI168" i="47"/>
  <c r="CN168" i="47"/>
  <c r="CI169" i="47"/>
  <c r="CN169" i="47"/>
  <c r="CN170" i="47"/>
  <c r="CI170" i="47"/>
  <c r="CN171" i="47"/>
  <c r="CI171" i="47"/>
  <c r="CI172" i="47"/>
  <c r="CN172" i="47"/>
  <c r="CI173" i="47"/>
  <c r="CN173" i="47"/>
  <c r="CI174" i="47"/>
  <c r="CN174" i="47"/>
  <c r="CI175" i="47"/>
  <c r="CN175" i="47"/>
  <c r="CI176" i="47"/>
  <c r="CN176" i="47"/>
  <c r="CI177" i="47"/>
  <c r="CN177" i="47"/>
  <c r="CN178" i="47"/>
  <c r="CI178" i="47"/>
  <c r="CN179" i="47"/>
  <c r="CI179" i="47"/>
  <c r="CI180" i="47"/>
  <c r="CN180" i="47"/>
  <c r="CI181" i="47"/>
  <c r="CN181" i="47"/>
  <c r="CI182" i="47"/>
  <c r="CN182" i="47"/>
  <c r="CI183" i="47"/>
  <c r="CN183" i="47"/>
  <c r="CO204" i="47"/>
  <c r="CP204" i="47"/>
  <c r="CA204" i="47"/>
  <c r="CQ204" i="47"/>
  <c r="CI189" i="47"/>
  <c r="CM189" i="47"/>
  <c r="DM189" i="47"/>
  <c r="CN189" i="47"/>
  <c r="CN193" i="47"/>
  <c r="DM193" i="47"/>
  <c r="CM193" i="47"/>
  <c r="CI193" i="47"/>
  <c r="CI197" i="47"/>
  <c r="CM197" i="47"/>
  <c r="CN197" i="47"/>
  <c r="DM197" i="47"/>
  <c r="DM201" i="47"/>
  <c r="CI201" i="47"/>
  <c r="CM201" i="47"/>
  <c r="CN201" i="47"/>
  <c r="CI205" i="47"/>
  <c r="DM205" i="47"/>
  <c r="CM205" i="47"/>
  <c r="CN205" i="47"/>
  <c r="CM209" i="47"/>
  <c r="DM209" i="47"/>
  <c r="CN209" i="47"/>
  <c r="CI209" i="47"/>
  <c r="CQ200" i="47"/>
  <c r="CA200" i="47"/>
  <c r="CO200" i="47"/>
  <c r="CP200" i="47"/>
  <c r="CQ189" i="47"/>
  <c r="CA189" i="47"/>
  <c r="CO189" i="47"/>
  <c r="CP189" i="47"/>
  <c r="CP193" i="47"/>
  <c r="CQ193" i="47"/>
  <c r="CA193" i="47"/>
  <c r="CO193" i="47"/>
  <c r="CA197" i="47"/>
  <c r="CO197" i="47"/>
  <c r="CP197" i="47"/>
  <c r="CQ197" i="47"/>
  <c r="CP201" i="47"/>
  <c r="CQ201" i="47"/>
  <c r="CO201" i="47"/>
  <c r="CA201" i="47"/>
  <c r="CQ205" i="47"/>
  <c r="CO205" i="47"/>
  <c r="CP205" i="47"/>
  <c r="CA205" i="47"/>
  <c r="CP209" i="47"/>
  <c r="CQ209" i="47"/>
  <c r="CO209" i="47"/>
  <c r="CA209" i="47"/>
  <c r="CI190" i="47"/>
  <c r="CM190" i="47"/>
  <c r="CN190" i="47"/>
  <c r="DM190" i="47"/>
  <c r="CM194" i="47"/>
  <c r="DM194" i="47"/>
  <c r="CN194" i="47"/>
  <c r="CI194" i="47"/>
  <c r="DM198" i="47"/>
  <c r="CI198" i="47"/>
  <c r="CM198" i="47"/>
  <c r="CN198" i="47"/>
  <c r="CN202" i="47"/>
  <c r="CI202" i="47"/>
  <c r="CM202" i="47"/>
  <c r="DM202" i="47"/>
  <c r="CI206" i="47"/>
  <c r="CM206" i="47"/>
  <c r="CN206" i="47"/>
  <c r="DM206" i="47"/>
  <c r="CM210" i="47"/>
  <c r="CI210" i="47"/>
  <c r="DM210" i="47"/>
  <c r="CN210" i="47"/>
  <c r="CQ192" i="47"/>
  <c r="CO192" i="47"/>
  <c r="CA192" i="47"/>
  <c r="CP192" i="47"/>
  <c r="CA190" i="47"/>
  <c r="CP190" i="47"/>
  <c r="CO190" i="47"/>
  <c r="CQ190" i="47"/>
  <c r="CO194" i="47"/>
  <c r="CP194" i="47"/>
  <c r="CQ194" i="47"/>
  <c r="CA194" i="47"/>
  <c r="CA198" i="47"/>
  <c r="CP198" i="47"/>
  <c r="CQ198" i="47"/>
  <c r="CO198" i="47"/>
  <c r="CO202" i="47"/>
  <c r="CP202" i="47"/>
  <c r="CQ202" i="47"/>
  <c r="CA202" i="47"/>
  <c r="CA206" i="47"/>
  <c r="CQ206" i="47"/>
  <c r="CP206" i="47"/>
  <c r="CO206" i="47"/>
  <c r="CO210" i="47"/>
  <c r="CP210" i="47"/>
  <c r="CQ210" i="47"/>
  <c r="CA210" i="47"/>
  <c r="CQ208" i="47"/>
  <c r="CP208" i="47"/>
  <c r="CA208" i="47"/>
  <c r="CO208" i="47"/>
  <c r="DM191" i="47"/>
  <c r="CI191" i="47"/>
  <c r="CM191" i="47"/>
  <c r="CN191" i="47"/>
  <c r="CN195" i="47"/>
  <c r="CM195" i="47"/>
  <c r="CI195" i="47"/>
  <c r="DM195" i="47"/>
  <c r="DM199" i="47"/>
  <c r="CI199" i="47"/>
  <c r="CM199" i="47"/>
  <c r="CN199" i="47"/>
  <c r="CN203" i="47"/>
  <c r="CM203" i="47"/>
  <c r="DM203" i="47"/>
  <c r="CI203" i="47"/>
  <c r="DM207" i="47"/>
  <c r="CI207" i="47"/>
  <c r="CM207" i="47"/>
  <c r="CN207" i="47"/>
  <c r="CA196" i="47"/>
  <c r="CO196" i="47"/>
  <c r="CP196" i="47"/>
  <c r="CQ196" i="47"/>
  <c r="CA191" i="47"/>
  <c r="CP191" i="47"/>
  <c r="CO191" i="47"/>
  <c r="CQ191" i="47"/>
  <c r="CO195" i="47"/>
  <c r="CP195" i="47"/>
  <c r="CQ195" i="47"/>
  <c r="CA195" i="47"/>
  <c r="CO199" i="47"/>
  <c r="CQ199" i="47"/>
  <c r="CA199" i="47"/>
  <c r="CP199" i="47"/>
  <c r="CA203" i="47"/>
  <c r="CO203" i="47"/>
  <c r="CP203" i="47"/>
  <c r="CQ203" i="47"/>
  <c r="CA207" i="47"/>
  <c r="CQ207" i="47"/>
  <c r="CO207" i="47"/>
  <c r="CP207" i="47"/>
  <c r="CO188" i="47"/>
  <c r="CP188" i="47"/>
  <c r="CQ188" i="47"/>
  <c r="CA188" i="47"/>
  <c r="CN188" i="47"/>
  <c r="CM188" i="47"/>
  <c r="CI188" i="47"/>
  <c r="DM188" i="47"/>
  <c r="DM192" i="47"/>
  <c r="CN192" i="47"/>
  <c r="CI192" i="47"/>
  <c r="CM192" i="47"/>
  <c r="CM196" i="47"/>
  <c r="DM196" i="47"/>
  <c r="CN196" i="47"/>
  <c r="CI196" i="47"/>
  <c r="CN200" i="47"/>
  <c r="DM200" i="47"/>
  <c r="CI200" i="47"/>
  <c r="CM200" i="47"/>
  <c r="CM204" i="47"/>
  <c r="CN204" i="47"/>
  <c r="DM204" i="47"/>
  <c r="CI204" i="47"/>
  <c r="DM208" i="47"/>
  <c r="CN208" i="47"/>
  <c r="CI208" i="47"/>
  <c r="CM208" i="47"/>
  <c r="CA174" i="47"/>
  <c r="DM174" i="47"/>
  <c r="CM174" i="47"/>
  <c r="CA175" i="47"/>
  <c r="DM175" i="47"/>
  <c r="CM175" i="47"/>
  <c r="CA176" i="47"/>
  <c r="DM176" i="47"/>
  <c r="CM176" i="47"/>
  <c r="CM177" i="47"/>
  <c r="CA177" i="47"/>
  <c r="DM177" i="47"/>
  <c r="CM178" i="47"/>
  <c r="CA178" i="47"/>
  <c r="DM178" i="47"/>
  <c r="CM179" i="47"/>
  <c r="CA179" i="47"/>
  <c r="DM179" i="47"/>
  <c r="DM180" i="47"/>
  <c r="CM180" i="47"/>
  <c r="CA180" i="47"/>
  <c r="DM181" i="47"/>
  <c r="CM181" i="47"/>
  <c r="CA181" i="47"/>
  <c r="CA182" i="47"/>
  <c r="DM182" i="47"/>
  <c r="CM182" i="47"/>
  <c r="CA183" i="47"/>
  <c r="DM183" i="47"/>
  <c r="CM183" i="47"/>
  <c r="CA173" i="47"/>
  <c r="CM173" i="47"/>
  <c r="DM173" i="47"/>
  <c r="CQ165" i="47"/>
  <c r="CA165" i="47"/>
  <c r="CP165" i="47"/>
  <c r="CQ166" i="47"/>
  <c r="CA166" i="47"/>
  <c r="CP166" i="47"/>
  <c r="CQ167" i="47"/>
  <c r="CP167" i="47"/>
  <c r="CA167" i="47"/>
  <c r="CP168" i="47"/>
  <c r="CA168" i="47"/>
  <c r="CQ168" i="47"/>
  <c r="CA169" i="47"/>
  <c r="CP169" i="47"/>
  <c r="CQ169" i="47"/>
  <c r="CM164" i="47"/>
  <c r="DM164" i="47"/>
  <c r="CM165" i="47"/>
  <c r="DM165" i="47"/>
  <c r="CM166" i="47"/>
  <c r="DM166" i="47"/>
  <c r="DM167" i="47"/>
  <c r="CM167" i="47"/>
  <c r="DM168" i="47"/>
  <c r="CM168" i="47"/>
  <c r="DM169" i="47"/>
  <c r="CM169" i="47"/>
  <c r="CA161" i="47"/>
  <c r="CM161" i="47"/>
  <c r="CM163" i="47"/>
  <c r="CA163" i="47"/>
  <c r="CM162" i="47"/>
  <c r="CA162" i="47"/>
  <c r="CA164" i="47"/>
  <c r="CQ164" i="47"/>
  <c r="CP164" i="47"/>
  <c r="CM172" i="47"/>
  <c r="DM172" i="47"/>
  <c r="CM171" i="47"/>
  <c r="DM171" i="47"/>
  <c r="CM170" i="47"/>
  <c r="DM170" i="47"/>
  <c r="CQ172" i="47"/>
  <c r="CA172" i="47"/>
  <c r="CP172" i="47"/>
  <c r="CQ171" i="47"/>
  <c r="CA171" i="47"/>
  <c r="CP171" i="47"/>
  <c r="CQ170" i="47"/>
  <c r="CA170" i="47"/>
  <c r="CP170" i="47"/>
  <c r="DM163" i="47"/>
  <c r="DM162" i="47"/>
  <c r="DM161" i="47"/>
  <c r="CE138" i="47"/>
  <c r="DG138" i="47"/>
  <c r="CC138" i="47"/>
  <c r="CD138" i="47"/>
  <c r="CC139" i="47"/>
  <c r="CD139" i="47"/>
  <c r="DG139" i="47"/>
  <c r="CE139" i="47"/>
  <c r="DG140" i="47"/>
  <c r="CC140" i="47"/>
  <c r="CD140" i="47"/>
  <c r="CE140" i="47"/>
  <c r="CE134" i="47"/>
  <c r="DG134" i="47"/>
  <c r="CC134" i="47"/>
  <c r="CD134" i="47"/>
  <c r="CC133" i="47"/>
  <c r="CD133" i="47"/>
  <c r="DG133" i="47"/>
  <c r="CE133" i="47"/>
  <c r="CC135" i="47"/>
  <c r="CD135" i="47"/>
  <c r="CE135" i="47"/>
  <c r="DG135" i="47"/>
  <c r="CC136" i="47"/>
  <c r="DG136" i="47"/>
  <c r="CD136" i="47"/>
  <c r="CE136" i="47"/>
  <c r="CC125" i="47"/>
  <c r="CD125" i="47"/>
  <c r="DG125" i="47"/>
  <c r="CE125" i="47"/>
  <c r="CD129" i="47"/>
  <c r="CE129" i="47"/>
  <c r="CC129" i="47"/>
  <c r="DG129" i="47"/>
  <c r="CC124" i="47"/>
  <c r="DG124" i="47"/>
  <c r="CD124" i="47"/>
  <c r="CE124" i="47"/>
  <c r="DG128" i="47"/>
  <c r="CC128" i="47"/>
  <c r="CE128" i="47"/>
  <c r="CD128" i="47"/>
  <c r="DG123" i="47"/>
  <c r="CE123" i="47"/>
  <c r="CD123" i="47"/>
  <c r="CC123" i="47"/>
  <c r="CC127" i="47"/>
  <c r="DG127" i="47"/>
  <c r="CD127" i="47"/>
  <c r="CE127" i="47"/>
  <c r="CE131" i="47"/>
  <c r="CD131" i="47"/>
  <c r="CC131" i="47"/>
  <c r="DG131" i="47"/>
  <c r="CE126" i="47"/>
  <c r="DG126" i="47"/>
  <c r="CC126" i="47"/>
  <c r="CD126" i="47"/>
  <c r="CC130" i="47"/>
  <c r="CD130" i="47"/>
  <c r="CE130" i="47"/>
  <c r="DG130" i="47"/>
  <c r="CE116" i="47"/>
  <c r="CC116" i="47"/>
  <c r="CD116" i="47"/>
  <c r="DG116" i="47"/>
  <c r="CE117" i="47"/>
  <c r="CC117" i="47"/>
  <c r="CD117" i="47"/>
  <c r="DG117" i="47"/>
  <c r="CD118" i="47"/>
  <c r="CE118" i="47"/>
  <c r="CC118" i="47"/>
  <c r="DG118" i="47"/>
  <c r="CC111" i="47"/>
  <c r="CD111" i="47"/>
  <c r="DG111" i="47"/>
  <c r="CE111" i="47"/>
  <c r="DG113" i="47"/>
  <c r="CC113" i="47"/>
  <c r="CD113" i="47"/>
  <c r="CE113" i="47"/>
  <c r="DG114" i="47"/>
  <c r="CE114" i="47"/>
  <c r="CC114" i="47"/>
  <c r="CD114" i="47"/>
  <c r="CD112" i="47"/>
  <c r="CE112" i="47"/>
  <c r="CC112" i="47"/>
  <c r="DG112" i="47"/>
  <c r="DG102" i="47"/>
  <c r="CC102" i="47"/>
  <c r="CD102" i="47"/>
  <c r="CE102" i="47"/>
  <c r="CE106" i="47"/>
  <c r="DG106" i="47"/>
  <c r="CC106" i="47"/>
  <c r="CD106" i="47"/>
  <c r="DG101" i="47"/>
  <c r="CC101" i="47"/>
  <c r="CE101" i="47"/>
  <c r="CD101" i="47"/>
  <c r="CE105" i="47"/>
  <c r="CC105" i="47"/>
  <c r="DG105" i="47"/>
  <c r="CD105" i="47"/>
  <c r="CD109" i="47"/>
  <c r="CE109" i="47"/>
  <c r="CC109" i="47"/>
  <c r="DG109" i="47"/>
  <c r="CC104" i="47"/>
  <c r="CD104" i="47"/>
  <c r="CE104" i="47"/>
  <c r="DG104" i="47"/>
  <c r="CD108" i="47"/>
  <c r="CC108" i="47"/>
  <c r="CE108" i="47"/>
  <c r="DG108" i="47"/>
  <c r="DG103" i="47"/>
  <c r="CC103" i="47"/>
  <c r="CD103" i="47"/>
  <c r="CE103" i="47"/>
  <c r="DG107" i="47"/>
  <c r="CC107" i="47"/>
  <c r="CD107" i="47"/>
  <c r="CE107" i="47"/>
  <c r="DG94" i="47"/>
  <c r="CE94" i="47"/>
  <c r="CC94" i="47"/>
  <c r="CD94" i="47"/>
  <c r="CE95" i="47"/>
  <c r="DG95" i="47"/>
  <c r="CC95" i="47"/>
  <c r="CD95" i="47"/>
  <c r="CC96" i="47"/>
  <c r="DG96" i="47"/>
  <c r="CD96" i="47"/>
  <c r="CE96" i="47"/>
  <c r="CC89" i="47"/>
  <c r="CE89" i="47"/>
  <c r="CD89" i="47"/>
  <c r="DG89" i="47"/>
  <c r="CC91" i="47"/>
  <c r="CD91" i="47"/>
  <c r="DG91" i="47"/>
  <c r="CE91" i="47"/>
  <c r="CD92" i="47"/>
  <c r="CC92" i="47"/>
  <c r="CE92" i="47"/>
  <c r="DG92" i="47"/>
  <c r="CE90" i="47"/>
  <c r="CC90" i="47"/>
  <c r="CD90" i="47"/>
  <c r="DG90" i="47"/>
  <c r="CD79" i="47"/>
  <c r="CC79" i="47"/>
  <c r="CE79" i="47"/>
  <c r="DG79" i="47"/>
  <c r="DG83" i="47"/>
  <c r="CC83" i="47"/>
  <c r="CD83" i="47"/>
  <c r="CE83" i="47"/>
  <c r="CC87" i="47"/>
  <c r="DG87" i="47"/>
  <c r="CD87" i="47"/>
  <c r="CE87" i="47"/>
  <c r="CE82" i="47"/>
  <c r="CC82" i="47"/>
  <c r="CD82" i="47"/>
  <c r="DG82" i="47"/>
  <c r="CE86" i="47"/>
  <c r="CC86" i="47"/>
  <c r="CD86" i="47"/>
  <c r="DG86" i="47"/>
  <c r="CC81" i="47"/>
  <c r="CD81" i="47"/>
  <c r="CE81" i="47"/>
  <c r="DG81" i="47"/>
  <c r="CD85" i="47"/>
  <c r="CE85" i="47"/>
  <c r="DG85" i="47"/>
  <c r="CC85" i="47"/>
  <c r="CC80" i="47"/>
  <c r="DG80" i="47"/>
  <c r="CD80" i="47"/>
  <c r="CE80" i="47"/>
  <c r="DG84" i="47"/>
  <c r="CD84" i="47"/>
  <c r="CC84" i="47"/>
  <c r="CE84" i="47"/>
  <c r="CE72" i="47"/>
  <c r="CD72" i="47"/>
  <c r="DG72" i="47"/>
  <c r="CC72" i="47"/>
  <c r="CC73" i="47"/>
  <c r="CD73" i="47"/>
  <c r="CE73" i="47"/>
  <c r="DG73" i="47"/>
  <c r="DG74" i="47"/>
  <c r="CD74" i="47"/>
  <c r="CC74" i="47"/>
  <c r="CE74" i="47"/>
  <c r="CC69" i="47"/>
  <c r="CD69" i="47"/>
  <c r="CE69" i="47"/>
  <c r="DG69" i="47"/>
  <c r="DG70" i="47"/>
  <c r="CE70" i="47"/>
  <c r="CC70" i="47"/>
  <c r="CD70" i="47"/>
  <c r="CE68" i="47"/>
  <c r="CD68" i="47"/>
  <c r="CC68" i="47"/>
  <c r="DG68" i="47"/>
  <c r="DG67" i="47"/>
  <c r="CC67" i="47"/>
  <c r="CD67" i="47"/>
  <c r="CE67" i="47"/>
  <c r="CC60" i="47"/>
  <c r="DG60" i="47"/>
  <c r="CD60" i="47"/>
  <c r="CE60" i="47"/>
  <c r="CD64" i="47"/>
  <c r="CC64" i="47"/>
  <c r="DG64" i="47"/>
  <c r="CE64" i="47"/>
  <c r="CC59" i="47"/>
  <c r="CD59" i="47"/>
  <c r="CE59" i="47"/>
  <c r="DG59" i="47"/>
  <c r="CE63" i="47"/>
  <c r="DG63" i="47"/>
  <c r="CD63" i="47"/>
  <c r="CC63" i="47"/>
  <c r="CC58" i="47"/>
  <c r="CD58" i="47"/>
  <c r="CE58" i="47"/>
  <c r="DG58" i="47"/>
  <c r="CC62" i="47"/>
  <c r="CD62" i="47"/>
  <c r="DG62" i="47"/>
  <c r="CE62" i="47"/>
  <c r="CD57" i="47"/>
  <c r="CE57" i="47"/>
  <c r="CC57" i="47"/>
  <c r="DG57" i="47"/>
  <c r="CC61" i="47"/>
  <c r="CE61" i="47"/>
  <c r="CD61" i="47"/>
  <c r="DG61" i="47"/>
  <c r="DG65" i="47"/>
  <c r="CC65" i="47"/>
  <c r="CD65" i="47"/>
  <c r="CE65" i="47"/>
  <c r="DG52" i="47"/>
  <c r="DG51" i="47"/>
  <c r="DG50" i="47"/>
  <c r="DG48" i="47"/>
  <c r="DG47" i="47"/>
  <c r="DG46" i="47"/>
  <c r="DG45" i="47"/>
  <c r="DG43" i="47"/>
  <c r="CB42" i="47"/>
  <c r="DG42" i="47"/>
  <c r="DG41" i="47"/>
  <c r="DG40" i="47"/>
  <c r="DG38" i="47"/>
  <c r="DG39" i="47"/>
  <c r="DG37" i="47"/>
  <c r="DG36" i="47"/>
  <c r="DG35" i="47"/>
  <c r="CD28" i="47"/>
  <c r="DG28" i="47"/>
  <c r="CE28" i="47"/>
  <c r="CC28" i="47"/>
  <c r="DG29" i="47"/>
  <c r="CD29" i="47"/>
  <c r="CE29" i="47"/>
  <c r="CC29" i="47"/>
  <c r="CC30" i="47"/>
  <c r="DG30" i="47"/>
  <c r="CD30" i="47"/>
  <c r="CE30" i="47"/>
  <c r="CE24" i="47"/>
  <c r="CC24" i="47"/>
  <c r="DG24" i="47"/>
  <c r="CD24" i="47"/>
  <c r="DG23" i="47"/>
  <c r="CE23" i="47"/>
  <c r="CC23" i="47"/>
  <c r="CD23" i="47"/>
  <c r="CC25" i="47"/>
  <c r="CE25" i="47"/>
  <c r="DG25" i="47"/>
  <c r="CD25" i="47"/>
  <c r="DG26" i="47"/>
  <c r="CC26" i="47"/>
  <c r="CD26" i="47"/>
  <c r="CE26" i="47"/>
  <c r="CD16" i="47"/>
  <c r="CE16" i="47"/>
  <c r="DG16" i="47"/>
  <c r="CC16" i="47"/>
  <c r="CE15" i="47"/>
  <c r="CC15" i="47"/>
  <c r="CD15" i="47"/>
  <c r="DG15" i="47"/>
  <c r="DG19" i="47"/>
  <c r="CD19" i="47"/>
  <c r="CC19" i="47"/>
  <c r="CE19" i="47"/>
  <c r="CE20" i="47"/>
  <c r="CC20" i="47"/>
  <c r="CD20" i="47"/>
  <c r="DG20" i="47"/>
  <c r="CC14" i="47"/>
  <c r="DG14" i="47"/>
  <c r="CD14" i="47"/>
  <c r="CE14" i="47"/>
  <c r="DG18" i="47"/>
  <c r="CD18" i="47"/>
  <c r="CE18" i="47"/>
  <c r="CC18" i="47"/>
  <c r="CE17" i="47"/>
  <c r="CC17" i="47"/>
  <c r="CD17" i="47"/>
  <c r="DG17" i="47"/>
  <c r="CD21" i="47"/>
  <c r="CE21" i="47"/>
  <c r="DG21" i="47"/>
  <c r="CC21" i="47"/>
  <c r="DG13" i="47"/>
  <c r="CC13" i="47"/>
  <c r="CD13" i="47"/>
  <c r="CE13" i="47"/>
  <c r="BG18" i="46"/>
  <c r="BG26" i="46"/>
  <c r="BG34" i="46"/>
  <c r="BG42" i="46"/>
  <c r="BG50" i="46"/>
  <c r="BG58" i="46"/>
  <c r="BG66" i="46"/>
  <c r="BG14" i="46"/>
  <c r="BG38" i="46"/>
  <c r="BG46" i="46"/>
  <c r="BG62" i="46"/>
  <c r="BG22" i="46"/>
  <c r="BG30" i="46"/>
  <c r="BG54" i="46"/>
  <c r="BG17" i="46"/>
  <c r="BG25" i="46"/>
  <c r="BG33" i="46"/>
  <c r="BG41" i="46"/>
  <c r="BG49" i="46"/>
  <c r="BG57" i="46"/>
  <c r="BG65" i="46"/>
  <c r="BG162" i="46"/>
  <c r="BF162" i="46"/>
  <c r="BG13" i="46"/>
  <c r="BG69" i="46"/>
  <c r="BG70" i="46"/>
  <c r="BG16" i="46"/>
  <c r="BG20" i="46"/>
  <c r="BG24" i="46"/>
  <c r="BG28" i="46"/>
  <c r="BG32" i="46"/>
  <c r="BG36" i="46"/>
  <c r="BG40" i="46"/>
  <c r="BG44" i="46"/>
  <c r="BG48" i="46"/>
  <c r="BG52" i="46"/>
  <c r="BG56" i="46"/>
  <c r="BG60" i="46"/>
  <c r="BG64" i="46"/>
  <c r="BG68" i="46"/>
  <c r="BG12" i="46"/>
  <c r="BG15" i="46"/>
  <c r="BG19" i="46"/>
  <c r="BG23" i="46"/>
  <c r="BG27" i="46"/>
  <c r="BG31" i="46"/>
  <c r="BG35" i="46"/>
  <c r="BG39" i="46"/>
  <c r="BG43" i="46"/>
  <c r="BG47" i="46"/>
  <c r="BG51" i="46"/>
  <c r="BG55" i="46"/>
  <c r="BG59" i="46"/>
  <c r="BG63" i="46"/>
  <c r="BG67" i="46"/>
  <c r="BG71" i="46"/>
  <c r="C67" i="45"/>
  <c r="BW67" i="45" s="1"/>
  <c r="C55" i="45"/>
  <c r="BW55" i="45" s="1"/>
  <c r="CM237" i="47"/>
  <c r="CM241" i="47"/>
  <c r="CM245" i="47"/>
  <c r="CM249" i="47"/>
  <c r="CM253" i="47"/>
  <c r="CM257" i="47"/>
  <c r="CO237" i="47"/>
  <c r="CP237" i="47"/>
  <c r="CQ237" i="47"/>
  <c r="CO241" i="47"/>
  <c r="CP241" i="47"/>
  <c r="CQ241" i="47"/>
  <c r="CO245" i="47"/>
  <c r="CP245" i="47"/>
  <c r="CQ245" i="47"/>
  <c r="CO249" i="47"/>
  <c r="CP249" i="47"/>
  <c r="CQ249" i="47"/>
  <c r="CO253" i="47"/>
  <c r="CP253" i="47"/>
  <c r="CQ253" i="47"/>
  <c r="CO257" i="47"/>
  <c r="CP257" i="47"/>
  <c r="CQ257" i="47"/>
  <c r="C64" i="45"/>
  <c r="BW64" i="45" s="1"/>
  <c r="CM238" i="47"/>
  <c r="CM242" i="47"/>
  <c r="CM246" i="47"/>
  <c r="CM250" i="47"/>
  <c r="CM254" i="47"/>
  <c r="CM258" i="47"/>
  <c r="CO238" i="47"/>
  <c r="CP238" i="47"/>
  <c r="CQ238" i="47"/>
  <c r="CQ242" i="47"/>
  <c r="CO242" i="47"/>
  <c r="CP242" i="47"/>
  <c r="CO246" i="47"/>
  <c r="CP246" i="47"/>
  <c r="CQ246" i="47"/>
  <c r="CQ250" i="47"/>
  <c r="CP250" i="47"/>
  <c r="CO250" i="47"/>
  <c r="CO254" i="47"/>
  <c r="CP254" i="47"/>
  <c r="CQ254" i="47"/>
  <c r="CQ258" i="47"/>
  <c r="CP258" i="47"/>
  <c r="CO258" i="47"/>
  <c r="CM239" i="47"/>
  <c r="CM243" i="47"/>
  <c r="CM247" i="47"/>
  <c r="CM251" i="47"/>
  <c r="CM255" i="47"/>
  <c r="CM259" i="47"/>
  <c r="CQ239" i="47"/>
  <c r="CO239" i="47"/>
  <c r="CP239" i="47"/>
  <c r="CP243" i="47"/>
  <c r="CQ243" i="47"/>
  <c r="CO243" i="47"/>
  <c r="CQ247" i="47"/>
  <c r="CO247" i="47"/>
  <c r="CP247" i="47"/>
  <c r="CP251" i="47"/>
  <c r="CQ251" i="47"/>
  <c r="CO251" i="47"/>
  <c r="CQ255" i="47"/>
  <c r="CO255" i="47"/>
  <c r="CP255" i="47"/>
  <c r="CP259" i="47"/>
  <c r="CQ259" i="47"/>
  <c r="CO259" i="47"/>
  <c r="CM240" i="47"/>
  <c r="CM244" i="47"/>
  <c r="CM248" i="47"/>
  <c r="CM252" i="47"/>
  <c r="CM256" i="47"/>
  <c r="CP240" i="47"/>
  <c r="CO240" i="47"/>
  <c r="CQ240" i="47"/>
  <c r="CO244" i="47"/>
  <c r="CP244" i="47"/>
  <c r="CQ244" i="47"/>
  <c r="CO248" i="47"/>
  <c r="CP248" i="47"/>
  <c r="CQ248" i="47"/>
  <c r="CO252" i="47"/>
  <c r="CP252" i="47"/>
  <c r="CQ252" i="47"/>
  <c r="CP256" i="47"/>
  <c r="CO256" i="47"/>
  <c r="CQ256" i="47"/>
  <c r="CD20" i="45"/>
  <c r="CM20" i="45"/>
  <c r="BG184" i="46"/>
  <c r="BO184" i="46"/>
  <c r="DE188" i="47"/>
  <c r="DU188" i="47"/>
  <c r="CL188" i="47"/>
  <c r="DT188" i="47"/>
  <c r="DS188" i="47"/>
  <c r="DP188" i="47"/>
  <c r="DS204" i="47"/>
  <c r="DP204" i="47"/>
  <c r="DU204" i="47"/>
  <c r="CL204" i="47"/>
  <c r="DT204" i="47"/>
  <c r="DE204" i="47"/>
  <c r="DR249" i="47"/>
  <c r="DQ249" i="47"/>
  <c r="DO249" i="47"/>
  <c r="CN249" i="47"/>
  <c r="CG212" i="48"/>
  <c r="CB212" i="48"/>
  <c r="Y212" i="48" s="1"/>
  <c r="CD72" i="48"/>
  <c r="CC72" i="48"/>
  <c r="AA72" i="48" s="1"/>
  <c r="CH72" i="48"/>
  <c r="CG72" i="48"/>
  <c r="DO189" i="47"/>
  <c r="CK189" i="47"/>
  <c r="DR189" i="47"/>
  <c r="DQ189" i="47"/>
  <c r="DR193" i="47"/>
  <c r="DQ193" i="47"/>
  <c r="DO193" i="47"/>
  <c r="CK193" i="47"/>
  <c r="DO197" i="47"/>
  <c r="CK197" i="47"/>
  <c r="DR197" i="47"/>
  <c r="DQ197" i="47"/>
  <c r="CK201" i="47"/>
  <c r="DR201" i="47"/>
  <c r="DQ201" i="47"/>
  <c r="DO201" i="47"/>
  <c r="DO205" i="47"/>
  <c r="CK205" i="47"/>
  <c r="DR205" i="47"/>
  <c r="DQ205" i="47"/>
  <c r="DO209" i="47"/>
  <c r="DR209" i="47"/>
  <c r="DQ209" i="47"/>
  <c r="CK209" i="47"/>
  <c r="DT241" i="47"/>
  <c r="CL241" i="47"/>
  <c r="DS241" i="47"/>
  <c r="CA241" i="47"/>
  <c r="DP241" i="47"/>
  <c r="DU241" i="47"/>
  <c r="DE241" i="47"/>
  <c r="DP245" i="47"/>
  <c r="DU245" i="47"/>
  <c r="DE245" i="47"/>
  <c r="DT245" i="47"/>
  <c r="CL245" i="47"/>
  <c r="CA245" i="47"/>
  <c r="DS245" i="47"/>
  <c r="DU249" i="47"/>
  <c r="DE249" i="47"/>
  <c r="DT249" i="47"/>
  <c r="CL249" i="47"/>
  <c r="DS249" i="47"/>
  <c r="CA249" i="47"/>
  <c r="DP249" i="47"/>
  <c r="DP253" i="47"/>
  <c r="DU253" i="47"/>
  <c r="DE253" i="47"/>
  <c r="CA253" i="47"/>
  <c r="DT253" i="47"/>
  <c r="DS253" i="47"/>
  <c r="CL253" i="47"/>
  <c r="DU257" i="47"/>
  <c r="DE257" i="47"/>
  <c r="DT257" i="47"/>
  <c r="CL257" i="47"/>
  <c r="DS257" i="47"/>
  <c r="CA257" i="47"/>
  <c r="DP257" i="47"/>
  <c r="CG211" i="48"/>
  <c r="CB211" i="48"/>
  <c r="CB189" i="48"/>
  <c r="CG189" i="48"/>
  <c r="BG176" i="46"/>
  <c r="BO176" i="46"/>
  <c r="DT208" i="47"/>
  <c r="CL208" i="47"/>
  <c r="DP208" i="47"/>
  <c r="DE208" i="47"/>
  <c r="DU208" i="47"/>
  <c r="DS208" i="47"/>
  <c r="CG210" i="48"/>
  <c r="CB210" i="48"/>
  <c r="Y210" i="48" s="1"/>
  <c r="CC21" i="45"/>
  <c r="CL21" i="45"/>
  <c r="BF177" i="46"/>
  <c r="BN177" i="46"/>
  <c r="BN181" i="46"/>
  <c r="BF181" i="46"/>
  <c r="BF185" i="46"/>
  <c r="BN185" i="46"/>
  <c r="DR190" i="47"/>
  <c r="DQ190" i="47"/>
  <c r="DO190" i="47"/>
  <c r="CK190" i="47"/>
  <c r="DR194" i="47"/>
  <c r="DQ194" i="47"/>
  <c r="CK194" i="47"/>
  <c r="DO194" i="47"/>
  <c r="DR198" i="47"/>
  <c r="DQ198" i="47"/>
  <c r="CK198" i="47"/>
  <c r="DO198" i="47"/>
  <c r="CK202" i="47"/>
  <c r="DR202" i="47"/>
  <c r="DQ202" i="47"/>
  <c r="DO202" i="47"/>
  <c r="DO206" i="47"/>
  <c r="CK206" i="47"/>
  <c r="DQ206" i="47"/>
  <c r="DR206" i="47"/>
  <c r="DO210" i="47"/>
  <c r="DR210" i="47"/>
  <c r="CK210" i="47"/>
  <c r="DQ210" i="47"/>
  <c r="DP238" i="47"/>
  <c r="DE238" i="47"/>
  <c r="DT238" i="47"/>
  <c r="CA238" i="47"/>
  <c r="DU238" i="47"/>
  <c r="CL238" i="47"/>
  <c r="DS238" i="47"/>
  <c r="DU242" i="47"/>
  <c r="DE242" i="47"/>
  <c r="DT242" i="47"/>
  <c r="CL242" i="47"/>
  <c r="DS242" i="47"/>
  <c r="CA242" i="47"/>
  <c r="DP242" i="47"/>
  <c r="DT246" i="47"/>
  <c r="DS246" i="47"/>
  <c r="DP246" i="47"/>
  <c r="DU246" i="47"/>
  <c r="DE246" i="47"/>
  <c r="CL246" i="47"/>
  <c r="CA246" i="47"/>
  <c r="DU250" i="47"/>
  <c r="DE250" i="47"/>
  <c r="DT250" i="47"/>
  <c r="CL250" i="47"/>
  <c r="DS250" i="47"/>
  <c r="CA250" i="47"/>
  <c r="DP250" i="47"/>
  <c r="CA254" i="47"/>
  <c r="DP254" i="47"/>
  <c r="DT254" i="47"/>
  <c r="DS254" i="47"/>
  <c r="DE254" i="47"/>
  <c r="DU254" i="47"/>
  <c r="CL254" i="47"/>
  <c r="DU258" i="47"/>
  <c r="DE258" i="47"/>
  <c r="DT258" i="47"/>
  <c r="CL258" i="47"/>
  <c r="DS258" i="47"/>
  <c r="CA258" i="47"/>
  <c r="DP258" i="47"/>
  <c r="CG202" i="48"/>
  <c r="CB202" i="48"/>
  <c r="CG187" i="48"/>
  <c r="CB187" i="48"/>
  <c r="CG65" i="48"/>
  <c r="CH65" i="48"/>
  <c r="CD65" i="48"/>
  <c r="CC65" i="48"/>
  <c r="CD16" i="45"/>
  <c r="CM16" i="45"/>
  <c r="CK158" i="45"/>
  <c r="CB158" i="45"/>
  <c r="CL174" i="47"/>
  <c r="CL177" i="47"/>
  <c r="DP192" i="47"/>
  <c r="DU192" i="47"/>
  <c r="DE192" i="47"/>
  <c r="CL192" i="47"/>
  <c r="DT192" i="47"/>
  <c r="DS192" i="47"/>
  <c r="DQ253" i="47"/>
  <c r="DO253" i="47"/>
  <c r="CN253" i="47"/>
  <c r="DR253" i="47"/>
  <c r="CD13" i="45"/>
  <c r="CM13" i="45"/>
  <c r="BG177" i="46"/>
  <c r="BO177" i="46"/>
  <c r="DP197" i="47"/>
  <c r="CL197" i="47"/>
  <c r="DU197" i="47"/>
  <c r="DE197" i="47"/>
  <c r="DS197" i="47"/>
  <c r="DT197" i="47"/>
  <c r="DT209" i="47"/>
  <c r="CL209" i="47"/>
  <c r="DU209" i="47"/>
  <c r="DS209" i="47"/>
  <c r="DP209" i="47"/>
  <c r="DE209" i="47"/>
  <c r="DO238" i="47"/>
  <c r="CN238" i="47"/>
  <c r="DR238" i="47"/>
  <c r="DQ238" i="47"/>
  <c r="DR254" i="47"/>
  <c r="DQ254" i="47"/>
  <c r="DO254" i="47"/>
  <c r="CN254" i="47"/>
  <c r="CG203" i="48"/>
  <c r="CB203" i="48"/>
  <c r="CG188" i="48"/>
  <c r="CB188" i="48"/>
  <c r="Y188" i="48" s="1"/>
  <c r="CD14" i="45"/>
  <c r="CM14" i="45"/>
  <c r="BO178" i="46"/>
  <c r="BG178" i="46"/>
  <c r="BO186" i="46"/>
  <c r="BG186" i="46"/>
  <c r="DP190" i="47"/>
  <c r="DU190" i="47"/>
  <c r="CL190" i="47"/>
  <c r="DE190" i="47"/>
  <c r="DT190" i="47"/>
  <c r="DS190" i="47"/>
  <c r="DU194" i="47"/>
  <c r="DE194" i="47"/>
  <c r="DT194" i="47"/>
  <c r="DS194" i="47"/>
  <c r="DP194" i="47"/>
  <c r="CL194" i="47"/>
  <c r="DT198" i="47"/>
  <c r="DS198" i="47"/>
  <c r="DE198" i="47"/>
  <c r="DP198" i="47"/>
  <c r="CL198" i="47"/>
  <c r="DU198" i="47"/>
  <c r="DS202" i="47"/>
  <c r="DP202" i="47"/>
  <c r="DE202" i="47"/>
  <c r="DU202" i="47"/>
  <c r="CL202" i="47"/>
  <c r="DT202" i="47"/>
  <c r="DT206" i="47"/>
  <c r="CL206" i="47"/>
  <c r="DP206" i="47"/>
  <c r="DE206" i="47"/>
  <c r="DU206" i="47"/>
  <c r="DS206" i="47"/>
  <c r="DP210" i="47"/>
  <c r="DT210" i="47"/>
  <c r="CL210" i="47"/>
  <c r="DU210" i="47"/>
  <c r="DS210" i="47"/>
  <c r="DE210" i="47"/>
  <c r="DR239" i="47"/>
  <c r="DQ239" i="47"/>
  <c r="DO239" i="47"/>
  <c r="CN239" i="47"/>
  <c r="CN243" i="47"/>
  <c r="DR243" i="47"/>
  <c r="DO243" i="47"/>
  <c r="DQ243" i="47"/>
  <c r="DR247" i="47"/>
  <c r="DQ247" i="47"/>
  <c r="CN247" i="47"/>
  <c r="DO247" i="47"/>
  <c r="DO251" i="47"/>
  <c r="CN251" i="47"/>
  <c r="DR251" i="47"/>
  <c r="DQ251" i="47"/>
  <c r="DR255" i="47"/>
  <c r="DQ255" i="47"/>
  <c r="DO255" i="47"/>
  <c r="CN255" i="47"/>
  <c r="DO259" i="47"/>
  <c r="CN259" i="47"/>
  <c r="DQ259" i="47"/>
  <c r="DR259" i="47"/>
  <c r="CG201" i="48"/>
  <c r="CB201" i="48"/>
  <c r="CC64" i="48"/>
  <c r="CD64" i="48"/>
  <c r="CG64" i="48"/>
  <c r="CH64" i="48"/>
  <c r="CC24" i="45"/>
  <c r="CL24" i="45"/>
  <c r="CD17" i="45"/>
  <c r="CM17" i="45"/>
  <c r="BG181" i="46"/>
  <c r="BO181" i="46"/>
  <c r="DP189" i="47"/>
  <c r="DE189" i="47"/>
  <c r="DU189" i="47"/>
  <c r="CL189" i="47"/>
  <c r="DT189" i="47"/>
  <c r="DS189" i="47"/>
  <c r="DT205" i="47"/>
  <c r="DU205" i="47"/>
  <c r="DS205" i="47"/>
  <c r="DP205" i="47"/>
  <c r="DE205" i="47"/>
  <c r="CL205" i="47"/>
  <c r="DR246" i="47"/>
  <c r="DQ246" i="47"/>
  <c r="CN246" i="47"/>
  <c r="DO246" i="47"/>
  <c r="CC17" i="45"/>
  <c r="CL17" i="45"/>
  <c r="CD18" i="45"/>
  <c r="CM18" i="45"/>
  <c r="CC153" i="45"/>
  <c r="CL153" i="45"/>
  <c r="BO182" i="46"/>
  <c r="BG182" i="46"/>
  <c r="CC14" i="45"/>
  <c r="CL14" i="45"/>
  <c r="CC18" i="45"/>
  <c r="CL18" i="45"/>
  <c r="CL26" i="45"/>
  <c r="CC26" i="45"/>
  <c r="CK153" i="45"/>
  <c r="CB153" i="45"/>
  <c r="CC157" i="45"/>
  <c r="CL157" i="45"/>
  <c r="CB160" i="45"/>
  <c r="CK160" i="45"/>
  <c r="BF178" i="46"/>
  <c r="BN178" i="46"/>
  <c r="BF182" i="46"/>
  <c r="BN182" i="46"/>
  <c r="BF186" i="46"/>
  <c r="BN186" i="46"/>
  <c r="DR191" i="47"/>
  <c r="DQ191" i="47"/>
  <c r="DO191" i="47"/>
  <c r="CK191" i="47"/>
  <c r="DR195" i="47"/>
  <c r="DO195" i="47"/>
  <c r="DQ195" i="47"/>
  <c r="CK195" i="47"/>
  <c r="DQ199" i="47"/>
  <c r="DO199" i="47"/>
  <c r="CK199" i="47"/>
  <c r="DR199" i="47"/>
  <c r="CK203" i="47"/>
  <c r="DR203" i="47"/>
  <c r="DQ203" i="47"/>
  <c r="DO203" i="47"/>
  <c r="DO207" i="47"/>
  <c r="DR207" i="47"/>
  <c r="DQ207" i="47"/>
  <c r="CK207" i="47"/>
  <c r="DS239" i="47"/>
  <c r="DT239" i="47"/>
  <c r="DP239" i="47"/>
  <c r="DE239" i="47"/>
  <c r="DU239" i="47"/>
  <c r="CA239" i="47"/>
  <c r="CL239" i="47"/>
  <c r="DU243" i="47"/>
  <c r="DE243" i="47"/>
  <c r="DT243" i="47"/>
  <c r="CL243" i="47"/>
  <c r="DS243" i="47"/>
  <c r="CA243" i="47"/>
  <c r="DP243" i="47"/>
  <c r="DP247" i="47"/>
  <c r="CL247" i="47"/>
  <c r="DE247" i="47"/>
  <c r="DU247" i="47"/>
  <c r="DT247" i="47"/>
  <c r="DS247" i="47"/>
  <c r="CA247" i="47"/>
  <c r="DU251" i="47"/>
  <c r="DE251" i="47"/>
  <c r="DT251" i="47"/>
  <c r="CL251" i="47"/>
  <c r="DS251" i="47"/>
  <c r="CA251" i="47"/>
  <c r="DP251" i="47"/>
  <c r="DS255" i="47"/>
  <c r="CA255" i="47"/>
  <c r="DP255" i="47"/>
  <c r="DE255" i="47"/>
  <c r="DU255" i="47"/>
  <c r="CL255" i="47"/>
  <c r="DT255" i="47"/>
  <c r="DU259" i="47"/>
  <c r="DE259" i="47"/>
  <c r="DT259" i="47"/>
  <c r="CL259" i="47"/>
  <c r="DS259" i="47"/>
  <c r="DP259" i="47"/>
  <c r="CA259" i="47"/>
  <c r="CG200" i="48"/>
  <c r="CB200" i="48"/>
  <c r="DU196" i="47"/>
  <c r="DE196" i="47"/>
  <c r="DS196" i="47"/>
  <c r="CL196" i="47"/>
  <c r="DP196" i="47"/>
  <c r="DT196" i="47"/>
  <c r="DO245" i="47"/>
  <c r="CN245" i="47"/>
  <c r="DR245" i="47"/>
  <c r="DQ245" i="47"/>
  <c r="CB190" i="48"/>
  <c r="CG190" i="48"/>
  <c r="CC20" i="45"/>
  <c r="CL20" i="45"/>
  <c r="BF184" i="46"/>
  <c r="BN184" i="46"/>
  <c r="CM25" i="45"/>
  <c r="CD25" i="45"/>
  <c r="DS201" i="47"/>
  <c r="DP201" i="47"/>
  <c r="DU201" i="47"/>
  <c r="CL201" i="47"/>
  <c r="DT201" i="47"/>
  <c r="DE201" i="47"/>
  <c r="CN250" i="47"/>
  <c r="DR250" i="47"/>
  <c r="DO250" i="47"/>
  <c r="DQ250" i="47"/>
  <c r="CC13" i="45"/>
  <c r="CL13" i="45"/>
  <c r="CB156" i="45"/>
  <c r="CK156" i="45"/>
  <c r="CD15" i="45"/>
  <c r="CM15" i="45"/>
  <c r="CD19" i="45"/>
  <c r="CM19" i="45"/>
  <c r="CM23" i="45"/>
  <c r="CD23" i="45"/>
  <c r="CL154" i="45"/>
  <c r="CC154" i="45"/>
  <c r="CB157" i="45"/>
  <c r="CK157" i="45"/>
  <c r="BG179" i="46"/>
  <c r="BO179" i="46"/>
  <c r="BG183" i="46"/>
  <c r="BO183" i="46"/>
  <c r="DP191" i="47"/>
  <c r="DE191" i="47"/>
  <c r="DU191" i="47"/>
  <c r="CL191" i="47"/>
  <c r="DT191" i="47"/>
  <c r="DS191" i="47"/>
  <c r="DU195" i="47"/>
  <c r="DE195" i="47"/>
  <c r="DT195" i="47"/>
  <c r="DS195" i="47"/>
  <c r="CL195" i="47"/>
  <c r="DP195" i="47"/>
  <c r="DP199" i="47"/>
  <c r="CL199" i="47"/>
  <c r="DU199" i="47"/>
  <c r="DE199" i="47"/>
  <c r="DS199" i="47"/>
  <c r="DT199" i="47"/>
  <c r="DS203" i="47"/>
  <c r="DP203" i="47"/>
  <c r="DU203" i="47"/>
  <c r="CL203" i="47"/>
  <c r="DT203" i="47"/>
  <c r="DE203" i="47"/>
  <c r="DT207" i="47"/>
  <c r="CL207" i="47"/>
  <c r="DU207" i="47"/>
  <c r="DS207" i="47"/>
  <c r="DP207" i="47"/>
  <c r="DE207" i="47"/>
  <c r="DR240" i="47"/>
  <c r="DQ240" i="47"/>
  <c r="DO240" i="47"/>
  <c r="CN240" i="47"/>
  <c r="DO244" i="47"/>
  <c r="CN244" i="47"/>
  <c r="DR244" i="47"/>
  <c r="DQ244" i="47"/>
  <c r="DR248" i="47"/>
  <c r="DQ248" i="47"/>
  <c r="CN248" i="47"/>
  <c r="DO248" i="47"/>
  <c r="DO252" i="47"/>
  <c r="CN252" i="47"/>
  <c r="DR252" i="47"/>
  <c r="DQ252" i="47"/>
  <c r="DR256" i="47"/>
  <c r="DQ256" i="47"/>
  <c r="CN256" i="47"/>
  <c r="DO256" i="47"/>
  <c r="CB199" i="48"/>
  <c r="CG199" i="48"/>
  <c r="CB192" i="48"/>
  <c r="Y192" i="48" s="1"/>
  <c r="CG192" i="48"/>
  <c r="CG122" i="48"/>
  <c r="CB122" i="48"/>
  <c r="CD74" i="48"/>
  <c r="CC74" i="48"/>
  <c r="AA74" i="48" s="1"/>
  <c r="CG74" i="48"/>
  <c r="CH74" i="48"/>
  <c r="CD24" i="45"/>
  <c r="CM24" i="45"/>
  <c r="BG180" i="46"/>
  <c r="BO180" i="46"/>
  <c r="DS200" i="47"/>
  <c r="DP200" i="47"/>
  <c r="DU200" i="47"/>
  <c r="CL200" i="47"/>
  <c r="DT200" i="47"/>
  <c r="DE200" i="47"/>
  <c r="DR241" i="47"/>
  <c r="DQ241" i="47"/>
  <c r="DO241" i="47"/>
  <c r="CN241" i="47"/>
  <c r="DR257" i="47"/>
  <c r="DQ257" i="47"/>
  <c r="DO257" i="47"/>
  <c r="CN257" i="47"/>
  <c r="CC16" i="45"/>
  <c r="CL16" i="45"/>
  <c r="BF180" i="46"/>
  <c r="BN180" i="46"/>
  <c r="CD21" i="45"/>
  <c r="CM21" i="45"/>
  <c r="BO185" i="46"/>
  <c r="BG185" i="46"/>
  <c r="DP193" i="47"/>
  <c r="DE193" i="47"/>
  <c r="DU193" i="47"/>
  <c r="DT193" i="47"/>
  <c r="DS193" i="47"/>
  <c r="CL193" i="47"/>
  <c r="DR242" i="47"/>
  <c r="DQ242" i="47"/>
  <c r="DO242" i="47"/>
  <c r="CN242" i="47"/>
  <c r="CN258" i="47"/>
  <c r="DR258" i="47"/>
  <c r="DQ258" i="47"/>
  <c r="DO258" i="47"/>
  <c r="CD66" i="48"/>
  <c r="CC66" i="48"/>
  <c r="CG66" i="48"/>
  <c r="CH66" i="48"/>
  <c r="CL25" i="45"/>
  <c r="CC25" i="45"/>
  <c r="CC156" i="45"/>
  <c r="CL156" i="45"/>
  <c r="CM26" i="45"/>
  <c r="CD26" i="45"/>
  <c r="CC160" i="45"/>
  <c r="CL160" i="45"/>
  <c r="CC15" i="45"/>
  <c r="CL15" i="45"/>
  <c r="CC19" i="45"/>
  <c r="CL19" i="45"/>
  <c r="CL23" i="45"/>
  <c r="CC23" i="45"/>
  <c r="CK154" i="45"/>
  <c r="CB154" i="45"/>
  <c r="C158" i="45"/>
  <c r="CL158" i="45"/>
  <c r="CC158" i="45"/>
  <c r="BF179" i="46"/>
  <c r="BN179" i="46"/>
  <c r="BF183" i="46"/>
  <c r="BN183" i="46"/>
  <c r="CK188" i="47"/>
  <c r="DR188" i="47"/>
  <c r="DQ188" i="47"/>
  <c r="DO188" i="47"/>
  <c r="DR192" i="47"/>
  <c r="DQ192" i="47"/>
  <c r="DO192" i="47"/>
  <c r="CK192" i="47"/>
  <c r="DR196" i="47"/>
  <c r="DQ196" i="47"/>
  <c r="CK196" i="47"/>
  <c r="DO196" i="47"/>
  <c r="CK200" i="47"/>
  <c r="DR200" i="47"/>
  <c r="DQ200" i="47"/>
  <c r="DO200" i="47"/>
  <c r="CK204" i="47"/>
  <c r="DR204" i="47"/>
  <c r="DQ204" i="47"/>
  <c r="DO204" i="47"/>
  <c r="DO208" i="47"/>
  <c r="CK208" i="47"/>
  <c r="DR208" i="47"/>
  <c r="DQ208" i="47"/>
  <c r="DS240" i="47"/>
  <c r="CA240" i="47"/>
  <c r="DP240" i="47"/>
  <c r="DU240" i="47"/>
  <c r="DT240" i="47"/>
  <c r="CL240" i="47"/>
  <c r="DE240" i="47"/>
  <c r="DU244" i="47"/>
  <c r="DE244" i="47"/>
  <c r="DT244" i="47"/>
  <c r="CL244" i="47"/>
  <c r="DS244" i="47"/>
  <c r="CA244" i="47"/>
  <c r="DP244" i="47"/>
  <c r="CL248" i="47"/>
  <c r="DP248" i="47"/>
  <c r="DE248" i="47"/>
  <c r="CA248" i="47"/>
  <c r="DS248" i="47"/>
  <c r="DU248" i="47"/>
  <c r="DT248" i="47"/>
  <c r="DP252" i="47"/>
  <c r="DU252" i="47"/>
  <c r="DE252" i="47"/>
  <c r="DT252" i="47"/>
  <c r="CL252" i="47"/>
  <c r="CA252" i="47"/>
  <c r="DS252" i="47"/>
  <c r="DT256" i="47"/>
  <c r="CL256" i="47"/>
  <c r="DS256" i="47"/>
  <c r="CA256" i="47"/>
  <c r="DP256" i="47"/>
  <c r="DU256" i="47"/>
  <c r="DE256" i="47"/>
  <c r="CG191" i="48"/>
  <c r="CB191" i="48"/>
  <c r="CG121" i="48"/>
  <c r="CB121" i="48"/>
  <c r="CG73" i="48"/>
  <c r="CH73" i="48"/>
  <c r="CD73" i="48"/>
  <c r="CC73" i="48"/>
  <c r="CD12" i="45"/>
  <c r="CM12" i="45"/>
  <c r="CL161" i="47"/>
  <c r="CK161" i="47"/>
  <c r="CL237" i="47"/>
  <c r="DS237" i="47"/>
  <c r="DP237" i="47"/>
  <c r="DT237" i="47"/>
  <c r="DU237" i="47"/>
  <c r="DR237" i="47"/>
  <c r="DQ237" i="47"/>
  <c r="DO237" i="47"/>
  <c r="CN237" i="47"/>
  <c r="CA237" i="47"/>
  <c r="DE237" i="47"/>
  <c r="BF176" i="46"/>
  <c r="BN176" i="46"/>
  <c r="CB152" i="45"/>
  <c r="CK152" i="45"/>
  <c r="CL152" i="45"/>
  <c r="CC152" i="45"/>
  <c r="CL12" i="45"/>
  <c r="CC12" i="45"/>
  <c r="CG209" i="48"/>
  <c r="CB209" i="48"/>
  <c r="CB198" i="48"/>
  <c r="CG198" i="48"/>
  <c r="CB186" i="48"/>
  <c r="CG186" i="48"/>
  <c r="CH71" i="48"/>
  <c r="CG71" i="48"/>
  <c r="CC71" i="48"/>
  <c r="AA71" i="48" s="1"/>
  <c r="CG63" i="48"/>
  <c r="CH63" i="48"/>
  <c r="CD63" i="48"/>
  <c r="CC63" i="48"/>
  <c r="B23" i="48"/>
  <c r="C70" i="45"/>
  <c r="DP177" i="47"/>
  <c r="CB228" i="47"/>
  <c r="CB232" i="47"/>
  <c r="B281" i="47"/>
  <c r="CB229" i="47"/>
  <c r="B298" i="47"/>
  <c r="DE298" i="47" s="1"/>
  <c r="CB226" i="47"/>
  <c r="CB230" i="47"/>
  <c r="CB231" i="47"/>
  <c r="B284" i="47"/>
  <c r="DF13" i="47"/>
  <c r="CB13" i="47"/>
  <c r="CB227" i="47"/>
  <c r="C61" i="45"/>
  <c r="C73" i="45"/>
  <c r="DR168" i="47"/>
  <c r="DQ168" i="47"/>
  <c r="DR171" i="47"/>
  <c r="DQ171" i="47"/>
  <c r="DR180" i="47"/>
  <c r="DQ180" i="47"/>
  <c r="CA275" i="47"/>
  <c r="DE275" i="47"/>
  <c r="DF275" i="47"/>
  <c r="CB275" i="47"/>
  <c r="BF13" i="46"/>
  <c r="BM13" i="46"/>
  <c r="BM17" i="46"/>
  <c r="BF17" i="46"/>
  <c r="BL21" i="46"/>
  <c r="BM21" i="46"/>
  <c r="BF21" i="46"/>
  <c r="BM25" i="46"/>
  <c r="BF25" i="46"/>
  <c r="BE31" i="46"/>
  <c r="BF31" i="46"/>
  <c r="BM31" i="46"/>
  <c r="BM37" i="46"/>
  <c r="BF37" i="46"/>
  <c r="BL43" i="46"/>
  <c r="BM43" i="46"/>
  <c r="BF43" i="46"/>
  <c r="BF49" i="46"/>
  <c r="BM49" i="46"/>
  <c r="BM55" i="46"/>
  <c r="BF55" i="46"/>
  <c r="BE61" i="46"/>
  <c r="BM61" i="46"/>
  <c r="BF61" i="46"/>
  <c r="BE67" i="46"/>
  <c r="BF67" i="46"/>
  <c r="BM67" i="46"/>
  <c r="BG140" i="46"/>
  <c r="BN140" i="46"/>
  <c r="BG152" i="46"/>
  <c r="BN152" i="46"/>
  <c r="DQ163" i="47"/>
  <c r="DR163" i="47"/>
  <c r="DR165" i="47"/>
  <c r="DQ165" i="47"/>
  <c r="DQ166" i="47"/>
  <c r="DR166" i="47"/>
  <c r="DP167" i="47"/>
  <c r="DU167" i="47"/>
  <c r="DT167" i="47"/>
  <c r="DP170" i="47"/>
  <c r="DU170" i="47"/>
  <c r="DT170" i="47"/>
  <c r="DU173" i="47"/>
  <c r="DT173" i="47"/>
  <c r="DE178" i="47"/>
  <c r="DU178" i="47"/>
  <c r="DT178" i="47"/>
  <c r="DE182" i="47"/>
  <c r="DU182" i="47"/>
  <c r="DT182" i="47"/>
  <c r="DF263" i="47"/>
  <c r="CA263" i="47"/>
  <c r="DE263" i="47"/>
  <c r="DE272" i="47"/>
  <c r="DF272" i="47"/>
  <c r="CA272" i="47"/>
  <c r="CB272" i="47"/>
  <c r="BL14" i="46"/>
  <c r="BM14" i="46"/>
  <c r="BF14" i="46"/>
  <c r="BF16" i="46"/>
  <c r="BM16" i="46"/>
  <c r="BL18" i="46"/>
  <c r="BM18" i="46"/>
  <c r="BF18" i="46"/>
  <c r="BM20" i="46"/>
  <c r="BF20" i="46"/>
  <c r="BE22" i="46"/>
  <c r="BM22" i="46"/>
  <c r="BF22" i="46"/>
  <c r="BL24" i="46"/>
  <c r="BM24" i="46"/>
  <c r="BF24" i="46"/>
  <c r="BM26" i="46"/>
  <c r="BF26" i="46"/>
  <c r="BF28" i="46"/>
  <c r="BM28" i="46"/>
  <c r="BL30" i="46"/>
  <c r="BM30" i="46"/>
  <c r="BF30" i="46"/>
  <c r="BM32" i="46"/>
  <c r="BF32" i="46"/>
  <c r="BF34" i="46"/>
  <c r="BM34" i="46"/>
  <c r="BL36" i="46"/>
  <c r="BM36" i="46"/>
  <c r="BF36" i="46"/>
  <c r="BM38" i="46"/>
  <c r="BF38" i="46"/>
  <c r="BM40" i="46"/>
  <c r="BF40" i="46"/>
  <c r="BL42" i="46"/>
  <c r="BM42" i="46"/>
  <c r="BF42" i="46"/>
  <c r="BM44" i="46"/>
  <c r="BF44" i="46"/>
  <c r="BE46" i="46"/>
  <c r="BF46" i="46"/>
  <c r="BM46" i="46"/>
  <c r="BM48" i="46"/>
  <c r="BF48" i="46"/>
  <c r="BM50" i="46"/>
  <c r="BF50" i="46"/>
  <c r="BF52" i="46"/>
  <c r="BM52" i="46"/>
  <c r="BM54" i="46"/>
  <c r="BF54" i="46"/>
  <c r="BM56" i="46"/>
  <c r="BF56" i="46"/>
  <c r="BE58" i="46"/>
  <c r="BM58" i="46"/>
  <c r="BF58" i="46"/>
  <c r="BM60" i="46"/>
  <c r="BF60" i="46"/>
  <c r="BM62" i="46"/>
  <c r="BF62" i="46"/>
  <c r="BE64" i="46"/>
  <c r="BF64" i="46"/>
  <c r="BM64" i="46"/>
  <c r="BM66" i="46"/>
  <c r="BF66" i="46"/>
  <c r="BM68" i="46"/>
  <c r="BF68" i="46"/>
  <c r="BF70" i="46"/>
  <c r="BM70" i="46"/>
  <c r="BG141" i="46"/>
  <c r="BN141" i="46"/>
  <c r="BG147" i="46"/>
  <c r="BN147" i="46"/>
  <c r="BG153" i="46"/>
  <c r="BN153" i="46"/>
  <c r="DO161" i="47"/>
  <c r="DQ161" i="47"/>
  <c r="DR161" i="47"/>
  <c r="CL163" i="47"/>
  <c r="DU163" i="47"/>
  <c r="DT163" i="47"/>
  <c r="CL165" i="47"/>
  <c r="DT165" i="47"/>
  <c r="DU165" i="47"/>
  <c r="DE166" i="47"/>
  <c r="DT166" i="47"/>
  <c r="DU166" i="47"/>
  <c r="DQ169" i="47"/>
  <c r="DR169" i="47"/>
  <c r="DQ172" i="47"/>
  <c r="DR172" i="47"/>
  <c r="CL179" i="47"/>
  <c r="DQ181" i="47"/>
  <c r="DR181" i="47"/>
  <c r="CA264" i="47"/>
  <c r="DE264" i="47"/>
  <c r="DF264" i="47"/>
  <c r="CB273" i="47"/>
  <c r="DE273" i="47"/>
  <c r="CA273" i="47"/>
  <c r="DF273" i="47"/>
  <c r="CF55" i="45"/>
  <c r="BX55" i="45"/>
  <c r="CG55" i="45"/>
  <c r="CG67" i="45"/>
  <c r="BX67" i="45"/>
  <c r="CF67" i="45"/>
  <c r="BN149" i="46"/>
  <c r="BG149" i="46"/>
  <c r="DE176" i="47"/>
  <c r="DU176" i="47"/>
  <c r="DT176" i="47"/>
  <c r="DP176" i="47"/>
  <c r="DQ179" i="47"/>
  <c r="DR179" i="47"/>
  <c r="DE266" i="47"/>
  <c r="DF266" i="47"/>
  <c r="CA266" i="47"/>
  <c r="BL15" i="46"/>
  <c r="BM15" i="46"/>
  <c r="BF15" i="46"/>
  <c r="BM23" i="46"/>
  <c r="BF23" i="46"/>
  <c r="BM29" i="46"/>
  <c r="BF29" i="46"/>
  <c r="BM35" i="46"/>
  <c r="BF35" i="46"/>
  <c r="BL41" i="46"/>
  <c r="BM41" i="46"/>
  <c r="BF41" i="46"/>
  <c r="BM47" i="46"/>
  <c r="BF47" i="46"/>
  <c r="BE51" i="46"/>
  <c r="BM51" i="46"/>
  <c r="BF51" i="46"/>
  <c r="BM57" i="46"/>
  <c r="BF57" i="46"/>
  <c r="BM63" i="46"/>
  <c r="BF63" i="46"/>
  <c r="BE69" i="46"/>
  <c r="BM69" i="46"/>
  <c r="BF69" i="46"/>
  <c r="BM71" i="46"/>
  <c r="BF71" i="46"/>
  <c r="BN150" i="46"/>
  <c r="BG150" i="46"/>
  <c r="CB37" i="47"/>
  <c r="BG146" i="46"/>
  <c r="BN146" i="46"/>
  <c r="B108" i="45"/>
  <c r="BW108" i="45" s="1"/>
  <c r="C154" i="45"/>
  <c r="BG142" i="46"/>
  <c r="BN142" i="46"/>
  <c r="BG148" i="46"/>
  <c r="BN148" i="46"/>
  <c r="BG154" i="46"/>
  <c r="BN154" i="46"/>
  <c r="CB16" i="47"/>
  <c r="AX16" i="47" s="1"/>
  <c r="DF37" i="47"/>
  <c r="CB64" i="47"/>
  <c r="AX64" i="47" s="1"/>
  <c r="DU161" i="47"/>
  <c r="DT161" i="47"/>
  <c r="DQ164" i="47"/>
  <c r="DR164" i="47"/>
  <c r="DE169" i="47"/>
  <c r="DU169" i="47"/>
  <c r="DT169" i="47"/>
  <c r="DT172" i="47"/>
  <c r="DU172" i="47"/>
  <c r="DO176" i="47"/>
  <c r="DQ176" i="47"/>
  <c r="DR176" i="47"/>
  <c r="DU181" i="47"/>
  <c r="DT181" i="47"/>
  <c r="CL182" i="47"/>
  <c r="DF265" i="47"/>
  <c r="DE265" i="47"/>
  <c r="CA265" i="47"/>
  <c r="CA274" i="47"/>
  <c r="CB274" i="47"/>
  <c r="DF274" i="47"/>
  <c r="DE274" i="47"/>
  <c r="CF64" i="45"/>
  <c r="CG64" i="45"/>
  <c r="BX64" i="45"/>
  <c r="BN143" i="46"/>
  <c r="BG143" i="46"/>
  <c r="DR162" i="47"/>
  <c r="DQ162" i="47"/>
  <c r="DP164" i="47"/>
  <c r="DU164" i="47"/>
  <c r="DT164" i="47"/>
  <c r="BE19" i="46"/>
  <c r="BM19" i="46"/>
  <c r="BF19" i="46"/>
  <c r="BL27" i="46"/>
  <c r="BM27" i="46"/>
  <c r="BF27" i="46"/>
  <c r="BL33" i="46"/>
  <c r="BM33" i="46"/>
  <c r="BF33" i="46"/>
  <c r="BL39" i="46"/>
  <c r="BM39" i="46"/>
  <c r="BF39" i="46"/>
  <c r="BM45" i="46"/>
  <c r="BF45" i="46"/>
  <c r="BM53" i="46"/>
  <c r="BF53" i="46"/>
  <c r="BM59" i="46"/>
  <c r="BF59" i="46"/>
  <c r="BM65" i="46"/>
  <c r="BF65" i="46"/>
  <c r="BN144" i="46"/>
  <c r="BG144" i="46"/>
  <c r="DT162" i="47"/>
  <c r="DU162" i="47"/>
  <c r="DT168" i="47"/>
  <c r="DU168" i="47"/>
  <c r="DU171" i="47"/>
  <c r="DT171" i="47"/>
  <c r="DR174" i="47"/>
  <c r="DQ174" i="47"/>
  <c r="DQ175" i="47"/>
  <c r="DR175" i="47"/>
  <c r="DR177" i="47"/>
  <c r="DQ177" i="47"/>
  <c r="DP179" i="47"/>
  <c r="DU179" i="47"/>
  <c r="DT179" i="47"/>
  <c r="DU180" i="47"/>
  <c r="DT180" i="47"/>
  <c r="DR183" i="47"/>
  <c r="DQ183" i="47"/>
  <c r="DE267" i="47"/>
  <c r="CA267" i="47"/>
  <c r="DF267" i="47"/>
  <c r="B172" i="48"/>
  <c r="C47" i="48"/>
  <c r="CG47" i="48" s="1"/>
  <c r="CA47" i="48" s="1"/>
  <c r="C62" i="45"/>
  <c r="BW62" i="45" s="1"/>
  <c r="C65" i="45"/>
  <c r="BW65" i="45" s="1"/>
  <c r="C68" i="45"/>
  <c r="BW68" i="45" s="1"/>
  <c r="C71" i="45"/>
  <c r="BW71" i="45" s="1"/>
  <c r="BN145" i="46"/>
  <c r="BG145" i="46"/>
  <c r="BN151" i="46"/>
  <c r="BG151" i="46"/>
  <c r="DO162" i="47"/>
  <c r="DQ167" i="47"/>
  <c r="DR167" i="47"/>
  <c r="DQ170" i="47"/>
  <c r="DR170" i="47"/>
  <c r="DQ173" i="47"/>
  <c r="DR173" i="47"/>
  <c r="DP174" i="47"/>
  <c r="DT174" i="47"/>
  <c r="DU174" i="47"/>
  <c r="DU175" i="47"/>
  <c r="DT175" i="47"/>
  <c r="DU177" i="47"/>
  <c r="DT177" i="47"/>
  <c r="DO178" i="47"/>
  <c r="DQ178" i="47"/>
  <c r="DR178" i="47"/>
  <c r="DO182" i="47"/>
  <c r="DQ182" i="47"/>
  <c r="DR182" i="47"/>
  <c r="DT183" i="47"/>
  <c r="DU183" i="47"/>
  <c r="CB271" i="47"/>
  <c r="DE271" i="47"/>
  <c r="CA271" i="47"/>
  <c r="DF271" i="47"/>
  <c r="B147" i="48"/>
  <c r="CA226" i="47"/>
  <c r="DN216" i="47"/>
  <c r="DM216" i="47"/>
  <c r="DN218" i="47"/>
  <c r="DM218" i="47"/>
  <c r="DF220" i="47"/>
  <c r="CB220" i="47" s="1"/>
  <c r="DM220" i="47"/>
  <c r="DN220" i="47"/>
  <c r="DF226" i="47"/>
  <c r="CD226" i="47"/>
  <c r="DH226" i="47"/>
  <c r="CE226" i="47"/>
  <c r="DI226" i="47"/>
  <c r="DH230" i="47"/>
  <c r="CE230" i="47"/>
  <c r="DI230" i="47"/>
  <c r="CD230" i="47"/>
  <c r="DF230" i="47"/>
  <c r="CE229" i="47"/>
  <c r="DH229" i="47"/>
  <c r="DI229" i="47"/>
  <c r="CD229" i="47"/>
  <c r="DF229" i="47"/>
  <c r="DM215" i="47"/>
  <c r="DN215" i="47"/>
  <c r="DF227" i="47"/>
  <c r="DI227" i="47"/>
  <c r="CD227" i="47"/>
  <c r="CE227" i="47"/>
  <c r="DH227" i="47"/>
  <c r="CD231" i="47"/>
  <c r="DH231" i="47"/>
  <c r="CE231" i="47"/>
  <c r="DI231" i="47"/>
  <c r="DF231" i="47"/>
  <c r="DN217" i="47"/>
  <c r="DM217" i="47"/>
  <c r="DM219" i="47"/>
  <c r="DN219" i="47"/>
  <c r="DM221" i="47"/>
  <c r="DN221" i="47"/>
  <c r="DI228" i="47"/>
  <c r="CE228" i="47"/>
  <c r="DF228" i="47"/>
  <c r="DH228" i="47"/>
  <c r="CD228" i="47"/>
  <c r="DF232" i="47"/>
  <c r="CD232" i="47"/>
  <c r="DH232" i="47"/>
  <c r="CE232" i="47"/>
  <c r="DI232" i="47"/>
  <c r="C49" i="45"/>
  <c r="BG139" i="46"/>
  <c r="V139" i="46" s="1"/>
  <c r="BN139" i="46"/>
  <c r="C178" i="46"/>
  <c r="C181" i="46"/>
  <c r="C184" i="46"/>
  <c r="C191" i="46"/>
  <c r="C194" i="46"/>
  <c r="C197" i="46"/>
  <c r="C200" i="46"/>
  <c r="BM162" i="46"/>
  <c r="BN162" i="46"/>
  <c r="BO162" i="46"/>
  <c r="BH162" i="46"/>
  <c r="BN45" i="46"/>
  <c r="BE162" i="46"/>
  <c r="BL162" i="46"/>
  <c r="BE36" i="46"/>
  <c r="C169" i="46"/>
  <c r="C76" i="45"/>
  <c r="BW76" i="45" s="1"/>
  <c r="B106" i="45"/>
  <c r="BW106" i="45" s="1"/>
  <c r="E31" i="45"/>
  <c r="C157" i="45"/>
  <c r="D159" i="45"/>
  <c r="C12" i="45"/>
  <c r="DF44" i="47"/>
  <c r="DI44" i="47"/>
  <c r="DH44" i="47"/>
  <c r="DI46" i="47"/>
  <c r="DH46" i="47"/>
  <c r="DI47" i="47"/>
  <c r="DH47" i="47"/>
  <c r="DH52" i="47"/>
  <c r="DI52" i="47"/>
  <c r="DI65" i="47"/>
  <c r="DH65" i="47"/>
  <c r="DI67" i="47"/>
  <c r="DH67" i="47"/>
  <c r="DI71" i="47"/>
  <c r="DH71" i="47"/>
  <c r="DI73" i="47"/>
  <c r="DH73" i="47"/>
  <c r="DP161" i="47"/>
  <c r="DP166" i="47"/>
  <c r="CL167" i="47"/>
  <c r="DP171" i="47"/>
  <c r="CL172" i="47"/>
  <c r="DP182" i="47"/>
  <c r="CL183" i="47"/>
  <c r="CA232" i="47"/>
  <c r="C128" i="45"/>
  <c r="BN18" i="46"/>
  <c r="BL62" i="46"/>
  <c r="DI17" i="47"/>
  <c r="DH17" i="47"/>
  <c r="DI22" i="47"/>
  <c r="DH22" i="47"/>
  <c r="DH24" i="47"/>
  <c r="DI24" i="47"/>
  <c r="DI25" i="47"/>
  <c r="DH25" i="47"/>
  <c r="DI30" i="47"/>
  <c r="DH30" i="47"/>
  <c r="DI38" i="47"/>
  <c r="DH38" i="47"/>
  <c r="DI39" i="47"/>
  <c r="DH39" i="47"/>
  <c r="DH40" i="47"/>
  <c r="DI40" i="47"/>
  <c r="DI41" i="47"/>
  <c r="DH41" i="47"/>
  <c r="DH42" i="47"/>
  <c r="DI42" i="47"/>
  <c r="DI88" i="47"/>
  <c r="DH88" i="47"/>
  <c r="DI90" i="47"/>
  <c r="DH90" i="47"/>
  <c r="DF91" i="47"/>
  <c r="DI91" i="47"/>
  <c r="DH91" i="47"/>
  <c r="DI96" i="47"/>
  <c r="DH96" i="47"/>
  <c r="DI104" i="47"/>
  <c r="DH104" i="47"/>
  <c r="DI110" i="47"/>
  <c r="DH110" i="47"/>
  <c r="DI112" i="47"/>
  <c r="DH112" i="47"/>
  <c r="DI113" i="47"/>
  <c r="DH113" i="47"/>
  <c r="DI118" i="47"/>
  <c r="DH118" i="47"/>
  <c r="DI136" i="47"/>
  <c r="DH136" i="47"/>
  <c r="DI138" i="47"/>
  <c r="DH138" i="47"/>
  <c r="DE172" i="47"/>
  <c r="B290" i="47"/>
  <c r="CA290" i="47" s="1"/>
  <c r="B297" i="47"/>
  <c r="DH18" i="47"/>
  <c r="DI18" i="47"/>
  <c r="DI43" i="47"/>
  <c r="DH43" i="47"/>
  <c r="DI45" i="47"/>
  <c r="DH45" i="47"/>
  <c r="DI49" i="47"/>
  <c r="DH49" i="47"/>
  <c r="DI51" i="47"/>
  <c r="DH51" i="47"/>
  <c r="DI70" i="47"/>
  <c r="DH70" i="47"/>
  <c r="DI72" i="47"/>
  <c r="DH72" i="47"/>
  <c r="DI79" i="47"/>
  <c r="DH79" i="47"/>
  <c r="DI80" i="47"/>
  <c r="DH80" i="47"/>
  <c r="DI81" i="47"/>
  <c r="DH81" i="47"/>
  <c r="DI105" i="47"/>
  <c r="DH105" i="47"/>
  <c r="DI106" i="47"/>
  <c r="DH106" i="47"/>
  <c r="BN21" i="46"/>
  <c r="DI19" i="47"/>
  <c r="DH19" i="47"/>
  <c r="DI20" i="47"/>
  <c r="DH20" i="47"/>
  <c r="DI21" i="47"/>
  <c r="DH21" i="47"/>
  <c r="DI23" i="47"/>
  <c r="DH23" i="47"/>
  <c r="DI27" i="47"/>
  <c r="DH27" i="47"/>
  <c r="DI29" i="47"/>
  <c r="DH29" i="47"/>
  <c r="DI82" i="47"/>
  <c r="DH82" i="47"/>
  <c r="DI83" i="47"/>
  <c r="DH83" i="47"/>
  <c r="DI84" i="47"/>
  <c r="DH84" i="47"/>
  <c r="DI85" i="47"/>
  <c r="DH85" i="47"/>
  <c r="DI86" i="47"/>
  <c r="DH86" i="47"/>
  <c r="DI87" i="47"/>
  <c r="DH87" i="47"/>
  <c r="DI89" i="47"/>
  <c r="DH89" i="47"/>
  <c r="DI93" i="47"/>
  <c r="DH93" i="47"/>
  <c r="DI95" i="47"/>
  <c r="DH95" i="47"/>
  <c r="DI107" i="47"/>
  <c r="DH107" i="47"/>
  <c r="DI108" i="47"/>
  <c r="DH108" i="47"/>
  <c r="DI109" i="47"/>
  <c r="DH109" i="47"/>
  <c r="DI111" i="47"/>
  <c r="DH111" i="47"/>
  <c r="DF115" i="47"/>
  <c r="DI115" i="47"/>
  <c r="DH115" i="47"/>
  <c r="DI117" i="47"/>
  <c r="DH117" i="47"/>
  <c r="DI132" i="47"/>
  <c r="DH132" i="47"/>
  <c r="DI134" i="47"/>
  <c r="DH134" i="47"/>
  <c r="DI135" i="47"/>
  <c r="DH135" i="47"/>
  <c r="DI140" i="47"/>
  <c r="DH140" i="47"/>
  <c r="DP178" i="47"/>
  <c r="DP183" i="47"/>
  <c r="CA216" i="47"/>
  <c r="CA227" i="47"/>
  <c r="C41" i="48"/>
  <c r="CG41" i="48" s="1"/>
  <c r="CA41" i="48" s="1"/>
  <c r="B22" i="48"/>
  <c r="CL22" i="48" s="1"/>
  <c r="BN42" i="46"/>
  <c r="CB18" i="47"/>
  <c r="AX18" i="47" s="1"/>
  <c r="DI48" i="47"/>
  <c r="DH48" i="47"/>
  <c r="DI50" i="47"/>
  <c r="DH50" i="47"/>
  <c r="DI57" i="47"/>
  <c r="DH57" i="47"/>
  <c r="DI58" i="47"/>
  <c r="DH58" i="47"/>
  <c r="DI59" i="47"/>
  <c r="DH59" i="47"/>
  <c r="DI60" i="47"/>
  <c r="DH60" i="47"/>
  <c r="DI61" i="47"/>
  <c r="DH61" i="47"/>
  <c r="DH62" i="47"/>
  <c r="DI62" i="47"/>
  <c r="DF66" i="47"/>
  <c r="DI66" i="47"/>
  <c r="DH66" i="47"/>
  <c r="DH68" i="47"/>
  <c r="DI68" i="47"/>
  <c r="DI69" i="47"/>
  <c r="DH69" i="47"/>
  <c r="DH74" i="47"/>
  <c r="DI74" i="47"/>
  <c r="CL171" i="47"/>
  <c r="DP172" i="47"/>
  <c r="C176" i="48"/>
  <c r="DI13" i="47"/>
  <c r="DH13" i="47"/>
  <c r="DH14" i="47"/>
  <c r="DI14" i="47"/>
  <c r="DI15" i="47"/>
  <c r="DH15" i="47"/>
  <c r="DI16" i="47"/>
  <c r="DH16" i="47"/>
  <c r="DH26" i="47"/>
  <c r="DI26" i="47"/>
  <c r="DI28" i="47"/>
  <c r="DH28" i="47"/>
  <c r="DI35" i="47"/>
  <c r="DH35" i="47"/>
  <c r="DI36" i="47"/>
  <c r="DH36" i="47"/>
  <c r="DI37" i="47"/>
  <c r="DH37" i="47"/>
  <c r="DI63" i="47"/>
  <c r="DH63" i="47"/>
  <c r="DI64" i="47"/>
  <c r="DH64" i="47"/>
  <c r="DI92" i="47"/>
  <c r="DH92" i="47"/>
  <c r="DI94" i="47"/>
  <c r="DH94" i="47"/>
  <c r="DF101" i="47"/>
  <c r="DI101" i="47"/>
  <c r="DH101" i="47"/>
  <c r="DI102" i="47"/>
  <c r="DH102" i="47"/>
  <c r="DI103" i="47"/>
  <c r="DH103" i="47"/>
  <c r="DI114" i="47"/>
  <c r="DH114" i="47"/>
  <c r="DI116" i="47"/>
  <c r="DH116" i="47"/>
  <c r="DI123" i="47"/>
  <c r="DH123" i="47"/>
  <c r="DI124" i="47"/>
  <c r="DH124" i="47"/>
  <c r="DI125" i="47"/>
  <c r="DH125" i="47"/>
  <c r="DI126" i="47"/>
  <c r="DH126" i="47"/>
  <c r="DI127" i="47"/>
  <c r="DH127" i="47"/>
  <c r="DI128" i="47"/>
  <c r="DH128" i="47"/>
  <c r="DI129" i="47"/>
  <c r="DH129" i="47"/>
  <c r="DI130" i="47"/>
  <c r="DH130" i="47"/>
  <c r="DI131" i="47"/>
  <c r="DH131" i="47"/>
  <c r="DI133" i="47"/>
  <c r="DH133" i="47"/>
  <c r="DI137" i="47"/>
  <c r="DH137" i="47"/>
  <c r="DF139" i="47"/>
  <c r="DI139" i="47"/>
  <c r="DH139" i="47"/>
  <c r="Q156" i="47"/>
  <c r="DP173" i="47"/>
  <c r="CL176" i="47"/>
  <c r="DF221" i="47"/>
  <c r="CB221" i="47" s="1"/>
  <c r="B285" i="47"/>
  <c r="B170" i="48"/>
  <c r="B158" i="48"/>
  <c r="B152" i="48"/>
  <c r="CB115" i="47"/>
  <c r="DF106" i="47"/>
  <c r="CB106" i="47"/>
  <c r="AX106" i="47" s="1"/>
  <c r="CB117" i="47"/>
  <c r="CB36" i="47"/>
  <c r="DF16" i="47"/>
  <c r="B291" i="47"/>
  <c r="CA291" i="47" s="1"/>
  <c r="Q154" i="47"/>
  <c r="Q155" i="47"/>
  <c r="Q144" i="47"/>
  <c r="Q145" i="47"/>
  <c r="Q148" i="47"/>
  <c r="DF133" i="47"/>
  <c r="DF127" i="47"/>
  <c r="CB127" i="47"/>
  <c r="CB111" i="47"/>
  <c r="DF218" i="47"/>
  <c r="CB218" i="47" s="1"/>
  <c r="CB84" i="47"/>
  <c r="CB124" i="47"/>
  <c r="CB129" i="47"/>
  <c r="DO163" i="47"/>
  <c r="CK163" i="47"/>
  <c r="DO180" i="47"/>
  <c r="B282" i="47"/>
  <c r="DF114" i="47"/>
  <c r="CB114" i="47"/>
  <c r="CB133" i="47"/>
  <c r="DP168" i="47"/>
  <c r="CL169" i="47"/>
  <c r="DP169" i="47"/>
  <c r="DP180" i="47"/>
  <c r="CL181" i="47"/>
  <c r="DP181" i="47"/>
  <c r="DF134" i="47"/>
  <c r="CL175" i="47"/>
  <c r="DP175" i="47"/>
  <c r="CL164" i="47"/>
  <c r="CL168" i="47"/>
  <c r="CL170" i="47"/>
  <c r="CL180" i="47"/>
  <c r="CB22" i="47"/>
  <c r="DF58" i="47"/>
  <c r="CB123" i="47"/>
  <c r="DF124" i="47"/>
  <c r="CB134" i="47"/>
  <c r="CB139" i="47"/>
  <c r="Q147" i="47"/>
  <c r="DE168" i="47"/>
  <c r="DE180" i="47"/>
  <c r="DF215" i="47"/>
  <c r="CB215" i="47" s="1"/>
  <c r="CA229" i="47"/>
  <c r="DF128" i="47"/>
  <c r="DP165" i="47"/>
  <c r="CL166" i="47"/>
  <c r="CL173" i="47"/>
  <c r="DE174" i="47"/>
  <c r="CL178" i="47"/>
  <c r="CA230" i="47"/>
  <c r="B280" i="47"/>
  <c r="B283" i="47"/>
  <c r="DF138" i="47"/>
  <c r="DF216" i="47"/>
  <c r="CB216" i="47" s="1"/>
  <c r="CB130" i="47"/>
  <c r="DF130" i="47"/>
  <c r="CB138" i="47"/>
  <c r="Q153" i="47"/>
  <c r="DE216" i="47"/>
  <c r="DF111" i="47"/>
  <c r="DF104" i="47"/>
  <c r="CB103" i="47"/>
  <c r="DF103" i="47"/>
  <c r="CB105" i="47"/>
  <c r="DF117" i="47"/>
  <c r="DF113" i="47"/>
  <c r="CB113" i="47"/>
  <c r="DF109" i="47"/>
  <c r="CB110" i="47"/>
  <c r="AX110" i="47" s="1"/>
  <c r="CB109" i="47"/>
  <c r="CB91" i="47"/>
  <c r="CB82" i="47"/>
  <c r="DF83" i="47"/>
  <c r="CB79" i="47"/>
  <c r="DF79" i="47"/>
  <c r="CB85" i="47"/>
  <c r="DF85" i="47"/>
  <c r="DF82" i="47"/>
  <c r="CB68" i="47"/>
  <c r="CB67" i="47"/>
  <c r="DF67" i="47"/>
  <c r="CB74" i="47"/>
  <c r="DF68" i="47"/>
  <c r="DF59" i="47"/>
  <c r="DF64" i="47"/>
  <c r="CB60" i="47"/>
  <c r="AX60" i="47" s="1"/>
  <c r="CB58" i="47"/>
  <c r="AX58" i="47" s="1"/>
  <c r="CB61" i="47"/>
  <c r="AX61" i="47" s="1"/>
  <c r="DF61" i="47"/>
  <c r="CB72" i="47"/>
  <c r="DF74" i="47"/>
  <c r="DF73" i="47"/>
  <c r="DF72" i="47"/>
  <c r="CB73" i="47"/>
  <c r="DF48" i="47"/>
  <c r="CB49" i="47"/>
  <c r="CB48" i="47"/>
  <c r="CB46" i="47"/>
  <c r="CB50" i="47"/>
  <c r="DF35" i="47"/>
  <c r="DF41" i="47"/>
  <c r="DF40" i="47"/>
  <c r="CB40" i="47"/>
  <c r="DF52" i="47"/>
  <c r="DF50" i="47"/>
  <c r="CB52" i="47"/>
  <c r="CB47" i="47"/>
  <c r="DF47" i="47"/>
  <c r="CB44" i="47"/>
  <c r="DF43" i="47"/>
  <c r="CB43" i="47"/>
  <c r="DF26" i="47"/>
  <c r="CB26" i="47"/>
  <c r="CB19" i="47"/>
  <c r="AX19" i="47" s="1"/>
  <c r="DF19" i="47"/>
  <c r="DF17" i="47"/>
  <c r="C37" i="48"/>
  <c r="CG37" i="48" s="1"/>
  <c r="CA37" i="48" s="1"/>
  <c r="C34" i="48"/>
  <c r="CG34" i="48" s="1"/>
  <c r="CA34" i="48" s="1"/>
  <c r="B24" i="48"/>
  <c r="B180" i="48"/>
  <c r="B175" i="48"/>
  <c r="C39" i="48"/>
  <c r="CG39" i="48" s="1"/>
  <c r="CA39" i="48" s="1"/>
  <c r="C33" i="48"/>
  <c r="CG33" i="48" s="1"/>
  <c r="CA33" i="48" s="1"/>
  <c r="C30" i="48"/>
  <c r="B20" i="48"/>
  <c r="B162" i="48"/>
  <c r="B163" i="48"/>
  <c r="B154" i="48"/>
  <c r="B151" i="48"/>
  <c r="B148" i="48"/>
  <c r="C50" i="48"/>
  <c r="CG50" i="48" s="1"/>
  <c r="C38" i="48"/>
  <c r="CG38" i="48" s="1"/>
  <c r="CA38" i="48" s="1"/>
  <c r="B159" i="48"/>
  <c r="C49" i="48"/>
  <c r="CG49" i="48" s="1"/>
  <c r="C29" i="48"/>
  <c r="B179" i="48"/>
  <c r="B168" i="48"/>
  <c r="B165" i="48"/>
  <c r="C43" i="48"/>
  <c r="CG43" i="48" s="1"/>
  <c r="CA43" i="48" s="1"/>
  <c r="B173" i="48"/>
  <c r="C32" i="48"/>
  <c r="CG32" i="48" s="1"/>
  <c r="CA32" i="48" s="1"/>
  <c r="C35" i="48"/>
  <c r="CG35" i="48" s="1"/>
  <c r="CA35" i="48" s="1"/>
  <c r="B181" i="48"/>
  <c r="B178" i="48"/>
  <c r="B174" i="48"/>
  <c r="B164" i="48"/>
  <c r="B21" i="48"/>
  <c r="B166" i="48"/>
  <c r="C44" i="48"/>
  <c r="CG44" i="48" s="1"/>
  <c r="CA44" i="48" s="1"/>
  <c r="B169" i="48"/>
  <c r="B161" i="48"/>
  <c r="B153" i="48"/>
  <c r="B150" i="48"/>
  <c r="C48" i="48"/>
  <c r="CG48" i="48" s="1"/>
  <c r="CA48" i="48" s="1"/>
  <c r="C46" i="48"/>
  <c r="CG46" i="48" s="1"/>
  <c r="CA46" i="48" s="1"/>
  <c r="C42" i="48"/>
  <c r="CG42" i="48" s="1"/>
  <c r="CA42" i="48" s="1"/>
  <c r="C31" i="48"/>
  <c r="CG31" i="48" s="1"/>
  <c r="B177" i="48"/>
  <c r="B193" i="48"/>
  <c r="B67" i="48"/>
  <c r="B59" i="48"/>
  <c r="B167" i="48"/>
  <c r="B160" i="48"/>
  <c r="C40" i="48"/>
  <c r="CG40" i="48" s="1"/>
  <c r="CA40" i="48" s="1"/>
  <c r="D19" i="48"/>
  <c r="B171" i="48"/>
  <c r="D176" i="48"/>
  <c r="B149" i="48"/>
  <c r="BE59" i="46"/>
  <c r="C166" i="46"/>
  <c r="C179" i="46"/>
  <c r="C182" i="46"/>
  <c r="C192" i="46"/>
  <c r="C195" i="46"/>
  <c r="BL23" i="46"/>
  <c r="BE37" i="46"/>
  <c r="BE54" i="46"/>
  <c r="BN33" i="46"/>
  <c r="BN69" i="46"/>
  <c r="BN57" i="46"/>
  <c r="BN28" i="46"/>
  <c r="BE30" i="46"/>
  <c r="BN38" i="46"/>
  <c r="BN39" i="46"/>
  <c r="BE41" i="46"/>
  <c r="BE44" i="46"/>
  <c r="BL64" i="46"/>
  <c r="BN66" i="46"/>
  <c r="BE71" i="46"/>
  <c r="C163" i="46"/>
  <c r="BL20" i="46"/>
  <c r="BE27" i="46"/>
  <c r="BE39" i="46"/>
  <c r="BL40" i="46"/>
  <c r="BE53" i="46"/>
  <c r="BE60" i="46"/>
  <c r="C160" i="46"/>
  <c r="BF160" i="46" s="1"/>
  <c r="C167" i="46"/>
  <c r="BN51" i="46"/>
  <c r="BN36" i="46"/>
  <c r="BL38" i="46"/>
  <c r="BL46" i="46"/>
  <c r="BN48" i="46"/>
  <c r="BN44" i="46"/>
  <c r="BN15" i="46"/>
  <c r="N136" i="46"/>
  <c r="F136" i="46"/>
  <c r="C165" i="46"/>
  <c r="C168" i="46"/>
  <c r="BN46" i="46"/>
  <c r="BN64" i="46"/>
  <c r="BE15" i="46"/>
  <c r="BN25" i="46"/>
  <c r="BL26" i="46"/>
  <c r="BL52" i="46"/>
  <c r="BL53" i="46"/>
  <c r="BE56" i="46"/>
  <c r="BE57" i="46"/>
  <c r="BL59" i="46"/>
  <c r="BN62" i="46"/>
  <c r="BL70" i="46"/>
  <c r="BL71" i="46"/>
  <c r="BN29" i="46"/>
  <c r="E171" i="46"/>
  <c r="W72" i="46"/>
  <c r="BN22" i="46"/>
  <c r="BE25" i="46"/>
  <c r="BE47" i="46"/>
  <c r="BL49" i="46"/>
  <c r="BE50" i="46"/>
  <c r="BL56" i="46"/>
  <c r="BL58" i="46"/>
  <c r="BE65" i="46"/>
  <c r="BL67" i="46"/>
  <c r="BE68" i="46"/>
  <c r="BE18" i="46"/>
  <c r="BE21" i="46"/>
  <c r="BE24" i="46"/>
  <c r="BE33" i="46"/>
  <c r="BL47" i="46"/>
  <c r="BL50" i="46"/>
  <c r="BE62" i="46"/>
  <c r="BL65" i="46"/>
  <c r="BL68" i="46"/>
  <c r="J136" i="46"/>
  <c r="C25" i="45"/>
  <c r="E38" i="45"/>
  <c r="B32" i="45"/>
  <c r="C74" i="45"/>
  <c r="BW74" i="45" s="1"/>
  <c r="B107" i="45"/>
  <c r="BW107" i="45" s="1"/>
  <c r="E30" i="45"/>
  <c r="B118" i="45"/>
  <c r="C129" i="45"/>
  <c r="C160" i="45"/>
  <c r="C17" i="45"/>
  <c r="C19" i="45"/>
  <c r="E22" i="45"/>
  <c r="B116" i="45"/>
  <c r="D155" i="45"/>
  <c r="C153" i="45"/>
  <c r="G32" i="45"/>
  <c r="C24" i="45"/>
  <c r="C57" i="45"/>
  <c r="BW57" i="45" s="1"/>
  <c r="C127" i="45"/>
  <c r="D130" i="45"/>
  <c r="C156" i="45"/>
  <c r="C20" i="45"/>
  <c r="E155" i="45"/>
  <c r="C59" i="45"/>
  <c r="BW59" i="45" s="1"/>
  <c r="B117" i="45"/>
  <c r="C15" i="45"/>
  <c r="C14" i="45"/>
  <c r="C16" i="45"/>
  <c r="C18" i="45"/>
  <c r="E130" i="45"/>
  <c r="F32" i="45"/>
  <c r="C58" i="45"/>
  <c r="BW58" i="45" s="1"/>
  <c r="E159" i="45"/>
  <c r="C13" i="45"/>
  <c r="C21" i="45"/>
  <c r="B38" i="45"/>
  <c r="C50" i="45"/>
  <c r="C56" i="45"/>
  <c r="BW56" i="45" s="1"/>
  <c r="C60" i="45"/>
  <c r="BW60" i="45" s="1"/>
  <c r="C63" i="45"/>
  <c r="BW63" i="45" s="1"/>
  <c r="C66" i="45"/>
  <c r="BW66" i="45" s="1"/>
  <c r="C69" i="45"/>
  <c r="BW69" i="45" s="1"/>
  <c r="C72" i="45"/>
  <c r="BW72" i="45" s="1"/>
  <c r="C75" i="45"/>
  <c r="BW75" i="45" s="1"/>
  <c r="C152" i="45"/>
  <c r="CJ152" i="45" s="1"/>
  <c r="B156" i="48"/>
  <c r="B204" i="48"/>
  <c r="Y186" i="48"/>
  <c r="B213" i="48"/>
  <c r="B155" i="48"/>
  <c r="C45" i="48"/>
  <c r="CG45" i="48" s="1"/>
  <c r="CA45" i="48" s="1"/>
  <c r="C36" i="48"/>
  <c r="CG36" i="48" s="1"/>
  <c r="CA36" i="48" s="1"/>
  <c r="CL23" i="48"/>
  <c r="CM23" i="48"/>
  <c r="C19" i="48"/>
  <c r="B75" i="48"/>
  <c r="B157" i="48"/>
  <c r="B18" i="48"/>
  <c r="B17" i="48"/>
  <c r="B16" i="48"/>
  <c r="B15" i="48"/>
  <c r="B14" i="48"/>
  <c r="B13" i="48"/>
  <c r="DF70" i="47"/>
  <c r="CB70" i="47"/>
  <c r="CB80" i="47"/>
  <c r="CB86" i="47"/>
  <c r="AX86" i="47" s="1"/>
  <c r="DF108" i="47"/>
  <c r="CB108" i="47"/>
  <c r="AX108" i="47" s="1"/>
  <c r="CB14" i="47"/>
  <c r="AX14" i="47" s="1"/>
  <c r="DF14" i="47"/>
  <c r="CB20" i="47"/>
  <c r="AX20" i="47" s="1"/>
  <c r="DF20" i="47"/>
  <c r="DF25" i="47"/>
  <c r="CB25" i="47"/>
  <c r="DF39" i="47"/>
  <c r="CB39" i="47"/>
  <c r="DF57" i="47"/>
  <c r="CB57" i="47"/>
  <c r="DF63" i="47"/>
  <c r="CB63" i="47"/>
  <c r="AX63" i="47" s="1"/>
  <c r="CB27" i="47"/>
  <c r="AX27" i="47" s="1"/>
  <c r="DF92" i="47"/>
  <c r="CB92" i="47"/>
  <c r="AX92" i="47" s="1"/>
  <c r="CB90" i="47"/>
  <c r="DF90" i="47"/>
  <c r="CB137" i="47"/>
  <c r="DF137" i="47"/>
  <c r="DO164" i="47"/>
  <c r="CK164" i="47"/>
  <c r="DE164" i="47"/>
  <c r="DF28" i="47"/>
  <c r="CB28" i="47"/>
  <c r="AX28" i="47" s="1"/>
  <c r="DF80" i="47"/>
  <c r="CB24" i="47"/>
  <c r="AX24" i="47" s="1"/>
  <c r="DF24" i="47"/>
  <c r="CB38" i="47"/>
  <c r="DF38" i="47"/>
  <c r="DF45" i="47"/>
  <c r="CB45" i="47"/>
  <c r="DF51" i="47"/>
  <c r="CB51" i="47"/>
  <c r="CB62" i="47"/>
  <c r="AX62" i="47" s="1"/>
  <c r="DF62" i="47"/>
  <c r="CB66" i="47"/>
  <c r="CB88" i="47"/>
  <c r="AX88" i="47" s="1"/>
  <c r="CB89" i="47"/>
  <c r="DF89" i="47"/>
  <c r="DF15" i="47"/>
  <c r="CB15" i="47"/>
  <c r="AX15" i="47" s="1"/>
  <c r="DF21" i="47"/>
  <c r="CB21" i="47"/>
  <c r="DF27" i="47"/>
  <c r="DF86" i="47"/>
  <c r="DF30" i="47"/>
  <c r="CB30" i="47"/>
  <c r="AX30" i="47" s="1"/>
  <c r="DF81" i="47"/>
  <c r="CB81" i="47"/>
  <c r="AX81" i="47" s="1"/>
  <c r="CB87" i="47"/>
  <c r="DF87" i="47"/>
  <c r="DF88" i="47"/>
  <c r="CB93" i="47"/>
  <c r="AX93" i="47" s="1"/>
  <c r="DF93" i="47"/>
  <c r="DF116" i="47"/>
  <c r="CB116" i="47"/>
  <c r="CB17" i="47"/>
  <c r="AX17" i="47" s="1"/>
  <c r="DF18" i="47"/>
  <c r="CB23" i="47"/>
  <c r="AX23" i="47" s="1"/>
  <c r="DF23" i="47"/>
  <c r="CB29" i="47"/>
  <c r="AX29" i="47" s="1"/>
  <c r="DF29" i="47"/>
  <c r="CB35" i="47"/>
  <c r="DF36" i="47"/>
  <c r="CB41" i="47"/>
  <c r="DF42" i="47"/>
  <c r="DF46" i="47"/>
  <c r="DF49" i="47"/>
  <c r="CB59" i="47"/>
  <c r="AX59" i="47" s="1"/>
  <c r="DF60" i="47"/>
  <c r="CB65" i="47"/>
  <c r="DF65" i="47"/>
  <c r="CB69" i="47"/>
  <c r="DF69" i="47"/>
  <c r="CB71" i="47"/>
  <c r="CB83" i="47"/>
  <c r="AX83" i="47" s="1"/>
  <c r="DF84" i="47"/>
  <c r="DF112" i="47"/>
  <c r="CB112" i="47"/>
  <c r="DF126" i="47"/>
  <c r="CB126" i="47"/>
  <c r="DF135" i="47"/>
  <c r="CB135" i="47"/>
  <c r="DO165" i="47"/>
  <c r="CK165" i="47"/>
  <c r="DE165" i="47"/>
  <c r="DF22" i="47"/>
  <c r="CB107" i="47"/>
  <c r="AX107" i="47" s="1"/>
  <c r="DF107" i="47"/>
  <c r="DP162" i="47"/>
  <c r="CL162" i="47"/>
  <c r="DO170" i="47"/>
  <c r="CK170" i="47"/>
  <c r="DE170" i="47"/>
  <c r="DF71" i="47"/>
  <c r="DF118" i="47"/>
  <c r="CB118" i="47"/>
  <c r="CB125" i="47"/>
  <c r="DF125" i="47"/>
  <c r="DF131" i="47"/>
  <c r="CB131" i="47"/>
  <c r="DF95" i="47"/>
  <c r="CB95" i="47"/>
  <c r="CB101" i="47"/>
  <c r="AX101" i="47" s="1"/>
  <c r="DF102" i="47"/>
  <c r="CB102" i="47"/>
  <c r="AX102" i="47" s="1"/>
  <c r="CB140" i="47"/>
  <c r="DF140" i="47"/>
  <c r="DE162" i="47"/>
  <c r="DO171" i="47"/>
  <c r="CK171" i="47"/>
  <c r="DE171" i="47"/>
  <c r="DF217" i="47"/>
  <c r="CB217" i="47" s="1"/>
  <c r="DE217" i="47"/>
  <c r="CB94" i="47"/>
  <c r="DF94" i="47"/>
  <c r="CB96" i="47"/>
  <c r="AX96" i="47" s="1"/>
  <c r="DF96" i="47"/>
  <c r="CB104" i="47"/>
  <c r="AX104" i="47" s="1"/>
  <c r="DF105" i="47"/>
  <c r="DF110" i="47"/>
  <c r="DF123" i="47"/>
  <c r="CB128" i="47"/>
  <c r="DF129" i="47"/>
  <c r="CB132" i="47"/>
  <c r="CB136" i="47"/>
  <c r="DF136" i="47"/>
  <c r="DE161" i="47"/>
  <c r="DO166" i="47"/>
  <c r="CK166" i="47"/>
  <c r="DO172" i="47"/>
  <c r="CK172" i="47"/>
  <c r="CA217" i="47"/>
  <c r="CA218" i="47"/>
  <c r="Q146" i="47"/>
  <c r="DO167" i="47"/>
  <c r="CK167" i="47"/>
  <c r="DO173" i="47"/>
  <c r="CK173" i="47"/>
  <c r="DF132" i="47"/>
  <c r="DE163" i="47"/>
  <c r="DO168" i="47"/>
  <c r="CK168" i="47"/>
  <c r="DO174" i="47"/>
  <c r="CK174" i="47"/>
  <c r="CA219" i="47"/>
  <c r="DF219" i="47"/>
  <c r="CB219" i="47" s="1"/>
  <c r="Q152" i="47"/>
  <c r="DP163" i="47"/>
  <c r="DE167" i="47"/>
  <c r="DO169" i="47"/>
  <c r="CK169" i="47"/>
  <c r="DE173" i="47"/>
  <c r="DE175" i="47"/>
  <c r="DO175" i="47"/>
  <c r="CK175" i="47"/>
  <c r="DE177" i="47"/>
  <c r="DO177" i="47"/>
  <c r="CK177" i="47"/>
  <c r="DE179" i="47"/>
  <c r="DO179" i="47"/>
  <c r="CK179" i="47"/>
  <c r="DE181" i="47"/>
  <c r="DO181" i="47"/>
  <c r="CK181" i="47"/>
  <c r="DE183" i="47"/>
  <c r="DO183" i="47"/>
  <c r="CK183" i="47"/>
  <c r="DE218" i="47"/>
  <c r="CK162" i="47"/>
  <c r="DE219" i="47"/>
  <c r="B296" i="47"/>
  <c r="DE220" i="47"/>
  <c r="CA221" i="47"/>
  <c r="DE221" i="47"/>
  <c r="CA220" i="47"/>
  <c r="CK176" i="47"/>
  <c r="CK178" i="47"/>
  <c r="CK180" i="47"/>
  <c r="CK182" i="47"/>
  <c r="CA215" i="47"/>
  <c r="DE215" i="47"/>
  <c r="CA228" i="47"/>
  <c r="CA231" i="47"/>
  <c r="BL13" i="46"/>
  <c r="BE32" i="46"/>
  <c r="BN32" i="46"/>
  <c r="BL34" i="46"/>
  <c r="BN13" i="46"/>
  <c r="BN17" i="46"/>
  <c r="BL19" i="46"/>
  <c r="BE20" i="46"/>
  <c r="BE28" i="46"/>
  <c r="BN31" i="46"/>
  <c r="BN35" i="46"/>
  <c r="BL37" i="46"/>
  <c r="BE38" i="46"/>
  <c r="BN55" i="46"/>
  <c r="B155" i="46"/>
  <c r="BE13" i="46"/>
  <c r="BN16" i="46"/>
  <c r="BN20" i="46"/>
  <c r="BL22" i="46"/>
  <c r="BE23" i="46"/>
  <c r="BN24" i="46"/>
  <c r="BL29" i="46"/>
  <c r="BN34" i="46"/>
  <c r="BE40" i="46"/>
  <c r="BE43" i="46"/>
  <c r="BL45" i="46"/>
  <c r="BE45" i="46"/>
  <c r="BE49" i="46"/>
  <c r="BE52" i="46"/>
  <c r="BE70" i="46"/>
  <c r="D171" i="46"/>
  <c r="BL31" i="46"/>
  <c r="AA72" i="46"/>
  <c r="BL16" i="46"/>
  <c r="BE35" i="46"/>
  <c r="BE55" i="46"/>
  <c r="BL55" i="46"/>
  <c r="BN58" i="46"/>
  <c r="BE16" i="46"/>
  <c r="BN19" i="46"/>
  <c r="BN23" i="46"/>
  <c r="BL25" i="46"/>
  <c r="BE26" i="46"/>
  <c r="BN27" i="46"/>
  <c r="BL32" i="46"/>
  <c r="BE34" i="46"/>
  <c r="BN37" i="46"/>
  <c r="BN40" i="46"/>
  <c r="BN41" i="46"/>
  <c r="BL48" i="46"/>
  <c r="BE48" i="46"/>
  <c r="BL63" i="46"/>
  <c r="BE63" i="46"/>
  <c r="BN63" i="46"/>
  <c r="BL66" i="46"/>
  <c r="BE66" i="46"/>
  <c r="C176" i="46"/>
  <c r="C185" i="46"/>
  <c r="C198" i="46"/>
  <c r="BE14" i="46"/>
  <c r="BN14" i="46"/>
  <c r="BE17" i="46"/>
  <c r="BN12" i="46"/>
  <c r="BL17" i="46"/>
  <c r="BN26" i="46"/>
  <c r="BL28" i="46"/>
  <c r="BE29" i="46"/>
  <c r="BN30" i="46"/>
  <c r="BL35" i="46"/>
  <c r="BN59" i="46"/>
  <c r="C161" i="46"/>
  <c r="C164" i="46"/>
  <c r="C170" i="46"/>
  <c r="BN52" i="46"/>
  <c r="BL60" i="46"/>
  <c r="BE42" i="46"/>
  <c r="BN43" i="46"/>
  <c r="BN49" i="46"/>
  <c r="BN53" i="46"/>
  <c r="BL57" i="46"/>
  <c r="BN60" i="46"/>
  <c r="BL61" i="46"/>
  <c r="BN67" i="46"/>
  <c r="BN71" i="46"/>
  <c r="BN56" i="46"/>
  <c r="BL44" i="46"/>
  <c r="BN50" i="46"/>
  <c r="BL54" i="46"/>
  <c r="BN68" i="46"/>
  <c r="B72" i="46"/>
  <c r="B136" i="46"/>
  <c r="C177" i="46"/>
  <c r="C180" i="46"/>
  <c r="C183" i="46"/>
  <c r="C186" i="46"/>
  <c r="C193" i="46"/>
  <c r="C196" i="46"/>
  <c r="C199" i="46"/>
  <c r="BN70" i="46"/>
  <c r="BL12" i="46"/>
  <c r="BN47" i="46"/>
  <c r="BL51" i="46"/>
  <c r="BN54" i="46"/>
  <c r="BN61" i="46"/>
  <c r="BN65" i="46"/>
  <c r="BL69" i="46"/>
  <c r="D22" i="45"/>
  <c r="C23" i="45"/>
  <c r="C26" i="45"/>
  <c r="AX43" i="47" l="1"/>
  <c r="AX22" i="47"/>
  <c r="AX26" i="47"/>
  <c r="AX79" i="47"/>
  <c r="AX57" i="47"/>
  <c r="AX13" i="47"/>
  <c r="CG21" i="48"/>
  <c r="CC21" i="48"/>
  <c r="CD21" i="48"/>
  <c r="CB21" i="48"/>
  <c r="CG23" i="48"/>
  <c r="CD23" i="48"/>
  <c r="CB23" i="48"/>
  <c r="CC23" i="48"/>
  <c r="CG24" i="48"/>
  <c r="CD24" i="48"/>
  <c r="CB24" i="48"/>
  <c r="CC24" i="48"/>
  <c r="CG22" i="48"/>
  <c r="CD22" i="48"/>
  <c r="CB22" i="48"/>
  <c r="CC22" i="48"/>
  <c r="CC20" i="48"/>
  <c r="CD20" i="48"/>
  <c r="CB20" i="48"/>
  <c r="CG18" i="48"/>
  <c r="CD18" i="48"/>
  <c r="CC18" i="48"/>
  <c r="CB18" i="48"/>
  <c r="CG13" i="48"/>
  <c r="CD13" i="48"/>
  <c r="CB13" i="48"/>
  <c r="CC13" i="48"/>
  <c r="CG14" i="48"/>
  <c r="CC14" i="48"/>
  <c r="CB14" i="48"/>
  <c r="CD14" i="48"/>
  <c r="CD17" i="48"/>
  <c r="CC17" i="48"/>
  <c r="CB17" i="48"/>
  <c r="CG15" i="48"/>
  <c r="CC15" i="48"/>
  <c r="CB15" i="48"/>
  <c r="CD15" i="48"/>
  <c r="CG16" i="48"/>
  <c r="CC16" i="48"/>
  <c r="CB16" i="48"/>
  <c r="CD16" i="48"/>
  <c r="CK23" i="48"/>
  <c r="AY256" i="47"/>
  <c r="AY244" i="47"/>
  <c r="AY259" i="47"/>
  <c r="AY171" i="47"/>
  <c r="AY163" i="47"/>
  <c r="AY178" i="47"/>
  <c r="AY175" i="47"/>
  <c r="AY179" i="47"/>
  <c r="AY180" i="47"/>
  <c r="AY174" i="47"/>
  <c r="AX105" i="47"/>
  <c r="AX103" i="47"/>
  <c r="AX95" i="47"/>
  <c r="AX94" i="47"/>
  <c r="AX89" i="47"/>
  <c r="AX82" i="47"/>
  <c r="AX85" i="47"/>
  <c r="AX49" i="47"/>
  <c r="AX44" i="47"/>
  <c r="AX45" i="47"/>
  <c r="AX46" i="47"/>
  <c r="AX48" i="47"/>
  <c r="AX36" i="47"/>
  <c r="AX37" i="47"/>
  <c r="AX39" i="47"/>
  <c r="AX40" i="47"/>
  <c r="AX41" i="47"/>
  <c r="AX38" i="47"/>
  <c r="AX42" i="47"/>
  <c r="AX35" i="47"/>
  <c r="CM20" i="48"/>
  <c r="CG20" i="48"/>
  <c r="AY240" i="47"/>
  <c r="AY239" i="47"/>
  <c r="AY166" i="47"/>
  <c r="CL21" i="48"/>
  <c r="AY169" i="47"/>
  <c r="AY252" i="47"/>
  <c r="AY255" i="47"/>
  <c r="AY242" i="47"/>
  <c r="AY241" i="47"/>
  <c r="AY165" i="47"/>
  <c r="AY173" i="47"/>
  <c r="AY167" i="47"/>
  <c r="AY176" i="47"/>
  <c r="CG73" i="45"/>
  <c r="BW73" i="45"/>
  <c r="AY254" i="47"/>
  <c r="AY257" i="47"/>
  <c r="AY161" i="47"/>
  <c r="AY162" i="47"/>
  <c r="CF70" i="45"/>
  <c r="BW70" i="45"/>
  <c r="AY248" i="47"/>
  <c r="AY258" i="47"/>
  <c r="AY238" i="47"/>
  <c r="AY172" i="47"/>
  <c r="AY164" i="47"/>
  <c r="AY182" i="47"/>
  <c r="AY251" i="47"/>
  <c r="AY247" i="47"/>
  <c r="AY249" i="47"/>
  <c r="AY181" i="47"/>
  <c r="AY177" i="47"/>
  <c r="CA17" i="48"/>
  <c r="CG17" i="48"/>
  <c r="CG28" i="48"/>
  <c r="AY168" i="47"/>
  <c r="AA66" i="48"/>
  <c r="AY250" i="47"/>
  <c r="AY253" i="47"/>
  <c r="AY245" i="47"/>
  <c r="AY170" i="47"/>
  <c r="AY243" i="47"/>
  <c r="BE196" i="46"/>
  <c r="BF196" i="46"/>
  <c r="BE200" i="46"/>
  <c r="BF200" i="46"/>
  <c r="BE193" i="46"/>
  <c r="BF193" i="46"/>
  <c r="BE195" i="46"/>
  <c r="BF195" i="46"/>
  <c r="BE198" i="46"/>
  <c r="BF198" i="46"/>
  <c r="BE192" i="46"/>
  <c r="BF192" i="46"/>
  <c r="BF197" i="46"/>
  <c r="BE197" i="46"/>
  <c r="BE199" i="46"/>
  <c r="BF199" i="46"/>
  <c r="BE194" i="46"/>
  <c r="BF194" i="46"/>
  <c r="BK180" i="46"/>
  <c r="BH180" i="46"/>
  <c r="BK179" i="46"/>
  <c r="BH179" i="46"/>
  <c r="BH177" i="46"/>
  <c r="BK177" i="46"/>
  <c r="BK184" i="46"/>
  <c r="BH184" i="46"/>
  <c r="BH181" i="46"/>
  <c r="BK181" i="46"/>
  <c r="BH186" i="46"/>
  <c r="BK186" i="46"/>
  <c r="BK183" i="46"/>
  <c r="BH183" i="46"/>
  <c r="BH185" i="46"/>
  <c r="BK185" i="46"/>
  <c r="BH182" i="46"/>
  <c r="BK182" i="46"/>
  <c r="BH178" i="46"/>
  <c r="BK178" i="46"/>
  <c r="BF164" i="46"/>
  <c r="BG164" i="46"/>
  <c r="BG170" i="46"/>
  <c r="BF170" i="46"/>
  <c r="BG166" i="46"/>
  <c r="BF166" i="46"/>
  <c r="BF169" i="46"/>
  <c r="BG169" i="46"/>
  <c r="BF167" i="46"/>
  <c r="BG167" i="46"/>
  <c r="BF168" i="46"/>
  <c r="BG168" i="46"/>
  <c r="BF165" i="46"/>
  <c r="BG165" i="46"/>
  <c r="BG163" i="46"/>
  <c r="BF163" i="46"/>
  <c r="BG161" i="46"/>
  <c r="BF161" i="46"/>
  <c r="AG71" i="46"/>
  <c r="CF61" i="45"/>
  <c r="BW61" i="45"/>
  <c r="AY246" i="47"/>
  <c r="AY237" i="47"/>
  <c r="BE191" i="46"/>
  <c r="BF191" i="46"/>
  <c r="BH176" i="46"/>
  <c r="BK176" i="46"/>
  <c r="BG160" i="46"/>
  <c r="AA65" i="48"/>
  <c r="AY206" i="47"/>
  <c r="AY198" i="47"/>
  <c r="CG157" i="48"/>
  <c r="CB157" i="48"/>
  <c r="BM181" i="46"/>
  <c r="BS181" i="46"/>
  <c r="BJ181" i="46"/>
  <c r="BR181" i="46"/>
  <c r="BI181" i="46"/>
  <c r="BQ181" i="46"/>
  <c r="BP181" i="46"/>
  <c r="BE181" i="46"/>
  <c r="AY203" i="47"/>
  <c r="AY199" i="47"/>
  <c r="AY204" i="47"/>
  <c r="CG153" i="48"/>
  <c r="CB153" i="48"/>
  <c r="CG156" i="48"/>
  <c r="CB156" i="48"/>
  <c r="BZ20" i="45"/>
  <c r="CI20" i="45"/>
  <c r="CA20" i="45"/>
  <c r="CJ20" i="45"/>
  <c r="CB20" i="45"/>
  <c r="CK20" i="45"/>
  <c r="CH20" i="45"/>
  <c r="BW20" i="45"/>
  <c r="BX20" i="45"/>
  <c r="CF20" i="45"/>
  <c r="CG20" i="45"/>
  <c r="BY20" i="45"/>
  <c r="CG167" i="48"/>
  <c r="CB167" i="48"/>
  <c r="CG177" i="48"/>
  <c r="CB177" i="48"/>
  <c r="CG169" i="48"/>
  <c r="CB169" i="48"/>
  <c r="CG181" i="48"/>
  <c r="CB181" i="48"/>
  <c r="CG151" i="48"/>
  <c r="CB151" i="48"/>
  <c r="AP151" i="48" s="1"/>
  <c r="CG175" i="48"/>
  <c r="CB175" i="48"/>
  <c r="BE178" i="46"/>
  <c r="BM178" i="46"/>
  <c r="BS178" i="46"/>
  <c r="BJ178" i="46"/>
  <c r="BQ178" i="46"/>
  <c r="BP178" i="46"/>
  <c r="BR178" i="46"/>
  <c r="BI178" i="46"/>
  <c r="AY193" i="47"/>
  <c r="AY188" i="47"/>
  <c r="CG174" i="48"/>
  <c r="CB174" i="48"/>
  <c r="BZ18" i="45"/>
  <c r="CI18" i="45"/>
  <c r="CA18" i="45"/>
  <c r="CJ18" i="45"/>
  <c r="CB18" i="45"/>
  <c r="CK18" i="45"/>
  <c r="BX18" i="45"/>
  <c r="CG18" i="45"/>
  <c r="BY18" i="45"/>
  <c r="CF18" i="45"/>
  <c r="BW18" i="45"/>
  <c r="CH18" i="45"/>
  <c r="CG156" i="45"/>
  <c r="BW156" i="45"/>
  <c r="CF156" i="45"/>
  <c r="CA156" i="45"/>
  <c r="BX156" i="45"/>
  <c r="CJ156" i="45"/>
  <c r="CI156" i="45"/>
  <c r="CH156" i="45"/>
  <c r="BZ156" i="45"/>
  <c r="BY156" i="45"/>
  <c r="CA49" i="48"/>
  <c r="AR49" i="48" s="1"/>
  <c r="CA50" i="48"/>
  <c r="AR50" i="48" s="1"/>
  <c r="CG154" i="48"/>
  <c r="CB154" i="48"/>
  <c r="CB180" i="48"/>
  <c r="AP180" i="48" s="1"/>
  <c r="CG180" i="48"/>
  <c r="CA158" i="45"/>
  <c r="CJ158" i="45"/>
  <c r="BZ158" i="45"/>
  <c r="CI158" i="45"/>
  <c r="BY158" i="45"/>
  <c r="CH158" i="45"/>
  <c r="BX158" i="45"/>
  <c r="CG158" i="45"/>
  <c r="BW158" i="45"/>
  <c r="CF158" i="45"/>
  <c r="AY207" i="47"/>
  <c r="AY201" i="47"/>
  <c r="AA64" i="48"/>
  <c r="AY202" i="47"/>
  <c r="AY194" i="47"/>
  <c r="AY197" i="47"/>
  <c r="BS184" i="46"/>
  <c r="BJ184" i="46"/>
  <c r="BR184" i="46"/>
  <c r="BI184" i="46"/>
  <c r="BQ184" i="46"/>
  <c r="BP184" i="46"/>
  <c r="BM184" i="46"/>
  <c r="BE184" i="46"/>
  <c r="AU184" i="46" s="1"/>
  <c r="CF153" i="45"/>
  <c r="BW153" i="45"/>
  <c r="CG153" i="45"/>
  <c r="BX153" i="45"/>
  <c r="CH153" i="45"/>
  <c r="BY153" i="45"/>
  <c r="CI153" i="45"/>
  <c r="BZ153" i="45"/>
  <c r="CJ153" i="45"/>
  <c r="CA153" i="45"/>
  <c r="CB179" i="48"/>
  <c r="CG179" i="48"/>
  <c r="BS180" i="46"/>
  <c r="BJ180" i="46"/>
  <c r="BR180" i="46"/>
  <c r="BI180" i="46"/>
  <c r="BQ180" i="46"/>
  <c r="BP180" i="46"/>
  <c r="BE180" i="46"/>
  <c r="BM180" i="46"/>
  <c r="BM177" i="46"/>
  <c r="BS177" i="46"/>
  <c r="BJ177" i="46"/>
  <c r="BR177" i="46"/>
  <c r="BI177" i="46"/>
  <c r="BQ177" i="46"/>
  <c r="BE177" i="46"/>
  <c r="BP177" i="46"/>
  <c r="CG155" i="48"/>
  <c r="CB155" i="48"/>
  <c r="BZ16" i="45"/>
  <c r="CI16" i="45"/>
  <c r="CA16" i="45"/>
  <c r="CJ16" i="45"/>
  <c r="CB16" i="45"/>
  <c r="CK16" i="45"/>
  <c r="CH16" i="45"/>
  <c r="BW16" i="45"/>
  <c r="BX16" i="45"/>
  <c r="BY16" i="45"/>
  <c r="CF16" i="45"/>
  <c r="CG16" i="45"/>
  <c r="CG149" i="48"/>
  <c r="CB149" i="48"/>
  <c r="CG159" i="48"/>
  <c r="CB159" i="48"/>
  <c r="CB163" i="48"/>
  <c r="AP163" i="48" s="1"/>
  <c r="CG163" i="48"/>
  <c r="CB152" i="48"/>
  <c r="CG152" i="48"/>
  <c r="AY191" i="47"/>
  <c r="AY190" i="47"/>
  <c r="AY209" i="47"/>
  <c r="AY208" i="47"/>
  <c r="CG148" i="48"/>
  <c r="CB148" i="48"/>
  <c r="AP148" i="48" s="1"/>
  <c r="BQ183" i="46"/>
  <c r="BP183" i="46"/>
  <c r="BE183" i="46"/>
  <c r="BM183" i="46"/>
  <c r="BJ183" i="46"/>
  <c r="BI183" i="46"/>
  <c r="BR183" i="46"/>
  <c r="BS183" i="46"/>
  <c r="BZ21" i="45"/>
  <c r="CI21" i="45"/>
  <c r="CA21" i="45"/>
  <c r="CJ21" i="45"/>
  <c r="CB21" i="45"/>
  <c r="CK21" i="45"/>
  <c r="BY21" i="45"/>
  <c r="BW21" i="45"/>
  <c r="BX21" i="45"/>
  <c r="CF21" i="45"/>
  <c r="CG21" i="45"/>
  <c r="CH21" i="45"/>
  <c r="BZ14" i="45"/>
  <c r="CI14" i="45"/>
  <c r="CA14" i="45"/>
  <c r="CJ14" i="45"/>
  <c r="CB14" i="45"/>
  <c r="CK14" i="45"/>
  <c r="BX14" i="45"/>
  <c r="BY14" i="45"/>
  <c r="BW14" i="45"/>
  <c r="CF14" i="45"/>
  <c r="CG14" i="45"/>
  <c r="CH14" i="45"/>
  <c r="BZ19" i="45"/>
  <c r="CI19" i="45"/>
  <c r="CA19" i="45"/>
  <c r="CJ19" i="45"/>
  <c r="CB19" i="45"/>
  <c r="CK19" i="45"/>
  <c r="CF19" i="45"/>
  <c r="CG19" i="45"/>
  <c r="BY19" i="45"/>
  <c r="CH19" i="45"/>
  <c r="BW19" i="45"/>
  <c r="BX19" i="45"/>
  <c r="CG166" i="48"/>
  <c r="CB166" i="48"/>
  <c r="AP166" i="48" s="1"/>
  <c r="CB173" i="48"/>
  <c r="CG173" i="48"/>
  <c r="CG162" i="48"/>
  <c r="CB162" i="48"/>
  <c r="CG158" i="48"/>
  <c r="CB158" i="48"/>
  <c r="CI157" i="45"/>
  <c r="BY157" i="45"/>
  <c r="CH157" i="45"/>
  <c r="BX157" i="45"/>
  <c r="CG157" i="45"/>
  <c r="BW157" i="45"/>
  <c r="CF157" i="45"/>
  <c r="CA157" i="45"/>
  <c r="BZ157" i="45"/>
  <c r="CJ157" i="45"/>
  <c r="BX154" i="45"/>
  <c r="CH154" i="45"/>
  <c r="BY154" i="45"/>
  <c r="CI154" i="45"/>
  <c r="BZ154" i="45"/>
  <c r="CJ154" i="45"/>
  <c r="CA154" i="45"/>
  <c r="CG154" i="45"/>
  <c r="CF154" i="45"/>
  <c r="BW154" i="45"/>
  <c r="AY195" i="47"/>
  <c r="AY205" i="47"/>
  <c r="AY189" i="47"/>
  <c r="CG168" i="48"/>
  <c r="CB168" i="48"/>
  <c r="AP168" i="48" s="1"/>
  <c r="CB160" i="48"/>
  <c r="CG160" i="48"/>
  <c r="CG161" i="48"/>
  <c r="CB161" i="48"/>
  <c r="CJ23" i="45"/>
  <c r="CA23" i="45"/>
  <c r="CI23" i="45"/>
  <c r="BZ23" i="45"/>
  <c r="CH23" i="45"/>
  <c r="BY23" i="45"/>
  <c r="CG23" i="45"/>
  <c r="BX23" i="45"/>
  <c r="CF23" i="45"/>
  <c r="BW23" i="45"/>
  <c r="CB23" i="45"/>
  <c r="CK23" i="45"/>
  <c r="BZ17" i="45"/>
  <c r="CI17" i="45"/>
  <c r="CA17" i="45"/>
  <c r="CJ17" i="45"/>
  <c r="CB17" i="45"/>
  <c r="CK17" i="45"/>
  <c r="BW17" i="45"/>
  <c r="BX17" i="45"/>
  <c r="BY17" i="45"/>
  <c r="CF17" i="45"/>
  <c r="CH17" i="45"/>
  <c r="CG17" i="45"/>
  <c r="BE182" i="46"/>
  <c r="BM182" i="46"/>
  <c r="BS182" i="46"/>
  <c r="BJ182" i="46"/>
  <c r="BQ182" i="46"/>
  <c r="BR182" i="46"/>
  <c r="BP182" i="46"/>
  <c r="BI182" i="46"/>
  <c r="CB171" i="48"/>
  <c r="AP171" i="48" s="1"/>
  <c r="CG171" i="48"/>
  <c r="CG170" i="48"/>
  <c r="CB170" i="48"/>
  <c r="AP170" i="48" s="1"/>
  <c r="CG172" i="48"/>
  <c r="CB172" i="48"/>
  <c r="AP172" i="48" s="1"/>
  <c r="AY196" i="47"/>
  <c r="AY192" i="47"/>
  <c r="BE186" i="46"/>
  <c r="BM186" i="46"/>
  <c r="BS186" i="46"/>
  <c r="BJ186" i="46"/>
  <c r="BI186" i="46"/>
  <c r="BQ186" i="46"/>
  <c r="BP186" i="46"/>
  <c r="BR186" i="46"/>
  <c r="CG178" i="48"/>
  <c r="CB178" i="48"/>
  <c r="AP178" i="48" s="1"/>
  <c r="CJ26" i="45"/>
  <c r="CA26" i="45"/>
  <c r="CI26" i="45"/>
  <c r="BZ26" i="45"/>
  <c r="CH26" i="45"/>
  <c r="BY26" i="45"/>
  <c r="CG26" i="45"/>
  <c r="BX26" i="45"/>
  <c r="CF26" i="45"/>
  <c r="BW26" i="45"/>
  <c r="CK26" i="45"/>
  <c r="CB26" i="45"/>
  <c r="BM185" i="46"/>
  <c r="BS185" i="46"/>
  <c r="BJ185" i="46"/>
  <c r="BR185" i="46"/>
  <c r="BI185" i="46"/>
  <c r="BQ185" i="46"/>
  <c r="BE185" i="46"/>
  <c r="BP185" i="46"/>
  <c r="BZ13" i="45"/>
  <c r="CI13" i="45"/>
  <c r="CA13" i="45"/>
  <c r="CJ13" i="45"/>
  <c r="CB13" i="45"/>
  <c r="CK13" i="45"/>
  <c r="BY13" i="45"/>
  <c r="BW13" i="45"/>
  <c r="CH13" i="45"/>
  <c r="BX13" i="45"/>
  <c r="CF13" i="45"/>
  <c r="CG13" i="45"/>
  <c r="BZ15" i="45"/>
  <c r="CI15" i="45"/>
  <c r="CA15" i="45"/>
  <c r="CJ15" i="45"/>
  <c r="CB15" i="45"/>
  <c r="CK15" i="45"/>
  <c r="CF15" i="45"/>
  <c r="CG15" i="45"/>
  <c r="CH15" i="45"/>
  <c r="BX15" i="45"/>
  <c r="BY15" i="45"/>
  <c r="BW15" i="45"/>
  <c r="CJ24" i="45"/>
  <c r="CA24" i="45"/>
  <c r="CI24" i="45"/>
  <c r="BZ24" i="45"/>
  <c r="CH24" i="45"/>
  <c r="BY24" i="45"/>
  <c r="CG24" i="45"/>
  <c r="BX24" i="45"/>
  <c r="CF24" i="45"/>
  <c r="BW24" i="45"/>
  <c r="CK24" i="45"/>
  <c r="CB24" i="45"/>
  <c r="CA160" i="45"/>
  <c r="CJ160" i="45"/>
  <c r="BZ160" i="45"/>
  <c r="CI160" i="45"/>
  <c r="BY160" i="45"/>
  <c r="CH160" i="45"/>
  <c r="CG160" i="45"/>
  <c r="CF160" i="45"/>
  <c r="BX160" i="45"/>
  <c r="BW160" i="45"/>
  <c r="CJ25" i="45"/>
  <c r="CA25" i="45"/>
  <c r="CI25" i="45"/>
  <c r="BZ25" i="45"/>
  <c r="CH25" i="45"/>
  <c r="BY25" i="45"/>
  <c r="CG25" i="45"/>
  <c r="BX25" i="45"/>
  <c r="CF25" i="45"/>
  <c r="BW25" i="45"/>
  <c r="CK25" i="45"/>
  <c r="CB25" i="45"/>
  <c r="BQ179" i="46"/>
  <c r="BP179" i="46"/>
  <c r="BE179" i="46"/>
  <c r="BM179" i="46"/>
  <c r="BR179" i="46"/>
  <c r="BS179" i="46"/>
  <c r="BJ179" i="46"/>
  <c r="BI179" i="46"/>
  <c r="CG150" i="48"/>
  <c r="CB150" i="48"/>
  <c r="AP150" i="48" s="1"/>
  <c r="CB164" i="48"/>
  <c r="AP164" i="48" s="1"/>
  <c r="CG164" i="48"/>
  <c r="CB165" i="48"/>
  <c r="CG165" i="48"/>
  <c r="AA73" i="48"/>
  <c r="AY200" i="47"/>
  <c r="AY210" i="47"/>
  <c r="CJ31" i="45"/>
  <c r="CK31" i="45"/>
  <c r="CA31" i="45"/>
  <c r="CB31" i="45"/>
  <c r="CB30" i="45"/>
  <c r="CA30" i="45"/>
  <c r="CK30" i="45"/>
  <c r="CJ30" i="45"/>
  <c r="CG30" i="48"/>
  <c r="CA30" i="48" s="1"/>
  <c r="AR30" i="48" s="1"/>
  <c r="CG29" i="48"/>
  <c r="CA29" i="48" s="1"/>
  <c r="CA31" i="48"/>
  <c r="BX70" i="45"/>
  <c r="CG70" i="45"/>
  <c r="CG147" i="48"/>
  <c r="CB147" i="48"/>
  <c r="AP147" i="48" s="1"/>
  <c r="AA63" i="48"/>
  <c r="CK22" i="48"/>
  <c r="CA22" i="48"/>
  <c r="Y190" i="48"/>
  <c r="CA21" i="48"/>
  <c r="CA16" i="48"/>
  <c r="CA18" i="48"/>
  <c r="CA23" i="48"/>
  <c r="CA24" i="48"/>
  <c r="CA15" i="48"/>
  <c r="CA20" i="48"/>
  <c r="CA14" i="48"/>
  <c r="CM13" i="48"/>
  <c r="CK13" i="48"/>
  <c r="CA13" i="48"/>
  <c r="AN55" i="45"/>
  <c r="CG61" i="45"/>
  <c r="CL20" i="48"/>
  <c r="Y200" i="48"/>
  <c r="AN67" i="45"/>
  <c r="CF73" i="45"/>
  <c r="AR43" i="48"/>
  <c r="BX73" i="45"/>
  <c r="BX61" i="45"/>
  <c r="AP152" i="48"/>
  <c r="CA298" i="47"/>
  <c r="DF298" i="47"/>
  <c r="O265" i="47"/>
  <c r="O266" i="47"/>
  <c r="O267" i="47"/>
  <c r="CB298" i="47"/>
  <c r="O264" i="47"/>
  <c r="CK21" i="48"/>
  <c r="Y191" i="48"/>
  <c r="AG56" i="46"/>
  <c r="CK20" i="48"/>
  <c r="AN64" i="45"/>
  <c r="BL196" i="46"/>
  <c r="BM196" i="46"/>
  <c r="CF75" i="45"/>
  <c r="CG75" i="45"/>
  <c r="BX75" i="45"/>
  <c r="CF58" i="45"/>
  <c r="CG58" i="45"/>
  <c r="BX58" i="45"/>
  <c r="AR162" i="46"/>
  <c r="CL24" i="48"/>
  <c r="CG72" i="45"/>
  <c r="BX72" i="45"/>
  <c r="CF72" i="45"/>
  <c r="CH127" i="45"/>
  <c r="CF127" i="45"/>
  <c r="BY127" i="45"/>
  <c r="CJ127" i="45"/>
  <c r="CA127" i="45"/>
  <c r="BW127" i="45"/>
  <c r="CG127" i="45"/>
  <c r="CI127" i="45"/>
  <c r="BZ127" i="45"/>
  <c r="BX127" i="45"/>
  <c r="BL195" i="46"/>
  <c r="BM195" i="46"/>
  <c r="CJ128" i="45"/>
  <c r="CH128" i="45"/>
  <c r="CF128" i="45"/>
  <c r="CA128" i="45"/>
  <c r="BY128" i="45"/>
  <c r="BW128" i="45"/>
  <c r="CI128" i="45"/>
  <c r="CG128" i="45"/>
  <c r="BZ128" i="45"/>
  <c r="BX128" i="45"/>
  <c r="CF106" i="45"/>
  <c r="BX106" i="45"/>
  <c r="CG106" i="45"/>
  <c r="BM194" i="46"/>
  <c r="BL194" i="46"/>
  <c r="BX71" i="45"/>
  <c r="CF71" i="45"/>
  <c r="CG71" i="45"/>
  <c r="CG66" i="45"/>
  <c r="BX66" i="45"/>
  <c r="CF66" i="45"/>
  <c r="CF107" i="45"/>
  <c r="CG107" i="45"/>
  <c r="BX107" i="45"/>
  <c r="CJ129" i="45"/>
  <c r="CH129" i="45"/>
  <c r="CF129" i="45"/>
  <c r="CA129" i="45"/>
  <c r="BY129" i="45"/>
  <c r="BW129" i="45"/>
  <c r="CI129" i="45"/>
  <c r="CG129" i="45"/>
  <c r="BZ129" i="45"/>
  <c r="BX129" i="45"/>
  <c r="BZ31" i="45"/>
  <c r="BW31" i="45"/>
  <c r="CH31" i="45"/>
  <c r="CG31" i="45"/>
  <c r="CF31" i="45"/>
  <c r="BY31" i="45"/>
  <c r="BX31" i="45"/>
  <c r="CI31" i="45"/>
  <c r="BM197" i="46"/>
  <c r="BL197" i="46"/>
  <c r="BL199" i="46"/>
  <c r="BM199" i="46"/>
  <c r="BL198" i="46"/>
  <c r="BM198" i="46"/>
  <c r="AR33" i="48"/>
  <c r="CF69" i="45"/>
  <c r="CG69" i="45"/>
  <c r="BX69" i="45"/>
  <c r="CF59" i="45"/>
  <c r="CG59" i="45"/>
  <c r="BX59" i="45"/>
  <c r="CF57" i="45"/>
  <c r="CG57" i="45"/>
  <c r="BX57" i="45"/>
  <c r="BL192" i="46"/>
  <c r="BM192" i="46"/>
  <c r="Y209" i="48"/>
  <c r="CF76" i="45"/>
  <c r="CG76" i="45"/>
  <c r="BX76" i="45"/>
  <c r="BL191" i="46"/>
  <c r="BM191" i="46"/>
  <c r="BX68" i="45"/>
  <c r="CG68" i="45"/>
  <c r="CF68" i="45"/>
  <c r="CF65" i="45"/>
  <c r="BX65" i="45"/>
  <c r="CG65" i="45"/>
  <c r="CG74" i="45"/>
  <c r="BX74" i="45"/>
  <c r="CF74" i="45"/>
  <c r="DF290" i="47"/>
  <c r="CB290" i="47"/>
  <c r="DE290" i="47"/>
  <c r="B350" i="47" s="1"/>
  <c r="CG62" i="45"/>
  <c r="CF62" i="45"/>
  <c r="BX62" i="45"/>
  <c r="CF63" i="45"/>
  <c r="CG63" i="45"/>
  <c r="BX63" i="45"/>
  <c r="DE291" i="47"/>
  <c r="CB291" i="47"/>
  <c r="DF291" i="47"/>
  <c r="CM24" i="48"/>
  <c r="CM21" i="48"/>
  <c r="AR41" i="48"/>
  <c r="CG60" i="45"/>
  <c r="BX60" i="45"/>
  <c r="CF60" i="45"/>
  <c r="C159" i="45"/>
  <c r="BM200" i="46"/>
  <c r="BL200" i="46"/>
  <c r="CF108" i="45"/>
  <c r="CG108" i="45"/>
  <c r="BX108" i="45"/>
  <c r="DF297" i="47"/>
  <c r="DE297" i="47"/>
  <c r="CB297" i="47"/>
  <c r="CA297" i="47"/>
  <c r="AR231" i="47"/>
  <c r="AR227" i="47"/>
  <c r="AR226" i="47"/>
  <c r="AR228" i="47"/>
  <c r="AR216" i="47"/>
  <c r="AR219" i="47"/>
  <c r="AR215" i="47"/>
  <c r="AR232" i="47"/>
  <c r="AR221" i="47"/>
  <c r="AR218" i="47"/>
  <c r="AR229" i="47"/>
  <c r="AR220" i="47"/>
  <c r="AR217" i="47"/>
  <c r="AR230" i="47"/>
  <c r="BL193" i="46"/>
  <c r="BM193" i="46"/>
  <c r="BX56" i="45"/>
  <c r="CF56" i="45"/>
  <c r="CG56" i="45"/>
  <c r="BY50" i="45"/>
  <c r="BX50" i="45"/>
  <c r="CG50" i="45"/>
  <c r="BW50" i="45"/>
  <c r="CF50" i="45"/>
  <c r="CH50" i="45"/>
  <c r="BY49" i="45"/>
  <c r="CH49" i="45"/>
  <c r="BX49" i="45"/>
  <c r="CF49" i="45"/>
  <c r="CG49" i="45"/>
  <c r="BW49" i="45"/>
  <c r="CI30" i="45"/>
  <c r="BY30" i="45"/>
  <c r="CF30" i="45"/>
  <c r="CG30" i="45"/>
  <c r="BW30" i="45"/>
  <c r="BZ30" i="45"/>
  <c r="CH30" i="45"/>
  <c r="BX30" i="45"/>
  <c r="BQ176" i="46"/>
  <c r="BR176" i="46"/>
  <c r="BS176" i="46"/>
  <c r="CA152" i="45"/>
  <c r="CF152" i="45"/>
  <c r="CI152" i="45"/>
  <c r="BZ152" i="45"/>
  <c r="CH152" i="45"/>
  <c r="BY152" i="45"/>
  <c r="CG152" i="45"/>
  <c r="BX152" i="45"/>
  <c r="BW152" i="45"/>
  <c r="BZ12" i="45"/>
  <c r="CB12" i="45"/>
  <c r="CI12" i="45"/>
  <c r="BY12" i="45"/>
  <c r="CJ12" i="45"/>
  <c r="CH12" i="45"/>
  <c r="CK12" i="45"/>
  <c r="CA12" i="45"/>
  <c r="BI176" i="46"/>
  <c r="BJ176" i="46"/>
  <c r="AG65" i="46"/>
  <c r="AG69" i="46"/>
  <c r="AG61" i="46"/>
  <c r="AG22" i="46"/>
  <c r="AG44" i="46"/>
  <c r="AG43" i="46"/>
  <c r="BM164" i="46"/>
  <c r="BH164" i="46"/>
  <c r="BN164" i="46"/>
  <c r="BO164" i="46"/>
  <c r="BM167" i="46"/>
  <c r="BN167" i="46"/>
  <c r="BO167" i="46"/>
  <c r="BH167" i="46"/>
  <c r="AG33" i="46"/>
  <c r="BO161" i="46"/>
  <c r="BM161" i="46"/>
  <c r="BN161" i="46"/>
  <c r="BH161" i="46"/>
  <c r="BE176" i="46"/>
  <c r="BM176" i="46"/>
  <c r="BP176" i="46"/>
  <c r="BO160" i="46"/>
  <c r="BH160" i="46"/>
  <c r="BM160" i="46"/>
  <c r="BN160" i="46"/>
  <c r="BM163" i="46"/>
  <c r="BN163" i="46"/>
  <c r="BO163" i="46"/>
  <c r="BH163" i="46"/>
  <c r="BH170" i="46"/>
  <c r="BM170" i="46"/>
  <c r="BO170" i="46"/>
  <c r="BN170" i="46"/>
  <c r="AG36" i="46"/>
  <c r="BN166" i="46"/>
  <c r="BO166" i="46"/>
  <c r="BH166" i="46"/>
  <c r="BM166" i="46"/>
  <c r="AG67" i="46"/>
  <c r="AG57" i="46"/>
  <c r="AG30" i="46"/>
  <c r="BM168" i="46"/>
  <c r="BN168" i="46"/>
  <c r="BO168" i="46"/>
  <c r="BH168" i="46"/>
  <c r="AG63" i="46"/>
  <c r="AG46" i="46"/>
  <c r="BO165" i="46"/>
  <c r="BH165" i="46"/>
  <c r="BN165" i="46"/>
  <c r="BM165" i="46"/>
  <c r="AG24" i="46"/>
  <c r="AG58" i="46"/>
  <c r="BM169" i="46"/>
  <c r="BN169" i="46"/>
  <c r="BH169" i="46"/>
  <c r="BO169" i="46"/>
  <c r="AG37" i="46"/>
  <c r="BE165" i="46"/>
  <c r="BL165" i="46"/>
  <c r="BE167" i="46"/>
  <c r="BL167" i="46"/>
  <c r="BE166" i="46"/>
  <c r="BL166" i="46"/>
  <c r="BE164" i="46"/>
  <c r="BL164" i="46"/>
  <c r="BE168" i="46"/>
  <c r="BL168" i="46"/>
  <c r="BE169" i="46"/>
  <c r="BL169" i="46"/>
  <c r="BE161" i="46"/>
  <c r="BL161" i="46"/>
  <c r="AG59" i="46"/>
  <c r="AG53" i="46"/>
  <c r="BE170" i="46"/>
  <c r="BL170" i="46"/>
  <c r="BE160" i="46"/>
  <c r="BL160" i="46"/>
  <c r="BL163" i="46"/>
  <c r="BE163" i="46"/>
  <c r="C22" i="45"/>
  <c r="CF12" i="45"/>
  <c r="CG12" i="45"/>
  <c r="BW12" i="45"/>
  <c r="BX12" i="45"/>
  <c r="Y202" i="48"/>
  <c r="AR48" i="48"/>
  <c r="AG19" i="46"/>
  <c r="U274" i="47"/>
  <c r="U275" i="47"/>
  <c r="AG54" i="46"/>
  <c r="U271" i="47"/>
  <c r="A350" i="47"/>
  <c r="E14" i="18" s="1"/>
  <c r="CM22" i="48"/>
  <c r="AG25" i="46"/>
  <c r="L120" i="48"/>
  <c r="AP174" i="48"/>
  <c r="AG27" i="46"/>
  <c r="E32" i="45"/>
  <c r="U272" i="47"/>
  <c r="U273" i="47"/>
  <c r="O263" i="47"/>
  <c r="AX133" i="47"/>
  <c r="AX136" i="47"/>
  <c r="AX137" i="47"/>
  <c r="AX134" i="47"/>
  <c r="AX138" i="47"/>
  <c r="AX140" i="47"/>
  <c r="AX139" i="47"/>
  <c r="AX135" i="47"/>
  <c r="AX132" i="47"/>
  <c r="AX125" i="47"/>
  <c r="AX124" i="47"/>
  <c r="AX130" i="47"/>
  <c r="AX126" i="47"/>
  <c r="AX127" i="47"/>
  <c r="AX123" i="47"/>
  <c r="AX128" i="47"/>
  <c r="AX131" i="47"/>
  <c r="AX129" i="47"/>
  <c r="Y203" i="48"/>
  <c r="Y199" i="48"/>
  <c r="AP154" i="48"/>
  <c r="AP161" i="48"/>
  <c r="AR37" i="48"/>
  <c r="AP165" i="48"/>
  <c r="CK24" i="48"/>
  <c r="B19" i="48"/>
  <c r="Y201" i="48"/>
  <c r="AP167" i="48"/>
  <c r="Y211" i="48"/>
  <c r="B176" i="48"/>
  <c r="Y189" i="48"/>
  <c r="Y187" i="48"/>
  <c r="AR42" i="48"/>
  <c r="AR46" i="48"/>
  <c r="AG12" i="46"/>
  <c r="AG45" i="46"/>
  <c r="AG39" i="46"/>
  <c r="AG41" i="46"/>
  <c r="AG48" i="46"/>
  <c r="AG42" i="46"/>
  <c r="AG66" i="46"/>
  <c r="AG51" i="46"/>
  <c r="C171" i="46"/>
  <c r="AG60" i="46"/>
  <c r="AG21" i="46"/>
  <c r="AG28" i="46"/>
  <c r="AG64" i="46"/>
  <c r="AG50" i="46"/>
  <c r="AG18" i="46"/>
  <c r="AG15" i="46"/>
  <c r="AG47" i="46"/>
  <c r="AG62" i="46"/>
  <c r="AG49" i="46"/>
  <c r="AG14" i="46"/>
  <c r="AG23" i="46"/>
  <c r="AG20" i="46"/>
  <c r="AG31" i="46"/>
  <c r="AG68" i="46"/>
  <c r="C130" i="45"/>
  <c r="C155" i="45"/>
  <c r="CK16" i="48"/>
  <c r="CL16" i="48"/>
  <c r="CM16" i="48"/>
  <c r="CK17" i="48"/>
  <c r="CL17" i="48"/>
  <c r="CM17" i="48"/>
  <c r="Y198" i="48"/>
  <c r="AR44" i="48"/>
  <c r="CK18" i="48"/>
  <c r="CL18" i="48"/>
  <c r="CM18" i="48"/>
  <c r="AR34" i="48"/>
  <c r="L122" i="48"/>
  <c r="CK15" i="48"/>
  <c r="CL15" i="48"/>
  <c r="CM15" i="48"/>
  <c r="CL13" i="48"/>
  <c r="CK14" i="48"/>
  <c r="CL14" i="48"/>
  <c r="CM14" i="48"/>
  <c r="AR47" i="48"/>
  <c r="AP158" i="48"/>
  <c r="L121" i="48"/>
  <c r="AG52" i="46"/>
  <c r="AG29" i="46"/>
  <c r="AG17" i="46"/>
  <c r="AG26" i="46"/>
  <c r="AG16" i="46"/>
  <c r="AG55" i="46"/>
  <c r="AG40" i="46"/>
  <c r="AG32" i="46"/>
  <c r="AG13" i="46"/>
  <c r="AG34" i="46"/>
  <c r="AG35" i="46"/>
  <c r="AG70" i="46"/>
  <c r="AG38" i="46"/>
  <c r="AT23" i="48" l="1"/>
  <c r="AU179" i="46"/>
  <c r="AU186" i="46"/>
  <c r="B249" i="46"/>
  <c r="D11" i="18" s="1"/>
  <c r="A249" i="46"/>
  <c r="E11" i="18" s="1"/>
  <c r="A197" i="45"/>
  <c r="E10" i="18" s="1"/>
  <c r="AV18" i="45"/>
  <c r="AV15" i="45"/>
  <c r="AV13" i="45"/>
  <c r="AV23" i="45"/>
  <c r="AQ200" i="46"/>
  <c r="AN73" i="45"/>
  <c r="AU180" i="46"/>
  <c r="Y152" i="45"/>
  <c r="AU185" i="46"/>
  <c r="AN70" i="45"/>
  <c r="AV19" i="45"/>
  <c r="Y158" i="45"/>
  <c r="AU181" i="46"/>
  <c r="AV14" i="45"/>
  <c r="AQ195" i="46"/>
  <c r="Y157" i="45"/>
  <c r="AU183" i="46"/>
  <c r="AU177" i="46"/>
  <c r="AU182" i="46"/>
  <c r="AV24" i="45"/>
  <c r="AV26" i="45"/>
  <c r="AV16" i="45"/>
  <c r="Y153" i="45"/>
  <c r="AT15" i="48"/>
  <c r="AT13" i="48"/>
  <c r="Y154" i="45"/>
  <c r="AV21" i="45"/>
  <c r="Y156" i="45"/>
  <c r="Y160" i="45"/>
  <c r="AV20" i="45"/>
  <c r="AU176" i="46"/>
  <c r="AN61" i="45"/>
  <c r="AV25" i="45"/>
  <c r="AV17" i="45"/>
  <c r="AU178" i="46"/>
  <c r="AV12" i="45"/>
  <c r="CB29" i="48"/>
  <c r="B349" i="48"/>
  <c r="AV31" i="45"/>
  <c r="AV30" i="45"/>
  <c r="D14" i="18"/>
  <c r="B197" i="45"/>
  <c r="D10" i="18" s="1"/>
  <c r="AQ191" i="46"/>
  <c r="AN69" i="45"/>
  <c r="AT20" i="48"/>
  <c r="AP160" i="48"/>
  <c r="AP175" i="48"/>
  <c r="AP181" i="48"/>
  <c r="AT21" i="48"/>
  <c r="AP162" i="48"/>
  <c r="AR38" i="48"/>
  <c r="AQ197" i="46"/>
  <c r="Q106" i="45"/>
  <c r="AP173" i="48"/>
  <c r="AR164" i="46"/>
  <c r="AM298" i="47"/>
  <c r="AE290" i="47"/>
  <c r="Q108" i="45"/>
  <c r="AN58" i="45"/>
  <c r="AP179" i="48"/>
  <c r="AT24" i="48"/>
  <c r="AP169" i="48"/>
  <c r="AR32" i="48"/>
  <c r="AN63" i="45"/>
  <c r="AN62" i="45"/>
  <c r="AS129" i="45"/>
  <c r="AR170" i="46"/>
  <c r="AN65" i="45"/>
  <c r="AN76" i="45"/>
  <c r="AN59" i="45"/>
  <c r="AS128" i="45"/>
  <c r="AR161" i="46"/>
  <c r="AR163" i="46"/>
  <c r="AR169" i="46"/>
  <c r="AR166" i="46"/>
  <c r="AN60" i="45"/>
  <c r="AN68" i="45"/>
  <c r="AN57" i="45"/>
  <c r="AN71" i="45"/>
  <c r="AR40" i="48"/>
  <c r="AR39" i="48"/>
  <c r="AN74" i="45"/>
  <c r="AN75" i="45"/>
  <c r="AR165" i="46"/>
  <c r="AP177" i="48"/>
  <c r="AR167" i="46"/>
  <c r="AM297" i="47"/>
  <c r="AN66" i="45"/>
  <c r="AS127" i="45"/>
  <c r="AN72" i="45"/>
  <c r="AR168" i="46"/>
  <c r="AN56" i="45"/>
  <c r="AO50" i="45"/>
  <c r="AO49" i="45"/>
  <c r="AR160" i="46"/>
  <c r="AT22" i="48"/>
  <c r="AQ192" i="46"/>
  <c r="AQ194" i="46"/>
  <c r="AQ196" i="46"/>
  <c r="AQ193" i="46"/>
  <c r="AQ199" i="46"/>
  <c r="AQ198" i="46"/>
  <c r="AR31" i="48"/>
  <c r="Q107" i="45"/>
  <c r="AE291" i="47"/>
  <c r="AR36" i="48"/>
  <c r="A349" i="48"/>
  <c r="E24" i="18" s="1"/>
  <c r="AR35" i="48"/>
  <c r="AP153" i="48"/>
  <c r="AP159" i="48"/>
  <c r="AP157" i="48"/>
  <c r="AP155" i="48"/>
  <c r="AR45" i="48"/>
  <c r="AP149" i="48"/>
  <c r="AT14" i="48"/>
  <c r="AP156" i="48"/>
  <c r="AT18" i="48"/>
  <c r="AT17" i="48"/>
  <c r="AT16" i="48"/>
  <c r="AR29" i="48" l="1"/>
  <c r="D24" i="18"/>
  <c r="D27" i="18"/>
  <c r="D26" i="18"/>
  <c r="D21" i="18"/>
  <c r="W6" i="17"/>
  <c r="W3" i="17"/>
  <c r="W2" i="17"/>
  <c r="I2" i="17"/>
  <c r="I3" i="17"/>
  <c r="I6" i="17"/>
  <c r="C2" i="18" l="1"/>
  <c r="A3" i="44"/>
  <c r="A32" i="17"/>
  <c r="D4" i="18" s="1"/>
  <c r="CN217" i="34"/>
  <c r="CM217" i="34"/>
  <c r="CD217" i="34"/>
  <c r="CC217" i="34"/>
  <c r="CA37" i="32"/>
  <c r="G217" i="34" l="1"/>
  <c r="D46" i="32"/>
  <c r="E47" i="32"/>
  <c r="E46" i="32"/>
  <c r="E45" i="32"/>
  <c r="E44" i="32"/>
  <c r="D47" i="32"/>
  <c r="D45" i="32"/>
  <c r="D44" i="32"/>
  <c r="F244" i="13"/>
  <c r="F238" i="13"/>
  <c r="F232" i="13"/>
  <c r="F226" i="13"/>
  <c r="E244" i="13"/>
  <c r="E238" i="13"/>
  <c r="E232" i="13"/>
  <c r="E226" i="13"/>
  <c r="F189" i="13"/>
  <c r="F191" i="13"/>
  <c r="F190" i="13"/>
  <c r="F188" i="13"/>
  <c r="F187" i="13"/>
  <c r="E188" i="13"/>
  <c r="E191" i="13"/>
  <c r="E190" i="13"/>
  <c r="E189" i="13"/>
  <c r="E187" i="13"/>
  <c r="F146" i="13"/>
  <c r="DG232" i="13" l="1"/>
  <c r="CW232" i="13"/>
  <c r="DG244" i="13"/>
  <c r="CW244" i="13"/>
  <c r="CW238" i="13"/>
  <c r="DG238" i="13"/>
  <c r="DG226" i="13"/>
  <c r="CW226" i="13"/>
  <c r="DI146" i="13"/>
  <c r="DH146" i="13"/>
  <c r="CX146" i="13"/>
  <c r="CY146" i="13"/>
  <c r="E256" i="34"/>
  <c r="D256" i="34"/>
  <c r="E258" i="34"/>
  <c r="E257" i="34"/>
  <c r="D257" i="34"/>
  <c r="D258" i="34"/>
  <c r="U85" i="42"/>
  <c r="T85" i="42"/>
  <c r="E76" i="37"/>
  <c r="D76" i="37"/>
  <c r="E75" i="37"/>
  <c r="D75" i="37"/>
  <c r="E74" i="37"/>
  <c r="D74" i="37"/>
  <c r="E73" i="37"/>
  <c r="D73" i="37"/>
  <c r="E72" i="37"/>
  <c r="D72" i="37"/>
  <c r="E71" i="37"/>
  <c r="D71" i="37"/>
  <c r="E70" i="37"/>
  <c r="D70" i="37"/>
  <c r="E69" i="37"/>
  <c r="D69" i="37"/>
  <c r="CC70" i="37" l="1"/>
  <c r="CL70" i="37"/>
  <c r="CB74" i="37"/>
  <c r="CK74" i="37"/>
  <c r="CC71" i="37"/>
  <c r="CL71" i="37"/>
  <c r="CC75" i="37"/>
  <c r="CL75" i="37"/>
  <c r="CK69" i="37"/>
  <c r="CB69" i="37"/>
  <c r="CB70" i="37"/>
  <c r="CK70" i="37"/>
  <c r="CC76" i="37"/>
  <c r="CL76" i="37"/>
  <c r="CK73" i="37"/>
  <c r="CB73" i="37"/>
  <c r="CB71" i="37"/>
  <c r="CK71" i="37"/>
  <c r="CB72" i="37"/>
  <c r="CK72" i="37"/>
  <c r="CB76" i="37"/>
  <c r="CK76" i="37"/>
  <c r="C74" i="37"/>
  <c r="CC74" i="37"/>
  <c r="CL74" i="37"/>
  <c r="CB75" i="37"/>
  <c r="CK75" i="37"/>
  <c r="CC72" i="37"/>
  <c r="CL72" i="37"/>
  <c r="CL69" i="37"/>
  <c r="CC69" i="37"/>
  <c r="CL73" i="37"/>
  <c r="CC73" i="37"/>
  <c r="C76" i="37"/>
  <c r="C72" i="37"/>
  <c r="C70" i="37"/>
  <c r="C73" i="37"/>
  <c r="C71" i="37"/>
  <c r="C69" i="37"/>
  <c r="C75" i="37"/>
  <c r="CP75" i="37" l="1"/>
  <c r="CE75" i="37"/>
  <c r="CN75" i="37"/>
  <c r="CD75" i="37"/>
  <c r="CM75" i="37"/>
  <c r="CA75" i="37"/>
  <c r="CJ75" i="37"/>
  <c r="CQ75" i="37"/>
  <c r="CH75" i="37"/>
  <c r="CG75" i="37"/>
  <c r="CP71" i="37"/>
  <c r="CE71" i="37"/>
  <c r="CN71" i="37"/>
  <c r="CD71" i="37"/>
  <c r="CM71" i="37"/>
  <c r="CA71" i="37"/>
  <c r="CJ71" i="37"/>
  <c r="CQ71" i="37"/>
  <c r="CH71" i="37"/>
  <c r="CG71" i="37"/>
  <c r="CA73" i="37"/>
  <c r="CJ73" i="37"/>
  <c r="CH73" i="37"/>
  <c r="CQ73" i="37"/>
  <c r="CG73" i="37"/>
  <c r="CP73" i="37"/>
  <c r="CE73" i="37"/>
  <c r="CN73" i="37"/>
  <c r="CD73" i="37"/>
  <c r="CM73" i="37"/>
  <c r="CH72" i="37"/>
  <c r="CQ72" i="37"/>
  <c r="CG72" i="37"/>
  <c r="CP72" i="37"/>
  <c r="CE72" i="37"/>
  <c r="CN72" i="37"/>
  <c r="CD72" i="37"/>
  <c r="CM72" i="37"/>
  <c r="CA72" i="37"/>
  <c r="CJ72" i="37"/>
  <c r="CH76" i="37"/>
  <c r="CQ76" i="37"/>
  <c r="CG76" i="37"/>
  <c r="CP76" i="37"/>
  <c r="CE76" i="37"/>
  <c r="CN76" i="37"/>
  <c r="CD76" i="37"/>
  <c r="CM76" i="37"/>
  <c r="CJ76" i="37"/>
  <c r="CA76" i="37"/>
  <c r="CA69" i="37"/>
  <c r="CJ69" i="37"/>
  <c r="CH69" i="37"/>
  <c r="CQ69" i="37"/>
  <c r="CG69" i="37"/>
  <c r="CP69" i="37"/>
  <c r="CE69" i="37"/>
  <c r="CN69" i="37"/>
  <c r="CD69" i="37"/>
  <c r="CM69" i="37"/>
  <c r="CM74" i="37"/>
  <c r="CA74" i="37"/>
  <c r="CJ74" i="37"/>
  <c r="CH74" i="37"/>
  <c r="CQ74" i="37"/>
  <c r="CG74" i="37"/>
  <c r="CE74" i="37"/>
  <c r="CD74" i="37"/>
  <c r="CP74" i="37"/>
  <c r="CN74" i="37"/>
  <c r="CM70" i="37"/>
  <c r="CA70" i="37"/>
  <c r="CJ70" i="37"/>
  <c r="CH70" i="37"/>
  <c r="CQ70" i="37"/>
  <c r="CG70" i="37"/>
  <c r="CP70" i="37"/>
  <c r="CN70" i="37"/>
  <c r="CD70" i="37"/>
  <c r="CE70" i="37"/>
  <c r="AV72" i="37" l="1"/>
  <c r="AV75" i="37"/>
  <c r="AV71" i="37"/>
  <c r="AV70" i="37"/>
  <c r="AV74" i="37"/>
  <c r="AV73" i="37"/>
  <c r="AV69" i="37"/>
  <c r="AV76" i="37"/>
  <c r="E192" i="29"/>
  <c r="E191" i="29"/>
  <c r="D192" i="29"/>
  <c r="BY192" i="29" s="1"/>
  <c r="D191" i="29"/>
  <c r="BY191" i="29" s="1"/>
  <c r="E240" i="29"/>
  <c r="E239" i="29"/>
  <c r="D240" i="29"/>
  <c r="D239" i="29"/>
  <c r="BQ191" i="29" l="1"/>
  <c r="BR191" i="29"/>
  <c r="BQ192" i="29"/>
  <c r="BR192" i="29"/>
  <c r="BT240" i="29"/>
  <c r="CD240" i="29"/>
  <c r="CE239" i="29"/>
  <c r="CC239" i="29"/>
  <c r="CB239" i="29"/>
  <c r="CC240" i="29"/>
  <c r="CB240" i="29"/>
  <c r="CE240" i="29"/>
  <c r="BT239" i="29"/>
  <c r="CD239" i="29"/>
  <c r="BR240" i="29"/>
  <c r="BU240" i="29"/>
  <c r="BS240" i="29"/>
  <c r="BR239" i="29"/>
  <c r="BS239" i="29"/>
  <c r="BU239" i="29"/>
  <c r="CD191" i="29"/>
  <c r="CH191" i="29"/>
  <c r="BS191" i="29"/>
  <c r="BW191" i="29"/>
  <c r="CJ191" i="29"/>
  <c r="CJ192" i="29"/>
  <c r="CD192" i="29"/>
  <c r="CH192" i="29"/>
  <c r="BW192" i="29"/>
  <c r="BS192" i="29"/>
  <c r="CE191" i="29"/>
  <c r="BZ191" i="29"/>
  <c r="BX191" i="29"/>
  <c r="CC191" i="29"/>
  <c r="CB191" i="29"/>
  <c r="CI191" i="29"/>
  <c r="BT191" i="29"/>
  <c r="CK191" i="29"/>
  <c r="CK192" i="29"/>
  <c r="CC192" i="29"/>
  <c r="CB192" i="29"/>
  <c r="CI192" i="29"/>
  <c r="BX192" i="29"/>
  <c r="CE192" i="29"/>
  <c r="BT192" i="29"/>
  <c r="BZ192" i="29"/>
  <c r="AC16" i="39" l="1"/>
  <c r="AC17" i="39"/>
  <c r="AC18" i="39"/>
  <c r="AC19" i="39"/>
  <c r="AC20" i="39"/>
  <c r="AC21" i="39"/>
  <c r="AC22" i="39"/>
  <c r="F106" i="29"/>
  <c r="C11" i="32"/>
  <c r="CQ11" i="32" l="1"/>
  <c r="CR11" i="32"/>
  <c r="CP11" i="32"/>
  <c r="CN11" i="32"/>
  <c r="CO11" i="32"/>
  <c r="CA11" i="32"/>
  <c r="CK11" i="32"/>
  <c r="B122" i="43"/>
  <c r="B121" i="43"/>
  <c r="B120" i="43"/>
  <c r="I110" i="43"/>
  <c r="H110" i="43"/>
  <c r="G110" i="43"/>
  <c r="F110" i="43"/>
  <c r="E110" i="43"/>
  <c r="D110" i="43"/>
  <c r="C110" i="43"/>
  <c r="B110" i="43"/>
  <c r="B105" i="43"/>
  <c r="B100" i="43"/>
  <c r="B95" i="43"/>
  <c r="B94" i="43"/>
  <c r="B89" i="43"/>
  <c r="B88" i="43"/>
  <c r="I80" i="43"/>
  <c r="H80" i="43"/>
  <c r="G80" i="43"/>
  <c r="F80" i="43"/>
  <c r="E80" i="43"/>
  <c r="D80" i="43"/>
  <c r="C80" i="43"/>
  <c r="B80" i="43"/>
  <c r="E75" i="43"/>
  <c r="D75" i="43"/>
  <c r="C75" i="43"/>
  <c r="B75" i="43"/>
  <c r="E74" i="43"/>
  <c r="D74" i="43"/>
  <c r="C74" i="43"/>
  <c r="B74" i="43"/>
  <c r="E73" i="43"/>
  <c r="D73" i="43"/>
  <c r="C73" i="43"/>
  <c r="B73" i="43"/>
  <c r="E72" i="43"/>
  <c r="D72" i="43"/>
  <c r="C72" i="43"/>
  <c r="B72" i="43"/>
  <c r="Q71" i="43"/>
  <c r="P71" i="43"/>
  <c r="O71" i="43"/>
  <c r="N71" i="43"/>
  <c r="M71" i="43"/>
  <c r="L71" i="43"/>
  <c r="K71" i="43"/>
  <c r="J71" i="43"/>
  <c r="I71" i="43"/>
  <c r="H71" i="43"/>
  <c r="G71" i="43"/>
  <c r="F71" i="43"/>
  <c r="E66" i="43"/>
  <c r="D66" i="43"/>
  <c r="C66" i="43"/>
  <c r="B66" i="43"/>
  <c r="E65" i="43"/>
  <c r="D65" i="43"/>
  <c r="C65" i="43"/>
  <c r="B65" i="43"/>
  <c r="E64" i="43"/>
  <c r="D64" i="43"/>
  <c r="C64" i="43"/>
  <c r="B64" i="43"/>
  <c r="E63" i="43"/>
  <c r="D63" i="43"/>
  <c r="C63" i="43"/>
  <c r="B63" i="43"/>
  <c r="Q62" i="43"/>
  <c r="P62" i="43"/>
  <c r="O62" i="43"/>
  <c r="N62" i="43"/>
  <c r="M62" i="43"/>
  <c r="L62" i="43"/>
  <c r="K62" i="43"/>
  <c r="J62" i="43"/>
  <c r="I62" i="43"/>
  <c r="H62" i="43"/>
  <c r="G62" i="43"/>
  <c r="F62" i="43"/>
  <c r="E56" i="43"/>
  <c r="D56" i="43"/>
  <c r="C56" i="43"/>
  <c r="B56" i="43"/>
  <c r="E55" i="43"/>
  <c r="D55" i="43"/>
  <c r="C55" i="43"/>
  <c r="B55" i="43"/>
  <c r="E54" i="43"/>
  <c r="D54" i="43"/>
  <c r="C54" i="43"/>
  <c r="B54" i="43"/>
  <c r="E53" i="43"/>
  <c r="D53" i="43"/>
  <c r="C53" i="43"/>
  <c r="B53" i="43"/>
  <c r="E52" i="43"/>
  <c r="D52" i="43"/>
  <c r="C52" i="43"/>
  <c r="B52" i="43"/>
  <c r="Q51" i="43"/>
  <c r="P51" i="43"/>
  <c r="O51" i="43"/>
  <c r="N51" i="43"/>
  <c r="M51" i="43"/>
  <c r="L51" i="43"/>
  <c r="K51" i="43"/>
  <c r="J51" i="43"/>
  <c r="I51" i="43"/>
  <c r="H51" i="43"/>
  <c r="G51" i="43"/>
  <c r="F51" i="43"/>
  <c r="E46" i="43"/>
  <c r="D46" i="43"/>
  <c r="C46" i="43"/>
  <c r="B46" i="43"/>
  <c r="E45" i="43"/>
  <c r="D45" i="43"/>
  <c r="C45" i="43"/>
  <c r="B45" i="43"/>
  <c r="E44" i="43"/>
  <c r="D44" i="43"/>
  <c r="C44" i="43"/>
  <c r="B44" i="43"/>
  <c r="E43" i="43"/>
  <c r="D43" i="43"/>
  <c r="C43" i="43"/>
  <c r="B43" i="43"/>
  <c r="Y42" i="43"/>
  <c r="X42" i="43"/>
  <c r="W42" i="43"/>
  <c r="V42" i="43"/>
  <c r="U42" i="43"/>
  <c r="T42" i="43"/>
  <c r="S42" i="43"/>
  <c r="R42" i="43"/>
  <c r="Q42" i="43"/>
  <c r="P42" i="43"/>
  <c r="O42" i="43"/>
  <c r="N42" i="43"/>
  <c r="M42" i="43"/>
  <c r="L42" i="43"/>
  <c r="K42" i="43"/>
  <c r="J42" i="43"/>
  <c r="I42" i="43"/>
  <c r="H42" i="43"/>
  <c r="G42" i="43"/>
  <c r="F42" i="43"/>
  <c r="E37" i="43"/>
  <c r="D37" i="43"/>
  <c r="C37" i="43"/>
  <c r="B37" i="43"/>
  <c r="E36" i="43"/>
  <c r="D36" i="43"/>
  <c r="C36" i="43"/>
  <c r="B36" i="43"/>
  <c r="E35" i="43"/>
  <c r="D35" i="43"/>
  <c r="C35" i="43"/>
  <c r="B35" i="43"/>
  <c r="E34" i="43"/>
  <c r="D34" i="43"/>
  <c r="E33" i="43"/>
  <c r="D33" i="43"/>
  <c r="C33" i="43"/>
  <c r="B33" i="43"/>
  <c r="E32" i="43"/>
  <c r="D32" i="43"/>
  <c r="E31" i="43"/>
  <c r="D31" i="43"/>
  <c r="E30" i="43"/>
  <c r="D30" i="43"/>
  <c r="C30" i="43"/>
  <c r="B30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4" i="43"/>
  <c r="D24" i="43"/>
  <c r="C24" i="43"/>
  <c r="B24" i="43"/>
  <c r="E23" i="43"/>
  <c r="D23" i="43"/>
  <c r="C23" i="43"/>
  <c r="B23" i="43"/>
  <c r="E22" i="43"/>
  <c r="D22" i="43"/>
  <c r="E21" i="43"/>
  <c r="D21" i="43"/>
  <c r="E20" i="43"/>
  <c r="D20" i="43"/>
  <c r="C20" i="43"/>
  <c r="B20" i="43"/>
  <c r="E19" i="43"/>
  <c r="D19" i="43"/>
  <c r="E18" i="43"/>
  <c r="D18" i="43"/>
  <c r="E17" i="43"/>
  <c r="D17" i="43"/>
  <c r="C17" i="43"/>
  <c r="B17" i="43"/>
  <c r="E16" i="43"/>
  <c r="D16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F135" i="42"/>
  <c r="B135" i="42"/>
  <c r="F134" i="42"/>
  <c r="B134" i="42"/>
  <c r="F133" i="42"/>
  <c r="B133" i="42"/>
  <c r="F132" i="42"/>
  <c r="B132" i="42"/>
  <c r="F131" i="42"/>
  <c r="B131" i="42"/>
  <c r="F130" i="42"/>
  <c r="B130" i="42"/>
  <c r="N129" i="42"/>
  <c r="M129" i="42"/>
  <c r="L129" i="42"/>
  <c r="K129" i="42"/>
  <c r="J129" i="42"/>
  <c r="I129" i="42"/>
  <c r="H129" i="42"/>
  <c r="G129" i="42"/>
  <c r="E129" i="42"/>
  <c r="D129" i="42"/>
  <c r="C129" i="42"/>
  <c r="P120" i="42"/>
  <c r="O120" i="42"/>
  <c r="N120" i="42"/>
  <c r="M120" i="42"/>
  <c r="L120" i="42"/>
  <c r="K120" i="42"/>
  <c r="J120" i="42"/>
  <c r="I120" i="42"/>
  <c r="H120" i="42"/>
  <c r="G120" i="42"/>
  <c r="F120" i="42"/>
  <c r="E120" i="42"/>
  <c r="D120" i="42"/>
  <c r="C120" i="42"/>
  <c r="B120" i="42"/>
  <c r="S114" i="42"/>
  <c r="R114" i="42"/>
  <c r="Q114" i="42"/>
  <c r="P114" i="42"/>
  <c r="O114" i="42"/>
  <c r="N114" i="42"/>
  <c r="S113" i="42"/>
  <c r="R113" i="42"/>
  <c r="Q113" i="42"/>
  <c r="P113" i="42"/>
  <c r="O113" i="42"/>
  <c r="N113" i="42"/>
  <c r="S112" i="42"/>
  <c r="R112" i="42"/>
  <c r="Q112" i="42"/>
  <c r="P112" i="42"/>
  <c r="O112" i="42"/>
  <c r="N112" i="42"/>
  <c r="S111" i="42"/>
  <c r="R111" i="42"/>
  <c r="Q111" i="42"/>
  <c r="P111" i="42"/>
  <c r="O111" i="42"/>
  <c r="N111" i="42"/>
  <c r="S110" i="42"/>
  <c r="R110" i="42"/>
  <c r="Q110" i="42"/>
  <c r="P110" i="42"/>
  <c r="O110" i="42"/>
  <c r="N110" i="42"/>
  <c r="S109" i="42"/>
  <c r="R109" i="42"/>
  <c r="Q109" i="42"/>
  <c r="P109" i="42"/>
  <c r="O109" i="42"/>
  <c r="N109" i="42"/>
  <c r="S108" i="42"/>
  <c r="R108" i="42"/>
  <c r="Q108" i="42"/>
  <c r="P108" i="42"/>
  <c r="O108" i="42"/>
  <c r="N108" i="42"/>
  <c r="S107" i="42"/>
  <c r="R107" i="42"/>
  <c r="Q107" i="42"/>
  <c r="P107" i="42"/>
  <c r="O107" i="42"/>
  <c r="N107" i="42"/>
  <c r="S106" i="42"/>
  <c r="R106" i="42"/>
  <c r="Q106" i="42"/>
  <c r="P106" i="42"/>
  <c r="O106" i="42"/>
  <c r="N106" i="42"/>
  <c r="S105" i="42"/>
  <c r="R105" i="42"/>
  <c r="Q105" i="42"/>
  <c r="P105" i="42"/>
  <c r="O105" i="42"/>
  <c r="N105" i="42"/>
  <c r="S104" i="42"/>
  <c r="R104" i="42"/>
  <c r="Q104" i="42"/>
  <c r="P104" i="42"/>
  <c r="O104" i="42"/>
  <c r="N104" i="42"/>
  <c r="AB103" i="42"/>
  <c r="AA103" i="42"/>
  <c r="Z103" i="42"/>
  <c r="Y103" i="42"/>
  <c r="X103" i="42"/>
  <c r="W103" i="42"/>
  <c r="V103" i="42"/>
  <c r="U103" i="42"/>
  <c r="T103" i="42"/>
  <c r="M103" i="42"/>
  <c r="L103" i="42"/>
  <c r="K103" i="42"/>
  <c r="J103" i="42"/>
  <c r="I103" i="42"/>
  <c r="H103" i="42"/>
  <c r="G103" i="42"/>
  <c r="F103" i="42"/>
  <c r="E103" i="42"/>
  <c r="D103" i="42"/>
  <c r="C103" i="42"/>
  <c r="B103" i="42"/>
  <c r="S85" i="42"/>
  <c r="R85" i="42"/>
  <c r="Q85" i="42"/>
  <c r="P85" i="42"/>
  <c r="O85" i="42"/>
  <c r="N85" i="42"/>
  <c r="M85" i="42"/>
  <c r="L85" i="42"/>
  <c r="K85" i="42"/>
  <c r="J85" i="42"/>
  <c r="I85" i="42"/>
  <c r="H85" i="42"/>
  <c r="G85" i="42"/>
  <c r="F85" i="42"/>
  <c r="E85" i="42"/>
  <c r="D85" i="42"/>
  <c r="C85" i="42"/>
  <c r="B85" i="42"/>
  <c r="S72" i="42"/>
  <c r="R72" i="42"/>
  <c r="Q72" i="42"/>
  <c r="P72" i="42"/>
  <c r="O72" i="42"/>
  <c r="N72" i="42"/>
  <c r="S71" i="42"/>
  <c r="R71" i="42"/>
  <c r="Q71" i="42"/>
  <c r="P71" i="42"/>
  <c r="O71" i="42"/>
  <c r="N71" i="42"/>
  <c r="S70" i="42"/>
  <c r="R70" i="42"/>
  <c r="Q70" i="42"/>
  <c r="P70" i="42"/>
  <c r="O70" i="42"/>
  <c r="N70" i="42"/>
  <c r="S69" i="42"/>
  <c r="R69" i="42"/>
  <c r="Q69" i="42"/>
  <c r="P69" i="42"/>
  <c r="O69" i="42"/>
  <c r="N69" i="42"/>
  <c r="S68" i="42"/>
  <c r="R68" i="42"/>
  <c r="Q68" i="42"/>
  <c r="P68" i="42"/>
  <c r="O68" i="42"/>
  <c r="N68" i="42"/>
  <c r="S67" i="42"/>
  <c r="R67" i="42"/>
  <c r="Q67" i="42"/>
  <c r="P67" i="42"/>
  <c r="O67" i="42"/>
  <c r="N67" i="42"/>
  <c r="S66" i="42"/>
  <c r="R66" i="42"/>
  <c r="Q66" i="42"/>
  <c r="P66" i="42"/>
  <c r="O66" i="42"/>
  <c r="N66" i="42"/>
  <c r="S65" i="42"/>
  <c r="R65" i="42"/>
  <c r="Q65" i="42"/>
  <c r="P65" i="42"/>
  <c r="O65" i="42"/>
  <c r="N65" i="42"/>
  <c r="S64" i="42"/>
  <c r="R64" i="42"/>
  <c r="Q64" i="42"/>
  <c r="P64" i="42"/>
  <c r="O64" i="42"/>
  <c r="N64" i="42"/>
  <c r="S63" i="42"/>
  <c r="R63" i="42"/>
  <c r="Q63" i="42"/>
  <c r="P63" i="42"/>
  <c r="O63" i="42"/>
  <c r="N63" i="42"/>
  <c r="S62" i="42"/>
  <c r="R62" i="42"/>
  <c r="Q62" i="42"/>
  <c r="P62" i="42"/>
  <c r="O62" i="42"/>
  <c r="N62" i="42"/>
  <c r="S61" i="42"/>
  <c r="R61" i="42"/>
  <c r="Q61" i="42"/>
  <c r="P61" i="42"/>
  <c r="O61" i="42"/>
  <c r="N61" i="42"/>
  <c r="S60" i="42"/>
  <c r="R60" i="42"/>
  <c r="Q60" i="42"/>
  <c r="P60" i="42"/>
  <c r="O60" i="42"/>
  <c r="N60" i="42"/>
  <c r="S59" i="42"/>
  <c r="R59" i="42"/>
  <c r="Q59" i="42"/>
  <c r="P59" i="42"/>
  <c r="O59" i="42"/>
  <c r="N59" i="42"/>
  <c r="S58" i="42"/>
  <c r="R58" i="42"/>
  <c r="Q58" i="42"/>
  <c r="P58" i="42"/>
  <c r="O58" i="42"/>
  <c r="N58" i="42"/>
  <c r="S57" i="42"/>
  <c r="R57" i="42"/>
  <c r="Q57" i="42"/>
  <c r="P57" i="42"/>
  <c r="O57" i="42"/>
  <c r="N57" i="42"/>
  <c r="S56" i="42"/>
  <c r="R56" i="42"/>
  <c r="Q56" i="42"/>
  <c r="P56" i="42"/>
  <c r="O56" i="42"/>
  <c r="N56" i="42"/>
  <c r="S55" i="42"/>
  <c r="R55" i="42"/>
  <c r="Q55" i="42"/>
  <c r="P55" i="42"/>
  <c r="O55" i="42"/>
  <c r="N55" i="42"/>
  <c r="S54" i="42"/>
  <c r="R54" i="42"/>
  <c r="Q54" i="42"/>
  <c r="P54" i="42"/>
  <c r="O54" i="42"/>
  <c r="N54" i="42"/>
  <c r="S53" i="42"/>
  <c r="R53" i="42"/>
  <c r="Q53" i="42"/>
  <c r="P53" i="42"/>
  <c r="O53" i="42"/>
  <c r="N53" i="42"/>
  <c r="S52" i="42"/>
  <c r="R52" i="42"/>
  <c r="Q52" i="42"/>
  <c r="P52" i="42"/>
  <c r="O52" i="42"/>
  <c r="N52" i="42"/>
  <c r="S51" i="42"/>
  <c r="R51" i="42"/>
  <c r="Q51" i="42"/>
  <c r="P51" i="42"/>
  <c r="O51" i="42"/>
  <c r="N51" i="42"/>
  <c r="S50" i="42"/>
  <c r="R50" i="42"/>
  <c r="Q50" i="42"/>
  <c r="P50" i="42"/>
  <c r="O50" i="42"/>
  <c r="N50" i="42"/>
  <c r="S49" i="42"/>
  <c r="R49" i="42"/>
  <c r="Q49" i="42"/>
  <c r="P49" i="42"/>
  <c r="O49" i="42"/>
  <c r="N49" i="42"/>
  <c r="S48" i="42"/>
  <c r="R48" i="42"/>
  <c r="Q48" i="42"/>
  <c r="P48" i="42"/>
  <c r="O48" i="42"/>
  <c r="N48" i="42"/>
  <c r="S47" i="42"/>
  <c r="R47" i="42"/>
  <c r="Q47" i="42"/>
  <c r="P47" i="42"/>
  <c r="O47" i="42"/>
  <c r="N47" i="42"/>
  <c r="S46" i="42"/>
  <c r="R46" i="42"/>
  <c r="Q46" i="42"/>
  <c r="P46" i="42"/>
  <c r="O46" i="42"/>
  <c r="N46" i="42"/>
  <c r="S45" i="42"/>
  <c r="R45" i="42"/>
  <c r="Q45" i="42"/>
  <c r="P45" i="42"/>
  <c r="O45" i="42"/>
  <c r="N45" i="42"/>
  <c r="S44" i="42"/>
  <c r="R44" i="42"/>
  <c r="Q44" i="42"/>
  <c r="P44" i="42"/>
  <c r="O44" i="42"/>
  <c r="N44" i="42"/>
  <c r="S43" i="42"/>
  <c r="R43" i="42"/>
  <c r="Q43" i="42"/>
  <c r="P43" i="42"/>
  <c r="O43" i="42"/>
  <c r="N43" i="42"/>
  <c r="S42" i="42"/>
  <c r="R42" i="42"/>
  <c r="Q42" i="42"/>
  <c r="P42" i="42"/>
  <c r="O42" i="42"/>
  <c r="N42" i="42"/>
  <c r="S41" i="42"/>
  <c r="R41" i="42"/>
  <c r="Q41" i="42"/>
  <c r="P41" i="42"/>
  <c r="O41" i="42"/>
  <c r="N41" i="42"/>
  <c r="S40" i="42"/>
  <c r="R40" i="42"/>
  <c r="Q40" i="42"/>
  <c r="P40" i="42"/>
  <c r="O40" i="42"/>
  <c r="N40" i="42"/>
  <c r="S39" i="42"/>
  <c r="R39" i="42"/>
  <c r="Q39" i="42"/>
  <c r="P39" i="42"/>
  <c r="O39" i="42"/>
  <c r="N39" i="42"/>
  <c r="S38" i="42"/>
  <c r="R38" i="42"/>
  <c r="Q38" i="42"/>
  <c r="P38" i="42"/>
  <c r="O38" i="42"/>
  <c r="N38" i="42"/>
  <c r="S37" i="42"/>
  <c r="R37" i="42"/>
  <c r="Q37" i="42"/>
  <c r="P37" i="42"/>
  <c r="O37" i="42"/>
  <c r="N37" i="42"/>
  <c r="S36" i="42"/>
  <c r="R36" i="42"/>
  <c r="Q36" i="42"/>
  <c r="P36" i="42"/>
  <c r="O36" i="42"/>
  <c r="N36" i="42"/>
  <c r="S35" i="42"/>
  <c r="R35" i="42"/>
  <c r="Q35" i="42"/>
  <c r="P35" i="42"/>
  <c r="O35" i="42"/>
  <c r="N35" i="42"/>
  <c r="S34" i="42"/>
  <c r="R34" i="42"/>
  <c r="Q34" i="42"/>
  <c r="P34" i="42"/>
  <c r="O34" i="42"/>
  <c r="N34" i="42"/>
  <c r="S33" i="42"/>
  <c r="R33" i="42"/>
  <c r="Q33" i="42"/>
  <c r="P33" i="42"/>
  <c r="O33" i="42"/>
  <c r="N33" i="42"/>
  <c r="S32" i="42"/>
  <c r="R32" i="42"/>
  <c r="Q32" i="42"/>
  <c r="P32" i="42"/>
  <c r="O32" i="42"/>
  <c r="N32" i="42"/>
  <c r="S31" i="42"/>
  <c r="R31" i="42"/>
  <c r="Q31" i="42"/>
  <c r="P31" i="42"/>
  <c r="O31" i="42"/>
  <c r="N31" i="42"/>
  <c r="S30" i="42"/>
  <c r="R30" i="42"/>
  <c r="Q30" i="42"/>
  <c r="P30" i="42"/>
  <c r="O30" i="42"/>
  <c r="N30" i="42"/>
  <c r="S29" i="42"/>
  <c r="R29" i="42"/>
  <c r="Q29" i="42"/>
  <c r="P29" i="42"/>
  <c r="O29" i="42"/>
  <c r="N29" i="42"/>
  <c r="S28" i="42"/>
  <c r="R28" i="42"/>
  <c r="Q28" i="42"/>
  <c r="P28" i="42"/>
  <c r="O28" i="42"/>
  <c r="N28" i="42"/>
  <c r="S27" i="42"/>
  <c r="R27" i="42"/>
  <c r="Q27" i="42"/>
  <c r="P27" i="42"/>
  <c r="O27" i="42"/>
  <c r="N27" i="42"/>
  <c r="S26" i="42"/>
  <c r="R26" i="42"/>
  <c r="Q26" i="42"/>
  <c r="P26" i="42"/>
  <c r="O26" i="42"/>
  <c r="N26" i="42"/>
  <c r="S25" i="42"/>
  <c r="R25" i="42"/>
  <c r="Q25" i="42"/>
  <c r="P25" i="42"/>
  <c r="O25" i="42"/>
  <c r="N25" i="42"/>
  <c r="S24" i="42"/>
  <c r="R24" i="42"/>
  <c r="Q24" i="42"/>
  <c r="P24" i="42"/>
  <c r="O24" i="42"/>
  <c r="N24" i="42"/>
  <c r="S23" i="42"/>
  <c r="R23" i="42"/>
  <c r="Q23" i="42"/>
  <c r="P23" i="42"/>
  <c r="O23" i="42"/>
  <c r="N23" i="42"/>
  <c r="S22" i="42"/>
  <c r="R22" i="42"/>
  <c r="Q22" i="42"/>
  <c r="P22" i="42"/>
  <c r="O22" i="42"/>
  <c r="N22" i="42"/>
  <c r="S21" i="42"/>
  <c r="R21" i="42"/>
  <c r="Q21" i="42"/>
  <c r="P21" i="42"/>
  <c r="O21" i="42"/>
  <c r="N21" i="42"/>
  <c r="S20" i="42"/>
  <c r="R20" i="42"/>
  <c r="Q20" i="42"/>
  <c r="P20" i="42"/>
  <c r="O20" i="42"/>
  <c r="N20" i="42"/>
  <c r="S19" i="42"/>
  <c r="R19" i="42"/>
  <c r="Q19" i="42"/>
  <c r="P19" i="42"/>
  <c r="O19" i="42"/>
  <c r="N19" i="42"/>
  <c r="S18" i="42"/>
  <c r="R18" i="42"/>
  <c r="Q18" i="42"/>
  <c r="P18" i="42"/>
  <c r="O18" i="42"/>
  <c r="N18" i="42"/>
  <c r="S17" i="42"/>
  <c r="R17" i="42"/>
  <c r="Q17" i="42"/>
  <c r="P17" i="42"/>
  <c r="O17" i="42"/>
  <c r="N17" i="42"/>
  <c r="S16" i="42"/>
  <c r="R16" i="42"/>
  <c r="Q16" i="42"/>
  <c r="P16" i="42"/>
  <c r="O16" i="42"/>
  <c r="N16" i="42"/>
  <c r="S15" i="42"/>
  <c r="R15" i="42"/>
  <c r="Q15" i="42"/>
  <c r="P15" i="42"/>
  <c r="O15" i="42"/>
  <c r="N15" i="42"/>
  <c r="S14" i="42"/>
  <c r="R14" i="42"/>
  <c r="Q14" i="42"/>
  <c r="P14" i="42"/>
  <c r="O14" i="42"/>
  <c r="N14" i="42"/>
  <c r="S13" i="42"/>
  <c r="R13" i="42"/>
  <c r="Q13" i="42"/>
  <c r="P13" i="42"/>
  <c r="O13" i="42"/>
  <c r="N13" i="42"/>
  <c r="AK12" i="42"/>
  <c r="AJ12" i="42"/>
  <c r="AI12" i="42"/>
  <c r="AH12" i="42"/>
  <c r="AG12" i="42"/>
  <c r="AF12" i="42"/>
  <c r="AE12" i="42"/>
  <c r="AD12" i="42"/>
  <c r="AC12" i="42"/>
  <c r="AB12" i="42"/>
  <c r="AA12" i="42"/>
  <c r="Z12" i="42"/>
  <c r="Y12" i="42"/>
  <c r="X12" i="42"/>
  <c r="W12" i="42"/>
  <c r="V12" i="42"/>
  <c r="U12" i="42"/>
  <c r="T12" i="42"/>
  <c r="M12" i="42"/>
  <c r="L12" i="42"/>
  <c r="K12" i="42"/>
  <c r="J12" i="42"/>
  <c r="I12" i="42"/>
  <c r="H12" i="42"/>
  <c r="G12" i="42"/>
  <c r="F12" i="42"/>
  <c r="E12" i="42"/>
  <c r="D12" i="42"/>
  <c r="C12" i="42"/>
  <c r="B12" i="42"/>
  <c r="D51" i="43" l="1"/>
  <c r="P103" i="42"/>
  <c r="Q103" i="42"/>
  <c r="E42" i="43"/>
  <c r="D29" i="43"/>
  <c r="R12" i="42"/>
  <c r="S103" i="42"/>
  <c r="C42" i="43"/>
  <c r="Q12" i="42"/>
  <c r="B71" i="43"/>
  <c r="C62" i="43"/>
  <c r="B42" i="43"/>
  <c r="O103" i="42"/>
  <c r="C51" i="43"/>
  <c r="N12" i="42"/>
  <c r="C15" i="43"/>
  <c r="B29" i="43"/>
  <c r="B62" i="43"/>
  <c r="D71" i="43"/>
  <c r="D62" i="43"/>
  <c r="D42" i="43"/>
  <c r="D15" i="43"/>
  <c r="B15" i="43"/>
  <c r="E62" i="43"/>
  <c r="B51" i="43"/>
  <c r="C71" i="43"/>
  <c r="E71" i="43"/>
  <c r="B129" i="42"/>
  <c r="E29" i="43"/>
  <c r="E51" i="43"/>
  <c r="S12" i="42"/>
  <c r="N103" i="42"/>
  <c r="E15" i="43"/>
  <c r="C29" i="43"/>
  <c r="F129" i="42"/>
  <c r="O12" i="42"/>
  <c r="P12" i="42"/>
  <c r="R103" i="42"/>
  <c r="B157" i="41"/>
  <c r="B156" i="41"/>
  <c r="B155" i="41"/>
  <c r="B150" i="41"/>
  <c r="B149" i="41"/>
  <c r="B125" i="41"/>
  <c r="B105" i="41"/>
  <c r="B104" i="41"/>
  <c r="CF64" i="41"/>
  <c r="CE64" i="41"/>
  <c r="CA64" i="41"/>
  <c r="CF63" i="41"/>
  <c r="CE63" i="41"/>
  <c r="CA63" i="41"/>
  <c r="C62" i="41"/>
  <c r="C61" i="41"/>
  <c r="CB61" i="41" s="1"/>
  <c r="L60" i="41"/>
  <c r="K60" i="41"/>
  <c r="J60" i="41"/>
  <c r="I60" i="41"/>
  <c r="H60" i="41"/>
  <c r="G60" i="41"/>
  <c r="F60" i="41"/>
  <c r="E60" i="41"/>
  <c r="D60" i="41"/>
  <c r="CF59" i="41"/>
  <c r="CE59" i="41"/>
  <c r="CA59" i="41"/>
  <c r="C58" i="41"/>
  <c r="C57" i="41"/>
  <c r="CB57" i="41" s="1"/>
  <c r="C56" i="41"/>
  <c r="C55" i="41"/>
  <c r="CB55" i="41" s="1"/>
  <c r="C54" i="41"/>
  <c r="C53" i="41"/>
  <c r="CB53" i="41" s="1"/>
  <c r="C52" i="41"/>
  <c r="C51" i="41"/>
  <c r="CB51" i="41" s="1"/>
  <c r="C50" i="41"/>
  <c r="C49" i="41"/>
  <c r="CB49" i="41" s="1"/>
  <c r="C48" i="41"/>
  <c r="C47" i="41"/>
  <c r="CB47" i="41" s="1"/>
  <c r="C46" i="41"/>
  <c r="C45" i="41"/>
  <c r="CB45" i="41" s="1"/>
  <c r="C44" i="41"/>
  <c r="C43" i="41"/>
  <c r="CB43" i="41" s="1"/>
  <c r="C42" i="41"/>
  <c r="C41" i="41"/>
  <c r="CB41" i="41" s="1"/>
  <c r="C40" i="41"/>
  <c r="C39" i="41"/>
  <c r="CB39" i="41" s="1"/>
  <c r="C38" i="41"/>
  <c r="C37" i="41"/>
  <c r="CB37" i="41" s="1"/>
  <c r="C36" i="41"/>
  <c r="C35" i="41"/>
  <c r="CB35" i="41" s="1"/>
  <c r="C34" i="41"/>
  <c r="L33" i="41"/>
  <c r="K33" i="41"/>
  <c r="J33" i="41"/>
  <c r="I33" i="41"/>
  <c r="H33" i="41"/>
  <c r="G33" i="41"/>
  <c r="F33" i="41"/>
  <c r="E33" i="41"/>
  <c r="D33" i="41"/>
  <c r="C32" i="41"/>
  <c r="D28" i="41"/>
  <c r="C28" i="41"/>
  <c r="D27" i="41"/>
  <c r="C27" i="41"/>
  <c r="D25" i="41"/>
  <c r="C25" i="41"/>
  <c r="D24" i="41"/>
  <c r="C24" i="41"/>
  <c r="D22" i="41"/>
  <c r="C22" i="41"/>
  <c r="D21" i="41"/>
  <c r="C21" i="41"/>
  <c r="D20" i="41"/>
  <c r="C20" i="41"/>
  <c r="D19" i="41"/>
  <c r="C19" i="41"/>
  <c r="D18" i="41"/>
  <c r="C18" i="41"/>
  <c r="D17" i="41"/>
  <c r="C17" i="41"/>
  <c r="D15" i="41"/>
  <c r="C15" i="41"/>
  <c r="D14" i="41"/>
  <c r="C14" i="41"/>
  <c r="D13" i="41"/>
  <c r="C13" i="41"/>
  <c r="D12" i="41"/>
  <c r="C12" i="41"/>
  <c r="CL139" i="39"/>
  <c r="E139" i="39"/>
  <c r="CL138" i="39"/>
  <c r="E138" i="39"/>
  <c r="CL137" i="39"/>
  <c r="E137" i="39"/>
  <c r="CL135" i="39"/>
  <c r="F135" i="39"/>
  <c r="CL134" i="39"/>
  <c r="F134" i="39"/>
  <c r="CL133" i="39"/>
  <c r="F133" i="39"/>
  <c r="B125" i="39"/>
  <c r="C93" i="39"/>
  <c r="I88" i="39"/>
  <c r="H88" i="39"/>
  <c r="G88" i="39"/>
  <c r="F88" i="39"/>
  <c r="E88" i="39"/>
  <c r="D88" i="39"/>
  <c r="C88" i="39"/>
  <c r="T69" i="39"/>
  <c r="S69" i="39"/>
  <c r="R69" i="39"/>
  <c r="Q69" i="39"/>
  <c r="P69" i="39"/>
  <c r="O69" i="39"/>
  <c r="N69" i="39"/>
  <c r="M69" i="39"/>
  <c r="L69" i="39"/>
  <c r="K69" i="39"/>
  <c r="J69" i="39"/>
  <c r="I69" i="39"/>
  <c r="H69" i="39"/>
  <c r="G69" i="39"/>
  <c r="F69" i="39"/>
  <c r="E69" i="39"/>
  <c r="D69" i="39"/>
  <c r="C69" i="39"/>
  <c r="B69" i="39"/>
  <c r="C35" i="39"/>
  <c r="C34" i="39"/>
  <c r="C33" i="39"/>
  <c r="C32" i="39"/>
  <c r="C31" i="39"/>
  <c r="C30" i="39"/>
  <c r="C29" i="39"/>
  <c r="C28" i="39"/>
  <c r="C27" i="39"/>
  <c r="C26" i="39"/>
  <c r="C25" i="39"/>
  <c r="AB12" i="39"/>
  <c r="AA12" i="39"/>
  <c r="Z12" i="39"/>
  <c r="Y12" i="39"/>
  <c r="X12" i="39"/>
  <c r="W12" i="39"/>
  <c r="V12" i="39"/>
  <c r="U12" i="39"/>
  <c r="T12" i="39"/>
  <c r="S12" i="39"/>
  <c r="R12" i="39"/>
  <c r="Q12" i="39"/>
  <c r="P12" i="39"/>
  <c r="O12" i="39"/>
  <c r="N12" i="39"/>
  <c r="M12" i="39"/>
  <c r="L12" i="39"/>
  <c r="K12" i="39"/>
  <c r="J12" i="39"/>
  <c r="I12" i="39"/>
  <c r="H12" i="39"/>
  <c r="G12" i="39"/>
  <c r="F12" i="39"/>
  <c r="E12" i="39"/>
  <c r="D12" i="39"/>
  <c r="C12" i="39"/>
  <c r="CM125" i="39" l="1"/>
  <c r="CB125" i="39"/>
  <c r="CA125" i="39"/>
  <c r="CA93" i="39"/>
  <c r="M93" i="39" s="1"/>
  <c r="A150" i="43"/>
  <c r="E27" i="18" s="1"/>
  <c r="CE34" i="41"/>
  <c r="CB34" i="41"/>
  <c r="CE40" i="41"/>
  <c r="CB40" i="41"/>
  <c r="CE46" i="41"/>
  <c r="CB46" i="41"/>
  <c r="CE52" i="41"/>
  <c r="CB52" i="41"/>
  <c r="CE58" i="41"/>
  <c r="CB58" i="41"/>
  <c r="CE38" i="41"/>
  <c r="CB38" i="41"/>
  <c r="CE44" i="41"/>
  <c r="CB44" i="41"/>
  <c r="CE50" i="41"/>
  <c r="CB50" i="41"/>
  <c r="CE56" i="41"/>
  <c r="CB56" i="41"/>
  <c r="A180" i="42"/>
  <c r="E26" i="18" s="1"/>
  <c r="CE42" i="41"/>
  <c r="CB42" i="41"/>
  <c r="CE48" i="41"/>
  <c r="CB48" i="41"/>
  <c r="CE54" i="41"/>
  <c r="CB54" i="41"/>
  <c r="CF62" i="41"/>
  <c r="CB62" i="41"/>
  <c r="CE36" i="41"/>
  <c r="CB36" i="41"/>
  <c r="CF32" i="41"/>
  <c r="CB32" i="41"/>
  <c r="B14" i="41"/>
  <c r="CF14" i="41" s="1"/>
  <c r="CA56" i="41"/>
  <c r="CF56" i="41"/>
  <c r="A160" i="39"/>
  <c r="E20" i="18" s="1"/>
  <c r="R59" i="41"/>
  <c r="CF50" i="41"/>
  <c r="CA58" i="41"/>
  <c r="CA36" i="41"/>
  <c r="CA48" i="41"/>
  <c r="CA52" i="41"/>
  <c r="CA34" i="41"/>
  <c r="CA38" i="41"/>
  <c r="R38" i="41" s="1"/>
  <c r="B17" i="41"/>
  <c r="CF17" i="41" s="1"/>
  <c r="CA40" i="41"/>
  <c r="CA44" i="41"/>
  <c r="CF44" i="41"/>
  <c r="R64" i="41"/>
  <c r="CA32" i="41"/>
  <c r="CF38" i="41"/>
  <c r="CA42" i="41"/>
  <c r="CA62" i="41"/>
  <c r="C33" i="41"/>
  <c r="CA46" i="41"/>
  <c r="CA50" i="41"/>
  <c r="R63" i="41"/>
  <c r="B12" i="41"/>
  <c r="CF12" i="41" s="1"/>
  <c r="AC15" i="39"/>
  <c r="AC14" i="39"/>
  <c r="CL93" i="39"/>
  <c r="B20" i="41"/>
  <c r="CA20" i="41" s="1"/>
  <c r="B24" i="41"/>
  <c r="CF24" i="41" s="1"/>
  <c r="B28" i="41"/>
  <c r="CE28" i="41" s="1"/>
  <c r="CA54" i="41"/>
  <c r="B13" i="41"/>
  <c r="CF13" i="41" s="1"/>
  <c r="B15" i="41"/>
  <c r="CF15" i="41" s="1"/>
  <c r="B18" i="41"/>
  <c r="CF18" i="41" s="1"/>
  <c r="B21" i="41"/>
  <c r="CB21" i="41" s="1"/>
  <c r="B25" i="41"/>
  <c r="CE25" i="41" s="1"/>
  <c r="CF36" i="41"/>
  <c r="CF42" i="41"/>
  <c r="CF48" i="41"/>
  <c r="CF54" i="41"/>
  <c r="AC13" i="39"/>
  <c r="B19" i="41"/>
  <c r="CE19" i="41" s="1"/>
  <c r="B22" i="41"/>
  <c r="CE22" i="41" s="1"/>
  <c r="B27" i="41"/>
  <c r="CE27" i="41" s="1"/>
  <c r="CF34" i="41"/>
  <c r="CF40" i="41"/>
  <c r="CF46" i="41"/>
  <c r="CF52" i="41"/>
  <c r="CF58" i="41"/>
  <c r="C60" i="41"/>
  <c r="CB12" i="41"/>
  <c r="CA17" i="41"/>
  <c r="CE43" i="41"/>
  <c r="CE47" i="41"/>
  <c r="CE51" i="41"/>
  <c r="CE57" i="41"/>
  <c r="CE32" i="41"/>
  <c r="CF35" i="41"/>
  <c r="CF37" i="41"/>
  <c r="CF39" i="41"/>
  <c r="CF41" i="41"/>
  <c r="CF43" i="41"/>
  <c r="CF45" i="41"/>
  <c r="CF47" i="41"/>
  <c r="CF49" i="41"/>
  <c r="CF51" i="41"/>
  <c r="CF53" i="41"/>
  <c r="CF55" i="41"/>
  <c r="R56" i="41"/>
  <c r="CF57" i="41"/>
  <c r="CF61" i="41"/>
  <c r="CE35" i="41"/>
  <c r="CE45" i="41"/>
  <c r="CE49" i="41"/>
  <c r="CE55" i="41"/>
  <c r="CE61" i="41"/>
  <c r="CA35" i="41"/>
  <c r="R35" i="41" s="1"/>
  <c r="CA37" i="41"/>
  <c r="R37" i="41" s="1"/>
  <c r="CA39" i="41"/>
  <c r="R39" i="41" s="1"/>
  <c r="CA41" i="41"/>
  <c r="R41" i="41" s="1"/>
  <c r="CA43" i="41"/>
  <c r="R43" i="41" s="1"/>
  <c r="CA45" i="41"/>
  <c r="R45" i="41" s="1"/>
  <c r="CA47" i="41"/>
  <c r="R47" i="41" s="1"/>
  <c r="CA49" i="41"/>
  <c r="R49" i="41" s="1"/>
  <c r="CA51" i="41"/>
  <c r="R51" i="41" s="1"/>
  <c r="CA53" i="41"/>
  <c r="R53" i="41" s="1"/>
  <c r="CA55" i="41"/>
  <c r="R55" i="41" s="1"/>
  <c r="CA57" i="41"/>
  <c r="R57" i="41" s="1"/>
  <c r="CA61" i="41"/>
  <c r="R61" i="41" s="1"/>
  <c r="CE62" i="41"/>
  <c r="CE37" i="41"/>
  <c r="CE39" i="41"/>
  <c r="CE41" i="41"/>
  <c r="CE53" i="41"/>
  <c r="CL125" i="39"/>
  <c r="R44" i="41" l="1"/>
  <c r="CE12" i="41"/>
  <c r="CA12" i="41"/>
  <c r="U12" i="41" s="1"/>
  <c r="CA14" i="41"/>
  <c r="CB14" i="41"/>
  <c r="CE21" i="41"/>
  <c r="R42" i="41"/>
  <c r="CE14" i="41"/>
  <c r="R40" i="41"/>
  <c r="CB13" i="41"/>
  <c r="R36" i="41"/>
  <c r="CA25" i="41"/>
  <c r="CB25" i="41"/>
  <c r="CA21" i="41"/>
  <c r="U21" i="41" s="1"/>
  <c r="CF25" i="41"/>
  <c r="R62" i="41"/>
  <c r="R54" i="41"/>
  <c r="R48" i="41"/>
  <c r="R58" i="41"/>
  <c r="R52" i="41"/>
  <c r="CB27" i="41"/>
  <c r="CB17" i="41"/>
  <c r="U17" i="41" s="1"/>
  <c r="CF21" i="41"/>
  <c r="CE17" i="41"/>
  <c r="R46" i="41"/>
  <c r="R34" i="41"/>
  <c r="CA15" i="41"/>
  <c r="CB15" i="41"/>
  <c r="CF28" i="41"/>
  <c r="CF27" i="41"/>
  <c r="CA28" i="41"/>
  <c r="CA22" i="41"/>
  <c r="CA27" i="41"/>
  <c r="CB28" i="41"/>
  <c r="R32" i="41"/>
  <c r="R50" i="41"/>
  <c r="CA13" i="41"/>
  <c r="CB20" i="41"/>
  <c r="U20" i="41" s="1"/>
  <c r="CB24" i="41"/>
  <c r="CA24" i="41"/>
  <c r="CE24" i="41"/>
  <c r="CA19" i="41"/>
  <c r="CB19" i="41"/>
  <c r="CF19" i="41"/>
  <c r="CF20" i="41"/>
  <c r="CE20" i="41"/>
  <c r="CB18" i="41"/>
  <c r="CE18" i="41"/>
  <c r="A198" i="41"/>
  <c r="E25" i="18" s="1"/>
  <c r="CA18" i="41"/>
  <c r="N125" i="39"/>
  <c r="B160" i="39"/>
  <c r="D20" i="18" s="1"/>
  <c r="CF22" i="41"/>
  <c r="CB22" i="41"/>
  <c r="CE15" i="41"/>
  <c r="CE13" i="41"/>
  <c r="U14" i="41" l="1"/>
  <c r="U13" i="41"/>
  <c r="U27" i="41"/>
  <c r="U24" i="41"/>
  <c r="U22" i="41"/>
  <c r="R60" i="41"/>
  <c r="R33" i="41"/>
  <c r="U25" i="41"/>
  <c r="U15" i="41"/>
  <c r="U28" i="41"/>
  <c r="U19" i="41"/>
  <c r="B198" i="41"/>
  <c r="D25" i="18" s="1"/>
  <c r="U18" i="41"/>
  <c r="L45" i="38" l="1"/>
  <c r="N44" i="38"/>
  <c r="M44" i="38"/>
  <c r="K44" i="38"/>
  <c r="J44" i="38"/>
  <c r="I44" i="38"/>
  <c r="H44" i="38"/>
  <c r="G44" i="38"/>
  <c r="F44" i="38"/>
  <c r="E44" i="38"/>
  <c r="D44" i="38"/>
  <c r="C44" i="38"/>
  <c r="L43" i="38"/>
  <c r="L41" i="38"/>
  <c r="L36" i="38"/>
  <c r="L35" i="38"/>
  <c r="L34" i="38"/>
  <c r="L33" i="38"/>
  <c r="B29" i="38"/>
  <c r="B28" i="38"/>
  <c r="B27" i="38"/>
  <c r="B26" i="38"/>
  <c r="B25" i="38"/>
  <c r="B24" i="38"/>
  <c r="B23" i="38"/>
  <c r="B22" i="38"/>
  <c r="B21" i="38"/>
  <c r="B20" i="38"/>
  <c r="B19" i="38"/>
  <c r="B18" i="38"/>
  <c r="B17" i="38"/>
  <c r="B16" i="38"/>
  <c r="B15" i="38"/>
  <c r="B14" i="38"/>
  <c r="B13" i="38"/>
  <c r="B12" i="38"/>
  <c r="K11" i="38"/>
  <c r="J11" i="38"/>
  <c r="I11" i="38"/>
  <c r="H11" i="38"/>
  <c r="G11" i="38"/>
  <c r="F11" i="38"/>
  <c r="E11" i="38"/>
  <c r="D11" i="38"/>
  <c r="C11" i="38"/>
  <c r="B11" i="38" l="1"/>
  <c r="L44" i="38"/>
  <c r="C168" i="37"/>
  <c r="C167" i="37"/>
  <c r="C166" i="37"/>
  <c r="C165" i="37"/>
  <c r="C164" i="37"/>
  <c r="C163" i="37"/>
  <c r="C162" i="37"/>
  <c r="C161" i="37"/>
  <c r="C160" i="37"/>
  <c r="C159" i="37"/>
  <c r="C158" i="37"/>
  <c r="C157" i="37"/>
  <c r="C156" i="37"/>
  <c r="C155" i="37"/>
  <c r="C154" i="37"/>
  <c r="C153" i="37"/>
  <c r="B144" i="37"/>
  <c r="B143" i="37"/>
  <c r="B142" i="37"/>
  <c r="B141" i="37"/>
  <c r="B140" i="37"/>
  <c r="B139" i="37"/>
  <c r="C130" i="37"/>
  <c r="C129" i="37"/>
  <c r="C128" i="37"/>
  <c r="C127" i="37"/>
  <c r="C126" i="37"/>
  <c r="C125" i="37"/>
  <c r="C124" i="37"/>
  <c r="C123" i="37"/>
  <c r="C122" i="37"/>
  <c r="C121" i="37"/>
  <c r="C120" i="37"/>
  <c r="C119" i="37"/>
  <c r="C118" i="37"/>
  <c r="C117" i="37"/>
  <c r="C116" i="37"/>
  <c r="C115" i="37"/>
  <c r="E110" i="37"/>
  <c r="D110" i="37"/>
  <c r="E109" i="37"/>
  <c r="D109" i="37"/>
  <c r="E108" i="37"/>
  <c r="CI103" i="37"/>
  <c r="CA103" i="37"/>
  <c r="E103" i="37" s="1"/>
  <c r="CI102" i="37"/>
  <c r="CA102" i="37"/>
  <c r="E102" i="37" s="1"/>
  <c r="CI101" i="37"/>
  <c r="CA101" i="37"/>
  <c r="E101" i="37" s="1"/>
  <c r="CI100" i="37"/>
  <c r="E100" i="37"/>
  <c r="CI97" i="37"/>
  <c r="CA97" i="37"/>
  <c r="E97" i="37" s="1"/>
  <c r="CI96" i="37"/>
  <c r="CA96" i="37"/>
  <c r="E96" i="37" s="1"/>
  <c r="CI95" i="37"/>
  <c r="CA95" i="37"/>
  <c r="E95" i="37" s="1"/>
  <c r="E92" i="37"/>
  <c r="D92" i="37"/>
  <c r="CB92" i="37" s="1"/>
  <c r="E91" i="37"/>
  <c r="D91" i="37"/>
  <c r="E90" i="37"/>
  <c r="D90" i="37"/>
  <c r="CB90" i="37" s="1"/>
  <c r="E89" i="37"/>
  <c r="D89" i="37"/>
  <c r="CB89" i="37" s="1"/>
  <c r="E88" i="37"/>
  <c r="D88" i="37"/>
  <c r="CB88" i="37" s="1"/>
  <c r="E87" i="37"/>
  <c r="D87" i="37"/>
  <c r="CB87" i="37" s="1"/>
  <c r="E86" i="37"/>
  <c r="D86" i="37"/>
  <c r="CB86" i="37" s="1"/>
  <c r="E85" i="37"/>
  <c r="D85" i="37"/>
  <c r="E84" i="37"/>
  <c r="D84" i="37"/>
  <c r="CB84" i="37" s="1"/>
  <c r="E83" i="37"/>
  <c r="D83" i="37"/>
  <c r="CB83" i="37" s="1"/>
  <c r="E82" i="37"/>
  <c r="D82" i="37"/>
  <c r="CB82" i="37" s="1"/>
  <c r="E81" i="37"/>
  <c r="D81" i="37"/>
  <c r="CB81" i="37" s="1"/>
  <c r="E68" i="37"/>
  <c r="D68" i="37"/>
  <c r="E67" i="37"/>
  <c r="E66" i="37"/>
  <c r="E65" i="37"/>
  <c r="E64" i="37"/>
  <c r="E63" i="37"/>
  <c r="E62" i="37"/>
  <c r="D62" i="37"/>
  <c r="E61" i="37"/>
  <c r="D61" i="37"/>
  <c r="E60" i="37"/>
  <c r="D60" i="37"/>
  <c r="E59" i="37"/>
  <c r="D59" i="37"/>
  <c r="E58" i="37"/>
  <c r="D58" i="37"/>
  <c r="E57" i="37"/>
  <c r="D57" i="37"/>
  <c r="E56" i="37"/>
  <c r="D56" i="37"/>
  <c r="E55" i="37"/>
  <c r="D55" i="37"/>
  <c r="E54" i="37"/>
  <c r="D54" i="37"/>
  <c r="E53" i="37"/>
  <c r="D53" i="37"/>
  <c r="E52" i="37"/>
  <c r="D52" i="37"/>
  <c r="E51" i="37"/>
  <c r="D51" i="37"/>
  <c r="E50" i="37"/>
  <c r="D50" i="37"/>
  <c r="E49" i="37"/>
  <c r="D49" i="37"/>
  <c r="E48" i="37"/>
  <c r="D48" i="37"/>
  <c r="E47" i="37"/>
  <c r="D47" i="37"/>
  <c r="E46" i="37"/>
  <c r="D46" i="37"/>
  <c r="E45" i="37"/>
  <c r="D45" i="37"/>
  <c r="E44" i="37"/>
  <c r="D44" i="37"/>
  <c r="E43" i="37"/>
  <c r="D43" i="37"/>
  <c r="E42" i="37"/>
  <c r="D42" i="37"/>
  <c r="E41" i="37"/>
  <c r="D41" i="37"/>
  <c r="E40" i="37"/>
  <c r="D40" i="37"/>
  <c r="E39" i="37"/>
  <c r="D39" i="37"/>
  <c r="E38" i="37"/>
  <c r="D38" i="37"/>
  <c r="E37" i="37"/>
  <c r="D37" i="37"/>
  <c r="E36" i="37"/>
  <c r="D36" i="37"/>
  <c r="E35" i="37"/>
  <c r="D35" i="37"/>
  <c r="E34" i="37"/>
  <c r="D34" i="37"/>
  <c r="E33" i="37"/>
  <c r="D33" i="37"/>
  <c r="E32" i="37"/>
  <c r="D32" i="37"/>
  <c r="E31" i="37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B88" i="36"/>
  <c r="CA88" i="36" s="1"/>
  <c r="B87" i="36"/>
  <c r="CA87" i="36" s="1"/>
  <c r="B86" i="36"/>
  <c r="CA86" i="36" s="1"/>
  <c r="B84" i="36"/>
  <c r="CA84" i="36" s="1"/>
  <c r="B83" i="36"/>
  <c r="CA83" i="36" s="1"/>
  <c r="B82" i="36"/>
  <c r="CA82" i="36" s="1"/>
  <c r="B80" i="36"/>
  <c r="CA80" i="36" s="1"/>
  <c r="B79" i="36"/>
  <c r="CA79" i="36" s="1"/>
  <c r="B78" i="36"/>
  <c r="CA78" i="36" s="1"/>
  <c r="B73" i="36"/>
  <c r="CA73" i="36" s="1"/>
  <c r="B71" i="36"/>
  <c r="CA71" i="36" s="1"/>
  <c r="B70" i="36"/>
  <c r="CA70" i="36" s="1"/>
  <c r="B68" i="36"/>
  <c r="CA68" i="36" s="1"/>
  <c r="B67" i="36"/>
  <c r="CA67" i="36" s="1"/>
  <c r="B65" i="36"/>
  <c r="CA65" i="36" s="1"/>
  <c r="B64" i="36"/>
  <c r="CA64" i="36" s="1"/>
  <c r="B47" i="36"/>
  <c r="CA47" i="36" s="1"/>
  <c r="B46" i="36"/>
  <c r="CA46" i="36" s="1"/>
  <c r="B45" i="36"/>
  <c r="CA45" i="36" s="1"/>
  <c r="B44" i="36"/>
  <c r="CA44" i="36" s="1"/>
  <c r="B43" i="36"/>
  <c r="CA43" i="36" s="1"/>
  <c r="B42" i="36"/>
  <c r="CA42" i="36" s="1"/>
  <c r="B41" i="36"/>
  <c r="CA41" i="36" s="1"/>
  <c r="B40" i="36"/>
  <c r="CA40" i="36" s="1"/>
  <c r="B32" i="36"/>
  <c r="CA32" i="36" s="1"/>
  <c r="B31" i="36"/>
  <c r="CA31" i="36" s="1"/>
  <c r="B30" i="36"/>
  <c r="CA30" i="36" s="1"/>
  <c r="B29" i="36"/>
  <c r="CA29" i="36" s="1"/>
  <c r="B28" i="36"/>
  <c r="CA28" i="36" s="1"/>
  <c r="B27" i="36"/>
  <c r="CA27" i="36" s="1"/>
  <c r="B19" i="36"/>
  <c r="CA19" i="36" s="1"/>
  <c r="B18" i="36"/>
  <c r="CA18" i="36" s="1"/>
  <c r="B16" i="36"/>
  <c r="CA16" i="36" s="1"/>
  <c r="B15" i="36"/>
  <c r="CA15" i="36" s="1"/>
  <c r="B13" i="36"/>
  <c r="CA13" i="36" s="1"/>
  <c r="B12" i="36"/>
  <c r="CA12" i="36" s="1"/>
  <c r="W333" i="34"/>
  <c r="V333" i="34"/>
  <c r="E333" i="34"/>
  <c r="D333" i="34"/>
  <c r="W332" i="34"/>
  <c r="V332" i="34"/>
  <c r="N332" i="34"/>
  <c r="M332" i="34"/>
  <c r="E332" i="34"/>
  <c r="D332" i="34"/>
  <c r="W331" i="34"/>
  <c r="V331" i="34"/>
  <c r="E331" i="34"/>
  <c r="D331" i="34"/>
  <c r="W330" i="34"/>
  <c r="V330" i="34"/>
  <c r="N330" i="34"/>
  <c r="M330" i="34"/>
  <c r="E330" i="34"/>
  <c r="D330" i="34"/>
  <c r="W329" i="34"/>
  <c r="V329" i="34"/>
  <c r="E329" i="34"/>
  <c r="D329" i="34"/>
  <c r="W328" i="34"/>
  <c r="V328" i="34"/>
  <c r="N328" i="34"/>
  <c r="M328" i="34"/>
  <c r="E328" i="34"/>
  <c r="D328" i="34"/>
  <c r="W327" i="34"/>
  <c r="V327" i="34"/>
  <c r="E327" i="34"/>
  <c r="D327" i="34"/>
  <c r="W326" i="34"/>
  <c r="V326" i="34"/>
  <c r="N326" i="34"/>
  <c r="M326" i="34"/>
  <c r="E326" i="34"/>
  <c r="D326" i="34"/>
  <c r="AM320" i="34"/>
  <c r="AL320" i="34"/>
  <c r="AK320" i="34"/>
  <c r="AJ320" i="34"/>
  <c r="AI320" i="34"/>
  <c r="AH320" i="34"/>
  <c r="AG320" i="34"/>
  <c r="AF320" i="34"/>
  <c r="AE320" i="34"/>
  <c r="AD320" i="34"/>
  <c r="AC320" i="34"/>
  <c r="AB320" i="34"/>
  <c r="AA320" i="34"/>
  <c r="Z320" i="34"/>
  <c r="Y320" i="34"/>
  <c r="X320" i="34"/>
  <c r="W320" i="34"/>
  <c r="V320" i="34"/>
  <c r="U320" i="34"/>
  <c r="T320" i="34"/>
  <c r="S320" i="34"/>
  <c r="R320" i="34"/>
  <c r="Q320" i="34"/>
  <c r="P320" i="34"/>
  <c r="O320" i="34"/>
  <c r="N320" i="34"/>
  <c r="M320" i="34"/>
  <c r="L320" i="34"/>
  <c r="K320" i="34"/>
  <c r="J320" i="34"/>
  <c r="I320" i="34"/>
  <c r="H320" i="34"/>
  <c r="G320" i="34"/>
  <c r="F320" i="34"/>
  <c r="E319" i="34"/>
  <c r="D319" i="34"/>
  <c r="E318" i="34"/>
  <c r="D318" i="34"/>
  <c r="E317" i="34"/>
  <c r="D317" i="34"/>
  <c r="E316" i="34"/>
  <c r="D316" i="34"/>
  <c r="E315" i="34"/>
  <c r="D315" i="34"/>
  <c r="E314" i="34"/>
  <c r="D314" i="34"/>
  <c r="AM313" i="34"/>
  <c r="AL313" i="34"/>
  <c r="AK313" i="34"/>
  <c r="AJ313" i="34"/>
  <c r="AI313" i="34"/>
  <c r="AH313" i="34"/>
  <c r="AG313" i="34"/>
  <c r="AF313" i="34"/>
  <c r="AE313" i="34"/>
  <c r="AD313" i="34"/>
  <c r="AC313" i="34"/>
  <c r="AB313" i="34"/>
  <c r="AA313" i="34"/>
  <c r="Z313" i="34"/>
  <c r="Y313" i="34"/>
  <c r="X313" i="34"/>
  <c r="W313" i="34"/>
  <c r="V313" i="34"/>
  <c r="U313" i="34"/>
  <c r="T313" i="34"/>
  <c r="S313" i="34"/>
  <c r="R313" i="34"/>
  <c r="Q313" i="34"/>
  <c r="P313" i="34"/>
  <c r="O313" i="34"/>
  <c r="N313" i="34"/>
  <c r="M313" i="34"/>
  <c r="L313" i="34"/>
  <c r="K313" i="34"/>
  <c r="J313" i="34"/>
  <c r="I313" i="34"/>
  <c r="H313" i="34"/>
  <c r="G313" i="34"/>
  <c r="F313" i="34"/>
  <c r="E312" i="34"/>
  <c r="D312" i="34"/>
  <c r="E311" i="34"/>
  <c r="D311" i="34"/>
  <c r="E310" i="34"/>
  <c r="D310" i="34"/>
  <c r="E309" i="34"/>
  <c r="D309" i="34"/>
  <c r="E308" i="34"/>
  <c r="D308" i="34"/>
  <c r="E307" i="34"/>
  <c r="D307" i="34"/>
  <c r="E306" i="34"/>
  <c r="D306" i="34"/>
  <c r="E305" i="34"/>
  <c r="D305" i="34"/>
  <c r="E304" i="34"/>
  <c r="D304" i="34"/>
  <c r="E303" i="34"/>
  <c r="D303" i="34"/>
  <c r="E302" i="34"/>
  <c r="D302" i="34"/>
  <c r="AM301" i="34"/>
  <c r="AL301" i="34"/>
  <c r="AK301" i="34"/>
  <c r="AJ301" i="34"/>
  <c r="AI301" i="34"/>
  <c r="AH301" i="34"/>
  <c r="AG301" i="34"/>
  <c r="AF301" i="34"/>
  <c r="AE301" i="34"/>
  <c r="AD301" i="34"/>
  <c r="AC301" i="34"/>
  <c r="AB301" i="34"/>
  <c r="AA301" i="34"/>
  <c r="Z301" i="34"/>
  <c r="Y301" i="34"/>
  <c r="X301" i="34"/>
  <c r="W301" i="34"/>
  <c r="V301" i="34"/>
  <c r="U301" i="34"/>
  <c r="T301" i="34"/>
  <c r="S301" i="34"/>
  <c r="R301" i="34"/>
  <c r="Q301" i="34"/>
  <c r="P301" i="34"/>
  <c r="O301" i="34"/>
  <c r="N301" i="34"/>
  <c r="M301" i="34"/>
  <c r="L301" i="34"/>
  <c r="K301" i="34"/>
  <c r="J301" i="34"/>
  <c r="I301" i="34"/>
  <c r="H301" i="34"/>
  <c r="G301" i="34"/>
  <c r="F301" i="34"/>
  <c r="E300" i="34"/>
  <c r="D300" i="34"/>
  <c r="E299" i="34"/>
  <c r="D299" i="34"/>
  <c r="E298" i="34"/>
  <c r="D298" i="34"/>
  <c r="E297" i="34"/>
  <c r="D297" i="34"/>
  <c r="E296" i="34"/>
  <c r="D296" i="34"/>
  <c r="E295" i="34"/>
  <c r="D295" i="34"/>
  <c r="E294" i="34"/>
  <c r="D294" i="34"/>
  <c r="E293" i="34"/>
  <c r="D293" i="34"/>
  <c r="E292" i="34"/>
  <c r="D292" i="34"/>
  <c r="E291" i="34"/>
  <c r="D291" i="34"/>
  <c r="E290" i="34"/>
  <c r="D290" i="34"/>
  <c r="AM289" i="34"/>
  <c r="AL289" i="34"/>
  <c r="AK289" i="34"/>
  <c r="AJ289" i="34"/>
  <c r="AI289" i="34"/>
  <c r="AH289" i="34"/>
  <c r="AG289" i="34"/>
  <c r="AF289" i="34"/>
  <c r="AE289" i="34"/>
  <c r="AD289" i="34"/>
  <c r="AC289" i="34"/>
  <c r="AB289" i="34"/>
  <c r="AA289" i="34"/>
  <c r="Z289" i="34"/>
  <c r="Y289" i="34"/>
  <c r="X289" i="34"/>
  <c r="W289" i="34"/>
  <c r="V289" i="34"/>
  <c r="U289" i="34"/>
  <c r="T289" i="34"/>
  <c r="S289" i="34"/>
  <c r="R289" i="34"/>
  <c r="Q289" i="34"/>
  <c r="P289" i="34"/>
  <c r="O289" i="34"/>
  <c r="N289" i="34"/>
  <c r="M289" i="34"/>
  <c r="L289" i="34"/>
  <c r="K289" i="34"/>
  <c r="J289" i="34"/>
  <c r="I289" i="34"/>
  <c r="H289" i="34"/>
  <c r="G289" i="34"/>
  <c r="F289" i="34"/>
  <c r="E288" i="34"/>
  <c r="D288" i="34"/>
  <c r="E287" i="34"/>
  <c r="D287" i="34"/>
  <c r="E286" i="34"/>
  <c r="D286" i="34"/>
  <c r="E285" i="34"/>
  <c r="D285" i="34"/>
  <c r="E284" i="34"/>
  <c r="D284" i="34"/>
  <c r="E283" i="34"/>
  <c r="D283" i="34"/>
  <c r="AM282" i="34"/>
  <c r="AL282" i="34"/>
  <c r="AK282" i="34"/>
  <c r="AJ282" i="34"/>
  <c r="AI282" i="34"/>
  <c r="AH282" i="34"/>
  <c r="AG282" i="34"/>
  <c r="AF282" i="34"/>
  <c r="AE282" i="34"/>
  <c r="AD282" i="34"/>
  <c r="AC282" i="34"/>
  <c r="AB282" i="34"/>
  <c r="AA282" i="34"/>
  <c r="Z282" i="34"/>
  <c r="Y282" i="34"/>
  <c r="X282" i="34"/>
  <c r="W282" i="34"/>
  <c r="V282" i="34"/>
  <c r="U282" i="34"/>
  <c r="T282" i="34"/>
  <c r="S282" i="34"/>
  <c r="R282" i="34"/>
  <c r="Q282" i="34"/>
  <c r="P282" i="34"/>
  <c r="O282" i="34"/>
  <c r="N282" i="34"/>
  <c r="M282" i="34"/>
  <c r="L282" i="34"/>
  <c r="K282" i="34"/>
  <c r="J282" i="34"/>
  <c r="I282" i="34"/>
  <c r="H282" i="34"/>
  <c r="G282" i="34"/>
  <c r="F282" i="34"/>
  <c r="E281" i="34"/>
  <c r="D281" i="34"/>
  <c r="E280" i="34"/>
  <c r="D280" i="34"/>
  <c r="E279" i="34"/>
  <c r="D279" i="34"/>
  <c r="E278" i="34"/>
  <c r="D278" i="34"/>
  <c r="E277" i="34"/>
  <c r="D277" i="34"/>
  <c r="E276" i="34"/>
  <c r="D276" i="34"/>
  <c r="AW275" i="34"/>
  <c r="AW321" i="34" s="1"/>
  <c r="AV275" i="34"/>
  <c r="AV321" i="34" s="1"/>
  <c r="AU275" i="34"/>
  <c r="AU321" i="34" s="1"/>
  <c r="AT275" i="34"/>
  <c r="AT321" i="34" s="1"/>
  <c r="AS275" i="34"/>
  <c r="AS321" i="34" s="1"/>
  <c r="AR275" i="34"/>
  <c r="AR321" i="34" s="1"/>
  <c r="AQ275" i="34"/>
  <c r="AQ321" i="34" s="1"/>
  <c r="AP275" i="34"/>
  <c r="AP321" i="34" s="1"/>
  <c r="AM275" i="34"/>
  <c r="AL275" i="34"/>
  <c r="AK275" i="34"/>
  <c r="AJ275" i="34"/>
  <c r="AI275" i="34"/>
  <c r="AH275" i="34"/>
  <c r="AG275" i="34"/>
  <c r="AF275" i="34"/>
  <c r="AE275" i="34"/>
  <c r="AD275" i="34"/>
  <c r="AC275" i="34"/>
  <c r="AB275" i="34"/>
  <c r="AA275" i="34"/>
  <c r="Z275" i="34"/>
  <c r="Y275" i="34"/>
  <c r="X275" i="34"/>
  <c r="W275" i="34"/>
  <c r="V275" i="34"/>
  <c r="U275" i="34"/>
  <c r="T275" i="34"/>
  <c r="S275" i="34"/>
  <c r="R275" i="34"/>
  <c r="Q275" i="34"/>
  <c r="P275" i="34"/>
  <c r="O275" i="34"/>
  <c r="N275" i="34"/>
  <c r="M275" i="34"/>
  <c r="L275" i="34"/>
  <c r="K275" i="34"/>
  <c r="J275" i="34"/>
  <c r="I275" i="34"/>
  <c r="H275" i="34"/>
  <c r="G275" i="34"/>
  <c r="F275" i="34"/>
  <c r="E274" i="34"/>
  <c r="D274" i="34"/>
  <c r="E273" i="34"/>
  <c r="D273" i="34"/>
  <c r="E268" i="34"/>
  <c r="D268" i="34"/>
  <c r="E267" i="34"/>
  <c r="D267" i="34"/>
  <c r="E266" i="34"/>
  <c r="D266" i="34"/>
  <c r="E265" i="34"/>
  <c r="D265" i="34"/>
  <c r="E264" i="34"/>
  <c r="D264" i="34"/>
  <c r="E263" i="34"/>
  <c r="D263" i="34"/>
  <c r="C256" i="34"/>
  <c r="E253" i="34"/>
  <c r="D253" i="34"/>
  <c r="C253" i="34" s="1"/>
  <c r="E252" i="34"/>
  <c r="D252" i="34"/>
  <c r="E251" i="34"/>
  <c r="D251" i="34"/>
  <c r="E250" i="34"/>
  <c r="D250" i="34"/>
  <c r="E249" i="34"/>
  <c r="D249" i="34"/>
  <c r="F216" i="34"/>
  <c r="E216" i="34"/>
  <c r="D216" i="34"/>
  <c r="C216" i="34"/>
  <c r="E212" i="34"/>
  <c r="D212" i="34"/>
  <c r="E211" i="34"/>
  <c r="D211" i="34"/>
  <c r="E210" i="34"/>
  <c r="D210" i="34"/>
  <c r="AI205" i="34"/>
  <c r="AH205" i="34"/>
  <c r="AG205" i="34"/>
  <c r="AF205" i="34"/>
  <c r="AE205" i="34"/>
  <c r="AD205" i="34"/>
  <c r="AC205" i="34"/>
  <c r="AB205" i="34"/>
  <c r="AA205" i="34"/>
  <c r="Z205" i="34"/>
  <c r="Y205" i="34"/>
  <c r="X205" i="34"/>
  <c r="W205" i="34"/>
  <c r="V205" i="34"/>
  <c r="U205" i="34"/>
  <c r="T205" i="34"/>
  <c r="S205" i="34"/>
  <c r="R205" i="34"/>
  <c r="Q205" i="34"/>
  <c r="P205" i="34"/>
  <c r="O205" i="34"/>
  <c r="N205" i="34"/>
  <c r="M205" i="34"/>
  <c r="L205" i="34"/>
  <c r="K205" i="34"/>
  <c r="J205" i="34"/>
  <c r="I205" i="34"/>
  <c r="H205" i="34"/>
  <c r="G205" i="34"/>
  <c r="F205" i="34"/>
  <c r="E204" i="34"/>
  <c r="D204" i="34"/>
  <c r="E203" i="34"/>
  <c r="D203" i="34"/>
  <c r="U198" i="34"/>
  <c r="T198" i="34"/>
  <c r="S198" i="34"/>
  <c r="R198" i="34"/>
  <c r="Q198" i="34"/>
  <c r="P198" i="34"/>
  <c r="O198" i="34"/>
  <c r="N198" i="34"/>
  <c r="M198" i="34"/>
  <c r="L198" i="34"/>
  <c r="K198" i="34"/>
  <c r="J198" i="34"/>
  <c r="I198" i="34"/>
  <c r="H198" i="34"/>
  <c r="G198" i="34"/>
  <c r="F198" i="34"/>
  <c r="E197" i="34"/>
  <c r="D197" i="34"/>
  <c r="E196" i="34"/>
  <c r="D196" i="34"/>
  <c r="Q190" i="34"/>
  <c r="P190" i="34"/>
  <c r="O190" i="34"/>
  <c r="N190" i="34"/>
  <c r="M190" i="34"/>
  <c r="L190" i="34"/>
  <c r="K190" i="34"/>
  <c r="J190" i="34"/>
  <c r="I190" i="34"/>
  <c r="H190" i="34"/>
  <c r="G190" i="34"/>
  <c r="F190" i="34"/>
  <c r="E189" i="34"/>
  <c r="D189" i="34"/>
  <c r="E188" i="34"/>
  <c r="D188" i="34"/>
  <c r="E187" i="34"/>
  <c r="D187" i="34"/>
  <c r="E182" i="34"/>
  <c r="D182" i="34"/>
  <c r="E181" i="34"/>
  <c r="D181" i="34"/>
  <c r="E180" i="34"/>
  <c r="D180" i="34"/>
  <c r="E179" i="34"/>
  <c r="D179" i="34"/>
  <c r="E178" i="34"/>
  <c r="D178" i="34"/>
  <c r="E177" i="34"/>
  <c r="D177" i="34"/>
  <c r="E172" i="34"/>
  <c r="D172" i="34"/>
  <c r="E171" i="34"/>
  <c r="D171" i="34"/>
  <c r="E170" i="34"/>
  <c r="D170" i="34"/>
  <c r="E169" i="34"/>
  <c r="D169" i="34"/>
  <c r="E168" i="34"/>
  <c r="D168" i="34"/>
  <c r="E167" i="34"/>
  <c r="D167" i="34"/>
  <c r="AA162" i="34"/>
  <c r="Z162" i="34"/>
  <c r="Y162" i="34"/>
  <c r="X162" i="34"/>
  <c r="W162" i="34"/>
  <c r="V162" i="34"/>
  <c r="U162" i="34"/>
  <c r="T162" i="34"/>
  <c r="S162" i="34"/>
  <c r="R162" i="34"/>
  <c r="Q162" i="34"/>
  <c r="P162" i="34"/>
  <c r="O162" i="34"/>
  <c r="N162" i="34"/>
  <c r="M162" i="34"/>
  <c r="L162" i="34"/>
  <c r="K162" i="34"/>
  <c r="J162" i="34"/>
  <c r="I162" i="34"/>
  <c r="H162" i="34"/>
  <c r="G162" i="34"/>
  <c r="F162" i="34"/>
  <c r="E161" i="34"/>
  <c r="D161" i="34"/>
  <c r="E160" i="34"/>
  <c r="D160" i="34"/>
  <c r="E159" i="34"/>
  <c r="D159" i="34"/>
  <c r="E158" i="34"/>
  <c r="D158" i="34"/>
  <c r="E157" i="34"/>
  <c r="D157" i="34"/>
  <c r="E156" i="34"/>
  <c r="D156" i="34"/>
  <c r="E155" i="34"/>
  <c r="D155" i="34"/>
  <c r="E154" i="34"/>
  <c r="D154" i="34"/>
  <c r="E153" i="34"/>
  <c r="D153" i="34"/>
  <c r="E152" i="34"/>
  <c r="D152" i="34"/>
  <c r="AA151" i="34"/>
  <c r="Z151" i="34"/>
  <c r="Y151" i="34"/>
  <c r="X151" i="34"/>
  <c r="W151" i="34"/>
  <c r="V151" i="34"/>
  <c r="U151" i="34"/>
  <c r="T151" i="34"/>
  <c r="S151" i="34"/>
  <c r="R151" i="34"/>
  <c r="Q151" i="34"/>
  <c r="P151" i="34"/>
  <c r="O151" i="34"/>
  <c r="N151" i="34"/>
  <c r="M151" i="34"/>
  <c r="L151" i="34"/>
  <c r="K151" i="34"/>
  <c r="J151" i="34"/>
  <c r="I151" i="34"/>
  <c r="H151" i="34"/>
  <c r="G151" i="34"/>
  <c r="F151" i="34"/>
  <c r="E150" i="34"/>
  <c r="D150" i="34"/>
  <c r="E149" i="34"/>
  <c r="D149" i="34"/>
  <c r="E148" i="34"/>
  <c r="D148" i="34"/>
  <c r="E147" i="34"/>
  <c r="D147" i="34"/>
  <c r="E146" i="34"/>
  <c r="D146" i="34"/>
  <c r="E145" i="34"/>
  <c r="D145" i="34"/>
  <c r="E144" i="34"/>
  <c r="D144" i="34"/>
  <c r="E143" i="34"/>
  <c r="D143" i="34"/>
  <c r="E142" i="34"/>
  <c r="D142" i="34"/>
  <c r="E141" i="34"/>
  <c r="D141" i="34"/>
  <c r="E140" i="34"/>
  <c r="D140" i="34"/>
  <c r="E139" i="34"/>
  <c r="D139" i="34"/>
  <c r="E138" i="34"/>
  <c r="D138" i="34"/>
  <c r="E137" i="34"/>
  <c r="D137" i="34"/>
  <c r="E136" i="34"/>
  <c r="D136" i="34"/>
  <c r="E135" i="34"/>
  <c r="D135" i="34"/>
  <c r="E134" i="34"/>
  <c r="D134" i="34"/>
  <c r="E133" i="34"/>
  <c r="D133" i="34"/>
  <c r="E132" i="34"/>
  <c r="D132" i="34"/>
  <c r="E131" i="34"/>
  <c r="D131" i="34"/>
  <c r="E130" i="34"/>
  <c r="D130" i="34"/>
  <c r="E129" i="34"/>
  <c r="D129" i="34"/>
  <c r="E128" i="34"/>
  <c r="D128" i="34"/>
  <c r="E127" i="34"/>
  <c r="D127" i="34"/>
  <c r="E126" i="34"/>
  <c r="D126" i="34"/>
  <c r="E125" i="34"/>
  <c r="D125" i="34"/>
  <c r="E124" i="34"/>
  <c r="D124" i="34"/>
  <c r="E123" i="34"/>
  <c r="D123" i="34"/>
  <c r="E122" i="34"/>
  <c r="D122" i="34"/>
  <c r="E121" i="34"/>
  <c r="D121" i="34"/>
  <c r="E116" i="34"/>
  <c r="D116" i="34"/>
  <c r="E115" i="34"/>
  <c r="D115" i="34"/>
  <c r="E114" i="34"/>
  <c r="D114" i="34"/>
  <c r="E113" i="34"/>
  <c r="D113" i="34"/>
  <c r="E112" i="34"/>
  <c r="D112" i="34"/>
  <c r="E111" i="34"/>
  <c r="D111" i="34"/>
  <c r="E110" i="34"/>
  <c r="D110" i="34"/>
  <c r="E109" i="34"/>
  <c r="D109" i="34"/>
  <c r="E108" i="34"/>
  <c r="D108" i="34"/>
  <c r="E102" i="34"/>
  <c r="D102" i="34"/>
  <c r="E101" i="34"/>
  <c r="D101" i="34"/>
  <c r="E100" i="34"/>
  <c r="D100" i="34"/>
  <c r="E99" i="34"/>
  <c r="D99" i="34"/>
  <c r="E98" i="34"/>
  <c r="D98" i="34"/>
  <c r="I97" i="34"/>
  <c r="H97" i="34"/>
  <c r="G97" i="34"/>
  <c r="F97" i="34"/>
  <c r="B79" i="34"/>
  <c r="D74" i="34"/>
  <c r="C74" i="34"/>
  <c r="D73" i="34"/>
  <c r="C73" i="34"/>
  <c r="D72" i="34"/>
  <c r="C72" i="34"/>
  <c r="C67" i="34"/>
  <c r="C66" i="34"/>
  <c r="CK66" i="34" s="1"/>
  <c r="C65" i="34"/>
  <c r="CL65" i="34" s="1"/>
  <c r="C64" i="34"/>
  <c r="CK64" i="34" s="1"/>
  <c r="C63" i="34"/>
  <c r="CL63" i="34" s="1"/>
  <c r="C62" i="34"/>
  <c r="C61" i="34"/>
  <c r="CL61" i="34" s="1"/>
  <c r="D57" i="34"/>
  <c r="C57" i="34"/>
  <c r="D56" i="34"/>
  <c r="C56" i="34"/>
  <c r="D55" i="34"/>
  <c r="C55" i="34"/>
  <c r="J54" i="34"/>
  <c r="I54" i="34"/>
  <c r="H54" i="34"/>
  <c r="G54" i="34"/>
  <c r="F54" i="34"/>
  <c r="E54" i="34"/>
  <c r="D49" i="34"/>
  <c r="C49" i="34"/>
  <c r="D48" i="34"/>
  <c r="C48" i="34"/>
  <c r="D47" i="34"/>
  <c r="C47" i="34"/>
  <c r="D46" i="34"/>
  <c r="C46" i="34"/>
  <c r="E41" i="34"/>
  <c r="D41" i="34"/>
  <c r="E40" i="34"/>
  <c r="D40" i="34"/>
  <c r="E39" i="34"/>
  <c r="D39" i="34"/>
  <c r="E38" i="34"/>
  <c r="D38" i="34"/>
  <c r="E37" i="34"/>
  <c r="D37" i="34"/>
  <c r="E36" i="34"/>
  <c r="D36" i="34"/>
  <c r="E35" i="34"/>
  <c r="D35" i="34"/>
  <c r="E34" i="34"/>
  <c r="D34" i="34"/>
  <c r="E33" i="34"/>
  <c r="D33" i="34"/>
  <c r="E32" i="34"/>
  <c r="D32" i="34"/>
  <c r="E31" i="34"/>
  <c r="D31" i="34"/>
  <c r="E30" i="34"/>
  <c r="D30" i="34"/>
  <c r="E29" i="34"/>
  <c r="D29" i="34"/>
  <c r="E28" i="34"/>
  <c r="D28" i="34"/>
  <c r="E27" i="34"/>
  <c r="D27" i="34"/>
  <c r="E26" i="34"/>
  <c r="D26" i="34"/>
  <c r="E25" i="34"/>
  <c r="D25" i="34"/>
  <c r="E24" i="34"/>
  <c r="D24" i="34"/>
  <c r="E23" i="34"/>
  <c r="D23" i="34"/>
  <c r="E22" i="34"/>
  <c r="D22" i="34"/>
  <c r="E21" i="34"/>
  <c r="D21" i="34"/>
  <c r="E20" i="34"/>
  <c r="D20" i="34"/>
  <c r="E15" i="34"/>
  <c r="D15" i="34"/>
  <c r="E14" i="34"/>
  <c r="D14" i="34"/>
  <c r="E13" i="34"/>
  <c r="D13" i="34"/>
  <c r="D35" i="33"/>
  <c r="C35" i="33"/>
  <c r="D34" i="33"/>
  <c r="C34" i="33"/>
  <c r="D30" i="33"/>
  <c r="C30" i="33"/>
  <c r="D29" i="33"/>
  <c r="C29" i="33"/>
  <c r="D25" i="33"/>
  <c r="C25" i="33"/>
  <c r="D24" i="33"/>
  <c r="C24" i="33"/>
  <c r="D23" i="33"/>
  <c r="C23" i="33"/>
  <c r="D22" i="33"/>
  <c r="C22" i="33"/>
  <c r="AH21" i="33"/>
  <c r="AG21" i="33"/>
  <c r="AF21" i="33"/>
  <c r="AE21" i="33"/>
  <c r="AD21" i="33"/>
  <c r="AC21" i="33"/>
  <c r="AB21" i="33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B17" i="33"/>
  <c r="CB17" i="33" s="1"/>
  <c r="B16" i="33"/>
  <c r="CB16" i="33" s="1"/>
  <c r="B15" i="33"/>
  <c r="CB15" i="33" s="1"/>
  <c r="B14" i="33"/>
  <c r="CB14" i="33" s="1"/>
  <c r="B13" i="33"/>
  <c r="CB13" i="33" s="1"/>
  <c r="B12" i="33"/>
  <c r="CA12" i="33" s="1"/>
  <c r="F11" i="33"/>
  <c r="E11" i="33"/>
  <c r="D11" i="33"/>
  <c r="C11" i="33"/>
  <c r="D93" i="32"/>
  <c r="C93" i="32"/>
  <c r="D92" i="32"/>
  <c r="C92" i="32"/>
  <c r="D91" i="32"/>
  <c r="C91" i="32"/>
  <c r="D90" i="32"/>
  <c r="C90" i="32"/>
  <c r="D89" i="32"/>
  <c r="C89" i="32"/>
  <c r="D88" i="32"/>
  <c r="C88" i="32"/>
  <c r="B82" i="32"/>
  <c r="CM82" i="32" s="1"/>
  <c r="B81" i="32"/>
  <c r="CM81" i="32" s="1"/>
  <c r="B80" i="32"/>
  <c r="B79" i="32"/>
  <c r="B78" i="32"/>
  <c r="CA78" i="32" s="1"/>
  <c r="L74" i="32"/>
  <c r="K74" i="32"/>
  <c r="J74" i="32"/>
  <c r="I74" i="32"/>
  <c r="H74" i="32"/>
  <c r="G74" i="32"/>
  <c r="E74" i="32"/>
  <c r="D74" i="32"/>
  <c r="F73" i="32"/>
  <c r="C73" i="32"/>
  <c r="F72" i="32"/>
  <c r="C72" i="32"/>
  <c r="F71" i="32"/>
  <c r="C71" i="32"/>
  <c r="F70" i="32"/>
  <c r="C70" i="32"/>
  <c r="E66" i="32"/>
  <c r="D66" i="32"/>
  <c r="E65" i="32"/>
  <c r="D65" i="32"/>
  <c r="E64" i="32"/>
  <c r="D64" i="32"/>
  <c r="E63" i="32"/>
  <c r="D63" i="32"/>
  <c r="E62" i="32"/>
  <c r="D62" i="32"/>
  <c r="E61" i="32"/>
  <c r="D61" i="32"/>
  <c r="E60" i="32"/>
  <c r="D60" i="32"/>
  <c r="E59" i="32"/>
  <c r="D59" i="32"/>
  <c r="E58" i="32"/>
  <c r="D58" i="32"/>
  <c r="E57" i="32"/>
  <c r="D57" i="32"/>
  <c r="E56" i="32"/>
  <c r="D56" i="32"/>
  <c r="E55" i="32"/>
  <c r="D55" i="32"/>
  <c r="E54" i="32"/>
  <c r="D54" i="32"/>
  <c r="E53" i="32"/>
  <c r="D53" i="32"/>
  <c r="E52" i="32"/>
  <c r="D52" i="32"/>
  <c r="E51" i="32"/>
  <c r="D51" i="32"/>
  <c r="E50" i="32"/>
  <c r="D50" i="32"/>
  <c r="E49" i="32"/>
  <c r="D49" i="32"/>
  <c r="E48" i="32"/>
  <c r="D48" i="32"/>
  <c r="C46" i="32"/>
  <c r="CB46" i="32" s="1"/>
  <c r="C39" i="32"/>
  <c r="CN39" i="32" s="1"/>
  <c r="C38" i="32"/>
  <c r="C37" i="32"/>
  <c r="C36" i="32"/>
  <c r="CQ36" i="32" s="1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2" i="32"/>
  <c r="C277" i="34" l="1"/>
  <c r="C329" i="34"/>
  <c r="CK70" i="32"/>
  <c r="CR26" i="32"/>
  <c r="CO26" i="32"/>
  <c r="CM26" i="32"/>
  <c r="CP26" i="32"/>
  <c r="CL26" i="32"/>
  <c r="CQ26" i="32"/>
  <c r="CN26" i="32"/>
  <c r="CO25" i="32"/>
  <c r="CL25" i="32"/>
  <c r="CP25" i="32"/>
  <c r="CM25" i="32"/>
  <c r="CN25" i="32"/>
  <c r="CQ25" i="32"/>
  <c r="CR25" i="32"/>
  <c r="CN24" i="32"/>
  <c r="CP24" i="32"/>
  <c r="CQ24" i="32"/>
  <c r="CM24" i="32"/>
  <c r="CR24" i="32"/>
  <c r="CL24" i="32"/>
  <c r="CO24" i="32"/>
  <c r="CL23" i="32"/>
  <c r="CN23" i="32"/>
  <c r="CR23" i="32"/>
  <c r="CM23" i="32"/>
  <c r="CO23" i="32"/>
  <c r="CP23" i="32"/>
  <c r="CQ23" i="32"/>
  <c r="CN32" i="32"/>
  <c r="CO32" i="32"/>
  <c r="CQ32" i="32"/>
  <c r="CR32" i="32"/>
  <c r="CP32" i="32"/>
  <c r="CQ31" i="32"/>
  <c r="CP31" i="32"/>
  <c r="CR31" i="32"/>
  <c r="CN31" i="32"/>
  <c r="CO31" i="32"/>
  <c r="CQ30" i="32"/>
  <c r="CR30" i="32"/>
  <c r="CR29" i="32"/>
  <c r="CQ29" i="32"/>
  <c r="CR28" i="32"/>
  <c r="CO28" i="32"/>
  <c r="CP28" i="32"/>
  <c r="CN28" i="32"/>
  <c r="CQ28" i="32"/>
  <c r="CQ27" i="32"/>
  <c r="CN27" i="32"/>
  <c r="CR27" i="32"/>
  <c r="CO27" i="32"/>
  <c r="CP27" i="32"/>
  <c r="CO22" i="32"/>
  <c r="CQ22" i="32"/>
  <c r="CR22" i="32"/>
  <c r="CP22" i="32"/>
  <c r="CM22" i="32"/>
  <c r="CL22" i="32"/>
  <c r="CQ21" i="32"/>
  <c r="CP21" i="32"/>
  <c r="CL21" i="32"/>
  <c r="CR21" i="32"/>
  <c r="CM21" i="32"/>
  <c r="CO21" i="32"/>
  <c r="CO20" i="32"/>
  <c r="CP20" i="32"/>
  <c r="CM20" i="32"/>
  <c r="CQ20" i="32"/>
  <c r="CL20" i="32"/>
  <c r="CR20" i="32"/>
  <c r="CQ19" i="32"/>
  <c r="CM19" i="32"/>
  <c r="CL19" i="32"/>
  <c r="CR19" i="32"/>
  <c r="CO19" i="32"/>
  <c r="CP19" i="32"/>
  <c r="CQ18" i="32"/>
  <c r="CO18" i="32"/>
  <c r="CR18" i="32"/>
  <c r="CP18" i="32"/>
  <c r="CR17" i="32"/>
  <c r="CO17" i="32"/>
  <c r="CP17" i="32"/>
  <c r="CQ17" i="32"/>
  <c r="CQ16" i="32"/>
  <c r="CR16" i="32"/>
  <c r="CO16" i="32"/>
  <c r="CP16" i="32"/>
  <c r="CQ15" i="32"/>
  <c r="CR15" i="32"/>
  <c r="CP15" i="32"/>
  <c r="CO15" i="32"/>
  <c r="CQ14" i="32"/>
  <c r="CR14" i="32"/>
  <c r="CO14" i="32"/>
  <c r="CL14" i="32"/>
  <c r="CP14" i="32"/>
  <c r="CQ12" i="32"/>
  <c r="CR12" i="32"/>
  <c r="CP12" i="32"/>
  <c r="CO12" i="32"/>
  <c r="CN12" i="32"/>
  <c r="A90" i="38"/>
  <c r="E17" i="18" s="1"/>
  <c r="CK13" i="32"/>
  <c r="CD70" i="32"/>
  <c r="CC70" i="32"/>
  <c r="CB70" i="32"/>
  <c r="CA70" i="32"/>
  <c r="CJ86" i="37"/>
  <c r="CK83" i="37"/>
  <c r="CK87" i="37"/>
  <c r="CK91" i="37"/>
  <c r="CJ82" i="37"/>
  <c r="CD204" i="34"/>
  <c r="CB204" i="34"/>
  <c r="CJ83" i="37"/>
  <c r="CJ87" i="37"/>
  <c r="CJ91" i="37"/>
  <c r="CC71" i="32"/>
  <c r="CD71" i="32"/>
  <c r="CB71" i="32"/>
  <c r="CA71" i="32"/>
  <c r="CK84" i="37"/>
  <c r="CK88" i="37"/>
  <c r="CK92" i="37"/>
  <c r="CA72" i="32"/>
  <c r="CD72" i="32"/>
  <c r="CB72" i="32"/>
  <c r="CC72" i="32"/>
  <c r="CJ84" i="37"/>
  <c r="CJ88" i="37"/>
  <c r="CJ92" i="37"/>
  <c r="CJ90" i="37"/>
  <c r="CK81" i="37"/>
  <c r="CK85" i="37"/>
  <c r="CK89" i="37"/>
  <c r="CP37" i="32"/>
  <c r="CN37" i="32"/>
  <c r="CQ37" i="32"/>
  <c r="CO37" i="32"/>
  <c r="CC73" i="32"/>
  <c r="CB73" i="32"/>
  <c r="CD73" i="32"/>
  <c r="CA73" i="32"/>
  <c r="CJ85" i="37"/>
  <c r="CJ89" i="37"/>
  <c r="CQ39" i="32"/>
  <c r="CO39" i="32"/>
  <c r="CP39" i="32"/>
  <c r="CP36" i="32"/>
  <c r="CO36" i="32"/>
  <c r="CN36" i="32"/>
  <c r="CO38" i="32"/>
  <c r="CN38" i="32"/>
  <c r="CQ38" i="32"/>
  <c r="CP38" i="32"/>
  <c r="C36" i="34"/>
  <c r="CA36" i="34" s="1"/>
  <c r="C40" i="34"/>
  <c r="CA40" i="34" s="1"/>
  <c r="CK82" i="37"/>
  <c r="CK86" i="37"/>
  <c r="CK90" i="37"/>
  <c r="CC203" i="34"/>
  <c r="CA203" i="34"/>
  <c r="CD203" i="34"/>
  <c r="CB203" i="34"/>
  <c r="C115" i="34"/>
  <c r="C153" i="34"/>
  <c r="CM204" i="34"/>
  <c r="CA204" i="34"/>
  <c r="CK204" i="34"/>
  <c r="CC204" i="34"/>
  <c r="CN204" i="34"/>
  <c r="CL204" i="34"/>
  <c r="CG36" i="32"/>
  <c r="CD36" i="32"/>
  <c r="CE36" i="32"/>
  <c r="CF36" i="32"/>
  <c r="CE38" i="32"/>
  <c r="CF38" i="32"/>
  <c r="CD38" i="32"/>
  <c r="CG38" i="32"/>
  <c r="CF37" i="32"/>
  <c r="CG37" i="32"/>
  <c r="CD37" i="32"/>
  <c r="CE37" i="32"/>
  <c r="CE39" i="32"/>
  <c r="CF39" i="32"/>
  <c r="CG39" i="32"/>
  <c r="CD39" i="32"/>
  <c r="CJ81" i="37"/>
  <c r="CK24" i="37"/>
  <c r="CB24" i="37"/>
  <c r="CB28" i="37"/>
  <c r="CK28" i="37"/>
  <c r="CB32" i="37"/>
  <c r="CK32" i="37"/>
  <c r="CB36" i="37"/>
  <c r="CK36" i="37"/>
  <c r="CB40" i="37"/>
  <c r="CK40" i="37"/>
  <c r="CB52" i="37"/>
  <c r="CK52" i="37"/>
  <c r="CB56" i="37"/>
  <c r="CK56" i="37"/>
  <c r="CB60" i="37"/>
  <c r="CK60" i="37"/>
  <c r="C66" i="37"/>
  <c r="CB66" i="37"/>
  <c r="CK66" i="37"/>
  <c r="CC17" i="37"/>
  <c r="CL17" i="37"/>
  <c r="CC21" i="37"/>
  <c r="CL21" i="37"/>
  <c r="CC25" i="37"/>
  <c r="CL25" i="37"/>
  <c r="CL29" i="37"/>
  <c r="CC29" i="37"/>
  <c r="CC33" i="37"/>
  <c r="CL33" i="37"/>
  <c r="CL37" i="37"/>
  <c r="CC37" i="37"/>
  <c r="CC41" i="37"/>
  <c r="CL41" i="37"/>
  <c r="CL45" i="37"/>
  <c r="CC45" i="37"/>
  <c r="CC49" i="37"/>
  <c r="CL49" i="37"/>
  <c r="CL53" i="37"/>
  <c r="CC53" i="37"/>
  <c r="CL57" i="37"/>
  <c r="CC57" i="37"/>
  <c r="CL61" i="37"/>
  <c r="CC61" i="37"/>
  <c r="C67" i="37"/>
  <c r="CB67" i="37"/>
  <c r="CK67" i="37"/>
  <c r="CK16" i="37"/>
  <c r="CB16" i="37"/>
  <c r="CB48" i="37"/>
  <c r="CK48" i="37"/>
  <c r="CB21" i="37"/>
  <c r="CK21" i="37"/>
  <c r="CK29" i="37"/>
  <c r="CB29" i="37"/>
  <c r="CK37" i="37"/>
  <c r="CB37" i="37"/>
  <c r="CK45" i="37"/>
  <c r="CB45" i="37"/>
  <c r="CK53" i="37"/>
  <c r="CB53" i="37"/>
  <c r="CK61" i="37"/>
  <c r="CB61" i="37"/>
  <c r="CC14" i="37"/>
  <c r="CL14" i="37"/>
  <c r="CC18" i="37"/>
  <c r="CL18" i="37"/>
  <c r="CC22" i="37"/>
  <c r="CL22" i="37"/>
  <c r="CC26" i="37"/>
  <c r="CL26" i="37"/>
  <c r="CC30" i="37"/>
  <c r="CL30" i="37"/>
  <c r="CC34" i="37"/>
  <c r="CL34" i="37"/>
  <c r="CC38" i="37"/>
  <c r="CL38" i="37"/>
  <c r="CC42" i="37"/>
  <c r="CL42" i="37"/>
  <c r="CC46" i="37"/>
  <c r="CL46" i="37"/>
  <c r="CC50" i="37"/>
  <c r="CL50" i="37"/>
  <c r="CC54" i="37"/>
  <c r="CL54" i="37"/>
  <c r="CC58" i="37"/>
  <c r="CL58" i="37"/>
  <c r="CC62" i="37"/>
  <c r="CL62" i="37"/>
  <c r="CB68" i="37"/>
  <c r="CK68" i="37"/>
  <c r="CK20" i="37"/>
  <c r="CB20" i="37"/>
  <c r="CB44" i="37"/>
  <c r="CK44" i="37"/>
  <c r="CB17" i="37"/>
  <c r="CK17" i="37"/>
  <c r="CB25" i="37"/>
  <c r="CK25" i="37"/>
  <c r="CK33" i="37"/>
  <c r="CB33" i="37"/>
  <c r="CK41" i="37"/>
  <c r="CB41" i="37"/>
  <c r="CK49" i="37"/>
  <c r="CB49" i="37"/>
  <c r="CK57" i="37"/>
  <c r="CB57" i="37"/>
  <c r="CC68" i="37"/>
  <c r="CL68" i="37"/>
  <c r="CB14" i="37"/>
  <c r="CK14" i="37"/>
  <c r="CK18" i="37"/>
  <c r="CB18" i="37"/>
  <c r="CK22" i="37"/>
  <c r="CB22" i="37"/>
  <c r="CB26" i="37"/>
  <c r="CK26" i="37"/>
  <c r="CB30" i="37"/>
  <c r="CK30" i="37"/>
  <c r="CB34" i="37"/>
  <c r="CK34" i="37"/>
  <c r="CB38" i="37"/>
  <c r="CK38" i="37"/>
  <c r="CB42" i="37"/>
  <c r="CK42" i="37"/>
  <c r="CB46" i="37"/>
  <c r="CK46" i="37"/>
  <c r="CB50" i="37"/>
  <c r="CK50" i="37"/>
  <c r="CB54" i="37"/>
  <c r="CK54" i="37"/>
  <c r="CB58" i="37"/>
  <c r="CK58" i="37"/>
  <c r="CB62" i="37"/>
  <c r="CK62" i="37"/>
  <c r="CC19" i="37"/>
  <c r="CL19" i="37"/>
  <c r="CL27" i="37"/>
  <c r="CC27" i="37"/>
  <c r="CC35" i="37"/>
  <c r="CL35" i="37"/>
  <c r="CC43" i="37"/>
  <c r="CL43" i="37"/>
  <c r="CC51" i="37"/>
  <c r="CL51" i="37"/>
  <c r="CC15" i="37"/>
  <c r="CL15" i="37"/>
  <c r="CC23" i="37"/>
  <c r="CL23" i="37"/>
  <c r="CC31" i="37"/>
  <c r="CL31" i="37"/>
  <c r="CC39" i="37"/>
  <c r="CL39" i="37"/>
  <c r="CC47" i="37"/>
  <c r="CL47" i="37"/>
  <c r="CC55" i="37"/>
  <c r="CL55" i="37"/>
  <c r="CC59" i="37"/>
  <c r="CL59" i="37"/>
  <c r="C63" i="37"/>
  <c r="CB63" i="37"/>
  <c r="CK63" i="37"/>
  <c r="CB15" i="37"/>
  <c r="CK15" i="37"/>
  <c r="CB19" i="37"/>
  <c r="CK19" i="37"/>
  <c r="CB23" i="37"/>
  <c r="CK23" i="37"/>
  <c r="CB27" i="37"/>
  <c r="CK27" i="37"/>
  <c r="CB31" i="37"/>
  <c r="CK31" i="37"/>
  <c r="CB35" i="37"/>
  <c r="CK35" i="37"/>
  <c r="CB39" i="37"/>
  <c r="CK39" i="37"/>
  <c r="CB43" i="37"/>
  <c r="CK43" i="37"/>
  <c r="CB47" i="37"/>
  <c r="CK47" i="37"/>
  <c r="CB51" i="37"/>
  <c r="CK51" i="37"/>
  <c r="CB55" i="37"/>
  <c r="CK55" i="37"/>
  <c r="CB59" i="37"/>
  <c r="CK59" i="37"/>
  <c r="C64" i="37"/>
  <c r="CB64" i="37"/>
  <c r="CK64" i="37"/>
  <c r="CL16" i="37"/>
  <c r="CC16" i="37"/>
  <c r="CL20" i="37"/>
  <c r="CC20" i="37"/>
  <c r="CL24" i="37"/>
  <c r="CC24" i="37"/>
  <c r="CC28" i="37"/>
  <c r="CL28" i="37"/>
  <c r="CC32" i="37"/>
  <c r="CL32" i="37"/>
  <c r="CC36" i="37"/>
  <c r="CL36" i="37"/>
  <c r="CC40" i="37"/>
  <c r="CL40" i="37"/>
  <c r="CC44" i="37"/>
  <c r="CL44" i="37"/>
  <c r="CC48" i="37"/>
  <c r="CL48" i="37"/>
  <c r="CC52" i="37"/>
  <c r="CL52" i="37"/>
  <c r="CC56" i="37"/>
  <c r="CL56" i="37"/>
  <c r="CC60" i="37"/>
  <c r="CL60" i="37"/>
  <c r="C65" i="37"/>
  <c r="CK65" i="37"/>
  <c r="CB65" i="37"/>
  <c r="CL13" i="37"/>
  <c r="CC13" i="37"/>
  <c r="CK13" i="37"/>
  <c r="CB13" i="37"/>
  <c r="C178" i="34"/>
  <c r="CK203" i="34"/>
  <c r="CM203" i="34"/>
  <c r="CL203" i="34"/>
  <c r="CN203" i="34"/>
  <c r="C30" i="34"/>
  <c r="CA30" i="34" s="1"/>
  <c r="C196" i="34"/>
  <c r="C171" i="34"/>
  <c r="CM78" i="32"/>
  <c r="CK78" i="32"/>
  <c r="CD78" i="32"/>
  <c r="CC78" i="32"/>
  <c r="CB78" i="32"/>
  <c r="C265" i="34"/>
  <c r="C291" i="34"/>
  <c r="C330" i="34"/>
  <c r="B92" i="32"/>
  <c r="B34" i="33"/>
  <c r="CA34" i="33" s="1"/>
  <c r="C27" i="34"/>
  <c r="CA27" i="34" s="1"/>
  <c r="C288" i="34"/>
  <c r="C308" i="34"/>
  <c r="C159" i="34"/>
  <c r="B89" i="32"/>
  <c r="C20" i="34"/>
  <c r="C290" i="34"/>
  <c r="C302" i="34"/>
  <c r="C318" i="34"/>
  <c r="C328" i="34"/>
  <c r="B90" i="38"/>
  <c r="D17" i="18" s="1"/>
  <c r="B25" i="33"/>
  <c r="B22" i="33"/>
  <c r="CB22" i="33" s="1"/>
  <c r="CH13" i="36"/>
  <c r="CG13" i="36"/>
  <c r="CB13" i="36"/>
  <c r="CH28" i="36"/>
  <c r="CG28" i="36"/>
  <c r="CB28" i="36"/>
  <c r="CG47" i="36"/>
  <c r="CB47" i="36"/>
  <c r="CH47" i="36"/>
  <c r="CH71" i="36"/>
  <c r="CB71" i="36"/>
  <c r="N71" i="36" s="1"/>
  <c r="CG71" i="36"/>
  <c r="D198" i="34"/>
  <c r="CG15" i="36"/>
  <c r="CB15" i="36"/>
  <c r="N15" i="36" s="1"/>
  <c r="CH15" i="36"/>
  <c r="CH29" i="36"/>
  <c r="CG29" i="36"/>
  <c r="CB29" i="36"/>
  <c r="CH42" i="36"/>
  <c r="CG42" i="36"/>
  <c r="CB42" i="36"/>
  <c r="CG64" i="36"/>
  <c r="CB64" i="36"/>
  <c r="CH64" i="36"/>
  <c r="CG73" i="36"/>
  <c r="CB73" i="36"/>
  <c r="N73" i="36" s="1"/>
  <c r="CH73" i="36"/>
  <c r="CG84" i="36"/>
  <c r="CB84" i="36"/>
  <c r="CH84" i="36"/>
  <c r="CG41" i="36"/>
  <c r="CB41" i="36"/>
  <c r="N41" i="36" s="1"/>
  <c r="CH41" i="36"/>
  <c r="CH83" i="36"/>
  <c r="CB83" i="36"/>
  <c r="CG83" i="36"/>
  <c r="B48" i="34"/>
  <c r="CB48" i="34" s="1"/>
  <c r="C99" i="34"/>
  <c r="C102" i="34"/>
  <c r="C116" i="34"/>
  <c r="C135" i="34"/>
  <c r="C144" i="34"/>
  <c r="C161" i="34"/>
  <c r="C167" i="34"/>
  <c r="C170" i="34"/>
  <c r="C187" i="34"/>
  <c r="C264" i="34"/>
  <c r="C284" i="34"/>
  <c r="C287" i="34"/>
  <c r="C298" i="34"/>
  <c r="U328" i="34"/>
  <c r="CB16" i="36"/>
  <c r="N16" i="36" s="1"/>
  <c r="CH16" i="36"/>
  <c r="CG16" i="36"/>
  <c r="CH30" i="36"/>
  <c r="CG30" i="36"/>
  <c r="CB30" i="36"/>
  <c r="CH43" i="36"/>
  <c r="CG43" i="36"/>
  <c r="CB43" i="36"/>
  <c r="CB65" i="36"/>
  <c r="CH65" i="36"/>
  <c r="CG65" i="36"/>
  <c r="CH78" i="36"/>
  <c r="CB78" i="36"/>
  <c r="CG78" i="36"/>
  <c r="CH86" i="36"/>
  <c r="CB86" i="36"/>
  <c r="CG86" i="36"/>
  <c r="CG19" i="36"/>
  <c r="CH19" i="36"/>
  <c r="CB19" i="36"/>
  <c r="CH32" i="36"/>
  <c r="CG32" i="36"/>
  <c r="CB32" i="36"/>
  <c r="CB45" i="36"/>
  <c r="CH45" i="36"/>
  <c r="CG45" i="36"/>
  <c r="CG68" i="36"/>
  <c r="CB68" i="36"/>
  <c r="N68" i="36" s="1"/>
  <c r="CH68" i="36"/>
  <c r="CG80" i="36"/>
  <c r="CH80" i="36"/>
  <c r="CB80" i="36"/>
  <c r="N80" i="36" s="1"/>
  <c r="CG88" i="36"/>
  <c r="CH88" i="36"/>
  <c r="CB88" i="36"/>
  <c r="CB18" i="36"/>
  <c r="CH18" i="36"/>
  <c r="CG18" i="36"/>
  <c r="CH31" i="36"/>
  <c r="CG31" i="36"/>
  <c r="CB31" i="36"/>
  <c r="CB44" i="36"/>
  <c r="CH44" i="36"/>
  <c r="CG44" i="36"/>
  <c r="CH67" i="36"/>
  <c r="CB67" i="36"/>
  <c r="N67" i="36" s="1"/>
  <c r="CG67" i="36"/>
  <c r="CH79" i="36"/>
  <c r="CB79" i="36"/>
  <c r="CG79" i="36"/>
  <c r="CH87" i="36"/>
  <c r="CB87" i="36"/>
  <c r="N87" i="36" s="1"/>
  <c r="CG87" i="36"/>
  <c r="C25" i="34"/>
  <c r="CA25" i="34" s="1"/>
  <c r="CH12" i="36"/>
  <c r="CG12" i="36"/>
  <c r="CB12" i="36"/>
  <c r="CG27" i="36"/>
  <c r="CH27" i="36"/>
  <c r="CB27" i="36"/>
  <c r="CH40" i="36"/>
  <c r="CG40" i="36"/>
  <c r="CB40" i="36"/>
  <c r="CG46" i="36"/>
  <c r="CB46" i="36"/>
  <c r="N46" i="36" s="1"/>
  <c r="CH46" i="36"/>
  <c r="CB70" i="36"/>
  <c r="CH70" i="36"/>
  <c r="CG70" i="36"/>
  <c r="CH82" i="36"/>
  <c r="CB82" i="36"/>
  <c r="N82" i="36" s="1"/>
  <c r="CG82" i="36"/>
  <c r="L332" i="34"/>
  <c r="C17" i="37"/>
  <c r="C23" i="37"/>
  <c r="C26" i="37"/>
  <c r="C29" i="37"/>
  <c r="C35" i="37"/>
  <c r="C38" i="37"/>
  <c r="C44" i="37"/>
  <c r="C56" i="37"/>
  <c r="C59" i="37"/>
  <c r="C62" i="37"/>
  <c r="C51" i="32"/>
  <c r="CB51" i="32" s="1"/>
  <c r="D21" i="33"/>
  <c r="CC21" i="33" s="1"/>
  <c r="C31" i="34"/>
  <c r="CA31" i="34" s="1"/>
  <c r="B74" i="34"/>
  <c r="CB74" i="34" s="1"/>
  <c r="C111" i="34"/>
  <c r="C32" i="34"/>
  <c r="CA32" i="34" s="1"/>
  <c r="C157" i="34"/>
  <c r="C16" i="37"/>
  <c r="C19" i="37"/>
  <c r="C22" i="37"/>
  <c r="C25" i="37"/>
  <c r="C31" i="37"/>
  <c r="C34" i="37"/>
  <c r="C37" i="37"/>
  <c r="C46" i="37"/>
  <c r="CE46" i="37" s="1"/>
  <c r="C52" i="37"/>
  <c r="C84" i="37"/>
  <c r="CG14" i="33"/>
  <c r="CA14" i="33"/>
  <c r="CF17" i="33"/>
  <c r="CA17" i="33"/>
  <c r="CF13" i="33"/>
  <c r="CA13" i="33"/>
  <c r="CF15" i="33"/>
  <c r="CA15" i="33"/>
  <c r="CG16" i="33"/>
  <c r="CA16" i="33"/>
  <c r="CN70" i="32"/>
  <c r="CM70" i="32"/>
  <c r="CM72" i="32"/>
  <c r="CN72" i="32"/>
  <c r="CM71" i="32"/>
  <c r="CN71" i="32"/>
  <c r="CM73" i="32"/>
  <c r="CN73" i="32"/>
  <c r="C54" i="32"/>
  <c r="CB54" i="32" s="1"/>
  <c r="CL72" i="32"/>
  <c r="CK72" i="32"/>
  <c r="CK71" i="32"/>
  <c r="CL71" i="32"/>
  <c r="CL70" i="32"/>
  <c r="CK73" i="32"/>
  <c r="CL73" i="32"/>
  <c r="C66" i="32"/>
  <c r="C63" i="32"/>
  <c r="CL63" i="32" s="1"/>
  <c r="CB12" i="33"/>
  <c r="G12" i="33" s="1"/>
  <c r="C22" i="34"/>
  <c r="CA22" i="34" s="1"/>
  <c r="CA61" i="34"/>
  <c r="N321" i="34"/>
  <c r="T321" i="34"/>
  <c r="Z321" i="34"/>
  <c r="AF321" i="34"/>
  <c r="AL321" i="34"/>
  <c r="C28" i="34"/>
  <c r="CA28" i="34" s="1"/>
  <c r="C109" i="34"/>
  <c r="C112" i="34"/>
  <c r="C197" i="34"/>
  <c r="C29" i="34"/>
  <c r="CA29" i="34" s="1"/>
  <c r="C34" i="34"/>
  <c r="CA34" i="34" s="1"/>
  <c r="B49" i="34"/>
  <c r="D97" i="34"/>
  <c r="C122" i="34"/>
  <c r="C128" i="34"/>
  <c r="C143" i="34"/>
  <c r="C146" i="34"/>
  <c r="C172" i="34"/>
  <c r="C179" i="34"/>
  <c r="E198" i="34"/>
  <c r="E205" i="34"/>
  <c r="C21" i="34"/>
  <c r="CA21" i="34" s="1"/>
  <c r="C24" i="34"/>
  <c r="CA24" i="34" s="1"/>
  <c r="C110" i="34"/>
  <c r="C204" i="34"/>
  <c r="C212" i="34"/>
  <c r="CK212" i="34" s="1"/>
  <c r="C37" i="34"/>
  <c r="CA37" i="34" s="1"/>
  <c r="B47" i="34"/>
  <c r="C283" i="34"/>
  <c r="C315" i="34"/>
  <c r="C14" i="34"/>
  <c r="C23" i="34"/>
  <c r="CA23" i="34" s="1"/>
  <c r="C33" i="34"/>
  <c r="CA33" i="34" s="1"/>
  <c r="C38" i="34"/>
  <c r="CA38" i="34" s="1"/>
  <c r="CB65" i="34"/>
  <c r="C113" i="34"/>
  <c r="E301" i="34"/>
  <c r="D320" i="34"/>
  <c r="C181" i="34"/>
  <c r="C188" i="34"/>
  <c r="C252" i="34"/>
  <c r="C311" i="34"/>
  <c r="C39" i="34"/>
  <c r="CA39" i="34" s="1"/>
  <c r="C98" i="34"/>
  <c r="C108" i="34"/>
  <c r="C158" i="34"/>
  <c r="C295" i="34"/>
  <c r="C326" i="34"/>
  <c r="C327" i="34"/>
  <c r="L328" i="34"/>
  <c r="U329" i="34"/>
  <c r="B329" i="34" s="1"/>
  <c r="B46" i="34"/>
  <c r="B72" i="34"/>
  <c r="CB72" i="34" s="1"/>
  <c r="C127" i="34"/>
  <c r="C130" i="34"/>
  <c r="C136" i="34"/>
  <c r="C145" i="34"/>
  <c r="C148" i="34"/>
  <c r="C182" i="34"/>
  <c r="C268" i="34"/>
  <c r="C274" i="34"/>
  <c r="CB274" i="34" s="1"/>
  <c r="C285" i="34"/>
  <c r="C314" i="34"/>
  <c r="C332" i="34"/>
  <c r="C333" i="34"/>
  <c r="CA20" i="32"/>
  <c r="CK20" i="32"/>
  <c r="CK29" i="32"/>
  <c r="CE21" i="32"/>
  <c r="CK21" i="32"/>
  <c r="CG17" i="33"/>
  <c r="C294" i="34"/>
  <c r="CK22" i="32"/>
  <c r="CA31" i="32"/>
  <c r="CK31" i="32"/>
  <c r="C62" i="32"/>
  <c r="CB62" i="32" s="1"/>
  <c r="E320" i="34"/>
  <c r="C331" i="34"/>
  <c r="CL64" i="34"/>
  <c r="C131" i="34"/>
  <c r="C140" i="34"/>
  <c r="D162" i="34"/>
  <c r="C267" i="34"/>
  <c r="AN275" i="34"/>
  <c r="AN321" i="34" s="1"/>
  <c r="K321" i="34"/>
  <c r="Q321" i="34"/>
  <c r="W321" i="34"/>
  <c r="AC321" i="34"/>
  <c r="AI321" i="34"/>
  <c r="C303" i="34"/>
  <c r="C312" i="34"/>
  <c r="C319" i="34"/>
  <c r="L330" i="34"/>
  <c r="U331" i="34"/>
  <c r="CK14" i="32"/>
  <c r="CK25" i="32"/>
  <c r="CA26" i="32"/>
  <c r="CK26" i="32"/>
  <c r="C65" i="32"/>
  <c r="CB65" i="32" s="1"/>
  <c r="C13" i="34"/>
  <c r="B57" i="34"/>
  <c r="CL57" i="34" s="1"/>
  <c r="CL66" i="34"/>
  <c r="CA17" i="32"/>
  <c r="CK17" i="32"/>
  <c r="CK28" i="32"/>
  <c r="CA32" i="32"/>
  <c r="CK32" i="32"/>
  <c r="CA18" i="32"/>
  <c r="CK18" i="32"/>
  <c r="CD28" i="32"/>
  <c r="C123" i="34"/>
  <c r="C129" i="34"/>
  <c r="C132" i="34"/>
  <c r="AO275" i="34"/>
  <c r="AO321" i="34" s="1"/>
  <c r="C278" i="34"/>
  <c r="CA15" i="32"/>
  <c r="CK15" i="32"/>
  <c r="CA30" i="32"/>
  <c r="CK30" i="32"/>
  <c r="C147" i="34"/>
  <c r="CA16" i="32"/>
  <c r="CK16" i="32"/>
  <c r="CA27" i="32"/>
  <c r="CK27" i="32"/>
  <c r="E97" i="34"/>
  <c r="C139" i="34"/>
  <c r="CG22" i="32"/>
  <c r="CA19" i="32"/>
  <c r="CK19" i="32"/>
  <c r="CH28" i="32"/>
  <c r="B23" i="33"/>
  <c r="CF23" i="33" s="1"/>
  <c r="B29" i="33"/>
  <c r="CB29" i="33" s="1"/>
  <c r="B35" i="33"/>
  <c r="CB35" i="33" s="1"/>
  <c r="C15" i="34"/>
  <c r="C26" i="34"/>
  <c r="CA26" i="34" s="1"/>
  <c r="C35" i="34"/>
  <c r="CA35" i="34" s="1"/>
  <c r="CB61" i="34"/>
  <c r="CA65" i="34"/>
  <c r="C124" i="34"/>
  <c r="C138" i="34"/>
  <c r="C154" i="34"/>
  <c r="C168" i="34"/>
  <c r="C180" i="34"/>
  <c r="E190" i="34"/>
  <c r="D205" i="34"/>
  <c r="C250" i="34"/>
  <c r="C279" i="34"/>
  <c r="C299" i="34"/>
  <c r="C304" i="34"/>
  <c r="C307" i="34"/>
  <c r="U330" i="34"/>
  <c r="C48" i="37"/>
  <c r="C51" i="37"/>
  <c r="C54" i="37"/>
  <c r="C60" i="37"/>
  <c r="C87" i="37"/>
  <c r="C90" i="37"/>
  <c r="CK24" i="32"/>
  <c r="CE24" i="32"/>
  <c r="CH23" i="32"/>
  <c r="CK23" i="32"/>
  <c r="CA13" i="32"/>
  <c r="CA12" i="32"/>
  <c r="CK12" i="32"/>
  <c r="CG17" i="32"/>
  <c r="CF22" i="32"/>
  <c r="C59" i="32"/>
  <c r="CB59" i="32" s="1"/>
  <c r="CA14" i="32"/>
  <c r="CA21" i="32"/>
  <c r="CA24" i="32"/>
  <c r="CF28" i="32"/>
  <c r="CA28" i="32"/>
  <c r="CG29" i="32"/>
  <c r="C55" i="32"/>
  <c r="CB55" i="32" s="1"/>
  <c r="CA22" i="32"/>
  <c r="CA23" i="32"/>
  <c r="CL82" i="32"/>
  <c r="CA29" i="32"/>
  <c r="CB22" i="32"/>
  <c r="CE23" i="32"/>
  <c r="CA25" i="32"/>
  <c r="C56" i="32"/>
  <c r="CL56" i="32" s="1"/>
  <c r="CL78" i="32"/>
  <c r="CD25" i="32"/>
  <c r="CH25" i="32"/>
  <c r="C50" i="32"/>
  <c r="CB50" i="32" s="1"/>
  <c r="C82" i="37"/>
  <c r="CF21" i="32"/>
  <c r="CE22" i="32"/>
  <c r="CD23" i="32"/>
  <c r="C60" i="32"/>
  <c r="CL60" i="32" s="1"/>
  <c r="C47" i="32"/>
  <c r="CB47" i="32" s="1"/>
  <c r="C58" i="32"/>
  <c r="CB58" i="32" s="1"/>
  <c r="CA82" i="32"/>
  <c r="CH15" i="32"/>
  <c r="CH17" i="32"/>
  <c r="CB21" i="32"/>
  <c r="CF23" i="32"/>
  <c r="CF25" i="32"/>
  <c r="C45" i="32"/>
  <c r="CA45" i="32" s="1"/>
  <c r="CC82" i="32"/>
  <c r="B90" i="32"/>
  <c r="C49" i="37"/>
  <c r="C55" i="37"/>
  <c r="C47" i="37"/>
  <c r="C53" i="37"/>
  <c r="C24" i="37"/>
  <c r="C36" i="37"/>
  <c r="C45" i="37"/>
  <c r="C57" i="37"/>
  <c r="C108" i="37"/>
  <c r="U326" i="34"/>
  <c r="CB14" i="32"/>
  <c r="CF14" i="32"/>
  <c r="CH14" i="32"/>
  <c r="CD27" i="32"/>
  <c r="CE15" i="32"/>
  <c r="CG15" i="32"/>
  <c r="CE18" i="32"/>
  <c r="CG18" i="32"/>
  <c r="CH18" i="32"/>
  <c r="CE20" i="32"/>
  <c r="CE32" i="32"/>
  <c r="C48" i="32"/>
  <c r="CA48" i="32" s="1"/>
  <c r="CG16" i="32"/>
  <c r="CE19" i="32"/>
  <c r="CF20" i="32"/>
  <c r="CG21" i="32"/>
  <c r="CF27" i="32"/>
  <c r="C44" i="32"/>
  <c r="CK81" i="32"/>
  <c r="CG13" i="32"/>
  <c r="CH16" i="32"/>
  <c r="CE17" i="32"/>
  <c r="CF19" i="32"/>
  <c r="CG20" i="32"/>
  <c r="CB23" i="32"/>
  <c r="CB25" i="32"/>
  <c r="CG27" i="32"/>
  <c r="CG30" i="32"/>
  <c r="C49" i="32"/>
  <c r="CL49" i="32" s="1"/>
  <c r="C64" i="32"/>
  <c r="CB64" i="32" s="1"/>
  <c r="CN81" i="32"/>
  <c r="B88" i="32"/>
  <c r="C41" i="34"/>
  <c r="CA41" i="34" s="1"/>
  <c r="C54" i="34"/>
  <c r="B55" i="34"/>
  <c r="CL55" i="34" s="1"/>
  <c r="CB63" i="34"/>
  <c r="B73" i="34"/>
  <c r="CB73" i="34" s="1"/>
  <c r="C249" i="34"/>
  <c r="C257" i="34"/>
  <c r="C273" i="34"/>
  <c r="CL273" i="34" s="1"/>
  <c r="I321" i="34"/>
  <c r="O321" i="34"/>
  <c r="U321" i="34"/>
  <c r="AA321" i="34"/>
  <c r="AG321" i="34"/>
  <c r="AM321" i="34"/>
  <c r="CB13" i="32"/>
  <c r="CH13" i="32"/>
  <c r="CG19" i="32"/>
  <c r="CH27" i="32"/>
  <c r="F74" i="32"/>
  <c r="B91" i="32"/>
  <c r="B24" i="33"/>
  <c r="CG24" i="33" s="1"/>
  <c r="B30" i="33"/>
  <c r="CA30" i="33" s="1"/>
  <c r="D54" i="34"/>
  <c r="J321" i="34"/>
  <c r="P321" i="34"/>
  <c r="V321" i="34"/>
  <c r="AB321" i="34"/>
  <c r="CL67" i="34"/>
  <c r="CA67" i="34"/>
  <c r="CB20" i="32"/>
  <c r="C52" i="32"/>
  <c r="CA52" i="32" s="1"/>
  <c r="B56" i="34"/>
  <c r="CL56" i="34" s="1"/>
  <c r="CK62" i="34"/>
  <c r="CL62" i="34"/>
  <c r="CB67" i="34"/>
  <c r="C61" i="32"/>
  <c r="CB61" i="32" s="1"/>
  <c r="CE16" i="32"/>
  <c r="CB19" i="32"/>
  <c r="C57" i="32"/>
  <c r="CL57" i="32" s="1"/>
  <c r="CC81" i="32"/>
  <c r="CD32" i="32"/>
  <c r="CF13" i="32"/>
  <c r="CH32" i="32"/>
  <c r="C53" i="32"/>
  <c r="CL53" i="32" s="1"/>
  <c r="CA63" i="34"/>
  <c r="C156" i="34"/>
  <c r="D282" i="34"/>
  <c r="C101" i="34"/>
  <c r="C114" i="34"/>
  <c r="C126" i="34"/>
  <c r="C134" i="34"/>
  <c r="C142" i="34"/>
  <c r="C150" i="34"/>
  <c r="C160" i="34"/>
  <c r="C177" i="34"/>
  <c r="C251" i="34"/>
  <c r="C263" i="34"/>
  <c r="G321" i="34"/>
  <c r="M321" i="34"/>
  <c r="S321" i="34"/>
  <c r="Y321" i="34"/>
  <c r="AE321" i="34"/>
  <c r="AK321" i="34"/>
  <c r="C281" i="34"/>
  <c r="D289" i="34"/>
  <c r="C297" i="34"/>
  <c r="C309" i="34"/>
  <c r="L326" i="34"/>
  <c r="U327" i="34"/>
  <c r="U333" i="34"/>
  <c r="AH321" i="34"/>
  <c r="C293" i="34"/>
  <c r="C305" i="34"/>
  <c r="C317" i="34"/>
  <c r="U332" i="34"/>
  <c r="D301" i="34"/>
  <c r="E313" i="34"/>
  <c r="F321" i="34"/>
  <c r="L321" i="34"/>
  <c r="R321" i="34"/>
  <c r="X321" i="34"/>
  <c r="AD321" i="34"/>
  <c r="AJ321" i="34"/>
  <c r="E282" i="34"/>
  <c r="E289" i="34"/>
  <c r="D313" i="34"/>
  <c r="C15" i="37"/>
  <c r="C20" i="37"/>
  <c r="C32" i="37"/>
  <c r="C41" i="37"/>
  <c r="C50" i="37"/>
  <c r="C58" i="37"/>
  <c r="C68" i="37"/>
  <c r="C83" i="37"/>
  <c r="C86" i="37"/>
  <c r="C89" i="37"/>
  <c r="C92" i="37"/>
  <c r="C109" i="37"/>
  <c r="C18" i="37"/>
  <c r="C21" i="37"/>
  <c r="C27" i="37"/>
  <c r="C30" i="37"/>
  <c r="C33" i="37"/>
  <c r="C39" i="37"/>
  <c r="C42" i="37"/>
  <c r="C61" i="37"/>
  <c r="C81" i="37"/>
  <c r="CL81" i="37" s="1"/>
  <c r="C110" i="37"/>
  <c r="C13" i="37"/>
  <c r="CM13" i="37" s="1"/>
  <c r="C14" i="37"/>
  <c r="C28" i="37"/>
  <c r="C43" i="37"/>
  <c r="C85" i="37"/>
  <c r="C88" i="37"/>
  <c r="C91" i="37"/>
  <c r="A150" i="36"/>
  <c r="E15" i="18" s="1"/>
  <c r="CD11" i="32"/>
  <c r="CF11" i="32"/>
  <c r="CH11" i="32"/>
  <c r="C40" i="37"/>
  <c r="H321" i="34"/>
  <c r="D275" i="34"/>
  <c r="CA74" i="34"/>
  <c r="CL20" i="34"/>
  <c r="CK20" i="34"/>
  <c r="CB20" i="34"/>
  <c r="CA20" i="34"/>
  <c r="CK25" i="34"/>
  <c r="CB25" i="34"/>
  <c r="T25" i="34" s="1"/>
  <c r="CK34" i="34"/>
  <c r="CL36" i="34"/>
  <c r="CK36" i="34"/>
  <c r="CB36" i="34"/>
  <c r="T36" i="34" s="1"/>
  <c r="CL39" i="34"/>
  <c r="CL40" i="34"/>
  <c r="CK40" i="34"/>
  <c r="CB40" i="34"/>
  <c r="T40" i="34" s="1"/>
  <c r="CK61" i="34"/>
  <c r="CA62" i="34"/>
  <c r="CK63" i="34"/>
  <c r="CA64" i="34"/>
  <c r="CK65" i="34"/>
  <c r="CA66" i="34"/>
  <c r="CK67" i="34"/>
  <c r="C133" i="34"/>
  <c r="C149" i="34"/>
  <c r="E162" i="34"/>
  <c r="CA212" i="34"/>
  <c r="C276" i="34"/>
  <c r="C292" i="34"/>
  <c r="C306" i="34"/>
  <c r="C316" i="34"/>
  <c r="CB62" i="34"/>
  <c r="CB64" i="34"/>
  <c r="CB66" i="34"/>
  <c r="C121" i="34"/>
  <c r="C137" i="34"/>
  <c r="D190" i="34"/>
  <c r="C189" i="34"/>
  <c r="C211" i="34"/>
  <c r="C258" i="34"/>
  <c r="C286" i="34"/>
  <c r="C296" i="34"/>
  <c r="C310" i="34"/>
  <c r="C100" i="34"/>
  <c r="E151" i="34"/>
  <c r="C125" i="34"/>
  <c r="C141" i="34"/>
  <c r="C155" i="34"/>
  <c r="C169" i="34"/>
  <c r="C210" i="34"/>
  <c r="C266" i="34"/>
  <c r="C280" i="34"/>
  <c r="C300" i="34"/>
  <c r="D151" i="34"/>
  <c r="C152" i="34"/>
  <c r="C203" i="34"/>
  <c r="E275" i="34"/>
  <c r="CB25" i="33"/>
  <c r="CA25" i="33"/>
  <c r="CG25" i="33"/>
  <c r="CF25" i="33"/>
  <c r="CB30" i="33"/>
  <c r="CA35" i="33"/>
  <c r="B11" i="33"/>
  <c r="CG13" i="33"/>
  <c r="CF12" i="33"/>
  <c r="CF14" i="33"/>
  <c r="CF16" i="33"/>
  <c r="CG15" i="33"/>
  <c r="CG12" i="33"/>
  <c r="C21" i="33"/>
  <c r="CB21" i="33" s="1"/>
  <c r="CF12" i="32"/>
  <c r="CH12" i="32"/>
  <c r="CD12" i="32"/>
  <c r="CG12" i="32"/>
  <c r="CE12" i="32"/>
  <c r="CC26" i="32"/>
  <c r="CG24" i="32"/>
  <c r="CE26" i="32"/>
  <c r="CD31" i="32"/>
  <c r="CC24" i="32"/>
  <c r="CA46" i="32"/>
  <c r="AP46" i="32" s="1"/>
  <c r="CL79" i="32"/>
  <c r="CB79" i="32"/>
  <c r="CD79" i="32"/>
  <c r="CN80" i="32"/>
  <c r="CD80" i="32"/>
  <c r="CK80" i="32"/>
  <c r="CG11" i="32"/>
  <c r="CE13" i="32"/>
  <c r="CG14" i="32"/>
  <c r="CF15" i="32"/>
  <c r="CF16" i="32"/>
  <c r="CF17" i="32"/>
  <c r="CF18" i="32"/>
  <c r="CC19" i="32"/>
  <c r="CH19" i="32"/>
  <c r="CC20" i="32"/>
  <c r="CH20" i="32"/>
  <c r="CC21" i="32"/>
  <c r="CH21" i="32"/>
  <c r="CC22" i="32"/>
  <c r="CH22" i="32"/>
  <c r="CC23" i="32"/>
  <c r="CG23" i="32"/>
  <c r="CD24" i="32"/>
  <c r="CH24" i="32"/>
  <c r="CE25" i="32"/>
  <c r="CB26" i="32"/>
  <c r="CF26" i="32"/>
  <c r="CE27" i="32"/>
  <c r="CG28" i="32"/>
  <c r="CH29" i="32"/>
  <c r="CE31" i="32"/>
  <c r="CG32" i="32"/>
  <c r="CF32" i="32"/>
  <c r="CK46" i="32"/>
  <c r="CN78" i="32"/>
  <c r="CK79" i="32"/>
  <c r="CA80" i="32"/>
  <c r="CL80" i="32"/>
  <c r="CA81" i="32"/>
  <c r="CB82" i="32"/>
  <c r="CK89" i="32"/>
  <c r="B93" i="32"/>
  <c r="CL46" i="32"/>
  <c r="C74" i="32"/>
  <c r="CA79" i="32"/>
  <c r="CM79" i="32"/>
  <c r="CB80" i="32"/>
  <c r="CM80" i="32"/>
  <c r="CG26" i="32"/>
  <c r="CF31" i="32"/>
  <c r="CG31" i="32"/>
  <c r="CE11" i="32"/>
  <c r="CE14" i="32"/>
  <c r="CB24" i="32"/>
  <c r="CF24" i="32"/>
  <c r="CC25" i="32"/>
  <c r="CG25" i="32"/>
  <c r="CD26" i="32"/>
  <c r="CH26" i="32"/>
  <c r="CE28" i="32"/>
  <c r="CH30" i="32"/>
  <c r="CH31" i="32"/>
  <c r="CC79" i="32"/>
  <c r="CN79" i="32"/>
  <c r="CC80" i="32"/>
  <c r="CL81" i="32"/>
  <c r="CB81" i="32"/>
  <c r="CD81" i="32"/>
  <c r="CN82" i="32"/>
  <c r="CD82" i="32"/>
  <c r="CK82" i="32"/>
  <c r="CB38" i="34" l="1"/>
  <c r="T38" i="34" s="1"/>
  <c r="CK38" i="34"/>
  <c r="CB110" i="37"/>
  <c r="AM110" i="37" s="1"/>
  <c r="CK110" i="37"/>
  <c r="CB108" i="37"/>
  <c r="AM108" i="37" s="1"/>
  <c r="CK108" i="37"/>
  <c r="CB109" i="37"/>
  <c r="AM109" i="37" s="1"/>
  <c r="CK109" i="37"/>
  <c r="CK29" i="34"/>
  <c r="CB66" i="32"/>
  <c r="CL66" i="32"/>
  <c r="CL38" i="34"/>
  <c r="CL25" i="34"/>
  <c r="CB34" i="33"/>
  <c r="AI34" i="33" s="1"/>
  <c r="K74" i="34"/>
  <c r="CB34" i="34"/>
  <c r="T34" i="34" s="1"/>
  <c r="CF34" i="33"/>
  <c r="CG34" i="33"/>
  <c r="CF29" i="33"/>
  <c r="CG29" i="33"/>
  <c r="CA44" i="32"/>
  <c r="CL44" i="32"/>
  <c r="CK44" i="32"/>
  <c r="CB44" i="32"/>
  <c r="N13" i="36"/>
  <c r="CG23" i="33"/>
  <c r="CA23" i="33"/>
  <c r="CF88" i="37"/>
  <c r="CE88" i="37"/>
  <c r="CO88" i="37"/>
  <c r="CD88" i="37"/>
  <c r="CN88" i="37"/>
  <c r="CC88" i="37"/>
  <c r="CM88" i="37"/>
  <c r="CL88" i="37"/>
  <c r="CN85" i="37"/>
  <c r="CC85" i="37"/>
  <c r="CM85" i="37"/>
  <c r="CL85" i="37"/>
  <c r="CO85" i="37"/>
  <c r="CF85" i="37"/>
  <c r="CE85" i="37"/>
  <c r="CD85" i="37"/>
  <c r="CF92" i="37"/>
  <c r="CE92" i="37"/>
  <c r="CO92" i="37"/>
  <c r="CD92" i="37"/>
  <c r="CN92" i="37"/>
  <c r="CC92" i="37"/>
  <c r="CM92" i="37"/>
  <c r="CL92" i="37"/>
  <c r="N79" i="36"/>
  <c r="CF84" i="37"/>
  <c r="CE84" i="37"/>
  <c r="CO84" i="37"/>
  <c r="CD84" i="37"/>
  <c r="CN84" i="37"/>
  <c r="CC84" i="37"/>
  <c r="CM84" i="37"/>
  <c r="CL84" i="37"/>
  <c r="CN89" i="37"/>
  <c r="CC89" i="37"/>
  <c r="CM89" i="37"/>
  <c r="CL89" i="37"/>
  <c r="CE89" i="37"/>
  <c r="CF89" i="37"/>
  <c r="CD89" i="37"/>
  <c r="CO89" i="37"/>
  <c r="N40" i="36"/>
  <c r="B150" i="36"/>
  <c r="D15" i="18" s="1"/>
  <c r="CF86" i="37"/>
  <c r="CE86" i="37"/>
  <c r="CO86" i="37"/>
  <c r="CD86" i="37"/>
  <c r="CN86" i="37"/>
  <c r="CC86" i="37"/>
  <c r="CM86" i="37"/>
  <c r="CL86" i="37"/>
  <c r="CK92" i="32"/>
  <c r="CA92" i="32"/>
  <c r="CB92" i="32"/>
  <c r="CN83" i="37"/>
  <c r="CC83" i="37"/>
  <c r="CM83" i="37"/>
  <c r="CL83" i="37"/>
  <c r="CE83" i="37"/>
  <c r="CO83" i="37"/>
  <c r="CF83" i="37"/>
  <c r="CD83" i="37"/>
  <c r="CB88" i="32"/>
  <c r="CA88" i="32"/>
  <c r="CF90" i="37"/>
  <c r="CE90" i="37"/>
  <c r="CO90" i="37"/>
  <c r="CD90" i="37"/>
  <c r="CN90" i="37"/>
  <c r="CC90" i="37"/>
  <c r="CM90" i="37"/>
  <c r="CL90" i="37"/>
  <c r="CB93" i="32"/>
  <c r="CA93" i="32"/>
  <c r="CF82" i="37"/>
  <c r="CE82" i="37"/>
  <c r="CO82" i="37"/>
  <c r="CD82" i="37"/>
  <c r="CN82" i="37"/>
  <c r="CC82" i="37"/>
  <c r="CM82" i="37"/>
  <c r="CL82" i="37"/>
  <c r="CN87" i="37"/>
  <c r="CC87" i="37"/>
  <c r="CM87" i="37"/>
  <c r="CL87" i="37"/>
  <c r="CF87" i="37"/>
  <c r="CE87" i="37"/>
  <c r="CD87" i="37"/>
  <c r="CO87" i="37"/>
  <c r="CL89" i="32"/>
  <c r="CA89" i="32"/>
  <c r="CB89" i="32"/>
  <c r="CA91" i="32"/>
  <c r="CB91" i="32"/>
  <c r="CK90" i="32"/>
  <c r="CA90" i="32"/>
  <c r="CB90" i="32"/>
  <c r="CN91" i="37"/>
  <c r="CC91" i="37"/>
  <c r="CM91" i="37"/>
  <c r="CL91" i="37"/>
  <c r="CD91" i="37"/>
  <c r="CF91" i="37"/>
  <c r="CE91" i="37"/>
  <c r="CO91" i="37"/>
  <c r="CP204" i="34"/>
  <c r="CF204" i="34"/>
  <c r="CO204" i="34"/>
  <c r="CE204" i="34"/>
  <c r="CL92" i="32"/>
  <c r="CK88" i="32"/>
  <c r="CA59" i="32"/>
  <c r="AP59" i="32" s="1"/>
  <c r="CH52" i="37"/>
  <c r="CQ52" i="37"/>
  <c r="CG52" i="37"/>
  <c r="CP52" i="37"/>
  <c r="CE52" i="37"/>
  <c r="CN52" i="37"/>
  <c r="CD52" i="37"/>
  <c r="CM52" i="37"/>
  <c r="CJ52" i="37"/>
  <c r="CA52" i="37"/>
  <c r="CA16" i="37"/>
  <c r="CJ16" i="37"/>
  <c r="CE16" i="37"/>
  <c r="CH16" i="37"/>
  <c r="CQ16" i="37"/>
  <c r="CG16" i="37"/>
  <c r="CP16" i="37"/>
  <c r="CN16" i="37"/>
  <c r="CD16" i="37"/>
  <c r="CM16" i="37"/>
  <c r="CM38" i="37"/>
  <c r="CA38" i="37"/>
  <c r="CJ38" i="37"/>
  <c r="CH38" i="37"/>
  <c r="CQ38" i="37"/>
  <c r="CG38" i="37"/>
  <c r="CP38" i="37"/>
  <c r="CN38" i="37"/>
  <c r="CD38" i="37"/>
  <c r="CE38" i="37"/>
  <c r="CP18" i="37"/>
  <c r="CE18" i="37"/>
  <c r="CN18" i="37"/>
  <c r="CD18" i="37"/>
  <c r="CM18" i="37"/>
  <c r="CA18" i="37"/>
  <c r="CJ18" i="37"/>
  <c r="CG18" i="37"/>
  <c r="CH18" i="37"/>
  <c r="CQ18" i="37"/>
  <c r="CM50" i="37"/>
  <c r="CA50" i="37"/>
  <c r="CJ50" i="37"/>
  <c r="CH50" i="37"/>
  <c r="CQ50" i="37"/>
  <c r="CG50" i="37"/>
  <c r="CP50" i="37"/>
  <c r="CN50" i="37"/>
  <c r="CE50" i="37"/>
  <c r="CD50" i="37"/>
  <c r="CA24" i="37"/>
  <c r="CJ24" i="37"/>
  <c r="CH24" i="37"/>
  <c r="CP24" i="37"/>
  <c r="CQ24" i="37"/>
  <c r="CG24" i="37"/>
  <c r="CE24" i="37"/>
  <c r="CN24" i="37"/>
  <c r="CD24" i="37"/>
  <c r="CM24" i="37"/>
  <c r="CH60" i="37"/>
  <c r="CQ60" i="37"/>
  <c r="CG60" i="37"/>
  <c r="CP60" i="37"/>
  <c r="CE60" i="37"/>
  <c r="CN60" i="37"/>
  <c r="CD60" i="37"/>
  <c r="CM60" i="37"/>
  <c r="CJ60" i="37"/>
  <c r="CA60" i="37"/>
  <c r="CM46" i="37"/>
  <c r="CA46" i="37"/>
  <c r="CJ46" i="37"/>
  <c r="CH46" i="37"/>
  <c r="CQ46" i="37"/>
  <c r="CG46" i="37"/>
  <c r="CP46" i="37"/>
  <c r="CN46" i="37"/>
  <c r="CD46" i="37"/>
  <c r="CP35" i="37"/>
  <c r="CE35" i="37"/>
  <c r="CN35" i="37"/>
  <c r="CD35" i="37"/>
  <c r="CM35" i="37"/>
  <c r="CA35" i="37"/>
  <c r="CJ35" i="37"/>
  <c r="CH35" i="37"/>
  <c r="CG35" i="37"/>
  <c r="CQ35" i="37"/>
  <c r="CP63" i="37"/>
  <c r="CE63" i="37"/>
  <c r="CN63" i="37"/>
  <c r="CD63" i="37"/>
  <c r="CM63" i="37"/>
  <c r="CA63" i="37"/>
  <c r="CJ63" i="37"/>
  <c r="CQ63" i="37"/>
  <c r="CH63" i="37"/>
  <c r="CG63" i="37"/>
  <c r="CA61" i="37"/>
  <c r="CJ61" i="37"/>
  <c r="CH61" i="37"/>
  <c r="CQ61" i="37"/>
  <c r="CG61" i="37"/>
  <c r="CP61" i="37"/>
  <c r="CE61" i="37"/>
  <c r="CN61" i="37"/>
  <c r="CD61" i="37"/>
  <c r="CM61" i="37"/>
  <c r="CA53" i="37"/>
  <c r="CJ53" i="37"/>
  <c r="CH53" i="37"/>
  <c r="CQ53" i="37"/>
  <c r="CG53" i="37"/>
  <c r="CP53" i="37"/>
  <c r="CE53" i="37"/>
  <c r="CN53" i="37"/>
  <c r="CD53" i="37"/>
  <c r="CM53" i="37"/>
  <c r="CM42" i="37"/>
  <c r="CA42" i="37"/>
  <c r="CJ42" i="37"/>
  <c r="CH42" i="37"/>
  <c r="CQ42" i="37"/>
  <c r="CG42" i="37"/>
  <c r="CE42" i="37"/>
  <c r="CD42" i="37"/>
  <c r="CN42" i="37"/>
  <c r="CP42" i="37"/>
  <c r="CH32" i="37"/>
  <c r="CQ32" i="37"/>
  <c r="CG32" i="37"/>
  <c r="CP32" i="37"/>
  <c r="CE32" i="37"/>
  <c r="CN32" i="37"/>
  <c r="CD32" i="37"/>
  <c r="CM32" i="37"/>
  <c r="CJ32" i="37"/>
  <c r="CA32" i="37"/>
  <c r="CP47" i="37"/>
  <c r="CE47" i="37"/>
  <c r="CN47" i="37"/>
  <c r="CD47" i="37"/>
  <c r="CM47" i="37"/>
  <c r="CA47" i="37"/>
  <c r="CJ47" i="37"/>
  <c r="CQ47" i="37"/>
  <c r="CG47" i="37"/>
  <c r="CH47" i="37"/>
  <c r="CP51" i="37"/>
  <c r="CE51" i="37"/>
  <c r="CN51" i="37"/>
  <c r="CD51" i="37"/>
  <c r="CM51" i="37"/>
  <c r="CA51" i="37"/>
  <c r="CJ51" i="37"/>
  <c r="CH51" i="37"/>
  <c r="CG51" i="37"/>
  <c r="CQ51" i="37"/>
  <c r="CM34" i="37"/>
  <c r="CA34" i="37"/>
  <c r="CJ34" i="37"/>
  <c r="CH34" i="37"/>
  <c r="CQ34" i="37"/>
  <c r="CG34" i="37"/>
  <c r="CE34" i="37"/>
  <c r="CP34" i="37"/>
  <c r="CN34" i="37"/>
  <c r="CD34" i="37"/>
  <c r="CP26" i="37"/>
  <c r="CE26" i="37"/>
  <c r="CN26" i="37"/>
  <c r="CD26" i="37"/>
  <c r="CM26" i="37"/>
  <c r="CA26" i="37"/>
  <c r="CJ26" i="37"/>
  <c r="CQ26" i="37"/>
  <c r="CH26" i="37"/>
  <c r="CG26" i="37"/>
  <c r="CA65" i="37"/>
  <c r="CJ65" i="37"/>
  <c r="CH65" i="37"/>
  <c r="CQ65" i="37"/>
  <c r="CG65" i="37"/>
  <c r="CP65" i="37"/>
  <c r="CE65" i="37"/>
  <c r="CN65" i="37"/>
  <c r="CD65" i="37"/>
  <c r="CM65" i="37"/>
  <c r="CM54" i="37"/>
  <c r="CA54" i="37"/>
  <c r="CJ54" i="37"/>
  <c r="CH54" i="37"/>
  <c r="CQ54" i="37"/>
  <c r="CG54" i="37"/>
  <c r="CP54" i="37"/>
  <c r="CN54" i="37"/>
  <c r="CE54" i="37"/>
  <c r="CD54" i="37"/>
  <c r="CH40" i="37"/>
  <c r="CQ40" i="37"/>
  <c r="CG40" i="37"/>
  <c r="CP40" i="37"/>
  <c r="CE40" i="37"/>
  <c r="CN40" i="37"/>
  <c r="CD40" i="37"/>
  <c r="CM40" i="37"/>
  <c r="CA40" i="37"/>
  <c r="CJ40" i="37"/>
  <c r="CP43" i="37"/>
  <c r="CE43" i="37"/>
  <c r="CN43" i="37"/>
  <c r="CD43" i="37"/>
  <c r="CM43" i="37"/>
  <c r="CA43" i="37"/>
  <c r="CJ43" i="37"/>
  <c r="CQ43" i="37"/>
  <c r="CH43" i="37"/>
  <c r="CG43" i="37"/>
  <c r="CP39" i="37"/>
  <c r="CE39" i="37"/>
  <c r="CN39" i="37"/>
  <c r="CD39" i="37"/>
  <c r="CM39" i="37"/>
  <c r="CA39" i="37"/>
  <c r="CJ39" i="37"/>
  <c r="CQ39" i="37"/>
  <c r="CH39" i="37"/>
  <c r="CG39" i="37"/>
  <c r="CA20" i="37"/>
  <c r="CJ20" i="37"/>
  <c r="CP20" i="37"/>
  <c r="CH20" i="37"/>
  <c r="CQ20" i="37"/>
  <c r="CG20" i="37"/>
  <c r="CE20" i="37"/>
  <c r="CN20" i="37"/>
  <c r="CD20" i="37"/>
  <c r="CM20" i="37"/>
  <c r="CP55" i="37"/>
  <c r="CE55" i="37"/>
  <c r="CN55" i="37"/>
  <c r="CD55" i="37"/>
  <c r="CM55" i="37"/>
  <c r="CA55" i="37"/>
  <c r="CJ55" i="37"/>
  <c r="CQ55" i="37"/>
  <c r="CH55" i="37"/>
  <c r="CG55" i="37"/>
  <c r="CH48" i="37"/>
  <c r="CQ48" i="37"/>
  <c r="CG48" i="37"/>
  <c r="CP48" i="37"/>
  <c r="CE48" i="37"/>
  <c r="CN48" i="37"/>
  <c r="CD48" i="37"/>
  <c r="CM48" i="37"/>
  <c r="CA48" i="37"/>
  <c r="CJ48" i="37"/>
  <c r="CP31" i="37"/>
  <c r="CE31" i="37"/>
  <c r="CN31" i="37"/>
  <c r="CD31" i="37"/>
  <c r="CM31" i="37"/>
  <c r="CA31" i="37"/>
  <c r="CJ31" i="37"/>
  <c r="CQ31" i="37"/>
  <c r="CH31" i="37"/>
  <c r="CG31" i="37"/>
  <c r="CM62" i="37"/>
  <c r="CA62" i="37"/>
  <c r="CJ62" i="37"/>
  <c r="CH62" i="37"/>
  <c r="CQ62" i="37"/>
  <c r="CG62" i="37"/>
  <c r="CP62" i="37"/>
  <c r="CN62" i="37"/>
  <c r="CE62" i="37"/>
  <c r="CD62" i="37"/>
  <c r="CH23" i="37"/>
  <c r="CQ23" i="37"/>
  <c r="CG23" i="37"/>
  <c r="CP23" i="37"/>
  <c r="CE23" i="37"/>
  <c r="CN23" i="37"/>
  <c r="CD23" i="37"/>
  <c r="CM23" i="37"/>
  <c r="CJ23" i="37"/>
  <c r="CA23" i="37"/>
  <c r="CP67" i="37"/>
  <c r="CE67" i="37"/>
  <c r="CN67" i="37"/>
  <c r="CD67" i="37"/>
  <c r="CM67" i="37"/>
  <c r="CA67" i="37"/>
  <c r="CJ67" i="37"/>
  <c r="CH67" i="37"/>
  <c r="CG67" i="37"/>
  <c r="CQ67" i="37"/>
  <c r="CM21" i="37"/>
  <c r="CA21" i="37"/>
  <c r="CJ21" i="37"/>
  <c r="CH21" i="37"/>
  <c r="CQ21" i="37"/>
  <c r="CG21" i="37"/>
  <c r="CN21" i="37"/>
  <c r="CP21" i="37"/>
  <c r="CE21" i="37"/>
  <c r="CD21" i="37"/>
  <c r="CA37" i="37"/>
  <c r="CJ37" i="37"/>
  <c r="CH37" i="37"/>
  <c r="CQ37" i="37"/>
  <c r="CG37" i="37"/>
  <c r="CP37" i="37"/>
  <c r="CE37" i="37"/>
  <c r="CN37" i="37"/>
  <c r="CD37" i="37"/>
  <c r="CM37" i="37"/>
  <c r="CH28" i="37"/>
  <c r="CQ28" i="37"/>
  <c r="CG28" i="37"/>
  <c r="CP28" i="37"/>
  <c r="CE28" i="37"/>
  <c r="CN28" i="37"/>
  <c r="CD28" i="37"/>
  <c r="CM28" i="37"/>
  <c r="CJ28" i="37"/>
  <c r="CA28" i="37"/>
  <c r="CH15" i="37"/>
  <c r="CQ15" i="37"/>
  <c r="CG15" i="37"/>
  <c r="CP15" i="37"/>
  <c r="CE15" i="37"/>
  <c r="CN15" i="37"/>
  <c r="CD15" i="37"/>
  <c r="CM15" i="37"/>
  <c r="CJ15" i="37"/>
  <c r="CA15" i="37"/>
  <c r="CA49" i="37"/>
  <c r="CJ49" i="37"/>
  <c r="CH49" i="37"/>
  <c r="CQ49" i="37"/>
  <c r="CG49" i="37"/>
  <c r="CP49" i="37"/>
  <c r="CE49" i="37"/>
  <c r="CN49" i="37"/>
  <c r="CD49" i="37"/>
  <c r="CM49" i="37"/>
  <c r="CM25" i="37"/>
  <c r="CH25" i="37"/>
  <c r="CA25" i="37"/>
  <c r="CJ25" i="37"/>
  <c r="CQ25" i="37"/>
  <c r="CG25" i="37"/>
  <c r="CN25" i="37"/>
  <c r="CP25" i="37"/>
  <c r="CE25" i="37"/>
  <c r="CD25" i="37"/>
  <c r="CP59" i="37"/>
  <c r="CE59" i="37"/>
  <c r="CN59" i="37"/>
  <c r="CD59" i="37"/>
  <c r="CM59" i="37"/>
  <c r="CA59" i="37"/>
  <c r="CJ59" i="37"/>
  <c r="CH59" i="37"/>
  <c r="CQ59" i="37"/>
  <c r="CG59" i="37"/>
  <c r="CM17" i="37"/>
  <c r="CD17" i="37"/>
  <c r="CA17" i="37"/>
  <c r="CH17" i="37"/>
  <c r="CJ17" i="37"/>
  <c r="CQ17" i="37"/>
  <c r="CG17" i="37"/>
  <c r="CP17" i="37"/>
  <c r="CE17" i="37"/>
  <c r="CN17" i="37"/>
  <c r="CM58" i="37"/>
  <c r="CA58" i="37"/>
  <c r="CJ58" i="37"/>
  <c r="CH58" i="37"/>
  <c r="CQ58" i="37"/>
  <c r="CG58" i="37"/>
  <c r="CE58" i="37"/>
  <c r="CD58" i="37"/>
  <c r="CP58" i="37"/>
  <c r="CN58" i="37"/>
  <c r="CP14" i="37"/>
  <c r="CE14" i="37"/>
  <c r="CN14" i="37"/>
  <c r="CD14" i="37"/>
  <c r="CA14" i="37"/>
  <c r="CM14" i="37"/>
  <c r="CJ14" i="37"/>
  <c r="CG14" i="37"/>
  <c r="CH14" i="37"/>
  <c r="CQ14" i="37"/>
  <c r="CM30" i="37"/>
  <c r="CA30" i="37"/>
  <c r="CJ30" i="37"/>
  <c r="CH30" i="37"/>
  <c r="CQ30" i="37"/>
  <c r="CG30" i="37"/>
  <c r="CP30" i="37"/>
  <c r="CN30" i="37"/>
  <c r="CE30" i="37"/>
  <c r="CD30" i="37"/>
  <c r="CA57" i="37"/>
  <c r="CJ57" i="37"/>
  <c r="CH57" i="37"/>
  <c r="CQ57" i="37"/>
  <c r="CG57" i="37"/>
  <c r="CP57" i="37"/>
  <c r="CE57" i="37"/>
  <c r="CN57" i="37"/>
  <c r="CD57" i="37"/>
  <c r="CM57" i="37"/>
  <c r="CP22" i="37"/>
  <c r="CE22" i="37"/>
  <c r="CN22" i="37"/>
  <c r="CD22" i="37"/>
  <c r="CM22" i="37"/>
  <c r="CA22" i="37"/>
  <c r="CJ22" i="37"/>
  <c r="CH22" i="37"/>
  <c r="CQ22" i="37"/>
  <c r="CG22" i="37"/>
  <c r="CH56" i="37"/>
  <c r="CQ56" i="37"/>
  <c r="CG56" i="37"/>
  <c r="CP56" i="37"/>
  <c r="CE56" i="37"/>
  <c r="CN56" i="37"/>
  <c r="CD56" i="37"/>
  <c r="CM56" i="37"/>
  <c r="CA56" i="37"/>
  <c r="CJ56" i="37"/>
  <c r="CH64" i="37"/>
  <c r="CQ64" i="37"/>
  <c r="CG64" i="37"/>
  <c r="CP64" i="37"/>
  <c r="CE64" i="37"/>
  <c r="CN64" i="37"/>
  <c r="CD64" i="37"/>
  <c r="CM64" i="37"/>
  <c r="CJ64" i="37"/>
  <c r="CA64" i="37"/>
  <c r="CH36" i="37"/>
  <c r="CQ36" i="37"/>
  <c r="CG36" i="37"/>
  <c r="CP36" i="37"/>
  <c r="CE36" i="37"/>
  <c r="CN36" i="37"/>
  <c r="CD36" i="37"/>
  <c r="CM36" i="37"/>
  <c r="CJ36" i="37"/>
  <c r="CA36" i="37"/>
  <c r="CA41" i="37"/>
  <c r="CJ41" i="37"/>
  <c r="CH41" i="37"/>
  <c r="CQ41" i="37"/>
  <c r="CG41" i="37"/>
  <c r="CP41" i="37"/>
  <c r="CE41" i="37"/>
  <c r="CN41" i="37"/>
  <c r="CD41" i="37"/>
  <c r="CM41" i="37"/>
  <c r="CA29" i="37"/>
  <c r="CJ29" i="37"/>
  <c r="CH29" i="37"/>
  <c r="CQ29" i="37"/>
  <c r="CG29" i="37"/>
  <c r="CP29" i="37"/>
  <c r="CE29" i="37"/>
  <c r="CN29" i="37"/>
  <c r="CD29" i="37"/>
  <c r="CM29" i="37"/>
  <c r="CA33" i="37"/>
  <c r="CJ33" i="37"/>
  <c r="CH33" i="37"/>
  <c r="CQ33" i="37"/>
  <c r="CG33" i="37"/>
  <c r="CP33" i="37"/>
  <c r="CE33" i="37"/>
  <c r="CN33" i="37"/>
  <c r="CD33" i="37"/>
  <c r="CM33" i="37"/>
  <c r="CM27" i="37"/>
  <c r="CH27" i="37"/>
  <c r="CG27" i="37"/>
  <c r="CE27" i="37"/>
  <c r="CQ27" i="37"/>
  <c r="CD27" i="37"/>
  <c r="CP27" i="37"/>
  <c r="CN27" i="37"/>
  <c r="CA27" i="37"/>
  <c r="CJ27" i="37"/>
  <c r="CH68" i="37"/>
  <c r="CQ68" i="37"/>
  <c r="CG68" i="37"/>
  <c r="CP68" i="37"/>
  <c r="CE68" i="37"/>
  <c r="CN68" i="37"/>
  <c r="CD68" i="37"/>
  <c r="CM68" i="37"/>
  <c r="CJ68" i="37"/>
  <c r="CA68" i="37"/>
  <c r="CA45" i="37"/>
  <c r="CJ45" i="37"/>
  <c r="CH45" i="37"/>
  <c r="CQ45" i="37"/>
  <c r="CG45" i="37"/>
  <c r="CP45" i="37"/>
  <c r="CE45" i="37"/>
  <c r="CN45" i="37"/>
  <c r="CD45" i="37"/>
  <c r="CM45" i="37"/>
  <c r="CH19" i="37"/>
  <c r="CQ19" i="37"/>
  <c r="CG19" i="37"/>
  <c r="CP19" i="37"/>
  <c r="CE19" i="37"/>
  <c r="CM19" i="37"/>
  <c r="CN19" i="37"/>
  <c r="CD19" i="37"/>
  <c r="CJ19" i="37"/>
  <c r="CA19" i="37"/>
  <c r="CH44" i="37"/>
  <c r="CQ44" i="37"/>
  <c r="CG44" i="37"/>
  <c r="CP44" i="37"/>
  <c r="CE44" i="37"/>
  <c r="CN44" i="37"/>
  <c r="CD44" i="37"/>
  <c r="CM44" i="37"/>
  <c r="CJ44" i="37"/>
  <c r="CA44" i="37"/>
  <c r="CM66" i="37"/>
  <c r="CA66" i="37"/>
  <c r="CJ66" i="37"/>
  <c r="CH66" i="37"/>
  <c r="CQ66" i="37"/>
  <c r="CG66" i="37"/>
  <c r="CD66" i="37"/>
  <c r="CP66" i="37"/>
  <c r="CN66" i="37"/>
  <c r="CE66" i="37"/>
  <c r="CO81" i="37"/>
  <c r="CK72" i="34"/>
  <c r="CK30" i="34"/>
  <c r="CL30" i="34"/>
  <c r="CP203" i="34"/>
  <c r="CO203" i="34"/>
  <c r="CB30" i="34"/>
  <c r="T30" i="34" s="1"/>
  <c r="M61" i="34"/>
  <c r="CL34" i="34"/>
  <c r="CL27" i="34"/>
  <c r="CF203" i="34"/>
  <c r="CE203" i="34"/>
  <c r="CL274" i="34"/>
  <c r="CA72" i="34"/>
  <c r="K72" i="34" s="1"/>
  <c r="CK274" i="34"/>
  <c r="CL72" i="34"/>
  <c r="B332" i="34"/>
  <c r="CL332" i="34" s="1"/>
  <c r="CK74" i="34"/>
  <c r="CL74" i="34"/>
  <c r="CA48" i="34"/>
  <c r="S48" i="34" s="1"/>
  <c r="CB28" i="34"/>
  <c r="T28" i="34" s="1"/>
  <c r="B328" i="34"/>
  <c r="CB328" i="34" s="1"/>
  <c r="C190" i="34"/>
  <c r="CK28" i="34"/>
  <c r="CA62" i="32"/>
  <c r="AP62" i="32" s="1"/>
  <c r="CK54" i="32"/>
  <c r="CB27" i="34"/>
  <c r="T27" i="34" s="1"/>
  <c r="CK33" i="34"/>
  <c r="CK27" i="34"/>
  <c r="B333" i="34"/>
  <c r="CB333" i="34" s="1"/>
  <c r="N70" i="36"/>
  <c r="N88" i="36"/>
  <c r="N86" i="36"/>
  <c r="N65" i="36"/>
  <c r="CK51" i="32"/>
  <c r="CL64" i="32"/>
  <c r="M63" i="34"/>
  <c r="CA64" i="32"/>
  <c r="AP64" i="32" s="1"/>
  <c r="CK64" i="32"/>
  <c r="CF22" i="33"/>
  <c r="CG22" i="33"/>
  <c r="CA22" i="33"/>
  <c r="AI22" i="33" s="1"/>
  <c r="AO36" i="32"/>
  <c r="CL28" i="34"/>
  <c r="CM81" i="37"/>
  <c r="CK59" i="32"/>
  <c r="CA29" i="33"/>
  <c r="AI29" i="33" s="1"/>
  <c r="CK32" i="34"/>
  <c r="CK24" i="34"/>
  <c r="CB56" i="34"/>
  <c r="CL32" i="34"/>
  <c r="CL24" i="34"/>
  <c r="CC81" i="37"/>
  <c r="M65" i="34"/>
  <c r="C198" i="34"/>
  <c r="N18" i="36"/>
  <c r="AO39" i="32"/>
  <c r="CA51" i="32"/>
  <c r="AP51" i="32" s="1"/>
  <c r="CB24" i="34"/>
  <c r="T24" i="34" s="1"/>
  <c r="CE81" i="37"/>
  <c r="CN81" i="37"/>
  <c r="B330" i="34"/>
  <c r="CB330" i="34" s="1"/>
  <c r="CL51" i="32"/>
  <c r="CF81" i="37"/>
  <c r="CB22" i="34"/>
  <c r="T22" i="34" s="1"/>
  <c r="CK22" i="34"/>
  <c r="CL22" i="34"/>
  <c r="CD81" i="37"/>
  <c r="N42" i="36"/>
  <c r="CL59" i="32"/>
  <c r="CG35" i="33"/>
  <c r="N47" i="36"/>
  <c r="CB23" i="33"/>
  <c r="AI23" i="33" s="1"/>
  <c r="CF24" i="33"/>
  <c r="CB24" i="33"/>
  <c r="CH21" i="33"/>
  <c r="AI25" i="33"/>
  <c r="CG21" i="33"/>
  <c r="AO37" i="32"/>
  <c r="AO38" i="32"/>
  <c r="CA274" i="34"/>
  <c r="AX274" i="34" s="1"/>
  <c r="CB31" i="34"/>
  <c r="T31" i="34" s="1"/>
  <c r="CK49" i="34"/>
  <c r="CA49" i="34"/>
  <c r="CL49" i="34"/>
  <c r="CB49" i="34"/>
  <c r="CK48" i="34"/>
  <c r="CL48" i="34"/>
  <c r="CA54" i="32"/>
  <c r="AP54" i="32" s="1"/>
  <c r="CB49" i="32"/>
  <c r="CK31" i="34"/>
  <c r="CA66" i="32"/>
  <c r="AP66" i="32" s="1"/>
  <c r="CB39" i="34"/>
  <c r="T39" i="34" s="1"/>
  <c r="CL31" i="34"/>
  <c r="CK55" i="34"/>
  <c r="B327" i="34"/>
  <c r="CB327" i="34" s="1"/>
  <c r="CK46" i="34"/>
  <c r="CA46" i="34"/>
  <c r="CB46" i="34"/>
  <c r="CL46" i="34"/>
  <c r="CK47" i="34"/>
  <c r="CA47" i="34"/>
  <c r="CL47" i="34"/>
  <c r="CB47" i="34"/>
  <c r="CB212" i="34"/>
  <c r="U212" i="34" s="1"/>
  <c r="CL54" i="32"/>
  <c r="CK66" i="32"/>
  <c r="CL212" i="34"/>
  <c r="CK39" i="34"/>
  <c r="CB32" i="34"/>
  <c r="T32" i="34" s="1"/>
  <c r="C205" i="34"/>
  <c r="CD13" i="37"/>
  <c r="C320" i="34"/>
  <c r="N43" i="36"/>
  <c r="N31" i="36"/>
  <c r="CK63" i="32"/>
  <c r="CA63" i="32"/>
  <c r="CK57" i="34"/>
  <c r="CB63" i="32"/>
  <c r="N78" i="36"/>
  <c r="N84" i="36"/>
  <c r="N83" i="36"/>
  <c r="N45" i="36"/>
  <c r="N44" i="36"/>
  <c r="N32" i="36"/>
  <c r="N64" i="36"/>
  <c r="N27" i="36"/>
  <c r="N12" i="36"/>
  <c r="N19" i="36"/>
  <c r="N28" i="36"/>
  <c r="N29" i="36"/>
  <c r="N30" i="36"/>
  <c r="M71" i="32"/>
  <c r="M70" i="32"/>
  <c r="M72" i="32"/>
  <c r="M73" i="32"/>
  <c r="CL88" i="32"/>
  <c r="CK65" i="32"/>
  <c r="CL65" i="32"/>
  <c r="CA65" i="32"/>
  <c r="AP65" i="32" s="1"/>
  <c r="CA57" i="32"/>
  <c r="CB57" i="32"/>
  <c r="CA53" i="32"/>
  <c r="CB53" i="32"/>
  <c r="CA55" i="32"/>
  <c r="AP55" i="32" s="1"/>
  <c r="CA56" i="32"/>
  <c r="CA47" i="32"/>
  <c r="AP47" i="32" s="1"/>
  <c r="CK52" i="32"/>
  <c r="CA60" i="32"/>
  <c r="CL29" i="34"/>
  <c r="CB37" i="34"/>
  <c r="T37" i="34" s="1"/>
  <c r="CL26" i="34"/>
  <c r="M67" i="34"/>
  <c r="CK41" i="34"/>
  <c r="CK37" i="34"/>
  <c r="CB23" i="34"/>
  <c r="T23" i="34" s="1"/>
  <c r="CB21" i="34"/>
  <c r="T21" i="34" s="1"/>
  <c r="B326" i="34"/>
  <c r="CL33" i="34"/>
  <c r="CB41" i="34"/>
  <c r="T41" i="34" s="1"/>
  <c r="C97" i="34"/>
  <c r="CL41" i="34"/>
  <c r="CL37" i="34"/>
  <c r="CK23" i="34"/>
  <c r="CK21" i="34"/>
  <c r="D321" i="34"/>
  <c r="CA57" i="34"/>
  <c r="CB33" i="34"/>
  <c r="T33" i="34" s="1"/>
  <c r="CB29" i="34"/>
  <c r="T29" i="34" s="1"/>
  <c r="CL23" i="34"/>
  <c r="CL21" i="34"/>
  <c r="CA329" i="34"/>
  <c r="CL329" i="34"/>
  <c r="CB329" i="34"/>
  <c r="CK56" i="34"/>
  <c r="C301" i="34"/>
  <c r="CK73" i="34"/>
  <c r="C313" i="34"/>
  <c r="CL73" i="34"/>
  <c r="B331" i="34"/>
  <c r="CA331" i="34" s="1"/>
  <c r="CA56" i="34"/>
  <c r="CA73" i="34"/>
  <c r="K73" i="34" s="1"/>
  <c r="CB52" i="32"/>
  <c r="AP52" i="32" s="1"/>
  <c r="CA273" i="34"/>
  <c r="CL61" i="32"/>
  <c r="CK45" i="32"/>
  <c r="CF30" i="33"/>
  <c r="CL52" i="32"/>
  <c r="CL45" i="32"/>
  <c r="CG30" i="33"/>
  <c r="CB26" i="34"/>
  <c r="T26" i="34" s="1"/>
  <c r="CA55" i="34"/>
  <c r="CK273" i="34"/>
  <c r="CL35" i="34"/>
  <c r="CL55" i="32"/>
  <c r="CK56" i="32"/>
  <c r="CB56" i="32"/>
  <c r="CB45" i="32"/>
  <c r="AP45" i="32" s="1"/>
  <c r="CF35" i="33"/>
  <c r="CK26" i="34"/>
  <c r="CB55" i="34"/>
  <c r="CK55" i="32"/>
  <c r="AI35" i="33"/>
  <c r="CB35" i="34"/>
  <c r="T35" i="34" s="1"/>
  <c r="A51" i="33"/>
  <c r="E6" i="18" s="1"/>
  <c r="CL62" i="32"/>
  <c r="CK62" i="32"/>
  <c r="CK61" i="32"/>
  <c r="CK53" i="32"/>
  <c r="B21" i="33"/>
  <c r="AI21" i="33" s="1"/>
  <c r="CA24" i="33"/>
  <c r="CB273" i="34"/>
  <c r="CB57" i="34"/>
  <c r="CK35" i="34"/>
  <c r="AD17" i="32"/>
  <c r="N78" i="32"/>
  <c r="CL47" i="32"/>
  <c r="CA49" i="32"/>
  <c r="CK49" i="32"/>
  <c r="CL50" i="32"/>
  <c r="CA50" i="32"/>
  <c r="AP50" i="32" s="1"/>
  <c r="CK57" i="32"/>
  <c r="CB48" i="32"/>
  <c r="AP48" i="32" s="1"/>
  <c r="CK48" i="32"/>
  <c r="CK58" i="32"/>
  <c r="CL90" i="32"/>
  <c r="CA61" i="32"/>
  <c r="AP61" i="32" s="1"/>
  <c r="CL58" i="32"/>
  <c r="CL48" i="32"/>
  <c r="CK50" i="32"/>
  <c r="CA58" i="32"/>
  <c r="AP58" i="32" s="1"/>
  <c r="AD25" i="32"/>
  <c r="CK47" i="32"/>
  <c r="A207" i="37"/>
  <c r="E16" i="18" s="1"/>
  <c r="CN13" i="37"/>
  <c r="CP13" i="37"/>
  <c r="CK329" i="34"/>
  <c r="AD21" i="32"/>
  <c r="CK60" i="32"/>
  <c r="AD28" i="32"/>
  <c r="AD22" i="32"/>
  <c r="CB60" i="32"/>
  <c r="AD30" i="32"/>
  <c r="AD19" i="32"/>
  <c r="CL91" i="32"/>
  <c r="AD32" i="32"/>
  <c r="AD31" i="32"/>
  <c r="AD29" i="32"/>
  <c r="AD24" i="32"/>
  <c r="AD26" i="32"/>
  <c r="AD20" i="32"/>
  <c r="AD16" i="32"/>
  <c r="A151" i="32"/>
  <c r="E5" i="18" s="1"/>
  <c r="AD23" i="32"/>
  <c r="CA13" i="37"/>
  <c r="CQ13" i="37"/>
  <c r="CE13" i="37"/>
  <c r="CH13" i="37"/>
  <c r="AD14" i="32"/>
  <c r="AD27" i="32"/>
  <c r="AD15" i="32"/>
  <c r="AD13" i="32"/>
  <c r="AD18" i="32"/>
  <c r="AD12" i="32"/>
  <c r="AD11" i="32"/>
  <c r="CJ13" i="37"/>
  <c r="E321" i="34"/>
  <c r="C282" i="34"/>
  <c r="CK91" i="32"/>
  <c r="AI91" i="32"/>
  <c r="G14" i="33"/>
  <c r="AI30" i="33"/>
  <c r="C162" i="34"/>
  <c r="G16" i="33"/>
  <c r="G15" i="33"/>
  <c r="B54" i="34"/>
  <c r="N82" i="32"/>
  <c r="T20" i="34"/>
  <c r="CG13" i="37"/>
  <c r="C289" i="34"/>
  <c r="M66" i="34"/>
  <c r="M62" i="34"/>
  <c r="C275" i="34"/>
  <c r="CB210" i="34"/>
  <c r="CA210" i="34"/>
  <c r="CL210" i="34"/>
  <c r="CK210" i="34"/>
  <c r="CB211" i="34"/>
  <c r="CA211" i="34"/>
  <c r="CL211" i="34"/>
  <c r="CK211" i="34"/>
  <c r="C151" i="34"/>
  <c r="M64" i="34"/>
  <c r="G17" i="33"/>
  <c r="G13" i="33"/>
  <c r="N80" i="32"/>
  <c r="N79" i="32"/>
  <c r="N81" i="32"/>
  <c r="CL93" i="32"/>
  <c r="CK93" i="32"/>
  <c r="CL333" i="34" l="1"/>
  <c r="AT86" i="37"/>
  <c r="AT90" i="37"/>
  <c r="AT87" i="37"/>
  <c r="AT82" i="37"/>
  <c r="AT83" i="37"/>
  <c r="AT84" i="37"/>
  <c r="AI92" i="32"/>
  <c r="AI88" i="32"/>
  <c r="AP44" i="32"/>
  <c r="AJ204" i="34"/>
  <c r="AV40" i="37"/>
  <c r="AV46" i="37"/>
  <c r="AT81" i="37"/>
  <c r="AV44" i="37"/>
  <c r="AV36" i="37"/>
  <c r="AV15" i="37"/>
  <c r="AV51" i="37"/>
  <c r="AV32" i="37"/>
  <c r="AI89" i="32"/>
  <c r="AT91" i="37"/>
  <c r="AT89" i="37"/>
  <c r="AT92" i="37"/>
  <c r="AT85" i="37"/>
  <c r="AT88" i="37"/>
  <c r="AV24" i="37"/>
  <c r="AV16" i="37"/>
  <c r="AV13" i="37"/>
  <c r="AV27" i="37"/>
  <c r="AV57" i="37"/>
  <c r="AV14" i="37"/>
  <c r="AV48" i="37"/>
  <c r="AV50" i="37"/>
  <c r="AV52" i="37"/>
  <c r="AV19" i="37"/>
  <c r="AV64" i="37"/>
  <c r="AV22" i="37"/>
  <c r="AV30" i="37"/>
  <c r="AV28" i="37"/>
  <c r="AV23" i="37"/>
  <c r="AV31" i="37"/>
  <c r="AV39" i="37"/>
  <c r="AV34" i="37"/>
  <c r="AV47" i="37"/>
  <c r="AV42" i="37"/>
  <c r="AV33" i="37"/>
  <c r="AV25" i="37"/>
  <c r="AV67" i="37"/>
  <c r="AV62" i="37"/>
  <c r="AV43" i="37"/>
  <c r="AV54" i="37"/>
  <c r="AV26" i="37"/>
  <c r="AV63" i="37"/>
  <c r="AV45" i="37"/>
  <c r="AV29" i="37"/>
  <c r="AV56" i="37"/>
  <c r="AV37" i="37"/>
  <c r="AV20" i="37"/>
  <c r="AV53" i="37"/>
  <c r="AV60" i="37"/>
  <c r="AV38" i="37"/>
  <c r="AV66" i="37"/>
  <c r="AV68" i="37"/>
  <c r="AV58" i="37"/>
  <c r="AV59" i="37"/>
  <c r="AV21" i="37"/>
  <c r="AV55" i="37"/>
  <c r="AV35" i="37"/>
  <c r="AV41" i="37"/>
  <c r="AV17" i="37"/>
  <c r="AV49" i="37"/>
  <c r="AV65" i="37"/>
  <c r="AV61" i="37"/>
  <c r="AV18" i="37"/>
  <c r="AJ203" i="34"/>
  <c r="B151" i="32"/>
  <c r="D5" i="18" s="1"/>
  <c r="B207" i="37"/>
  <c r="D16" i="18" s="1"/>
  <c r="CB326" i="34"/>
  <c r="CA326" i="34"/>
  <c r="CK328" i="34"/>
  <c r="CA328" i="34"/>
  <c r="AF328" i="34" s="1"/>
  <c r="CK327" i="34"/>
  <c r="CA332" i="34"/>
  <c r="CB332" i="34"/>
  <c r="CK332" i="34"/>
  <c r="K56" i="34"/>
  <c r="S46" i="34"/>
  <c r="CL328" i="34"/>
  <c r="S49" i="34"/>
  <c r="AP53" i="32"/>
  <c r="CA330" i="34"/>
  <c r="AF330" i="34" s="1"/>
  <c r="CL330" i="34"/>
  <c r="CK330" i="34"/>
  <c r="CK333" i="34"/>
  <c r="CL327" i="34"/>
  <c r="CA327" i="34"/>
  <c r="AF327" i="34" s="1"/>
  <c r="CA333" i="34"/>
  <c r="AF333" i="34" s="1"/>
  <c r="AI24" i="33"/>
  <c r="CK326" i="34"/>
  <c r="S47" i="34"/>
  <c r="AP63" i="32"/>
  <c r="AP49" i="32"/>
  <c r="AX273" i="34"/>
  <c r="C321" i="34"/>
  <c r="AP57" i="32"/>
  <c r="K55" i="34"/>
  <c r="K57" i="34"/>
  <c r="AF329" i="34"/>
  <c r="AP56" i="32"/>
  <c r="AP60" i="32"/>
  <c r="AI90" i="32"/>
  <c r="CB331" i="34"/>
  <c r="AF331" i="34" s="1"/>
  <c r="CK331" i="34"/>
  <c r="CL326" i="34"/>
  <c r="CL331" i="34"/>
  <c r="U210" i="34"/>
  <c r="AI93" i="32"/>
  <c r="U211" i="34"/>
  <c r="AF326" i="34" l="1"/>
  <c r="B346" i="34"/>
  <c r="D7" i="18" s="1"/>
  <c r="AF332" i="34"/>
  <c r="A346" i="34"/>
  <c r="E7" i="18" s="1"/>
  <c r="B51" i="33"/>
  <c r="D6" i="18" s="1"/>
  <c r="E194" i="31"/>
  <c r="D194" i="31"/>
  <c r="E193" i="31"/>
  <c r="D193" i="31"/>
  <c r="E192" i="31"/>
  <c r="D192" i="31"/>
  <c r="E191" i="31"/>
  <c r="D191" i="31"/>
  <c r="E190" i="31"/>
  <c r="D190" i="31"/>
  <c r="E189" i="31"/>
  <c r="D189" i="31"/>
  <c r="E188" i="31"/>
  <c r="D188" i="31"/>
  <c r="I183" i="31"/>
  <c r="H183" i="31"/>
  <c r="G183" i="31"/>
  <c r="F183" i="31"/>
  <c r="E183" i="31"/>
  <c r="D182" i="31"/>
  <c r="D181" i="31"/>
  <c r="D180" i="31"/>
  <c r="D179" i="31"/>
  <c r="D178" i="31"/>
  <c r="D177" i="31"/>
  <c r="D176" i="31"/>
  <c r="D175" i="31"/>
  <c r="D174" i="31"/>
  <c r="D173" i="31"/>
  <c r="D172" i="31"/>
  <c r="D171" i="31"/>
  <c r="D170" i="31"/>
  <c r="D169" i="31"/>
  <c r="D168" i="31"/>
  <c r="D167" i="31"/>
  <c r="D166" i="31"/>
  <c r="D165" i="31"/>
  <c r="D164" i="31"/>
  <c r="D163" i="31"/>
  <c r="D162" i="31"/>
  <c r="D161" i="31"/>
  <c r="D160" i="31"/>
  <c r="D159" i="31"/>
  <c r="D158" i="31"/>
  <c r="D157" i="31"/>
  <c r="D156" i="31"/>
  <c r="D155" i="31"/>
  <c r="D154" i="31"/>
  <c r="D153" i="31"/>
  <c r="D152" i="31"/>
  <c r="D151" i="31"/>
  <c r="D148" i="31"/>
  <c r="D147" i="31"/>
  <c r="D146" i="31"/>
  <c r="D145" i="31"/>
  <c r="D144" i="31"/>
  <c r="D143" i="31"/>
  <c r="D142" i="31"/>
  <c r="D141" i="31"/>
  <c r="D140" i="31"/>
  <c r="CK140" i="31" s="1"/>
  <c r="D139" i="31"/>
  <c r="D138" i="31"/>
  <c r="D137" i="31"/>
  <c r="D136" i="31"/>
  <c r="D135" i="31"/>
  <c r="D134" i="31"/>
  <c r="D133" i="31"/>
  <c r="CN129" i="31"/>
  <c r="CD129" i="31" s="1"/>
  <c r="CM129" i="31"/>
  <c r="CC129" i="31" s="1"/>
  <c r="CL129" i="31"/>
  <c r="CK129" i="31"/>
  <c r="CN128" i="31"/>
  <c r="CD128" i="31" s="1"/>
  <c r="CM128" i="31"/>
  <c r="CC128" i="31" s="1"/>
  <c r="CL128" i="31"/>
  <c r="CB128" i="31" s="1"/>
  <c r="CK128" i="31"/>
  <c r="CA128" i="31" s="1"/>
  <c r="B124" i="31"/>
  <c r="B123" i="31"/>
  <c r="B119" i="31"/>
  <c r="B118" i="31"/>
  <c r="D111" i="31"/>
  <c r="CA111" i="31" s="1"/>
  <c r="M111" i="31" s="1"/>
  <c r="D110" i="31"/>
  <c r="CA110" i="31" s="1"/>
  <c r="M110" i="31" s="1"/>
  <c r="D109" i="31"/>
  <c r="CA109" i="31" s="1"/>
  <c r="M109" i="31" s="1"/>
  <c r="D108" i="31"/>
  <c r="CA108" i="31" s="1"/>
  <c r="M108" i="31" s="1"/>
  <c r="D107" i="31"/>
  <c r="CA107" i="31" s="1"/>
  <c r="M107" i="31" s="1"/>
  <c r="D106" i="31"/>
  <c r="CA106" i="31" s="1"/>
  <c r="M106" i="31" s="1"/>
  <c r="D105" i="31"/>
  <c r="CA105" i="31" s="1"/>
  <c r="M105" i="31" s="1"/>
  <c r="D104" i="31"/>
  <c r="CA104" i="31" s="1"/>
  <c r="M104" i="31" s="1"/>
  <c r="D103" i="31"/>
  <c r="E99" i="31"/>
  <c r="CL99" i="31" s="1"/>
  <c r="E98" i="31"/>
  <c r="E97" i="31"/>
  <c r="I83" i="31"/>
  <c r="H83" i="31"/>
  <c r="G83" i="31"/>
  <c r="F83" i="31"/>
  <c r="E83" i="31"/>
  <c r="D82" i="31"/>
  <c r="D81" i="31"/>
  <c r="D80" i="31"/>
  <c r="D79" i="31"/>
  <c r="D78" i="31"/>
  <c r="D77" i="31"/>
  <c r="D76" i="31"/>
  <c r="D75" i="31"/>
  <c r="D74" i="31"/>
  <c r="D73" i="31"/>
  <c r="D72" i="31"/>
  <c r="D71" i="31"/>
  <c r="D70" i="31"/>
  <c r="D69" i="31"/>
  <c r="D68" i="31"/>
  <c r="D67" i="31"/>
  <c r="D66" i="31"/>
  <c r="D65" i="31"/>
  <c r="D64" i="31"/>
  <c r="D63" i="31"/>
  <c r="D62" i="31"/>
  <c r="D61" i="31"/>
  <c r="D60" i="31"/>
  <c r="D59" i="31"/>
  <c r="D58" i="31"/>
  <c r="D57" i="31"/>
  <c r="D56" i="31"/>
  <c r="D55" i="31"/>
  <c r="D54" i="31"/>
  <c r="D53" i="31"/>
  <c r="D52" i="31"/>
  <c r="D51" i="31"/>
  <c r="D50" i="31"/>
  <c r="D49" i="31"/>
  <c r="AG46" i="31"/>
  <c r="AF46" i="31"/>
  <c r="AE46" i="31"/>
  <c r="AD46" i="31"/>
  <c r="AC46" i="31"/>
  <c r="AB46" i="31"/>
  <c r="AA46" i="31"/>
  <c r="Z46" i="31"/>
  <c r="Y46" i="31"/>
  <c r="X46" i="31"/>
  <c r="W46" i="31"/>
  <c r="V46" i="31"/>
  <c r="U46" i="31"/>
  <c r="T46" i="31"/>
  <c r="S46" i="31"/>
  <c r="R46" i="31"/>
  <c r="Q46" i="31"/>
  <c r="P46" i="31"/>
  <c r="O46" i="31"/>
  <c r="N46" i="31"/>
  <c r="M46" i="31"/>
  <c r="L46" i="31"/>
  <c r="K46" i="31"/>
  <c r="J46" i="31"/>
  <c r="I46" i="31"/>
  <c r="H46" i="31"/>
  <c r="G46" i="31"/>
  <c r="F46" i="31"/>
  <c r="E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CO11" i="31" l="1"/>
  <c r="CN11" i="31"/>
  <c r="CM11" i="31"/>
  <c r="CD11" i="31"/>
  <c r="CL11" i="31"/>
  <c r="CE11" i="31"/>
  <c r="CB11" i="31"/>
  <c r="CC11" i="31"/>
  <c r="CL30" i="31"/>
  <c r="CM30" i="31"/>
  <c r="CN30" i="31"/>
  <c r="CB30" i="31"/>
  <c r="CO30" i="31"/>
  <c r="CC30" i="31"/>
  <c r="CD30" i="31"/>
  <c r="CE30" i="31"/>
  <c r="CD31" i="31"/>
  <c r="CE31" i="31"/>
  <c r="CL31" i="31"/>
  <c r="CC31" i="31"/>
  <c r="CM31" i="31"/>
  <c r="CN31" i="31"/>
  <c r="CO31" i="31"/>
  <c r="CB31" i="31"/>
  <c r="CL26" i="31"/>
  <c r="CM26" i="31"/>
  <c r="CO26" i="31"/>
  <c r="CB26" i="31"/>
  <c r="CC26" i="31"/>
  <c r="CE26" i="31"/>
  <c r="CM28" i="31"/>
  <c r="CL28" i="31"/>
  <c r="CN28" i="31"/>
  <c r="CO28" i="31"/>
  <c r="CB28" i="31"/>
  <c r="CC28" i="31"/>
  <c r="CD28" i="31"/>
  <c r="CE28" i="31"/>
  <c r="CD29" i="31"/>
  <c r="CE29" i="31"/>
  <c r="CB29" i="31"/>
  <c r="CC29" i="31"/>
  <c r="CL29" i="31"/>
  <c r="CM29" i="31"/>
  <c r="CO29" i="31"/>
  <c r="CN29" i="31"/>
  <c r="CD27" i="31"/>
  <c r="CE27" i="31"/>
  <c r="CB27" i="31"/>
  <c r="CL27" i="31"/>
  <c r="CM27" i="31"/>
  <c r="CN27" i="31"/>
  <c r="CO27" i="31"/>
  <c r="CC27" i="31"/>
  <c r="CM43" i="31"/>
  <c r="CD43" i="31"/>
  <c r="CE43" i="31"/>
  <c r="CN43" i="31"/>
  <c r="CO43" i="31"/>
  <c r="CL43" i="31"/>
  <c r="CC43" i="31"/>
  <c r="CB43" i="31"/>
  <c r="CM45" i="31"/>
  <c r="CD45" i="31"/>
  <c r="CN45" i="31"/>
  <c r="CE45" i="31"/>
  <c r="CO45" i="31"/>
  <c r="CL45" i="31"/>
  <c r="CB45" i="31"/>
  <c r="CC45" i="31"/>
  <c r="CL44" i="31"/>
  <c r="CC44" i="31"/>
  <c r="CM44" i="31"/>
  <c r="CD44" i="31"/>
  <c r="CB44" i="31"/>
  <c r="CN44" i="31"/>
  <c r="CE44" i="31"/>
  <c r="CO44" i="31"/>
  <c r="CM38" i="31"/>
  <c r="CN38" i="31"/>
  <c r="CO38" i="31"/>
  <c r="CB38" i="31"/>
  <c r="CC38" i="31"/>
  <c r="CD38" i="31"/>
  <c r="CL38" i="31"/>
  <c r="CE38" i="31"/>
  <c r="CD39" i="31"/>
  <c r="CE39" i="31"/>
  <c r="CL39" i="31"/>
  <c r="CM39" i="31"/>
  <c r="CN39" i="31"/>
  <c r="CO39" i="31"/>
  <c r="CB39" i="31"/>
  <c r="CC39" i="31"/>
  <c r="CM42" i="31"/>
  <c r="CN42" i="31"/>
  <c r="CO42" i="31"/>
  <c r="CB42" i="31"/>
  <c r="CC42" i="31"/>
  <c r="CL42" i="31"/>
  <c r="CD42" i="31"/>
  <c r="CE42" i="31"/>
  <c r="CM40" i="31"/>
  <c r="CN40" i="31"/>
  <c r="CO40" i="31"/>
  <c r="CB40" i="31"/>
  <c r="CL40" i="31"/>
  <c r="CC40" i="31"/>
  <c r="CD40" i="31"/>
  <c r="CE40" i="31"/>
  <c r="CD41" i="31"/>
  <c r="CE41" i="31"/>
  <c r="CC41" i="31"/>
  <c r="CL41" i="31"/>
  <c r="CM41" i="31"/>
  <c r="CN41" i="31"/>
  <c r="CO41" i="31"/>
  <c r="CB41" i="31"/>
  <c r="CM37" i="31"/>
  <c r="CD37" i="31"/>
  <c r="CE37" i="31"/>
  <c r="CC37" i="31"/>
  <c r="CL37" i="31"/>
  <c r="CO37" i="31"/>
  <c r="CB37" i="31"/>
  <c r="CN37" i="31"/>
  <c r="CM32" i="31"/>
  <c r="CN32" i="31"/>
  <c r="CO32" i="31"/>
  <c r="CB32" i="31"/>
  <c r="CC32" i="31"/>
  <c r="CD32" i="31"/>
  <c r="CE32" i="31"/>
  <c r="CL32" i="31"/>
  <c r="CD35" i="31"/>
  <c r="CE35" i="31"/>
  <c r="CL35" i="31"/>
  <c r="CC35" i="31"/>
  <c r="CM35" i="31"/>
  <c r="CN35" i="31"/>
  <c r="CO35" i="31"/>
  <c r="CB35" i="31"/>
  <c r="CM36" i="31"/>
  <c r="CN36" i="31"/>
  <c r="CL36" i="31"/>
  <c r="CO36" i="31"/>
  <c r="CB36" i="31"/>
  <c r="CC36" i="31"/>
  <c r="CD36" i="31"/>
  <c r="CE36" i="31"/>
  <c r="CM34" i="31"/>
  <c r="CN34" i="31"/>
  <c r="CO34" i="31"/>
  <c r="CB34" i="31"/>
  <c r="CC34" i="31"/>
  <c r="CD34" i="31"/>
  <c r="CL34" i="31"/>
  <c r="CE34" i="31"/>
  <c r="CD33" i="31"/>
  <c r="CE33" i="31"/>
  <c r="CC33" i="31"/>
  <c r="CL33" i="31"/>
  <c r="CM33" i="31"/>
  <c r="CN33" i="31"/>
  <c r="CO33" i="31"/>
  <c r="CB33" i="31"/>
  <c r="CL25" i="31"/>
  <c r="CC25" i="31"/>
  <c r="CM25" i="31"/>
  <c r="CD25" i="31"/>
  <c r="CN25" i="31"/>
  <c r="CE25" i="31"/>
  <c r="CO25" i="31"/>
  <c r="CB25" i="31"/>
  <c r="CL22" i="31"/>
  <c r="CM22" i="31"/>
  <c r="CB22" i="31"/>
  <c r="CN22" i="31"/>
  <c r="CC22" i="31"/>
  <c r="CO22" i="31"/>
  <c r="CD22" i="31"/>
  <c r="CE22" i="31"/>
  <c r="CM24" i="31"/>
  <c r="CB24" i="31"/>
  <c r="CO24" i="31"/>
  <c r="CC24" i="31"/>
  <c r="CE24" i="31"/>
  <c r="CL24" i="31"/>
  <c r="CB23" i="31"/>
  <c r="CL23" i="31"/>
  <c r="CM23" i="31"/>
  <c r="CO23" i="31"/>
  <c r="CC23" i="31"/>
  <c r="CE23" i="31"/>
  <c r="CL14" i="31"/>
  <c r="CM14" i="31"/>
  <c r="CN14" i="31"/>
  <c r="CB14" i="31"/>
  <c r="CO14" i="31"/>
  <c r="CC14" i="31"/>
  <c r="CD14" i="31"/>
  <c r="CE14" i="31"/>
  <c r="CL12" i="31"/>
  <c r="CM12" i="31"/>
  <c r="CA12" i="31"/>
  <c r="CN12" i="31"/>
  <c r="CB12" i="31"/>
  <c r="CO12" i="31"/>
  <c r="CC12" i="31"/>
  <c r="CD12" i="31"/>
  <c r="CE12" i="31"/>
  <c r="CD13" i="31"/>
  <c r="CE13" i="31"/>
  <c r="CC13" i="31"/>
  <c r="CL13" i="31"/>
  <c r="CM13" i="31"/>
  <c r="CN13" i="31"/>
  <c r="CB13" i="31"/>
  <c r="CO13" i="31"/>
  <c r="CD15" i="31"/>
  <c r="CE15" i="31"/>
  <c r="CL15" i="31"/>
  <c r="CM15" i="31"/>
  <c r="CO15" i="31"/>
  <c r="CC15" i="31"/>
  <c r="CN15" i="31"/>
  <c r="CB15" i="31"/>
  <c r="CL18" i="31"/>
  <c r="CM18" i="31"/>
  <c r="CN18" i="31"/>
  <c r="CB18" i="31"/>
  <c r="CO18" i="31"/>
  <c r="CC18" i="31"/>
  <c r="CD18" i="31"/>
  <c r="CE18" i="31"/>
  <c r="CL20" i="31"/>
  <c r="CM20" i="31"/>
  <c r="CN20" i="31"/>
  <c r="CB20" i="31"/>
  <c r="CO20" i="31"/>
  <c r="CC20" i="31"/>
  <c r="CD20" i="31"/>
  <c r="CE20" i="31"/>
  <c r="CD21" i="31"/>
  <c r="CE21" i="31"/>
  <c r="CO21" i="31"/>
  <c r="CL21" i="31"/>
  <c r="CM21" i="31"/>
  <c r="CN21" i="31"/>
  <c r="CB21" i="31"/>
  <c r="CC21" i="31"/>
  <c r="CL16" i="31"/>
  <c r="CM16" i="31"/>
  <c r="CN16" i="31"/>
  <c r="CB16" i="31"/>
  <c r="CO16" i="31"/>
  <c r="CC16" i="31"/>
  <c r="CD16" i="31"/>
  <c r="CE16" i="31"/>
  <c r="CD19" i="31"/>
  <c r="CE19" i="31"/>
  <c r="CO19" i="31"/>
  <c r="CL19" i="31"/>
  <c r="CC19" i="31"/>
  <c r="CM19" i="31"/>
  <c r="CN19" i="31"/>
  <c r="CB19" i="31"/>
  <c r="CD17" i="31"/>
  <c r="CC17" i="31"/>
  <c r="CE17" i="31"/>
  <c r="CL17" i="31"/>
  <c r="CO17" i="31"/>
  <c r="CM17" i="31"/>
  <c r="CN17" i="31"/>
  <c r="CB17" i="31"/>
  <c r="CB97" i="31"/>
  <c r="CL97" i="31"/>
  <c r="CK97" i="31"/>
  <c r="CA97" i="31"/>
  <c r="CM97" i="31"/>
  <c r="CC97" i="31" s="1"/>
  <c r="CB98" i="31"/>
  <c r="CA98" i="31"/>
  <c r="CK98" i="31"/>
  <c r="CL98" i="31"/>
  <c r="CM98" i="31"/>
  <c r="CC98" i="31" s="1"/>
  <c r="CA99" i="31"/>
  <c r="CM99" i="31"/>
  <c r="CC99" i="31" s="1"/>
  <c r="CB99" i="31"/>
  <c r="CK99" i="31"/>
  <c r="CK19" i="31"/>
  <c r="CK26" i="31"/>
  <c r="CK32" i="31"/>
  <c r="CK44" i="31"/>
  <c r="CK45" i="31"/>
  <c r="CK17" i="31"/>
  <c r="CK35" i="31"/>
  <c r="CK34" i="31"/>
  <c r="CA44" i="31"/>
  <c r="CA25" i="31"/>
  <c r="CK144" i="31"/>
  <c r="CA144" i="31"/>
  <c r="Q144" i="31" s="1"/>
  <c r="CK25" i="31"/>
  <c r="CK38" i="31"/>
  <c r="CA136" i="31"/>
  <c r="Q136" i="31" s="1"/>
  <c r="CK136" i="31"/>
  <c r="CA141" i="31"/>
  <c r="Q141" i="31" s="1"/>
  <c r="CK141" i="31"/>
  <c r="CK146" i="31"/>
  <c r="CA146" i="31"/>
  <c r="Q146" i="31" s="1"/>
  <c r="CK138" i="31"/>
  <c r="CA138" i="31"/>
  <c r="Q138" i="31" s="1"/>
  <c r="CA134" i="31"/>
  <c r="Q134" i="31" s="1"/>
  <c r="CK134" i="31"/>
  <c r="CK22" i="31"/>
  <c r="CA145" i="31"/>
  <c r="Q145" i="31" s="1"/>
  <c r="CK145" i="31"/>
  <c r="CK16" i="31"/>
  <c r="CA137" i="31"/>
  <c r="Q137" i="31" s="1"/>
  <c r="CK137" i="31"/>
  <c r="CA142" i="31"/>
  <c r="Q142" i="31" s="1"/>
  <c r="CK142" i="31"/>
  <c r="CA147" i="31"/>
  <c r="Q147" i="31" s="1"/>
  <c r="CK147" i="31"/>
  <c r="CK139" i="31"/>
  <c r="CA139" i="31"/>
  <c r="Q139" i="31" s="1"/>
  <c r="CK33" i="31"/>
  <c r="CK20" i="31"/>
  <c r="CA32" i="31"/>
  <c r="CA34" i="31"/>
  <c r="CA133" i="31"/>
  <c r="Q133" i="31" s="1"/>
  <c r="CK133" i="31"/>
  <c r="CA143" i="31"/>
  <c r="Q143" i="31" s="1"/>
  <c r="CK143" i="31"/>
  <c r="CK148" i="31"/>
  <c r="CA148" i="31"/>
  <c r="Q148" i="31" s="1"/>
  <c r="CA38" i="31"/>
  <c r="CK135" i="31"/>
  <c r="CA135" i="31"/>
  <c r="Q135" i="31" s="1"/>
  <c r="CA140" i="31"/>
  <c r="Q140" i="31" s="1"/>
  <c r="CA103" i="31"/>
  <c r="M103" i="31" s="1"/>
  <c r="CA29" i="31"/>
  <c r="CK41" i="31"/>
  <c r="CK40" i="31"/>
  <c r="CA40" i="31"/>
  <c r="CK39" i="31"/>
  <c r="CK29" i="31"/>
  <c r="CK111" i="31"/>
  <c r="CK18" i="31"/>
  <c r="CK21" i="31"/>
  <c r="CA27" i="31"/>
  <c r="CK28" i="31"/>
  <c r="CK31" i="31"/>
  <c r="CA36" i="31"/>
  <c r="CK37" i="31"/>
  <c r="CA42" i="31"/>
  <c r="CK43" i="31"/>
  <c r="CK108" i="31"/>
  <c r="CA28" i="31"/>
  <c r="CA31" i="31"/>
  <c r="CA37" i="31"/>
  <c r="CA43" i="31"/>
  <c r="CK13" i="31"/>
  <c r="CK14" i="31"/>
  <c r="CA26" i="31"/>
  <c r="CK27" i="31"/>
  <c r="CA35" i="31"/>
  <c r="CK36" i="31"/>
  <c r="CA41" i="31"/>
  <c r="CK42" i="31"/>
  <c r="CK104" i="31"/>
  <c r="CK109" i="31"/>
  <c r="CK110" i="31"/>
  <c r="I129" i="31"/>
  <c r="CK106" i="31"/>
  <c r="CA14" i="31"/>
  <c r="CK107" i="31"/>
  <c r="CA13" i="31"/>
  <c r="CA30" i="31"/>
  <c r="CA33" i="31"/>
  <c r="CA39" i="31"/>
  <c r="CA45" i="31"/>
  <c r="CK105" i="31"/>
  <c r="CK103" i="31"/>
  <c r="CA24" i="31"/>
  <c r="CK24" i="31"/>
  <c r="CA23" i="31"/>
  <c r="CK23" i="31"/>
  <c r="CK12" i="31"/>
  <c r="CK30" i="31"/>
  <c r="I128" i="31"/>
  <c r="CA16" i="31"/>
  <c r="CA17" i="31"/>
  <c r="CA18" i="31"/>
  <c r="CA19" i="31"/>
  <c r="CA20" i="31"/>
  <c r="CA21" i="31"/>
  <c r="CA22" i="31"/>
  <c r="CA15" i="31"/>
  <c r="C189" i="31"/>
  <c r="C192" i="31"/>
  <c r="C190" i="31"/>
  <c r="C193" i="31"/>
  <c r="C188" i="31"/>
  <c r="C191" i="31"/>
  <c r="C194" i="31"/>
  <c r="D46" i="31"/>
  <c r="CK15" i="31"/>
  <c r="D83" i="31"/>
  <c r="D183" i="31"/>
  <c r="CK192" i="31" l="1"/>
  <c r="BZ192" i="31"/>
  <c r="AI192" i="31" s="1"/>
  <c r="CK189" i="31"/>
  <c r="BZ189" i="31"/>
  <c r="CK194" i="31"/>
  <c r="BZ194" i="31"/>
  <c r="AI194" i="31" s="1"/>
  <c r="CK191" i="31"/>
  <c r="BZ191" i="31"/>
  <c r="AI191" i="31" s="1"/>
  <c r="BZ188" i="31"/>
  <c r="AI188" i="31" s="1"/>
  <c r="BZ193" i="31"/>
  <c r="AI193" i="31" s="1"/>
  <c r="CK190" i="31"/>
  <c r="BZ190" i="31"/>
  <c r="AI190" i="31" s="1"/>
  <c r="X97" i="31"/>
  <c r="X98" i="31"/>
  <c r="X99" i="31"/>
  <c r="AH11" i="31"/>
  <c r="AH13" i="31"/>
  <c r="CK193" i="31"/>
  <c r="AH15" i="31"/>
  <c r="AH14" i="31"/>
  <c r="AI189" i="31"/>
  <c r="AH27" i="31"/>
  <c r="AH21" i="31"/>
  <c r="A229" i="31"/>
  <c r="E23" i="18" s="1"/>
  <c r="AH38" i="31"/>
  <c r="AH42" i="31"/>
  <c r="AH12" i="31"/>
  <c r="AH41" i="31"/>
  <c r="AH32" i="31"/>
  <c r="AH29" i="31"/>
  <c r="AH26" i="31"/>
  <c r="AH23" i="31"/>
  <c r="AH20" i="31"/>
  <c r="CK188" i="31"/>
  <c r="B229" i="31" s="1"/>
  <c r="D23" i="18" s="1"/>
  <c r="AH44" i="31"/>
  <c r="AH39" i="31"/>
  <c r="AH33" i="31"/>
  <c r="AH18" i="31"/>
  <c r="AH45" i="31"/>
  <c r="AH36" i="31"/>
  <c r="AH30" i="31"/>
  <c r="AH24" i="31"/>
  <c r="AH43" i="31"/>
  <c r="AH37" i="31"/>
  <c r="AH31" i="31"/>
  <c r="AH28" i="31"/>
  <c r="AH22" i="31"/>
  <c r="AH16" i="31"/>
  <c r="AH40" i="31"/>
  <c r="AH34" i="31"/>
  <c r="AH25" i="31"/>
  <c r="AH19" i="31"/>
  <c r="AH35" i="31"/>
  <c r="AH17" i="31"/>
  <c r="E101" i="29" l="1"/>
  <c r="D101" i="29"/>
  <c r="E100" i="29"/>
  <c r="D100" i="29"/>
  <c r="E99" i="29"/>
  <c r="D99" i="29"/>
  <c r="E98" i="29"/>
  <c r="D98" i="29"/>
  <c r="E93" i="29"/>
  <c r="D93" i="29"/>
  <c r="E92" i="29"/>
  <c r="D92" i="29"/>
  <c r="E91" i="29"/>
  <c r="D91" i="29"/>
  <c r="C93" i="29" l="1"/>
  <c r="CB93" i="29" s="1"/>
  <c r="C100" i="29"/>
  <c r="BR100" i="29" s="1"/>
  <c r="C99" i="29"/>
  <c r="C98" i="29"/>
  <c r="C101" i="29"/>
  <c r="C91" i="29"/>
  <c r="C92" i="29"/>
  <c r="C90" i="29"/>
  <c r="BQ100" i="29" l="1"/>
  <c r="AF100" i="29" s="1"/>
  <c r="CB100" i="29"/>
  <c r="CC93" i="29"/>
  <c r="BR93" i="29"/>
  <c r="BQ93" i="29"/>
  <c r="CC100" i="29"/>
  <c r="CB98" i="29"/>
  <c r="BR98" i="29"/>
  <c r="CC98" i="29"/>
  <c r="BQ98" i="29"/>
  <c r="CC92" i="29"/>
  <c r="CB92" i="29"/>
  <c r="BR92" i="29"/>
  <c r="BQ92" i="29"/>
  <c r="CB101" i="29"/>
  <c r="CC101" i="29"/>
  <c r="BQ101" i="29"/>
  <c r="BR101" i="29"/>
  <c r="BR90" i="29"/>
  <c r="CC90" i="29"/>
  <c r="BQ90" i="29"/>
  <c r="CB90" i="29"/>
  <c r="BR99" i="29"/>
  <c r="CB99" i="29"/>
  <c r="BQ99" i="29"/>
  <c r="CC99" i="29"/>
  <c r="CC91" i="29"/>
  <c r="BQ91" i="29"/>
  <c r="BR91" i="29"/>
  <c r="CB91" i="29"/>
  <c r="AF93" i="29" l="1"/>
  <c r="AF99" i="29"/>
  <c r="AF101" i="29"/>
  <c r="AF98" i="29"/>
  <c r="AF92" i="29"/>
  <c r="AF90" i="29"/>
  <c r="AF91" i="29"/>
  <c r="O39" i="22"/>
  <c r="O40" i="22"/>
  <c r="O41" i="22"/>
  <c r="O38" i="22"/>
  <c r="J80" i="5" l="1"/>
  <c r="J81" i="5"/>
  <c r="J82" i="5"/>
  <c r="J83" i="5"/>
  <c r="J84" i="5"/>
  <c r="J85" i="5"/>
  <c r="J86" i="5"/>
  <c r="J87" i="5"/>
  <c r="J88" i="5"/>
  <c r="J89" i="5"/>
  <c r="J90" i="5"/>
  <c r="J91" i="5"/>
  <c r="B367" i="29" l="1"/>
  <c r="AO360" i="29"/>
  <c r="AN360" i="29"/>
  <c r="AM360" i="29"/>
  <c r="AL360" i="29"/>
  <c r="AK360" i="29"/>
  <c r="AJ360" i="29"/>
  <c r="AI360" i="29"/>
  <c r="AH360" i="29"/>
  <c r="AG360" i="29"/>
  <c r="AF360" i="29"/>
  <c r="AE360" i="29"/>
  <c r="AD360" i="29"/>
  <c r="AC360" i="29"/>
  <c r="AB360" i="29"/>
  <c r="AA360" i="29"/>
  <c r="Z360" i="29"/>
  <c r="Y360" i="29"/>
  <c r="X360" i="29"/>
  <c r="W360" i="29"/>
  <c r="V360" i="29"/>
  <c r="U360" i="29"/>
  <c r="T360" i="29"/>
  <c r="S360" i="29"/>
  <c r="R360" i="29"/>
  <c r="Q360" i="29"/>
  <c r="P360" i="29"/>
  <c r="O360" i="29"/>
  <c r="N360" i="29"/>
  <c r="M360" i="29"/>
  <c r="L360" i="29"/>
  <c r="K360" i="29"/>
  <c r="J360" i="29"/>
  <c r="I360" i="29"/>
  <c r="H360" i="29"/>
  <c r="G360" i="29"/>
  <c r="F360" i="29"/>
  <c r="E359" i="29"/>
  <c r="D359" i="29"/>
  <c r="E358" i="29"/>
  <c r="D358" i="29"/>
  <c r="E357" i="29"/>
  <c r="D357" i="29"/>
  <c r="E351" i="29"/>
  <c r="D351" i="29"/>
  <c r="E350" i="29"/>
  <c r="D350" i="29"/>
  <c r="E349" i="29"/>
  <c r="D349" i="29"/>
  <c r="E348" i="29"/>
  <c r="D348" i="29"/>
  <c r="E347" i="29"/>
  <c r="D347" i="29"/>
  <c r="E346" i="29"/>
  <c r="D346" i="29"/>
  <c r="E345" i="29"/>
  <c r="D345" i="29"/>
  <c r="E344" i="29"/>
  <c r="D344" i="29"/>
  <c r="E343" i="29"/>
  <c r="D343" i="29"/>
  <c r="E342" i="29"/>
  <c r="D342" i="29"/>
  <c r="D337" i="29"/>
  <c r="BU337" i="29" s="1"/>
  <c r="C337" i="29"/>
  <c r="D336" i="29"/>
  <c r="C336" i="29"/>
  <c r="E331" i="29"/>
  <c r="BQ331" i="29" s="1"/>
  <c r="D331" i="29"/>
  <c r="E330" i="29"/>
  <c r="D330" i="29"/>
  <c r="E329" i="29"/>
  <c r="D329" i="29"/>
  <c r="E324" i="29"/>
  <c r="D324" i="29"/>
  <c r="E323" i="29"/>
  <c r="D323" i="29"/>
  <c r="E322" i="29"/>
  <c r="D322" i="29"/>
  <c r="E321" i="29"/>
  <c r="D321" i="29"/>
  <c r="E320" i="29"/>
  <c r="D320" i="29"/>
  <c r="E319" i="29"/>
  <c r="D319" i="29"/>
  <c r="CC319" i="29" s="1"/>
  <c r="E318" i="29"/>
  <c r="D318" i="29"/>
  <c r="E317" i="29"/>
  <c r="D317" i="29"/>
  <c r="E316" i="29"/>
  <c r="D316" i="29"/>
  <c r="E315" i="29"/>
  <c r="D315" i="29"/>
  <c r="E314" i="29"/>
  <c r="CB314" i="29" s="1"/>
  <c r="E309" i="29"/>
  <c r="D309" i="29"/>
  <c r="E308" i="29"/>
  <c r="D308" i="29"/>
  <c r="E307" i="29"/>
  <c r="D307" i="29"/>
  <c r="E306" i="29"/>
  <c r="D306" i="29"/>
  <c r="E305" i="29"/>
  <c r="D305" i="29"/>
  <c r="E304" i="29"/>
  <c r="D304" i="29"/>
  <c r="E303" i="29"/>
  <c r="D303" i="29"/>
  <c r="E302" i="29"/>
  <c r="D302" i="29"/>
  <c r="E301" i="29"/>
  <c r="D301" i="29"/>
  <c r="E300" i="29"/>
  <c r="CC300" i="29" s="1"/>
  <c r="E299" i="29"/>
  <c r="CC299" i="29" s="1"/>
  <c r="E298" i="29"/>
  <c r="CC298" i="29" s="1"/>
  <c r="E297" i="29"/>
  <c r="CC297" i="29" s="1"/>
  <c r="E296" i="29"/>
  <c r="CC296" i="29" s="1"/>
  <c r="E295" i="29"/>
  <c r="CC295" i="29" s="1"/>
  <c r="E294" i="29"/>
  <c r="CC294" i="29" s="1"/>
  <c r="E293" i="29"/>
  <c r="CC293" i="29" s="1"/>
  <c r="E292" i="29"/>
  <c r="BR292" i="29" s="1"/>
  <c r="AV291" i="29"/>
  <c r="AU291" i="29"/>
  <c r="AT291" i="29"/>
  <c r="AS291" i="29"/>
  <c r="AR291" i="29"/>
  <c r="AQ291" i="29"/>
  <c r="AP291" i="29"/>
  <c r="AO291" i="29"/>
  <c r="AN291" i="29"/>
  <c r="AM291" i="29"/>
  <c r="AL291" i="29"/>
  <c r="AK291" i="29"/>
  <c r="AJ291" i="29"/>
  <c r="AI291" i="29"/>
  <c r="AH291" i="29"/>
  <c r="AG291" i="29"/>
  <c r="AF291" i="29"/>
  <c r="AE291" i="29"/>
  <c r="AD291" i="29"/>
  <c r="AC291" i="29"/>
  <c r="AB291" i="29"/>
  <c r="AA291" i="29"/>
  <c r="Z291" i="29"/>
  <c r="Y291" i="29"/>
  <c r="X291" i="29"/>
  <c r="W291" i="29"/>
  <c r="V291" i="29"/>
  <c r="U291" i="29"/>
  <c r="T291" i="29"/>
  <c r="S291" i="29"/>
  <c r="R291" i="29"/>
  <c r="Q291" i="29"/>
  <c r="P291" i="29"/>
  <c r="O291" i="29"/>
  <c r="N291" i="29"/>
  <c r="M291" i="29"/>
  <c r="L291" i="29"/>
  <c r="K291" i="29"/>
  <c r="J291" i="29"/>
  <c r="I291" i="29"/>
  <c r="H291" i="29"/>
  <c r="G291" i="29"/>
  <c r="F291" i="29"/>
  <c r="E286" i="29"/>
  <c r="D286" i="29"/>
  <c r="E285" i="29"/>
  <c r="D285" i="29"/>
  <c r="E284" i="29"/>
  <c r="D284" i="29"/>
  <c r="E283" i="29"/>
  <c r="D283" i="29"/>
  <c r="E278" i="29"/>
  <c r="D278" i="29"/>
  <c r="E277" i="29"/>
  <c r="D277" i="29"/>
  <c r="E276" i="29"/>
  <c r="D276" i="29"/>
  <c r="E275" i="29"/>
  <c r="D275" i="29"/>
  <c r="E274" i="29"/>
  <c r="D274" i="29"/>
  <c r="E273" i="29"/>
  <c r="D273" i="29"/>
  <c r="E272" i="29"/>
  <c r="D272" i="29"/>
  <c r="E271" i="29"/>
  <c r="D271" i="29"/>
  <c r="E270" i="29"/>
  <c r="D270" i="29"/>
  <c r="E269" i="29"/>
  <c r="D269" i="29"/>
  <c r="E268" i="29"/>
  <c r="D268" i="29"/>
  <c r="E267" i="29"/>
  <c r="D267" i="29"/>
  <c r="E266" i="29"/>
  <c r="CE266" i="29" s="1"/>
  <c r="D266" i="29"/>
  <c r="E265" i="29"/>
  <c r="CE265" i="29" s="1"/>
  <c r="D265" i="29"/>
  <c r="E264" i="29"/>
  <c r="CE264" i="29" s="1"/>
  <c r="D264" i="29"/>
  <c r="E263" i="29"/>
  <c r="D263" i="29"/>
  <c r="E262" i="29"/>
  <c r="D262" i="29"/>
  <c r="E261" i="29"/>
  <c r="D261" i="29"/>
  <c r="E260" i="29"/>
  <c r="D260" i="29"/>
  <c r="E259" i="29"/>
  <c r="D259" i="29"/>
  <c r="E258" i="29"/>
  <c r="D258" i="29"/>
  <c r="E257" i="29"/>
  <c r="D257" i="29"/>
  <c r="E256" i="29"/>
  <c r="D256" i="29"/>
  <c r="E255" i="29"/>
  <c r="D255" i="29"/>
  <c r="E254" i="29"/>
  <c r="D254" i="29"/>
  <c r="E253" i="29"/>
  <c r="D253" i="29"/>
  <c r="E252" i="29"/>
  <c r="D252" i="29"/>
  <c r="E251" i="29"/>
  <c r="D251" i="29"/>
  <c r="E250" i="29"/>
  <c r="D250" i="29"/>
  <c r="E249" i="29"/>
  <c r="D249" i="29"/>
  <c r="E248" i="29"/>
  <c r="D248" i="29"/>
  <c r="E247" i="29"/>
  <c r="D247" i="29"/>
  <c r="E246" i="29"/>
  <c r="D246" i="29"/>
  <c r="E245" i="29"/>
  <c r="E244" i="29"/>
  <c r="D244" i="29"/>
  <c r="E243" i="29"/>
  <c r="D243" i="29"/>
  <c r="E242" i="29"/>
  <c r="D242" i="29"/>
  <c r="E241" i="29"/>
  <c r="D241" i="29"/>
  <c r="E238" i="29"/>
  <c r="D238" i="29"/>
  <c r="E237" i="29"/>
  <c r="D237" i="29"/>
  <c r="E236" i="29"/>
  <c r="BR236" i="29" s="1"/>
  <c r="D236" i="29"/>
  <c r="E234" i="29"/>
  <c r="BR234" i="29" s="1"/>
  <c r="D234" i="29"/>
  <c r="E230" i="29"/>
  <c r="D230" i="29"/>
  <c r="BY230" i="29" s="1"/>
  <c r="E229" i="29"/>
  <c r="D229" i="29"/>
  <c r="BY229" i="29" s="1"/>
  <c r="E228" i="29"/>
  <c r="D228" i="29"/>
  <c r="BY228" i="29" s="1"/>
  <c r="E227" i="29"/>
  <c r="D227" i="29"/>
  <c r="BY227" i="29" s="1"/>
  <c r="E226" i="29"/>
  <c r="D226" i="29"/>
  <c r="BY226" i="29" s="1"/>
  <c r="E225" i="29"/>
  <c r="D225" i="29"/>
  <c r="BY225" i="29" s="1"/>
  <c r="E224" i="29"/>
  <c r="D224" i="29"/>
  <c r="BY224" i="29" s="1"/>
  <c r="E223" i="29"/>
  <c r="D223" i="29"/>
  <c r="BY223" i="29" s="1"/>
  <c r="E222" i="29"/>
  <c r="D222" i="29"/>
  <c r="BY222" i="29" s="1"/>
  <c r="E221" i="29"/>
  <c r="D221" i="29"/>
  <c r="BY221" i="29" s="1"/>
  <c r="E220" i="29"/>
  <c r="D220" i="29"/>
  <c r="BY220" i="29" s="1"/>
  <c r="E219" i="29"/>
  <c r="D219" i="29"/>
  <c r="BY219" i="29" s="1"/>
  <c r="E218" i="29"/>
  <c r="D218" i="29"/>
  <c r="BY218" i="29" s="1"/>
  <c r="E217" i="29"/>
  <c r="D217" i="29"/>
  <c r="BY217" i="29" s="1"/>
  <c r="E216" i="29"/>
  <c r="D216" i="29"/>
  <c r="BY216" i="29" s="1"/>
  <c r="E215" i="29"/>
  <c r="D215" i="29"/>
  <c r="BY215" i="29" s="1"/>
  <c r="E214" i="29"/>
  <c r="D214" i="29"/>
  <c r="BY214" i="29" s="1"/>
  <c r="E213" i="29"/>
  <c r="D213" i="29"/>
  <c r="BY213" i="29" s="1"/>
  <c r="E212" i="29"/>
  <c r="D212" i="29"/>
  <c r="BY212" i="29" s="1"/>
  <c r="E211" i="29"/>
  <c r="D211" i="29"/>
  <c r="BY211" i="29" s="1"/>
  <c r="E210" i="29"/>
  <c r="BQ210" i="29" s="1"/>
  <c r="D210" i="29"/>
  <c r="BY210" i="29" s="1"/>
  <c r="E209" i="29"/>
  <c r="BQ209" i="29" s="1"/>
  <c r="D209" i="29"/>
  <c r="BY209" i="29" s="1"/>
  <c r="E208" i="29"/>
  <c r="BQ208" i="29" s="1"/>
  <c r="D208" i="29"/>
  <c r="BY208" i="29" s="1"/>
  <c r="E207" i="29"/>
  <c r="BQ207" i="29" s="1"/>
  <c r="D207" i="29"/>
  <c r="BY207" i="29" s="1"/>
  <c r="E206" i="29"/>
  <c r="D206" i="29"/>
  <c r="BY206" i="29" s="1"/>
  <c r="E205" i="29"/>
  <c r="D205" i="29"/>
  <c r="BY205" i="29" s="1"/>
  <c r="E204" i="29"/>
  <c r="D204" i="29"/>
  <c r="BY204" i="29" s="1"/>
  <c r="E203" i="29"/>
  <c r="D203" i="29"/>
  <c r="BY203" i="29" s="1"/>
  <c r="E202" i="29"/>
  <c r="D202" i="29"/>
  <c r="BY202" i="29" s="1"/>
  <c r="E201" i="29"/>
  <c r="D201" i="29"/>
  <c r="BY201" i="29" s="1"/>
  <c r="E200" i="29"/>
  <c r="D200" i="29"/>
  <c r="BY200" i="29" s="1"/>
  <c r="E199" i="29"/>
  <c r="D199" i="29"/>
  <c r="BY199" i="29" s="1"/>
  <c r="E198" i="29"/>
  <c r="D198" i="29"/>
  <c r="BY198" i="29" s="1"/>
  <c r="E197" i="29"/>
  <c r="CC197" i="29" s="1"/>
  <c r="E196" i="29"/>
  <c r="D196" i="29"/>
  <c r="BY196" i="29" s="1"/>
  <c r="E195" i="29"/>
  <c r="D195" i="29"/>
  <c r="BY195" i="29" s="1"/>
  <c r="E194" i="29"/>
  <c r="D194" i="29"/>
  <c r="BY194" i="29" s="1"/>
  <c r="E193" i="29"/>
  <c r="D193" i="29"/>
  <c r="BY193" i="29" s="1"/>
  <c r="E190" i="29"/>
  <c r="D190" i="29"/>
  <c r="BY190" i="29" s="1"/>
  <c r="E189" i="29"/>
  <c r="D189" i="29"/>
  <c r="BY189" i="29" s="1"/>
  <c r="E188" i="29"/>
  <c r="D188" i="29"/>
  <c r="E186" i="29"/>
  <c r="BZ186" i="29" s="1"/>
  <c r="D186" i="29"/>
  <c r="E180" i="29"/>
  <c r="D180" i="29"/>
  <c r="E179" i="29"/>
  <c r="D179" i="29"/>
  <c r="E178" i="29"/>
  <c r="D178" i="29"/>
  <c r="E177" i="29"/>
  <c r="Q176" i="29"/>
  <c r="P176" i="29"/>
  <c r="O176" i="29"/>
  <c r="N176" i="29"/>
  <c r="M176" i="29"/>
  <c r="L176" i="29"/>
  <c r="K176" i="29"/>
  <c r="J176" i="29"/>
  <c r="I176" i="29"/>
  <c r="H176" i="29"/>
  <c r="G176" i="29"/>
  <c r="F176" i="29"/>
  <c r="E175" i="29"/>
  <c r="D175" i="29"/>
  <c r="E174" i="29"/>
  <c r="D174" i="29"/>
  <c r="E173" i="29"/>
  <c r="D173" i="29"/>
  <c r="R168" i="29"/>
  <c r="Q168" i="29"/>
  <c r="P168" i="29"/>
  <c r="O168" i="29"/>
  <c r="N168" i="29"/>
  <c r="M168" i="29"/>
  <c r="L168" i="29"/>
  <c r="K168" i="29"/>
  <c r="J168" i="29"/>
  <c r="I168" i="29"/>
  <c r="H168" i="29"/>
  <c r="G168" i="29"/>
  <c r="F168" i="29"/>
  <c r="E167" i="29"/>
  <c r="D167" i="29"/>
  <c r="E166" i="29"/>
  <c r="D166" i="29"/>
  <c r="E165" i="29"/>
  <c r="D165" i="29"/>
  <c r="E164" i="29"/>
  <c r="D164" i="29"/>
  <c r="R163" i="29"/>
  <c r="Q163" i="29"/>
  <c r="P163" i="29"/>
  <c r="O163" i="29"/>
  <c r="N163" i="29"/>
  <c r="M163" i="29"/>
  <c r="L163" i="29"/>
  <c r="K163" i="29"/>
  <c r="J163" i="29"/>
  <c r="I163" i="29"/>
  <c r="H163" i="29"/>
  <c r="G163" i="29"/>
  <c r="F163" i="29"/>
  <c r="E162" i="29"/>
  <c r="D162" i="29"/>
  <c r="E161" i="29"/>
  <c r="D161" i="29"/>
  <c r="E160" i="29"/>
  <c r="D160" i="29"/>
  <c r="O155" i="29"/>
  <c r="N155" i="29"/>
  <c r="M155" i="29"/>
  <c r="L155" i="29"/>
  <c r="K155" i="29"/>
  <c r="J155" i="29"/>
  <c r="I155" i="29"/>
  <c r="H155" i="29"/>
  <c r="G155" i="29"/>
  <c r="F155" i="29"/>
  <c r="E154" i="29"/>
  <c r="D154" i="29"/>
  <c r="E153" i="29"/>
  <c r="D153" i="29"/>
  <c r="E152" i="29"/>
  <c r="D152" i="29"/>
  <c r="E151" i="29"/>
  <c r="D151" i="29"/>
  <c r="O150" i="29"/>
  <c r="N150" i="29"/>
  <c r="M150" i="29"/>
  <c r="L150" i="29"/>
  <c r="K150" i="29"/>
  <c r="J150" i="29"/>
  <c r="I150" i="29"/>
  <c r="H150" i="29"/>
  <c r="G150" i="29"/>
  <c r="F150" i="29"/>
  <c r="E149" i="29"/>
  <c r="D149" i="29"/>
  <c r="E148" i="29"/>
  <c r="D148" i="29"/>
  <c r="E147" i="29"/>
  <c r="D147" i="29"/>
  <c r="E143" i="29"/>
  <c r="D143" i="29"/>
  <c r="E142" i="29"/>
  <c r="D142" i="29"/>
  <c r="E141" i="29"/>
  <c r="D141" i="29"/>
  <c r="E140" i="29"/>
  <c r="D140" i="29"/>
  <c r="E139" i="29"/>
  <c r="D139" i="29"/>
  <c r="E134" i="29"/>
  <c r="D134" i="29"/>
  <c r="E133" i="29"/>
  <c r="D133" i="29"/>
  <c r="E132" i="29"/>
  <c r="D132" i="29"/>
  <c r="E131" i="29"/>
  <c r="D131" i="29"/>
  <c r="E130" i="29"/>
  <c r="D130" i="29"/>
  <c r="E129" i="29"/>
  <c r="D129" i="29"/>
  <c r="E128" i="29"/>
  <c r="D128" i="29"/>
  <c r="E127" i="29"/>
  <c r="D127" i="29"/>
  <c r="E122" i="29"/>
  <c r="D122" i="29"/>
  <c r="E121" i="29"/>
  <c r="D121" i="29"/>
  <c r="E120" i="29"/>
  <c r="D120" i="29"/>
  <c r="E119" i="29"/>
  <c r="D119" i="29"/>
  <c r="E118" i="29"/>
  <c r="D118" i="29"/>
  <c r="E117" i="29"/>
  <c r="D117" i="29"/>
  <c r="E116" i="29"/>
  <c r="D116" i="29"/>
  <c r="E115" i="29"/>
  <c r="D115" i="29"/>
  <c r="E114" i="29"/>
  <c r="D114" i="29"/>
  <c r="E109" i="29"/>
  <c r="D109" i="29"/>
  <c r="E108" i="29"/>
  <c r="D108" i="29"/>
  <c r="E107" i="29"/>
  <c r="D107" i="29"/>
  <c r="M106" i="29"/>
  <c r="L106" i="29"/>
  <c r="K106" i="29"/>
  <c r="J106" i="29"/>
  <c r="I106" i="29"/>
  <c r="H106" i="29"/>
  <c r="G106" i="29"/>
  <c r="C85" i="29"/>
  <c r="C79" i="29"/>
  <c r="C78" i="29"/>
  <c r="C77" i="29"/>
  <c r="C76" i="29"/>
  <c r="C75" i="29"/>
  <c r="C74" i="29"/>
  <c r="C73" i="29"/>
  <c r="C72" i="29"/>
  <c r="C71" i="29"/>
  <c r="C70" i="29"/>
  <c r="C69" i="29"/>
  <c r="C68" i="29"/>
  <c r="C67" i="29"/>
  <c r="C66" i="29"/>
  <c r="C65" i="29"/>
  <c r="C64" i="29"/>
  <c r="C63" i="29"/>
  <c r="C62" i="29"/>
  <c r="C61" i="29"/>
  <c r="C60" i="29"/>
  <c r="P59" i="29"/>
  <c r="O59" i="29"/>
  <c r="N59" i="29"/>
  <c r="M59" i="29"/>
  <c r="L59" i="29"/>
  <c r="K59" i="29"/>
  <c r="J59" i="29"/>
  <c r="I59" i="29"/>
  <c r="H59" i="29"/>
  <c r="G59" i="29"/>
  <c r="F59" i="29"/>
  <c r="E59" i="29"/>
  <c r="D59" i="29"/>
  <c r="C55" i="29"/>
  <c r="C54" i="29"/>
  <c r="C53" i="29"/>
  <c r="C52" i="29"/>
  <c r="C51" i="29"/>
  <c r="CC51" i="29" s="1"/>
  <c r="C50" i="29"/>
  <c r="CC50" i="29" s="1"/>
  <c r="C49" i="29"/>
  <c r="CC49" i="29" s="1"/>
  <c r="C48" i="29"/>
  <c r="CC48" i="29" s="1"/>
  <c r="C47" i="29"/>
  <c r="CC47" i="29" s="1"/>
  <c r="C46" i="29"/>
  <c r="CC46" i="29" s="1"/>
  <c r="C45" i="29"/>
  <c r="CC45" i="29" s="1"/>
  <c r="C44" i="29"/>
  <c r="CC44" i="29" s="1"/>
  <c r="C43" i="29"/>
  <c r="CC43" i="29" s="1"/>
  <c r="C42" i="29"/>
  <c r="CC42" i="29" s="1"/>
  <c r="C41" i="29"/>
  <c r="C40" i="29"/>
  <c r="C39" i="29"/>
  <c r="C38" i="29"/>
  <c r="C37" i="29"/>
  <c r="C36" i="29"/>
  <c r="CC36" i="29" s="1"/>
  <c r="P35" i="29"/>
  <c r="O35" i="29"/>
  <c r="N35" i="29"/>
  <c r="L35" i="29"/>
  <c r="K35" i="29"/>
  <c r="J35" i="29"/>
  <c r="I35" i="29"/>
  <c r="H35" i="29"/>
  <c r="G35" i="29"/>
  <c r="F35" i="29"/>
  <c r="E35" i="29"/>
  <c r="D35" i="29"/>
  <c r="C14" i="29"/>
  <c r="C13" i="29"/>
  <c r="C12" i="29"/>
  <c r="C11" i="29"/>
  <c r="B155" i="28"/>
  <c r="E151" i="28"/>
  <c r="D151" i="28"/>
  <c r="E150" i="28"/>
  <c r="D150" i="28"/>
  <c r="E149" i="28"/>
  <c r="D149" i="28"/>
  <c r="E148" i="28"/>
  <c r="D148" i="28"/>
  <c r="E147" i="28"/>
  <c r="D147" i="28"/>
  <c r="E146" i="28"/>
  <c r="D146" i="28"/>
  <c r="E145" i="28"/>
  <c r="D145" i="28"/>
  <c r="E144" i="28"/>
  <c r="D144" i="28"/>
  <c r="E143" i="28"/>
  <c r="D143" i="28"/>
  <c r="E142" i="28"/>
  <c r="D142" i="28"/>
  <c r="E141" i="28"/>
  <c r="D141" i="28"/>
  <c r="E140" i="28"/>
  <c r="D140" i="28"/>
  <c r="E139" i="28"/>
  <c r="D139" i="28"/>
  <c r="E138" i="28"/>
  <c r="D138" i="28"/>
  <c r="C133" i="28"/>
  <c r="BO133" i="28" s="1"/>
  <c r="C132" i="28"/>
  <c r="BO132" i="28" s="1"/>
  <c r="C131" i="28"/>
  <c r="C129" i="28"/>
  <c r="C128" i="28"/>
  <c r="BO128" i="28" s="1"/>
  <c r="C127" i="28"/>
  <c r="C126" i="28"/>
  <c r="C125" i="28"/>
  <c r="D121" i="28"/>
  <c r="C121" i="28"/>
  <c r="D120" i="28"/>
  <c r="C120" i="28"/>
  <c r="D119" i="28"/>
  <c r="C119" i="28"/>
  <c r="R108" i="28"/>
  <c r="Q108" i="28"/>
  <c r="P108" i="28"/>
  <c r="O108" i="28"/>
  <c r="N108" i="28"/>
  <c r="M108" i="28"/>
  <c r="L108" i="28"/>
  <c r="K108" i="28"/>
  <c r="J108" i="28"/>
  <c r="I108" i="28"/>
  <c r="H108" i="28"/>
  <c r="G108" i="28"/>
  <c r="F108" i="28"/>
  <c r="E108" i="28"/>
  <c r="D108" i="28"/>
  <c r="C108" i="28"/>
  <c r="B107" i="28"/>
  <c r="B106" i="28"/>
  <c r="B105" i="28"/>
  <c r="B100" i="28"/>
  <c r="B99" i="28"/>
  <c r="B98" i="28"/>
  <c r="B96" i="28"/>
  <c r="B95" i="28"/>
  <c r="B94" i="28"/>
  <c r="B93" i="28"/>
  <c r="B92" i="28"/>
  <c r="E87" i="28"/>
  <c r="D87" i="28"/>
  <c r="E86" i="28"/>
  <c r="D86" i="28"/>
  <c r="E85" i="28"/>
  <c r="D85" i="28"/>
  <c r="E84" i="28"/>
  <c r="D84" i="28"/>
  <c r="B79" i="28"/>
  <c r="B61" i="28"/>
  <c r="B60" i="28"/>
  <c r="X59" i="28"/>
  <c r="W59" i="28"/>
  <c r="V59" i="28"/>
  <c r="U59" i="28"/>
  <c r="T59" i="28"/>
  <c r="S59" i="28"/>
  <c r="R59" i="28"/>
  <c r="Q59" i="28"/>
  <c r="P59" i="28"/>
  <c r="O59" i="28"/>
  <c r="N59" i="28"/>
  <c r="M59" i="28"/>
  <c r="L59" i="28"/>
  <c r="K59" i="28"/>
  <c r="J59" i="28"/>
  <c r="I59" i="28"/>
  <c r="H59" i="28"/>
  <c r="G59" i="28"/>
  <c r="F59" i="28"/>
  <c r="E59" i="28"/>
  <c r="D59" i="28"/>
  <c r="C59" i="28"/>
  <c r="B58" i="28"/>
  <c r="X56" i="28"/>
  <c r="W56" i="28"/>
  <c r="V56" i="28"/>
  <c r="U56" i="28"/>
  <c r="T56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B51" i="28"/>
  <c r="B50" i="28"/>
  <c r="D46" i="28"/>
  <c r="C46" i="28"/>
  <c r="D45" i="28"/>
  <c r="C45" i="28"/>
  <c r="D44" i="28"/>
  <c r="C44" i="28"/>
  <c r="D43" i="28"/>
  <c r="C43" i="28"/>
  <c r="D42" i="28"/>
  <c r="C42" i="28"/>
  <c r="D41" i="28"/>
  <c r="C41" i="28"/>
  <c r="D40" i="28"/>
  <c r="C40" i="28"/>
  <c r="D39" i="28"/>
  <c r="C39" i="28"/>
  <c r="D38" i="28"/>
  <c r="C38" i="28"/>
  <c r="D37" i="28"/>
  <c r="C37" i="28"/>
  <c r="D36" i="28"/>
  <c r="C36" i="28"/>
  <c r="D35" i="28"/>
  <c r="C35" i="28"/>
  <c r="D34" i="28"/>
  <c r="C34" i="28"/>
  <c r="D33" i="28"/>
  <c r="C33" i="28"/>
  <c r="D32" i="28"/>
  <c r="C32" i="28"/>
  <c r="D31" i="28"/>
  <c r="C31" i="28"/>
  <c r="D26" i="28"/>
  <c r="C26" i="28"/>
  <c r="D25" i="28"/>
  <c r="C25" i="28"/>
  <c r="D24" i="28"/>
  <c r="C24" i="28"/>
  <c r="D23" i="28"/>
  <c r="C23" i="28"/>
  <c r="D22" i="28"/>
  <c r="C22" i="28"/>
  <c r="D21" i="28"/>
  <c r="C21" i="28"/>
  <c r="D20" i="28"/>
  <c r="B20" i="28" s="1"/>
  <c r="D19" i="28"/>
  <c r="B19" i="28" s="1"/>
  <c r="D18" i="28"/>
  <c r="C18" i="28"/>
  <c r="D17" i="28"/>
  <c r="C17" i="28"/>
  <c r="D16" i="28"/>
  <c r="C16" i="28"/>
  <c r="D15" i="28"/>
  <c r="C15" i="28"/>
  <c r="D14" i="28"/>
  <c r="C14" i="28"/>
  <c r="D13" i="28"/>
  <c r="C13" i="28"/>
  <c r="AS12" i="28"/>
  <c r="AR12" i="28"/>
  <c r="AQ12" i="28"/>
  <c r="AP12" i="28"/>
  <c r="AO12" i="28"/>
  <c r="AN12" i="28"/>
  <c r="AM12" i="28"/>
  <c r="AL12" i="28"/>
  <c r="AK12" i="28"/>
  <c r="AJ12" i="28"/>
  <c r="AI12" i="28"/>
  <c r="AH12" i="28"/>
  <c r="AG12" i="28"/>
  <c r="AF12" i="28"/>
  <c r="AE12" i="28"/>
  <c r="AD12" i="28"/>
  <c r="AC12" i="28"/>
  <c r="AB12" i="28"/>
  <c r="AA12" i="28"/>
  <c r="Z12" i="28"/>
  <c r="Y12" i="28"/>
  <c r="X12" i="28"/>
  <c r="W12" i="28"/>
  <c r="V12" i="28"/>
  <c r="U12" i="28"/>
  <c r="T12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BR36" i="29" l="1"/>
  <c r="CD38" i="29"/>
  <c r="BR38" i="29"/>
  <c r="CD44" i="29"/>
  <c r="BR44" i="29"/>
  <c r="CD50" i="29"/>
  <c r="BR50" i="29"/>
  <c r="CD39" i="29"/>
  <c r="BR39" i="29"/>
  <c r="CD45" i="29"/>
  <c r="BR45" i="29"/>
  <c r="CD51" i="29"/>
  <c r="BR51" i="29"/>
  <c r="CD52" i="29"/>
  <c r="BR52" i="29"/>
  <c r="CD53" i="29"/>
  <c r="BR53" i="29"/>
  <c r="CD40" i="29"/>
  <c r="BR40" i="29"/>
  <c r="CD41" i="29"/>
  <c r="BR41" i="29"/>
  <c r="CD42" i="29"/>
  <c r="BR42" i="29"/>
  <c r="CD48" i="29"/>
  <c r="BR48" i="29"/>
  <c r="CD54" i="29"/>
  <c r="BR54" i="29"/>
  <c r="CD46" i="29"/>
  <c r="BR46" i="29"/>
  <c r="CD47" i="29"/>
  <c r="BR47" i="29"/>
  <c r="CD37" i="29"/>
  <c r="BR37" i="29"/>
  <c r="CD43" i="29"/>
  <c r="BR43" i="29"/>
  <c r="CD49" i="29"/>
  <c r="BR49" i="29"/>
  <c r="CD55" i="29"/>
  <c r="BR55" i="29"/>
  <c r="B44" i="28"/>
  <c r="BW20" i="28"/>
  <c r="BX20" i="28"/>
  <c r="BQ20" i="28"/>
  <c r="BR20" i="28"/>
  <c r="BW19" i="28"/>
  <c r="BR19" i="28"/>
  <c r="BX19" i="28"/>
  <c r="BQ19" i="28"/>
  <c r="BU155" i="28"/>
  <c r="BV155" i="28"/>
  <c r="BX131" i="28"/>
  <c r="BO131" i="28"/>
  <c r="BX133" i="28"/>
  <c r="BX132" i="28"/>
  <c r="CE36" i="29"/>
  <c r="CD36" i="29"/>
  <c r="CB36" i="29"/>
  <c r="CG36" i="29"/>
  <c r="BS188" i="29"/>
  <c r="BY188" i="29"/>
  <c r="BU85" i="28"/>
  <c r="BV85" i="28"/>
  <c r="BP85" i="28"/>
  <c r="BO85" i="28"/>
  <c r="B22" i="28"/>
  <c r="BO86" i="28"/>
  <c r="BU86" i="28"/>
  <c r="BV86" i="28"/>
  <c r="BP86" i="28"/>
  <c r="BU87" i="28"/>
  <c r="BO87" i="28"/>
  <c r="BV87" i="28"/>
  <c r="BP87" i="28"/>
  <c r="BV121" i="28"/>
  <c r="BP121" i="28"/>
  <c r="BV84" i="28"/>
  <c r="BP84" i="28"/>
  <c r="BU84" i="28"/>
  <c r="BO84" i="28"/>
  <c r="CD186" i="29"/>
  <c r="BY186" i="29"/>
  <c r="BX130" i="28"/>
  <c r="BV120" i="28"/>
  <c r="BP120" i="28"/>
  <c r="BV119" i="28"/>
  <c r="BP119" i="28"/>
  <c r="BQ51" i="28"/>
  <c r="BU51" i="28"/>
  <c r="BW51" i="28"/>
  <c r="BQ50" i="28"/>
  <c r="BW50" i="28"/>
  <c r="BQ71" i="29"/>
  <c r="BR71" i="29"/>
  <c r="BQ72" i="29"/>
  <c r="BR72" i="29"/>
  <c r="BS42" i="29"/>
  <c r="BQ42" i="29"/>
  <c r="BT42" i="29"/>
  <c r="BU42" i="29"/>
  <c r="BS50" i="29"/>
  <c r="BT50" i="29"/>
  <c r="BU50" i="29"/>
  <c r="BQ50" i="29"/>
  <c r="BR65" i="29"/>
  <c r="BQ65" i="29"/>
  <c r="BR73" i="29"/>
  <c r="BQ73" i="29"/>
  <c r="BQ199" i="29"/>
  <c r="BR199" i="29"/>
  <c r="BQ203" i="29"/>
  <c r="BR203" i="29"/>
  <c r="BQ211" i="29"/>
  <c r="BR211" i="29"/>
  <c r="BR215" i="29"/>
  <c r="BQ215" i="29"/>
  <c r="BR219" i="29"/>
  <c r="BQ219" i="29"/>
  <c r="BQ223" i="29"/>
  <c r="BR223" i="29"/>
  <c r="BR227" i="29"/>
  <c r="BQ227" i="29"/>
  <c r="BS234" i="29"/>
  <c r="BR206" i="29"/>
  <c r="BQ206" i="29"/>
  <c r="BR222" i="29"/>
  <c r="BQ222" i="29"/>
  <c r="BU43" i="29"/>
  <c r="BT43" i="29"/>
  <c r="BQ43" i="29"/>
  <c r="BS43" i="29"/>
  <c r="BT51" i="29"/>
  <c r="BU51" i="29"/>
  <c r="BQ51" i="29"/>
  <c r="BS51" i="29"/>
  <c r="BR66" i="29"/>
  <c r="BQ66" i="29"/>
  <c r="BR74" i="29"/>
  <c r="BQ74" i="29"/>
  <c r="BR189" i="29"/>
  <c r="BQ189" i="29"/>
  <c r="BQ195" i="29"/>
  <c r="BR195" i="29"/>
  <c r="BR202" i="29"/>
  <c r="BQ202" i="29"/>
  <c r="BR230" i="29"/>
  <c r="BQ230" i="29"/>
  <c r="BQ64" i="29"/>
  <c r="BR64" i="29"/>
  <c r="BR188" i="29"/>
  <c r="BQ188" i="29"/>
  <c r="BQ36" i="29"/>
  <c r="BU36" i="29"/>
  <c r="BS36" i="29"/>
  <c r="BT36" i="29"/>
  <c r="BQ44" i="29"/>
  <c r="BS44" i="29"/>
  <c r="BT44" i="29"/>
  <c r="BU44" i="29"/>
  <c r="BQ52" i="29"/>
  <c r="BS52" i="29"/>
  <c r="BT52" i="29"/>
  <c r="BU52" i="29"/>
  <c r="BQ67" i="29"/>
  <c r="BR67" i="29"/>
  <c r="BQ75" i="29"/>
  <c r="BR75" i="29"/>
  <c r="BQ200" i="29"/>
  <c r="BR200" i="29"/>
  <c r="BQ204" i="29"/>
  <c r="BR204" i="29"/>
  <c r="BR212" i="29"/>
  <c r="BQ212" i="29"/>
  <c r="BR220" i="29"/>
  <c r="BQ220" i="29"/>
  <c r="BR224" i="29"/>
  <c r="BQ224" i="29"/>
  <c r="BR228" i="29"/>
  <c r="BQ228" i="29"/>
  <c r="BU48" i="29"/>
  <c r="BS48" i="29"/>
  <c r="BQ48" i="29"/>
  <c r="BT48" i="29"/>
  <c r="BQ214" i="29"/>
  <c r="BR214" i="29"/>
  <c r="BT37" i="29"/>
  <c r="BU37" i="29"/>
  <c r="BS37" i="29"/>
  <c r="BQ37" i="29"/>
  <c r="BT45" i="29"/>
  <c r="BS45" i="29"/>
  <c r="BU45" i="29"/>
  <c r="BQ45" i="29"/>
  <c r="BT53" i="29"/>
  <c r="BS53" i="29"/>
  <c r="BU53" i="29"/>
  <c r="BQ53" i="29"/>
  <c r="BR60" i="29"/>
  <c r="BQ60" i="29"/>
  <c r="BQ68" i="29"/>
  <c r="BR68" i="29"/>
  <c r="BQ76" i="29"/>
  <c r="BR76" i="29"/>
  <c r="BR190" i="29"/>
  <c r="BQ190" i="29"/>
  <c r="BQ196" i="29"/>
  <c r="BR196" i="29"/>
  <c r="BR63" i="29"/>
  <c r="BQ63" i="29"/>
  <c r="BR198" i="29"/>
  <c r="BQ198" i="29"/>
  <c r="BQ41" i="29"/>
  <c r="BS41" i="29"/>
  <c r="BT41" i="29"/>
  <c r="BU41" i="29"/>
  <c r="BU38" i="29"/>
  <c r="BQ38" i="29"/>
  <c r="BS38" i="29"/>
  <c r="BT38" i="29"/>
  <c r="BQ46" i="29"/>
  <c r="BS46" i="29"/>
  <c r="BU46" i="29"/>
  <c r="BT46" i="29"/>
  <c r="BQ54" i="29"/>
  <c r="BU54" i="29"/>
  <c r="BS54" i="29"/>
  <c r="BT54" i="29"/>
  <c r="BR61" i="29"/>
  <c r="BQ61" i="29"/>
  <c r="BR69" i="29"/>
  <c r="BQ69" i="29"/>
  <c r="BR77" i="29"/>
  <c r="BQ77" i="29"/>
  <c r="BQ197" i="29"/>
  <c r="BR197" i="29"/>
  <c r="BR201" i="29"/>
  <c r="BQ201" i="29"/>
  <c r="BR205" i="29"/>
  <c r="BQ205" i="29"/>
  <c r="BQ213" i="29"/>
  <c r="BR213" i="29"/>
  <c r="BR221" i="29"/>
  <c r="BQ221" i="29"/>
  <c r="BR225" i="29"/>
  <c r="BQ225" i="29"/>
  <c r="BR229" i="29"/>
  <c r="BQ229" i="29"/>
  <c r="BU40" i="29"/>
  <c r="BT40" i="29"/>
  <c r="BQ40" i="29"/>
  <c r="BS40" i="29"/>
  <c r="BQ79" i="29"/>
  <c r="BR79" i="29"/>
  <c r="BR226" i="29"/>
  <c r="BQ226" i="29"/>
  <c r="BQ49" i="29"/>
  <c r="BS49" i="29"/>
  <c r="BT49" i="29"/>
  <c r="BU49" i="29"/>
  <c r="BR194" i="29"/>
  <c r="BQ194" i="29"/>
  <c r="BS39" i="29"/>
  <c r="BT39" i="29"/>
  <c r="BQ39" i="29"/>
  <c r="BU39" i="29"/>
  <c r="BS47" i="29"/>
  <c r="BT47" i="29"/>
  <c r="BQ47" i="29"/>
  <c r="BU47" i="29"/>
  <c r="BS55" i="29"/>
  <c r="BT55" i="29"/>
  <c r="BQ55" i="29"/>
  <c r="BU55" i="29"/>
  <c r="BQ62" i="29"/>
  <c r="BR62" i="29"/>
  <c r="BR70" i="29"/>
  <c r="BQ70" i="29"/>
  <c r="BR78" i="29"/>
  <c r="BQ78" i="29"/>
  <c r="CC186" i="29"/>
  <c r="BR186" i="29"/>
  <c r="BQ186" i="29"/>
  <c r="BR193" i="29"/>
  <c r="BQ193" i="29"/>
  <c r="BR331" i="29"/>
  <c r="CC331" i="29"/>
  <c r="CB331" i="29"/>
  <c r="CB330" i="29"/>
  <c r="BQ330" i="29"/>
  <c r="BR329" i="29"/>
  <c r="CC329" i="29"/>
  <c r="CG337" i="29"/>
  <c r="BV337" i="29"/>
  <c r="CF337" i="29"/>
  <c r="BR330" i="29"/>
  <c r="CC330" i="29"/>
  <c r="CG336" i="29"/>
  <c r="BV336" i="29"/>
  <c r="BU336" i="29"/>
  <c r="CF336" i="29"/>
  <c r="BQ329" i="29"/>
  <c r="CB329" i="29"/>
  <c r="BQ318" i="29"/>
  <c r="CB318" i="29"/>
  <c r="BQ322" i="29"/>
  <c r="CB322" i="29"/>
  <c r="BR323" i="29"/>
  <c r="CC323" i="29"/>
  <c r="BR316" i="29"/>
  <c r="CC316" i="29"/>
  <c r="BR320" i="29"/>
  <c r="CC320" i="29"/>
  <c r="BR324" i="29"/>
  <c r="CC324" i="29"/>
  <c r="BQ316" i="29"/>
  <c r="CB316" i="29"/>
  <c r="BQ320" i="29"/>
  <c r="CB320" i="29"/>
  <c r="BQ324" i="29"/>
  <c r="CB324" i="29"/>
  <c r="BR317" i="29"/>
  <c r="CC317" i="29"/>
  <c r="BR321" i="29"/>
  <c r="CC321" i="29"/>
  <c r="BQ323" i="29"/>
  <c r="CB323" i="29"/>
  <c r="BQ317" i="29"/>
  <c r="CB317" i="29"/>
  <c r="BQ321" i="29"/>
  <c r="CB321" i="29"/>
  <c r="BR318" i="29"/>
  <c r="CC318" i="29"/>
  <c r="BR322" i="29"/>
  <c r="CC322" i="29"/>
  <c r="BQ315" i="29"/>
  <c r="CB315" i="29"/>
  <c r="BR315" i="29"/>
  <c r="CC315" i="29"/>
  <c r="C314" i="29"/>
  <c r="BV314" i="29" s="1"/>
  <c r="BQ314" i="29"/>
  <c r="BS302" i="29"/>
  <c r="CD302" i="29"/>
  <c r="BS306" i="29"/>
  <c r="CD306" i="29"/>
  <c r="BR302" i="29"/>
  <c r="CC302" i="29"/>
  <c r="BR306" i="29"/>
  <c r="CC306" i="29"/>
  <c r="BR303" i="29"/>
  <c r="CC303" i="29"/>
  <c r="BR307" i="29"/>
  <c r="CC307" i="29"/>
  <c r="BS303" i="29"/>
  <c r="CD303" i="29"/>
  <c r="BS304" i="29"/>
  <c r="CD304" i="29"/>
  <c r="BS308" i="29"/>
  <c r="CD308" i="29"/>
  <c r="BR304" i="29"/>
  <c r="CC304" i="29"/>
  <c r="BR308" i="29"/>
  <c r="CC308" i="29"/>
  <c r="BS307" i="29"/>
  <c r="CD307" i="29"/>
  <c r="BS301" i="29"/>
  <c r="CD301" i="29"/>
  <c r="BS305" i="29"/>
  <c r="CD305" i="29"/>
  <c r="BS309" i="29"/>
  <c r="CD309" i="29"/>
  <c r="BR301" i="29"/>
  <c r="CC301" i="29"/>
  <c r="BR305" i="29"/>
  <c r="CC305" i="29"/>
  <c r="BR309" i="29"/>
  <c r="CC309" i="29"/>
  <c r="C295" i="29"/>
  <c r="BR295" i="29"/>
  <c r="C296" i="29"/>
  <c r="BR296" i="29"/>
  <c r="C299" i="29"/>
  <c r="BR299" i="29"/>
  <c r="C298" i="29"/>
  <c r="BR298" i="29"/>
  <c r="C292" i="29"/>
  <c r="BT292" i="29" s="1"/>
  <c r="CC292" i="29"/>
  <c r="C300" i="29"/>
  <c r="BR300" i="29"/>
  <c r="C293" i="29"/>
  <c r="BR293" i="29"/>
  <c r="C297" i="29"/>
  <c r="BR297" i="29"/>
  <c r="C294" i="29"/>
  <c r="BR294" i="29"/>
  <c r="BU234" i="29"/>
  <c r="CE234" i="29"/>
  <c r="CC241" i="29"/>
  <c r="CB241" i="29"/>
  <c r="CE241" i="29"/>
  <c r="BT246" i="29"/>
  <c r="CD246" i="29"/>
  <c r="BT250" i="29"/>
  <c r="CD250" i="29"/>
  <c r="BT254" i="29"/>
  <c r="CD254" i="29"/>
  <c r="BT258" i="29"/>
  <c r="CD258" i="29"/>
  <c r="BT262" i="29"/>
  <c r="CD262" i="29"/>
  <c r="BT266" i="29"/>
  <c r="CD266" i="29"/>
  <c r="BT270" i="29"/>
  <c r="CD270" i="29"/>
  <c r="BT274" i="29"/>
  <c r="CD274" i="29"/>
  <c r="BT278" i="29"/>
  <c r="CD278" i="29"/>
  <c r="BT236" i="29"/>
  <c r="CD236" i="29"/>
  <c r="BT242" i="29"/>
  <c r="CD242" i="29"/>
  <c r="CC246" i="29"/>
  <c r="CB246" i="29"/>
  <c r="CE246" i="29"/>
  <c r="CC250" i="29"/>
  <c r="CB250" i="29"/>
  <c r="CE250" i="29"/>
  <c r="CC254" i="29"/>
  <c r="CB254" i="29"/>
  <c r="CE254" i="29"/>
  <c r="CB258" i="29"/>
  <c r="CE258" i="29"/>
  <c r="CE262" i="29"/>
  <c r="CC262" i="29"/>
  <c r="CB262" i="29"/>
  <c r="CE270" i="29"/>
  <c r="CC270" i="29"/>
  <c r="CB270" i="29"/>
  <c r="CE274" i="29"/>
  <c r="CC274" i="29"/>
  <c r="CB274" i="29"/>
  <c r="CE278" i="29"/>
  <c r="CC278" i="29"/>
  <c r="CB278" i="29"/>
  <c r="BT251" i="29"/>
  <c r="CD251" i="29"/>
  <c r="BT271" i="29"/>
  <c r="CD271" i="29"/>
  <c r="BT237" i="29"/>
  <c r="CD237" i="29"/>
  <c r="BT243" i="29"/>
  <c r="CD243" i="29"/>
  <c r="CC247" i="29"/>
  <c r="CE247" i="29"/>
  <c r="CB247" i="29"/>
  <c r="CC251" i="29"/>
  <c r="CB251" i="29"/>
  <c r="CE251" i="29"/>
  <c r="CE255" i="29"/>
  <c r="CB255" i="29"/>
  <c r="BR255" i="29"/>
  <c r="CE259" i="29"/>
  <c r="CC259" i="29"/>
  <c r="CB259" i="29"/>
  <c r="CE263" i="29"/>
  <c r="CC263" i="29"/>
  <c r="CB263" i="29"/>
  <c r="CE267" i="29"/>
  <c r="CC267" i="29"/>
  <c r="CB267" i="29"/>
  <c r="CE271" i="29"/>
  <c r="CC271" i="29"/>
  <c r="CB271" i="29"/>
  <c r="CE275" i="29"/>
  <c r="CC275" i="29"/>
  <c r="CB275" i="29"/>
  <c r="CC242" i="29"/>
  <c r="CE242" i="29"/>
  <c r="CB242" i="29"/>
  <c r="BT263" i="29"/>
  <c r="CD263" i="29"/>
  <c r="BT252" i="29"/>
  <c r="CD252" i="29"/>
  <c r="BT256" i="29"/>
  <c r="CD256" i="29"/>
  <c r="BT260" i="29"/>
  <c r="CD260" i="29"/>
  <c r="BT264" i="29"/>
  <c r="CD264" i="29"/>
  <c r="BT268" i="29"/>
  <c r="CD268" i="29"/>
  <c r="BT272" i="29"/>
  <c r="CD272" i="29"/>
  <c r="BT276" i="29"/>
  <c r="CD276" i="29"/>
  <c r="CC236" i="29"/>
  <c r="CE236" i="29"/>
  <c r="CB236" i="29"/>
  <c r="BT255" i="29"/>
  <c r="CD255" i="29"/>
  <c r="BT275" i="29"/>
  <c r="CD275" i="29"/>
  <c r="CC237" i="29"/>
  <c r="CB237" i="29"/>
  <c r="CE237" i="29"/>
  <c r="BT248" i="29"/>
  <c r="CD248" i="29"/>
  <c r="BT238" i="29"/>
  <c r="CD238" i="29"/>
  <c r="BT244" i="29"/>
  <c r="CD244" i="29"/>
  <c r="CC248" i="29"/>
  <c r="CB248" i="29"/>
  <c r="CE248" i="29"/>
  <c r="CC252" i="29"/>
  <c r="CE252" i="29"/>
  <c r="CB252" i="29"/>
  <c r="CE256" i="29"/>
  <c r="CB256" i="29"/>
  <c r="CE260" i="29"/>
  <c r="CC260" i="29"/>
  <c r="CB260" i="29"/>
  <c r="CE268" i="29"/>
  <c r="CC268" i="29"/>
  <c r="CB268" i="29"/>
  <c r="CE272" i="29"/>
  <c r="CC272" i="29"/>
  <c r="CB272" i="29"/>
  <c r="CE276" i="29"/>
  <c r="CC276" i="29"/>
  <c r="CB276" i="29"/>
  <c r="BT259" i="29"/>
  <c r="CD259" i="29"/>
  <c r="CC243" i="29"/>
  <c r="CB243" i="29"/>
  <c r="CE243" i="29"/>
  <c r="CC238" i="29"/>
  <c r="CB238" i="29"/>
  <c r="CE238" i="29"/>
  <c r="CE244" i="29"/>
  <c r="CC244" i="29"/>
  <c r="CB244" i="29"/>
  <c r="BT249" i="29"/>
  <c r="CD249" i="29"/>
  <c r="BT253" i="29"/>
  <c r="CD253" i="29"/>
  <c r="BT257" i="29"/>
  <c r="CD257" i="29"/>
  <c r="BT261" i="29"/>
  <c r="CD261" i="29"/>
  <c r="BT265" i="29"/>
  <c r="CD265" i="29"/>
  <c r="BT269" i="29"/>
  <c r="CD269" i="29"/>
  <c r="BT273" i="29"/>
  <c r="CD273" i="29"/>
  <c r="BT277" i="29"/>
  <c r="CD277" i="29"/>
  <c r="BT247" i="29"/>
  <c r="CD247" i="29"/>
  <c r="BT267" i="29"/>
  <c r="CD267" i="29"/>
  <c r="BT241" i="29"/>
  <c r="CD241" i="29"/>
  <c r="CC245" i="29"/>
  <c r="CB245" i="29"/>
  <c r="CE245" i="29"/>
  <c r="CE249" i="29"/>
  <c r="CC249" i="29"/>
  <c r="CB249" i="29"/>
  <c r="CE253" i="29"/>
  <c r="CC253" i="29"/>
  <c r="CB253" i="29"/>
  <c r="CE257" i="29"/>
  <c r="CB257" i="29"/>
  <c r="CC261" i="29"/>
  <c r="CE261" i="29"/>
  <c r="CB261" i="29"/>
  <c r="CE269" i="29"/>
  <c r="CC269" i="29"/>
  <c r="CB269" i="29"/>
  <c r="CE273" i="29"/>
  <c r="CC273" i="29"/>
  <c r="CB273" i="29"/>
  <c r="CE277" i="29"/>
  <c r="CC277" i="29"/>
  <c r="CB277" i="29"/>
  <c r="BR254" i="29"/>
  <c r="BU254" i="29"/>
  <c r="BS254" i="29"/>
  <c r="BR270" i="29"/>
  <c r="BU270" i="29"/>
  <c r="BS270" i="29"/>
  <c r="BU236" i="29"/>
  <c r="BS236" i="29"/>
  <c r="BR242" i="29"/>
  <c r="BU242" i="29"/>
  <c r="BS242" i="29"/>
  <c r="BR250" i="29"/>
  <c r="BU250" i="29"/>
  <c r="BS250" i="29"/>
  <c r="BR274" i="29"/>
  <c r="BU274" i="29"/>
  <c r="BS274" i="29"/>
  <c r="BR247" i="29"/>
  <c r="BS247" i="29"/>
  <c r="BU247" i="29"/>
  <c r="BR251" i="29"/>
  <c r="BS251" i="29"/>
  <c r="BU251" i="29"/>
  <c r="BU255" i="29"/>
  <c r="BR259" i="29"/>
  <c r="BU259" i="29"/>
  <c r="BS259" i="29"/>
  <c r="BR263" i="29"/>
  <c r="BU263" i="29"/>
  <c r="BS263" i="29"/>
  <c r="BR267" i="29"/>
  <c r="BU267" i="29"/>
  <c r="BS267" i="29"/>
  <c r="BR271" i="29"/>
  <c r="BU271" i="29"/>
  <c r="BS271" i="29"/>
  <c r="BR275" i="29"/>
  <c r="BU275" i="29"/>
  <c r="BS275" i="29"/>
  <c r="BR237" i="29"/>
  <c r="BU237" i="29"/>
  <c r="BS237" i="29"/>
  <c r="BR243" i="29"/>
  <c r="BS243" i="29"/>
  <c r="BU243" i="29"/>
  <c r="BR246" i="29"/>
  <c r="BU246" i="29"/>
  <c r="BS246" i="29"/>
  <c r="BU266" i="29"/>
  <c r="BR248" i="29"/>
  <c r="BU248" i="29"/>
  <c r="BS248" i="29"/>
  <c r="BR252" i="29"/>
  <c r="BU252" i="29"/>
  <c r="BS252" i="29"/>
  <c r="BR256" i="29"/>
  <c r="BU256" i="29"/>
  <c r="BR260" i="29"/>
  <c r="BS260" i="29"/>
  <c r="BU260" i="29"/>
  <c r="BU264" i="29"/>
  <c r="BR268" i="29"/>
  <c r="BS268" i="29"/>
  <c r="BU268" i="29"/>
  <c r="BR272" i="29"/>
  <c r="BS272" i="29"/>
  <c r="BU272" i="29"/>
  <c r="BR276" i="29"/>
  <c r="BU276" i="29"/>
  <c r="BS276" i="29"/>
  <c r="BR262" i="29"/>
  <c r="BS262" i="29"/>
  <c r="BU262" i="29"/>
  <c r="BR278" i="29"/>
  <c r="BS278" i="29"/>
  <c r="BU278" i="29"/>
  <c r="BR238" i="29"/>
  <c r="BU238" i="29"/>
  <c r="BS238" i="29"/>
  <c r="BR244" i="29"/>
  <c r="BU244" i="29"/>
  <c r="BS244" i="29"/>
  <c r="BR241" i="29"/>
  <c r="BU241" i="29"/>
  <c r="BS241" i="29"/>
  <c r="BR258" i="29"/>
  <c r="BU258" i="29"/>
  <c r="CD234" i="29"/>
  <c r="BT234" i="29"/>
  <c r="BR245" i="29"/>
  <c r="BU245" i="29"/>
  <c r="BS245" i="29"/>
  <c r="BR249" i="29"/>
  <c r="BU249" i="29"/>
  <c r="BS249" i="29"/>
  <c r="BR253" i="29"/>
  <c r="BU253" i="29"/>
  <c r="BS253" i="29"/>
  <c r="BR257" i="29"/>
  <c r="BU257" i="29"/>
  <c r="BR261" i="29"/>
  <c r="BU261" i="29"/>
  <c r="BS261" i="29"/>
  <c r="BU265" i="29"/>
  <c r="BR269" i="29"/>
  <c r="BU269" i="29"/>
  <c r="BS269" i="29"/>
  <c r="BR273" i="29"/>
  <c r="BU273" i="29"/>
  <c r="BS273" i="29"/>
  <c r="BR277" i="29"/>
  <c r="BU277" i="29"/>
  <c r="BS277" i="29"/>
  <c r="CH189" i="29"/>
  <c r="CJ189" i="29"/>
  <c r="BW189" i="29"/>
  <c r="BS189" i="29"/>
  <c r="CD189" i="29"/>
  <c r="CI211" i="29"/>
  <c r="BT211" i="29"/>
  <c r="CB211" i="29"/>
  <c r="BZ211" i="29"/>
  <c r="CK211" i="29"/>
  <c r="BX211" i="29"/>
  <c r="CC211" i="29"/>
  <c r="CE211" i="29"/>
  <c r="BZ227" i="29"/>
  <c r="CE227" i="29"/>
  <c r="CK227" i="29"/>
  <c r="BX227" i="29"/>
  <c r="CI227" i="29"/>
  <c r="BT227" i="29"/>
  <c r="CC227" i="29"/>
  <c r="CB227" i="29"/>
  <c r="CI189" i="29"/>
  <c r="CB189" i="29"/>
  <c r="CC189" i="29"/>
  <c r="CK189" i="29"/>
  <c r="BT189" i="29"/>
  <c r="BX189" i="29"/>
  <c r="CE189" i="29"/>
  <c r="BZ189" i="29"/>
  <c r="CJ200" i="29"/>
  <c r="CD200" i="29"/>
  <c r="BS200" i="29"/>
  <c r="BW200" i="29"/>
  <c r="CH200" i="29"/>
  <c r="CD208" i="29"/>
  <c r="BW208" i="29"/>
  <c r="CJ208" i="29"/>
  <c r="CH208" i="29"/>
  <c r="BS208" i="29"/>
  <c r="CH216" i="29"/>
  <c r="BS216" i="29"/>
  <c r="CJ216" i="29"/>
  <c r="CD216" i="29"/>
  <c r="BW216" i="29"/>
  <c r="CD224" i="29"/>
  <c r="BW224" i="29"/>
  <c r="CJ224" i="29"/>
  <c r="BS224" i="29"/>
  <c r="CH224" i="29"/>
  <c r="CH190" i="29"/>
  <c r="CD190" i="29"/>
  <c r="BS190" i="29"/>
  <c r="CJ190" i="29"/>
  <c r="BW190" i="29"/>
  <c r="CJ196" i="29"/>
  <c r="CD196" i="29"/>
  <c r="CH196" i="29"/>
  <c r="BW196" i="29"/>
  <c r="BS196" i="29"/>
  <c r="CK200" i="29"/>
  <c r="CC200" i="29"/>
  <c r="CB200" i="29"/>
  <c r="CE200" i="29"/>
  <c r="CI200" i="29"/>
  <c r="BZ200" i="29"/>
  <c r="BX200" i="29"/>
  <c r="BT200" i="29"/>
  <c r="CK204" i="29"/>
  <c r="CC204" i="29"/>
  <c r="CB204" i="29"/>
  <c r="BZ204" i="29"/>
  <c r="CI204" i="29"/>
  <c r="BX204" i="29"/>
  <c r="BT204" i="29"/>
  <c r="CE204" i="29"/>
  <c r="CE208" i="29"/>
  <c r="BX208" i="29"/>
  <c r="BZ208" i="29"/>
  <c r="CI208" i="29"/>
  <c r="BT208" i="29"/>
  <c r="CK208" i="29"/>
  <c r="CB208" i="29"/>
  <c r="BZ212" i="29"/>
  <c r="CC212" i="29"/>
  <c r="CB212" i="29"/>
  <c r="BX212" i="29"/>
  <c r="CK212" i="29"/>
  <c r="BT212" i="29"/>
  <c r="CE212" i="29"/>
  <c r="CI212" i="29"/>
  <c r="CI216" i="29"/>
  <c r="BT216" i="29"/>
  <c r="BZ216" i="29"/>
  <c r="CK216" i="29"/>
  <c r="BX216" i="29"/>
  <c r="CE216" i="29"/>
  <c r="CE220" i="29"/>
  <c r="BX220" i="29"/>
  <c r="BT220" i="29"/>
  <c r="CK220" i="29"/>
  <c r="BZ220" i="29"/>
  <c r="CC220" i="29"/>
  <c r="CB220" i="29"/>
  <c r="CI220" i="29"/>
  <c r="CE224" i="29"/>
  <c r="BX224" i="29"/>
  <c r="CC224" i="29"/>
  <c r="CI224" i="29"/>
  <c r="CB224" i="29"/>
  <c r="BT224" i="29"/>
  <c r="CK224" i="29"/>
  <c r="BZ224" i="29"/>
  <c r="CE228" i="29"/>
  <c r="BX228" i="29"/>
  <c r="CB228" i="29"/>
  <c r="CI228" i="29"/>
  <c r="BZ228" i="29"/>
  <c r="CK228" i="29"/>
  <c r="BT228" i="29"/>
  <c r="CC228" i="29"/>
  <c r="CD195" i="29"/>
  <c r="BS195" i="29"/>
  <c r="BW195" i="29"/>
  <c r="CJ195" i="29"/>
  <c r="CH195" i="29"/>
  <c r="CE207" i="29"/>
  <c r="BZ207" i="29"/>
  <c r="CK207" i="29"/>
  <c r="CI207" i="29"/>
  <c r="BX207" i="29"/>
  <c r="BT207" i="29"/>
  <c r="CB207" i="29"/>
  <c r="CE195" i="29"/>
  <c r="BZ195" i="29"/>
  <c r="BX195" i="29"/>
  <c r="CK195" i="29"/>
  <c r="CC195" i="29"/>
  <c r="CB195" i="29"/>
  <c r="BT195" i="29"/>
  <c r="CI195" i="29"/>
  <c r="CJ204" i="29"/>
  <c r="CD204" i="29"/>
  <c r="BS204" i="29"/>
  <c r="CH204" i="29"/>
  <c r="BW204" i="29"/>
  <c r="CH212" i="29"/>
  <c r="CJ212" i="29"/>
  <c r="BW212" i="29"/>
  <c r="BS212" i="29"/>
  <c r="CD212" i="29"/>
  <c r="CD220" i="29"/>
  <c r="BW220" i="29"/>
  <c r="BS220" i="29"/>
  <c r="CJ220" i="29"/>
  <c r="CH220" i="29"/>
  <c r="CD228" i="29"/>
  <c r="BW228" i="29"/>
  <c r="BS228" i="29"/>
  <c r="CH228" i="29"/>
  <c r="CJ228" i="29"/>
  <c r="BT190" i="29"/>
  <c r="CK190" i="29"/>
  <c r="CC190" i="29"/>
  <c r="CB190" i="29"/>
  <c r="BZ190" i="29"/>
  <c r="BX190" i="29"/>
  <c r="CI190" i="29"/>
  <c r="CE190" i="29"/>
  <c r="CK196" i="29"/>
  <c r="CC196" i="29"/>
  <c r="CB196" i="29"/>
  <c r="BX196" i="29"/>
  <c r="CE196" i="29"/>
  <c r="BZ196" i="29"/>
  <c r="CI196" i="29"/>
  <c r="BT196" i="29"/>
  <c r="CH201" i="29"/>
  <c r="CJ201" i="29"/>
  <c r="CD201" i="29"/>
  <c r="BW201" i="29"/>
  <c r="BS201" i="29"/>
  <c r="CH205" i="29"/>
  <c r="CJ205" i="29"/>
  <c r="CD205" i="29"/>
  <c r="BW205" i="29"/>
  <c r="BS205" i="29"/>
  <c r="CD209" i="29"/>
  <c r="BS209" i="29"/>
  <c r="CJ209" i="29"/>
  <c r="BW209" i="29"/>
  <c r="CH209" i="29"/>
  <c r="CD213" i="29"/>
  <c r="BW213" i="29"/>
  <c r="CJ213" i="29"/>
  <c r="CH213" i="29"/>
  <c r="BS213" i="29"/>
  <c r="CH217" i="29"/>
  <c r="CJ217" i="29"/>
  <c r="BW217" i="29"/>
  <c r="BS217" i="29"/>
  <c r="CD217" i="29"/>
  <c r="CJ221" i="29"/>
  <c r="CD221" i="29"/>
  <c r="CH221" i="29"/>
  <c r="BS221" i="29"/>
  <c r="BW221" i="29"/>
  <c r="CJ225" i="29"/>
  <c r="CD225" i="29"/>
  <c r="BW225" i="29"/>
  <c r="BS225" i="29"/>
  <c r="CH225" i="29"/>
  <c r="CJ229" i="29"/>
  <c r="CD229" i="29"/>
  <c r="BW229" i="29"/>
  <c r="BS229" i="29"/>
  <c r="CH229" i="29"/>
  <c r="CI215" i="29"/>
  <c r="BT215" i="29"/>
  <c r="CB215" i="29"/>
  <c r="CE215" i="29"/>
  <c r="BX215" i="29"/>
  <c r="CK215" i="29"/>
  <c r="BZ215" i="29"/>
  <c r="CC215" i="29"/>
  <c r="CI205" i="29"/>
  <c r="BX205" i="29"/>
  <c r="CB205" i="29"/>
  <c r="CE205" i="29"/>
  <c r="BZ205" i="29"/>
  <c r="CC205" i="29"/>
  <c r="BT205" i="29"/>
  <c r="CK205" i="29"/>
  <c r="CI217" i="29"/>
  <c r="BZ217" i="29"/>
  <c r="BX217" i="29"/>
  <c r="BT217" i="29"/>
  <c r="CE217" i="29"/>
  <c r="CK217" i="29"/>
  <c r="CK229" i="29"/>
  <c r="CC229" i="29"/>
  <c r="CB229" i="29"/>
  <c r="BT229" i="29"/>
  <c r="CE229" i="29"/>
  <c r="CI229" i="29"/>
  <c r="BZ229" i="29"/>
  <c r="BX229" i="29"/>
  <c r="CI193" i="29"/>
  <c r="CB193" i="29"/>
  <c r="BT193" i="29"/>
  <c r="CK193" i="29"/>
  <c r="BX193" i="29"/>
  <c r="CE193" i="29"/>
  <c r="CC193" i="29"/>
  <c r="BZ193" i="29"/>
  <c r="CH198" i="29"/>
  <c r="BW198" i="29"/>
  <c r="CD198" i="29"/>
  <c r="BS198" i="29"/>
  <c r="CJ198" i="29"/>
  <c r="CH202" i="29"/>
  <c r="CJ202" i="29"/>
  <c r="BW202" i="29"/>
  <c r="BS202" i="29"/>
  <c r="CD202" i="29"/>
  <c r="CH206" i="29"/>
  <c r="CD206" i="29"/>
  <c r="BW206" i="29"/>
  <c r="BS206" i="29"/>
  <c r="CJ206" i="29"/>
  <c r="CJ210" i="29"/>
  <c r="BS210" i="29"/>
  <c r="CD210" i="29"/>
  <c r="CH210" i="29"/>
  <c r="BW210" i="29"/>
  <c r="CJ214" i="29"/>
  <c r="CD214" i="29"/>
  <c r="CH214" i="29"/>
  <c r="BW214" i="29"/>
  <c r="BS214" i="29"/>
  <c r="CH218" i="29"/>
  <c r="BW218" i="29"/>
  <c r="CJ218" i="29"/>
  <c r="CD218" i="29"/>
  <c r="BS218" i="29"/>
  <c r="CH222" i="29"/>
  <c r="BS222" i="29"/>
  <c r="CJ222" i="29"/>
  <c r="BW222" i="29"/>
  <c r="CD222" i="29"/>
  <c r="CH226" i="29"/>
  <c r="BS226" i="29"/>
  <c r="CJ226" i="29"/>
  <c r="CD226" i="29"/>
  <c r="BW226" i="29"/>
  <c r="CH230" i="29"/>
  <c r="BS230" i="29"/>
  <c r="CJ230" i="29"/>
  <c r="BW230" i="29"/>
  <c r="CD230" i="29"/>
  <c r="CE199" i="29"/>
  <c r="CK199" i="29"/>
  <c r="BT199" i="29"/>
  <c r="CI199" i="29"/>
  <c r="BZ199" i="29"/>
  <c r="BX199" i="29"/>
  <c r="CC199" i="29"/>
  <c r="CB199" i="29"/>
  <c r="BZ219" i="29"/>
  <c r="CC219" i="29"/>
  <c r="BT219" i="29"/>
  <c r="BX219" i="29"/>
  <c r="CB219" i="29"/>
  <c r="CK219" i="29"/>
  <c r="CI219" i="29"/>
  <c r="CE219" i="29"/>
  <c r="C197" i="29"/>
  <c r="CI197" i="29"/>
  <c r="BT197" i="29"/>
  <c r="CB197" i="29"/>
  <c r="CE197" i="29"/>
  <c r="BZ197" i="29"/>
  <c r="BX197" i="29"/>
  <c r="CK197" i="29"/>
  <c r="CK209" i="29"/>
  <c r="CB209" i="29"/>
  <c r="CE209" i="29"/>
  <c r="BZ209" i="29"/>
  <c r="BT209" i="29"/>
  <c r="BX209" i="29"/>
  <c r="CI209" i="29"/>
  <c r="CK221" i="29"/>
  <c r="CC221" i="29"/>
  <c r="CB221" i="29"/>
  <c r="BT221" i="29"/>
  <c r="BZ221" i="29"/>
  <c r="CE221" i="29"/>
  <c r="CI221" i="29"/>
  <c r="BX221" i="29"/>
  <c r="CJ188" i="29"/>
  <c r="CD188" i="29"/>
  <c r="CH188" i="29"/>
  <c r="BW188" i="29"/>
  <c r="CH194" i="29"/>
  <c r="CJ194" i="29"/>
  <c r="BS194" i="29"/>
  <c r="CD194" i="29"/>
  <c r="BW194" i="29"/>
  <c r="CK198" i="29"/>
  <c r="CI198" i="29"/>
  <c r="CE198" i="29"/>
  <c r="BT198" i="29"/>
  <c r="BZ198" i="29"/>
  <c r="CC198" i="29"/>
  <c r="BX198" i="29"/>
  <c r="CB198" i="29"/>
  <c r="CC202" i="29"/>
  <c r="CI202" i="29"/>
  <c r="CE202" i="29"/>
  <c r="BT202" i="29"/>
  <c r="BX202" i="29"/>
  <c r="BZ202" i="29"/>
  <c r="CK202" i="29"/>
  <c r="CB202" i="29"/>
  <c r="CI206" i="29"/>
  <c r="BZ206" i="29"/>
  <c r="CB206" i="29"/>
  <c r="BT206" i="29"/>
  <c r="CE206" i="29"/>
  <c r="BX206" i="29"/>
  <c r="CC206" i="29"/>
  <c r="CK206" i="29"/>
  <c r="CK210" i="29"/>
  <c r="CB210" i="29"/>
  <c r="BT210" i="29"/>
  <c r="CI210" i="29"/>
  <c r="CE210" i="29"/>
  <c r="BX210" i="29"/>
  <c r="BZ210" i="29"/>
  <c r="CK214" i="29"/>
  <c r="CC214" i="29"/>
  <c r="CB214" i="29"/>
  <c r="BX214" i="29"/>
  <c r="BZ214" i="29"/>
  <c r="CE214" i="29"/>
  <c r="CI214" i="29"/>
  <c r="BT214" i="29"/>
  <c r="CI218" i="29"/>
  <c r="BX218" i="29"/>
  <c r="BZ218" i="29"/>
  <c r="CK218" i="29"/>
  <c r="BT218" i="29"/>
  <c r="CE218" i="29"/>
  <c r="CI222" i="29"/>
  <c r="BT222" i="29"/>
  <c r="CB222" i="29"/>
  <c r="CE222" i="29"/>
  <c r="BZ222" i="29"/>
  <c r="CK222" i="29"/>
  <c r="BX222" i="29"/>
  <c r="CC222" i="29"/>
  <c r="CI226" i="29"/>
  <c r="BT226" i="29"/>
  <c r="CB226" i="29"/>
  <c r="CK226" i="29"/>
  <c r="CC226" i="29"/>
  <c r="BX226" i="29"/>
  <c r="CE226" i="29"/>
  <c r="BZ226" i="29"/>
  <c r="CI230" i="29"/>
  <c r="BT230" i="29"/>
  <c r="CK230" i="29"/>
  <c r="CB230" i="29"/>
  <c r="BX230" i="29"/>
  <c r="CC230" i="29"/>
  <c r="CE230" i="29"/>
  <c r="BZ230" i="29"/>
  <c r="CE203" i="29"/>
  <c r="CK203" i="29"/>
  <c r="BT203" i="29"/>
  <c r="CI203" i="29"/>
  <c r="BZ203" i="29"/>
  <c r="CC203" i="29"/>
  <c r="CB203" i="29"/>
  <c r="BX203" i="29"/>
  <c r="BZ223" i="29"/>
  <c r="CB223" i="29"/>
  <c r="CI223" i="29"/>
  <c r="CK223" i="29"/>
  <c r="BT223" i="29"/>
  <c r="BX223" i="29"/>
  <c r="CC223" i="29"/>
  <c r="CE223" i="29"/>
  <c r="CH193" i="29"/>
  <c r="CJ193" i="29"/>
  <c r="BW193" i="29"/>
  <c r="BS193" i="29"/>
  <c r="CD193" i="29"/>
  <c r="CI201" i="29"/>
  <c r="CB201" i="29"/>
  <c r="BX201" i="29"/>
  <c r="CE201" i="29"/>
  <c r="CC201" i="29"/>
  <c r="BT201" i="29"/>
  <c r="CK201" i="29"/>
  <c r="BZ201" i="29"/>
  <c r="CE213" i="29"/>
  <c r="BX213" i="29"/>
  <c r="CK213" i="29"/>
  <c r="CC213" i="29"/>
  <c r="CB213" i="29"/>
  <c r="BZ213" i="29"/>
  <c r="CI213" i="29"/>
  <c r="BT213" i="29"/>
  <c r="CK225" i="29"/>
  <c r="CC225" i="29"/>
  <c r="CB225" i="29"/>
  <c r="BX225" i="29"/>
  <c r="CE225" i="29"/>
  <c r="BT225" i="29"/>
  <c r="BZ225" i="29"/>
  <c r="CI225" i="29"/>
  <c r="CK188" i="29"/>
  <c r="CC188" i="29"/>
  <c r="CB188" i="29"/>
  <c r="BX188" i="29"/>
  <c r="CI188" i="29"/>
  <c r="BZ188" i="29"/>
  <c r="BT188" i="29"/>
  <c r="CE188" i="29"/>
  <c r="CC194" i="29"/>
  <c r="BT194" i="29"/>
  <c r="CB194" i="29"/>
  <c r="CK194" i="29"/>
  <c r="BZ194" i="29"/>
  <c r="CE194" i="29"/>
  <c r="CI194" i="29"/>
  <c r="BX194" i="29"/>
  <c r="CD199" i="29"/>
  <c r="CH199" i="29"/>
  <c r="CJ199" i="29"/>
  <c r="BS199" i="29"/>
  <c r="BW199" i="29"/>
  <c r="CD203" i="29"/>
  <c r="CJ203" i="29"/>
  <c r="BS203" i="29"/>
  <c r="CH203" i="29"/>
  <c r="BW203" i="29"/>
  <c r="BW207" i="29"/>
  <c r="BS207" i="29"/>
  <c r="CD207" i="29"/>
  <c r="CJ207" i="29"/>
  <c r="CH207" i="29"/>
  <c r="CH211" i="29"/>
  <c r="BS211" i="29"/>
  <c r="CJ211" i="29"/>
  <c r="BW211" i="29"/>
  <c r="CD211" i="29"/>
  <c r="CH215" i="29"/>
  <c r="BS215" i="29"/>
  <c r="CJ215" i="29"/>
  <c r="BW215" i="29"/>
  <c r="CD215" i="29"/>
  <c r="CH219" i="29"/>
  <c r="CJ219" i="29"/>
  <c r="BS219" i="29"/>
  <c r="BW219" i="29"/>
  <c r="CD219" i="29"/>
  <c r="CH223" i="29"/>
  <c r="CJ223" i="29"/>
  <c r="BS223" i="29"/>
  <c r="BW223" i="29"/>
  <c r="CD223" i="29"/>
  <c r="CH227" i="29"/>
  <c r="BS227" i="29"/>
  <c r="CD227" i="29"/>
  <c r="CJ227" i="29"/>
  <c r="BW227" i="29"/>
  <c r="CE186" i="29"/>
  <c r="CK186" i="29"/>
  <c r="CI186" i="29"/>
  <c r="CH186" i="29"/>
  <c r="CJ186" i="29"/>
  <c r="BS186" i="29"/>
  <c r="BW186" i="29"/>
  <c r="BT186" i="29"/>
  <c r="BX186" i="29"/>
  <c r="K156" i="29"/>
  <c r="CB234" i="29"/>
  <c r="CC234" i="29"/>
  <c r="CB186" i="29"/>
  <c r="C198" i="29"/>
  <c r="C204" i="29"/>
  <c r="C245" i="29"/>
  <c r="BY245" i="29" s="1"/>
  <c r="C149" i="28"/>
  <c r="BV149" i="28" s="1"/>
  <c r="B25" i="28"/>
  <c r="BO25" i="28" s="1"/>
  <c r="B41" i="28"/>
  <c r="BS41" i="28" s="1"/>
  <c r="C201" i="29"/>
  <c r="B18" i="28"/>
  <c r="G156" i="29"/>
  <c r="CG54" i="29"/>
  <c r="CG37" i="29"/>
  <c r="CG49" i="29"/>
  <c r="CG38" i="29"/>
  <c r="CG44" i="29"/>
  <c r="CG50" i="29"/>
  <c r="CG48" i="29"/>
  <c r="CG43" i="29"/>
  <c r="CG39" i="29"/>
  <c r="CG45" i="29"/>
  <c r="CG51" i="29"/>
  <c r="CG42" i="29"/>
  <c r="CG55" i="29"/>
  <c r="CG40" i="29"/>
  <c r="CG46" i="29"/>
  <c r="CG41" i="29"/>
  <c r="CG47" i="29"/>
  <c r="CG53" i="29"/>
  <c r="M156" i="29"/>
  <c r="CG52" i="29"/>
  <c r="B38" i="28"/>
  <c r="BU38" i="28" s="1"/>
  <c r="B35" i="28"/>
  <c r="BQ35" i="28" s="1"/>
  <c r="B32" i="28"/>
  <c r="BV32" i="28" s="1"/>
  <c r="BP60" i="28"/>
  <c r="BO60" i="28"/>
  <c r="BU60" i="28"/>
  <c r="BV60" i="28"/>
  <c r="BQ129" i="28"/>
  <c r="BW129" i="28"/>
  <c r="BV129" i="28"/>
  <c r="BP129" i="28"/>
  <c r="BV61" i="28"/>
  <c r="BU61" i="28"/>
  <c r="BP61" i="28"/>
  <c r="BO61" i="28"/>
  <c r="BQ130" i="28"/>
  <c r="BP130" i="28"/>
  <c r="BW130" i="28"/>
  <c r="BV130" i="28"/>
  <c r="BP125" i="28"/>
  <c r="BV125" i="28"/>
  <c r="BW125" i="28"/>
  <c r="BQ125" i="28"/>
  <c r="BQ131" i="28"/>
  <c r="BP131" i="28"/>
  <c r="BW131" i="28"/>
  <c r="BV131" i="28"/>
  <c r="BW126" i="28"/>
  <c r="BV126" i="28"/>
  <c r="BP126" i="28"/>
  <c r="BQ126" i="28"/>
  <c r="BW132" i="28"/>
  <c r="BV132" i="28"/>
  <c r="BQ132" i="28"/>
  <c r="BP132" i="28"/>
  <c r="BP155" i="28"/>
  <c r="BO155" i="28"/>
  <c r="BP128" i="28"/>
  <c r="BW128" i="28"/>
  <c r="BV128" i="28"/>
  <c r="BQ128" i="28"/>
  <c r="BU128" i="28"/>
  <c r="BW127" i="28"/>
  <c r="BV127" i="28"/>
  <c r="BQ127" i="28"/>
  <c r="BP127" i="28"/>
  <c r="BW133" i="28"/>
  <c r="BV133" i="28"/>
  <c r="BQ133" i="28"/>
  <c r="BP133" i="28"/>
  <c r="CG314" i="29"/>
  <c r="C165" i="29"/>
  <c r="CB165" i="29" s="1"/>
  <c r="CE12" i="29"/>
  <c r="BS12" i="29"/>
  <c r="CF12" i="29"/>
  <c r="BT12" i="29"/>
  <c r="BU12" i="29"/>
  <c r="CB51" i="29"/>
  <c r="CE51" i="29"/>
  <c r="CB60" i="29"/>
  <c r="CC60" i="29"/>
  <c r="CC78" i="29"/>
  <c r="CB78" i="29"/>
  <c r="BU13" i="29"/>
  <c r="BS13" i="29"/>
  <c r="CF13" i="29"/>
  <c r="BT13" i="29"/>
  <c r="CE13" i="29"/>
  <c r="CE40" i="29"/>
  <c r="CB40" i="29"/>
  <c r="CC67" i="29"/>
  <c r="CB67" i="29"/>
  <c r="CC79" i="29"/>
  <c r="CB79" i="29"/>
  <c r="CF14" i="29"/>
  <c r="BT14" i="29"/>
  <c r="BS14" i="29"/>
  <c r="CE14" i="29"/>
  <c r="BU14" i="29"/>
  <c r="CE41" i="29"/>
  <c r="CB41" i="29"/>
  <c r="CE47" i="29"/>
  <c r="CB47" i="29"/>
  <c r="CE53" i="29"/>
  <c r="CB53" i="29"/>
  <c r="CB62" i="29"/>
  <c r="CC62" i="29"/>
  <c r="CB68" i="29"/>
  <c r="CC68" i="29"/>
  <c r="CB74" i="29"/>
  <c r="CC74" i="29"/>
  <c r="CB39" i="29"/>
  <c r="CE39" i="29"/>
  <c r="CC66" i="29"/>
  <c r="CB66" i="29"/>
  <c r="CB52" i="29"/>
  <c r="CE52" i="29"/>
  <c r="CC73" i="29"/>
  <c r="CB73" i="29"/>
  <c r="CB42" i="29"/>
  <c r="CE42" i="29"/>
  <c r="CB54" i="29"/>
  <c r="CE54" i="29"/>
  <c r="CC69" i="29"/>
  <c r="CB69" i="29"/>
  <c r="CE37" i="29"/>
  <c r="CB37" i="29"/>
  <c r="CB43" i="29"/>
  <c r="CE43" i="29"/>
  <c r="CB49" i="29"/>
  <c r="CE49" i="29"/>
  <c r="CB55" i="29"/>
  <c r="CE55" i="29"/>
  <c r="CC64" i="29"/>
  <c r="CB64" i="29"/>
  <c r="CC70" i="29"/>
  <c r="CB70" i="29"/>
  <c r="CC76" i="29"/>
  <c r="CB76" i="29"/>
  <c r="CB45" i="29"/>
  <c r="CE45" i="29"/>
  <c r="CC72" i="29"/>
  <c r="CB72" i="29"/>
  <c r="CE46" i="29"/>
  <c r="CB46" i="29"/>
  <c r="CC61" i="29"/>
  <c r="CB61" i="29"/>
  <c r="CB48" i="29"/>
  <c r="CE48" i="29"/>
  <c r="CC63" i="29"/>
  <c r="CB63" i="29"/>
  <c r="CC75" i="29"/>
  <c r="CB75" i="29"/>
  <c r="CE11" i="29"/>
  <c r="BU11" i="29"/>
  <c r="CF11" i="29"/>
  <c r="BS11" i="29"/>
  <c r="BT11" i="29"/>
  <c r="CE38" i="29"/>
  <c r="CB38" i="29"/>
  <c r="CE44" i="29"/>
  <c r="CB44" i="29"/>
  <c r="CE50" i="29"/>
  <c r="CB50" i="29"/>
  <c r="CB65" i="29"/>
  <c r="CC65" i="29"/>
  <c r="CB71" i="29"/>
  <c r="CC71" i="29"/>
  <c r="CB77" i="29"/>
  <c r="CC77" i="29"/>
  <c r="CB12" i="29"/>
  <c r="CD12" i="29"/>
  <c r="BR12" i="29"/>
  <c r="CC12" i="29"/>
  <c r="BQ12" i="29"/>
  <c r="CC14" i="29"/>
  <c r="BQ14" i="29"/>
  <c r="CB14" i="29"/>
  <c r="CD14" i="29"/>
  <c r="BR14" i="29"/>
  <c r="CC13" i="29"/>
  <c r="BQ13" i="29"/>
  <c r="CB13" i="29"/>
  <c r="CD13" i="29"/>
  <c r="BR13" i="29"/>
  <c r="CD11" i="29"/>
  <c r="BR11" i="29"/>
  <c r="CC11" i="29"/>
  <c r="BQ11" i="29"/>
  <c r="CB11" i="29"/>
  <c r="BY22" i="28"/>
  <c r="BS22" i="28"/>
  <c r="BR22" i="28"/>
  <c r="BX22" i="28"/>
  <c r="BU32" i="28"/>
  <c r="BV41" i="28"/>
  <c r="BY44" i="28"/>
  <c r="BR44" i="28"/>
  <c r="BV44" i="28"/>
  <c r="BO44" i="28"/>
  <c r="BX44" i="28"/>
  <c r="BQ44" i="28"/>
  <c r="BU44" i="28"/>
  <c r="BW44" i="28"/>
  <c r="BS44" i="28"/>
  <c r="BP44" i="28"/>
  <c r="BP50" i="28"/>
  <c r="BV50" i="28"/>
  <c r="BU50" i="28"/>
  <c r="BO50" i="28"/>
  <c r="BP57" i="28"/>
  <c r="BV57" i="28"/>
  <c r="BU57" i="28"/>
  <c r="BO57" i="28"/>
  <c r="BP51" i="28"/>
  <c r="BV51" i="28"/>
  <c r="BO51" i="28"/>
  <c r="BP58" i="28"/>
  <c r="BU58" i="28"/>
  <c r="BO58" i="28"/>
  <c r="BV58" i="28"/>
  <c r="BS19" i="28"/>
  <c r="BY19" i="28"/>
  <c r="BV79" i="28"/>
  <c r="BU79" i="28"/>
  <c r="BP79" i="28"/>
  <c r="BO79" i="28"/>
  <c r="BS20" i="28"/>
  <c r="BY20" i="28"/>
  <c r="BQ22" i="28"/>
  <c r="BU22" i="28"/>
  <c r="BV22" i="28"/>
  <c r="BO22" i="28"/>
  <c r="BP22" i="28"/>
  <c r="BW22" i="28"/>
  <c r="BU25" i="28"/>
  <c r="BP19" i="28"/>
  <c r="BU19" i="28"/>
  <c r="BV19" i="28"/>
  <c r="BO19" i="28"/>
  <c r="BV20" i="28"/>
  <c r="BO20" i="28"/>
  <c r="BP20" i="28"/>
  <c r="BU20" i="28"/>
  <c r="C109" i="29"/>
  <c r="C116" i="29"/>
  <c r="C119" i="29"/>
  <c r="C122" i="29"/>
  <c r="C349" i="29"/>
  <c r="C351" i="29"/>
  <c r="C208" i="29"/>
  <c r="C220" i="29"/>
  <c r="C223" i="29"/>
  <c r="C226" i="29"/>
  <c r="C236" i="29"/>
  <c r="BY236" i="29" s="1"/>
  <c r="C317" i="29"/>
  <c r="C320" i="29"/>
  <c r="C323" i="29"/>
  <c r="B337" i="29"/>
  <c r="C151" i="29"/>
  <c r="C178" i="29"/>
  <c r="CB178" i="29" s="1"/>
  <c r="C270" i="29"/>
  <c r="BY270" i="29" s="1"/>
  <c r="C273" i="29"/>
  <c r="BY273" i="29" s="1"/>
  <c r="C276" i="29"/>
  <c r="BY276" i="29" s="1"/>
  <c r="C301" i="29"/>
  <c r="C150" i="28"/>
  <c r="C151" i="28"/>
  <c r="C286" i="29"/>
  <c r="C142" i="29"/>
  <c r="C257" i="29"/>
  <c r="BY257" i="29" s="1"/>
  <c r="C260" i="29"/>
  <c r="BY260" i="29" s="1"/>
  <c r="C266" i="29"/>
  <c r="BY266" i="29" s="1"/>
  <c r="C303" i="29"/>
  <c r="C306" i="29"/>
  <c r="C190" i="29"/>
  <c r="C196" i="29"/>
  <c r="C246" i="29"/>
  <c r="BY246" i="29" s="1"/>
  <c r="C108" i="29"/>
  <c r="C115" i="29"/>
  <c r="C118" i="29"/>
  <c r="C200" i="29"/>
  <c r="C206" i="29"/>
  <c r="C218" i="29"/>
  <c r="C230" i="29"/>
  <c r="C237" i="29"/>
  <c r="BY237" i="29" s="1"/>
  <c r="C240" i="29"/>
  <c r="BY240" i="29" s="1"/>
  <c r="C211" i="29"/>
  <c r="C128" i="29"/>
  <c r="BS128" i="29" s="1"/>
  <c r="C134" i="29"/>
  <c r="BS134" i="29" s="1"/>
  <c r="C161" i="29"/>
  <c r="C188" i="29"/>
  <c r="C194" i="29"/>
  <c r="C247" i="29"/>
  <c r="BY247" i="29" s="1"/>
  <c r="C253" i="29"/>
  <c r="BY253" i="29" s="1"/>
  <c r="C256" i="29"/>
  <c r="BY256" i="29" s="1"/>
  <c r="C130" i="29"/>
  <c r="BS130" i="29" s="1"/>
  <c r="C133" i="29"/>
  <c r="BS133" i="29" s="1"/>
  <c r="C149" i="29"/>
  <c r="J156" i="29"/>
  <c r="C166" i="29"/>
  <c r="C309" i="29"/>
  <c r="I169" i="29"/>
  <c r="O169" i="29"/>
  <c r="C175" i="29"/>
  <c r="C250" i="29"/>
  <c r="BY250" i="29" s="1"/>
  <c r="C147" i="29"/>
  <c r="J169" i="29"/>
  <c r="P169" i="29"/>
  <c r="C173" i="29"/>
  <c r="C177" i="29"/>
  <c r="C180" i="29"/>
  <c r="C192" i="29"/>
  <c r="C195" i="29"/>
  <c r="C219" i="29"/>
  <c r="C222" i="29"/>
  <c r="C225" i="29"/>
  <c r="C228" i="29"/>
  <c r="C238" i="29"/>
  <c r="BY238" i="29" s="1"/>
  <c r="C241" i="29"/>
  <c r="BY241" i="29" s="1"/>
  <c r="C244" i="29"/>
  <c r="BY244" i="29" s="1"/>
  <c r="C268" i="29"/>
  <c r="BY268" i="29" s="1"/>
  <c r="C274" i="29"/>
  <c r="BY274" i="29" s="1"/>
  <c r="C277" i="29"/>
  <c r="BY277" i="29" s="1"/>
  <c r="C331" i="29"/>
  <c r="C143" i="29"/>
  <c r="C153" i="29"/>
  <c r="H156" i="29"/>
  <c r="N156" i="29"/>
  <c r="C162" i="29"/>
  <c r="G169" i="29"/>
  <c r="C193" i="29"/>
  <c r="C258" i="29"/>
  <c r="BY258" i="29" s="1"/>
  <c r="C261" i="29"/>
  <c r="BY261" i="29" s="1"/>
  <c r="C264" i="29"/>
  <c r="BY264" i="29" s="1"/>
  <c r="C269" i="29"/>
  <c r="BY269" i="29" s="1"/>
  <c r="C272" i="29"/>
  <c r="BY272" i="29" s="1"/>
  <c r="C278" i="29"/>
  <c r="BY278" i="29" s="1"/>
  <c r="C285" i="29"/>
  <c r="C315" i="29"/>
  <c r="C318" i="29"/>
  <c r="C321" i="29"/>
  <c r="C324" i="29"/>
  <c r="C344" i="29"/>
  <c r="C347" i="29"/>
  <c r="C358" i="29"/>
  <c r="E176" i="29"/>
  <c r="C203" i="29"/>
  <c r="C214" i="29"/>
  <c r="C114" i="29"/>
  <c r="C117" i="29"/>
  <c r="C120" i="29"/>
  <c r="C129" i="29"/>
  <c r="BS129" i="29" s="1"/>
  <c r="C132" i="29"/>
  <c r="BS132" i="29" s="1"/>
  <c r="C167" i="29"/>
  <c r="C174" i="29"/>
  <c r="C189" i="29"/>
  <c r="H169" i="29"/>
  <c r="N169" i="29"/>
  <c r="C186" i="29"/>
  <c r="BU186" i="29" s="1"/>
  <c r="C209" i="29"/>
  <c r="C212" i="29"/>
  <c r="C215" i="29"/>
  <c r="C263" i="29"/>
  <c r="BY263" i="29" s="1"/>
  <c r="C284" i="29"/>
  <c r="C140" i="29"/>
  <c r="C148" i="29"/>
  <c r="C243" i="29"/>
  <c r="BY243" i="29" s="1"/>
  <c r="C249" i="29"/>
  <c r="BY249" i="29" s="1"/>
  <c r="C252" i="29"/>
  <c r="BY252" i="29" s="1"/>
  <c r="C307" i="29"/>
  <c r="C342" i="29"/>
  <c r="C329" i="29"/>
  <c r="C160" i="29"/>
  <c r="M169" i="29"/>
  <c r="C139" i="29"/>
  <c r="C127" i="29"/>
  <c r="B108" i="28"/>
  <c r="B120" i="28"/>
  <c r="C147" i="28"/>
  <c r="B16" i="28"/>
  <c r="BQ16" i="28" s="1"/>
  <c r="B23" i="28"/>
  <c r="B26" i="28"/>
  <c r="B33" i="28"/>
  <c r="B36" i="28"/>
  <c r="B39" i="28"/>
  <c r="B42" i="28"/>
  <c r="B45" i="28"/>
  <c r="B59" i="28"/>
  <c r="C138" i="28"/>
  <c r="C141" i="28"/>
  <c r="C139" i="28"/>
  <c r="C142" i="28"/>
  <c r="C145" i="28"/>
  <c r="B21" i="28"/>
  <c r="B24" i="28"/>
  <c r="B34" i="28"/>
  <c r="B37" i="28"/>
  <c r="B40" i="28"/>
  <c r="B43" i="28"/>
  <c r="B46" i="28"/>
  <c r="C87" i="28"/>
  <c r="BW87" i="28" s="1"/>
  <c r="C140" i="28"/>
  <c r="C143" i="28"/>
  <c r="C146" i="28"/>
  <c r="B56" i="28"/>
  <c r="B31" i="28"/>
  <c r="C144" i="28"/>
  <c r="C131" i="29"/>
  <c r="BS131" i="29" s="1"/>
  <c r="D176" i="29"/>
  <c r="C179" i="29"/>
  <c r="C234" i="29"/>
  <c r="C319" i="29"/>
  <c r="C322" i="29"/>
  <c r="C59" i="29"/>
  <c r="C345" i="29"/>
  <c r="C348" i="29"/>
  <c r="C107" i="29"/>
  <c r="C207" i="29"/>
  <c r="C275" i="29"/>
  <c r="BY275" i="29" s="1"/>
  <c r="C302" i="29"/>
  <c r="D360" i="29"/>
  <c r="C121" i="29"/>
  <c r="C141" i="29"/>
  <c r="I156" i="29"/>
  <c r="O156" i="29"/>
  <c r="C191" i="29"/>
  <c r="C199" i="29"/>
  <c r="C202" i="29"/>
  <c r="C210" i="29"/>
  <c r="C213" i="29"/>
  <c r="C216" i="29"/>
  <c r="C221" i="29"/>
  <c r="C224" i="29"/>
  <c r="C227" i="29"/>
  <c r="C239" i="29"/>
  <c r="BY239" i="29" s="1"/>
  <c r="C242" i="29"/>
  <c r="BY242" i="29" s="1"/>
  <c r="C248" i="29"/>
  <c r="BY248" i="29" s="1"/>
  <c r="C251" i="29"/>
  <c r="BY251" i="29" s="1"/>
  <c r="C254" i="29"/>
  <c r="BY254" i="29" s="1"/>
  <c r="C259" i="29"/>
  <c r="BY259" i="29" s="1"/>
  <c r="C262" i="29"/>
  <c r="BY262" i="29" s="1"/>
  <c r="C265" i="29"/>
  <c r="BY265" i="29" s="1"/>
  <c r="C305" i="29"/>
  <c r="C308" i="29"/>
  <c r="C343" i="29"/>
  <c r="C346" i="29"/>
  <c r="B370" i="29"/>
  <c r="C85" i="28"/>
  <c r="BW85" i="28" s="1"/>
  <c r="D155" i="29"/>
  <c r="F169" i="29"/>
  <c r="L169" i="29"/>
  <c r="R169" i="29"/>
  <c r="E291" i="29"/>
  <c r="E360" i="29"/>
  <c r="B15" i="28"/>
  <c r="B13" i="28"/>
  <c r="C86" i="28"/>
  <c r="BW86" i="28" s="1"/>
  <c r="B121" i="28"/>
  <c r="D106" i="29"/>
  <c r="F156" i="29"/>
  <c r="L156" i="29"/>
  <c r="E155" i="29"/>
  <c r="C154" i="29"/>
  <c r="D163" i="29"/>
  <c r="D168" i="29"/>
  <c r="C271" i="29"/>
  <c r="BY271" i="29" s="1"/>
  <c r="D291" i="29"/>
  <c r="C304" i="29"/>
  <c r="C359" i="29"/>
  <c r="Q169" i="29"/>
  <c r="B14" i="28"/>
  <c r="C35" i="29"/>
  <c r="E106" i="29"/>
  <c r="D150" i="29"/>
  <c r="C152" i="29"/>
  <c r="E163" i="29"/>
  <c r="E168" i="29"/>
  <c r="C316" i="29"/>
  <c r="B336" i="29"/>
  <c r="BS336" i="29" s="1"/>
  <c r="C357" i="29"/>
  <c r="K169" i="29"/>
  <c r="B17" i="28"/>
  <c r="C84" i="28"/>
  <c r="B119" i="28"/>
  <c r="C148" i="28"/>
  <c r="E150" i="29"/>
  <c r="C205" i="29"/>
  <c r="C217" i="29"/>
  <c r="C229" i="29"/>
  <c r="C255" i="29"/>
  <c r="BY255" i="29" s="1"/>
  <c r="C267" i="29"/>
  <c r="BY267" i="29" s="1"/>
  <c r="C283" i="29"/>
  <c r="BQ283" i="29" s="1"/>
  <c r="C330" i="29"/>
  <c r="C350" i="29"/>
  <c r="C164" i="29"/>
  <c r="C12" i="28"/>
  <c r="D12" i="28"/>
  <c r="L132" i="28" l="1"/>
  <c r="BP149" i="28"/>
  <c r="BO149" i="28"/>
  <c r="L130" i="28"/>
  <c r="BW34" i="28"/>
  <c r="BR34" i="28"/>
  <c r="BX34" i="28"/>
  <c r="BS34" i="28"/>
  <c r="BQ34" i="28"/>
  <c r="BY34" i="28"/>
  <c r="BW17" i="28"/>
  <c r="BR17" i="28"/>
  <c r="BX17" i="28"/>
  <c r="BQ17" i="28"/>
  <c r="BO18" i="28"/>
  <c r="BW18" i="28"/>
  <c r="BQ18" i="28"/>
  <c r="BX18" i="28"/>
  <c r="BR18" i="28"/>
  <c r="BW21" i="28"/>
  <c r="BX21" i="28"/>
  <c r="BQ21" i="28"/>
  <c r="BR21" i="28"/>
  <c r="BV18" i="28"/>
  <c r="V155" i="28"/>
  <c r="L133" i="28"/>
  <c r="L131" i="28"/>
  <c r="L129" i="28"/>
  <c r="BW38" i="28"/>
  <c r="BQ38" i="28"/>
  <c r="BX38" i="28"/>
  <c r="BR38" i="28"/>
  <c r="BU18" i="28"/>
  <c r="BR32" i="28"/>
  <c r="BY32" i="28"/>
  <c r="BS18" i="28"/>
  <c r="BR25" i="28"/>
  <c r="BP18" i="28"/>
  <c r="BW25" i="28"/>
  <c r="BY18" i="28"/>
  <c r="BU149" i="28"/>
  <c r="BX25" i="28"/>
  <c r="BV25" i="28"/>
  <c r="BW32" i="28"/>
  <c r="CF234" i="29"/>
  <c r="BY234" i="29"/>
  <c r="BX234" i="29"/>
  <c r="CD127" i="29"/>
  <c r="BS127" i="29"/>
  <c r="CE330" i="29"/>
  <c r="CD330" i="29"/>
  <c r="BS330" i="29"/>
  <c r="BT330" i="29"/>
  <c r="CE331" i="29"/>
  <c r="BS331" i="29"/>
  <c r="BT331" i="29"/>
  <c r="CD331" i="29"/>
  <c r="BS337" i="29"/>
  <c r="CE337" i="29"/>
  <c r="BT337" i="29"/>
  <c r="CD337" i="29"/>
  <c r="CE336" i="29"/>
  <c r="CD336" i="29"/>
  <c r="BT336" i="29"/>
  <c r="W336" i="29" s="1"/>
  <c r="CG292" i="29"/>
  <c r="CH292" i="29"/>
  <c r="CF314" i="29"/>
  <c r="CD134" i="29"/>
  <c r="CD320" i="29"/>
  <c r="CE320" i="29"/>
  <c r="CF320" i="29"/>
  <c r="CG320" i="29"/>
  <c r="BU314" i="29"/>
  <c r="CF323" i="29"/>
  <c r="CG323" i="29"/>
  <c r="CD323" i="29"/>
  <c r="CE323" i="29"/>
  <c r="CD314" i="29"/>
  <c r="CD316" i="29"/>
  <c r="CE316" i="29"/>
  <c r="CF316" i="29"/>
  <c r="CG316" i="29"/>
  <c r="CD324" i="29"/>
  <c r="CE324" i="29"/>
  <c r="CF324" i="29"/>
  <c r="CG324" i="29"/>
  <c r="BT314" i="29"/>
  <c r="CD322" i="29"/>
  <c r="CE322" i="29"/>
  <c r="CF322" i="29"/>
  <c r="CG322" i="29"/>
  <c r="CF321" i="29"/>
  <c r="CG321" i="29"/>
  <c r="CD321" i="29"/>
  <c r="CE321" i="29"/>
  <c r="CF319" i="29"/>
  <c r="CG319" i="29"/>
  <c r="CD319" i="29"/>
  <c r="CE319" i="29"/>
  <c r="CD318" i="29"/>
  <c r="CE318" i="29"/>
  <c r="CF318" i="29"/>
  <c r="CG318" i="29"/>
  <c r="CE314" i="29"/>
  <c r="CF317" i="29"/>
  <c r="CG317" i="29"/>
  <c r="CE317" i="29"/>
  <c r="CD317" i="29"/>
  <c r="CD315" i="29"/>
  <c r="CG315" i="29"/>
  <c r="CE315" i="29"/>
  <c r="CF315" i="29"/>
  <c r="CD131" i="29"/>
  <c r="CD129" i="29"/>
  <c r="CD132" i="29"/>
  <c r="CD130" i="29"/>
  <c r="CD128" i="29"/>
  <c r="CD133" i="29"/>
  <c r="BQ127" i="29"/>
  <c r="CB127" i="29"/>
  <c r="BR127" i="29"/>
  <c r="CC127" i="29"/>
  <c r="BU292" i="29"/>
  <c r="CE292" i="29"/>
  <c r="CF292" i="29"/>
  <c r="BV292" i="29"/>
  <c r="BW292" i="29"/>
  <c r="BS314" i="29"/>
  <c r="BS317" i="29"/>
  <c r="BV317" i="29"/>
  <c r="BU317" i="29"/>
  <c r="BT317" i="29"/>
  <c r="BS320" i="29"/>
  <c r="BT320" i="29"/>
  <c r="BV320" i="29"/>
  <c r="BU320" i="29"/>
  <c r="BV322" i="29"/>
  <c r="BU322" i="29"/>
  <c r="BT322" i="29"/>
  <c r="BS322" i="29"/>
  <c r="BV321" i="29"/>
  <c r="BU321" i="29"/>
  <c r="BT321" i="29"/>
  <c r="BS321" i="29"/>
  <c r="BV324" i="29"/>
  <c r="BU324" i="29"/>
  <c r="BT324" i="29"/>
  <c r="BS324" i="29"/>
  <c r="BV316" i="29"/>
  <c r="BU316" i="29"/>
  <c r="BT316" i="29"/>
  <c r="BS316" i="29"/>
  <c r="BV319" i="29"/>
  <c r="BU319" i="29"/>
  <c r="BS319" i="29"/>
  <c r="BT319" i="29"/>
  <c r="BT318" i="29"/>
  <c r="BS318" i="29"/>
  <c r="BU318" i="29"/>
  <c r="BV318" i="29"/>
  <c r="BS315" i="29"/>
  <c r="BV315" i="29"/>
  <c r="BU315" i="29"/>
  <c r="BT315" i="29"/>
  <c r="BT323" i="29"/>
  <c r="BS323" i="29"/>
  <c r="BU323" i="29"/>
  <c r="BV323" i="29"/>
  <c r="CG296" i="29"/>
  <c r="CF296" i="29"/>
  <c r="CH296" i="29"/>
  <c r="CE296" i="29"/>
  <c r="CH294" i="29"/>
  <c r="CG294" i="29"/>
  <c r="CF294" i="29"/>
  <c r="CE294" i="29"/>
  <c r="CE295" i="29"/>
  <c r="CH295" i="29"/>
  <c r="CG295" i="29"/>
  <c r="CF295" i="29"/>
  <c r="CH309" i="29"/>
  <c r="CG309" i="29"/>
  <c r="CF309" i="29"/>
  <c r="CE309" i="29"/>
  <c r="CH297" i="29"/>
  <c r="CG297" i="29"/>
  <c r="CF297" i="29"/>
  <c r="CE297" i="29"/>
  <c r="CG300" i="29"/>
  <c r="CF300" i="29"/>
  <c r="CE300" i="29"/>
  <c r="CH300" i="29"/>
  <c r="CG304" i="29"/>
  <c r="CF304" i="29"/>
  <c r="CE304" i="29"/>
  <c r="CH304" i="29"/>
  <c r="CG308" i="29"/>
  <c r="CF308" i="29"/>
  <c r="CE308" i="29"/>
  <c r="CH308" i="29"/>
  <c r="CF302" i="29"/>
  <c r="CH302" i="29"/>
  <c r="CG302" i="29"/>
  <c r="CE302" i="29"/>
  <c r="CF298" i="29"/>
  <c r="CH298" i="29"/>
  <c r="CG298" i="29"/>
  <c r="CE298" i="29"/>
  <c r="CH301" i="29"/>
  <c r="CG301" i="29"/>
  <c r="CF301" i="29"/>
  <c r="CE301" i="29"/>
  <c r="CH305" i="29"/>
  <c r="CG305" i="29"/>
  <c r="CF305" i="29"/>
  <c r="CE305" i="29"/>
  <c r="CH293" i="29"/>
  <c r="CG293" i="29"/>
  <c r="CF293" i="29"/>
  <c r="CE293" i="29"/>
  <c r="CE303" i="29"/>
  <c r="CH303" i="29"/>
  <c r="CG303" i="29"/>
  <c r="CF303" i="29"/>
  <c r="CE307" i="29"/>
  <c r="CH307" i="29"/>
  <c r="CG307" i="29"/>
  <c r="CF307" i="29"/>
  <c r="CF306" i="29"/>
  <c r="CH306" i="29"/>
  <c r="CG306" i="29"/>
  <c r="CE306" i="29"/>
  <c r="CE299" i="29"/>
  <c r="CH299" i="29"/>
  <c r="CG299" i="29"/>
  <c r="CF299" i="29"/>
  <c r="BU309" i="29"/>
  <c r="BT309" i="29"/>
  <c r="BW309" i="29"/>
  <c r="BV309" i="29"/>
  <c r="BV297" i="29"/>
  <c r="BU297" i="29"/>
  <c r="BT297" i="29"/>
  <c r="BW297" i="29"/>
  <c r="BT304" i="29"/>
  <c r="BU304" i="29"/>
  <c r="BW304" i="29"/>
  <c r="BV304" i="29"/>
  <c r="BW308" i="29"/>
  <c r="BV308" i="29"/>
  <c r="BU308" i="29"/>
  <c r="BT308" i="29"/>
  <c r="BV302" i="29"/>
  <c r="BU302" i="29"/>
  <c r="BT302" i="29"/>
  <c r="BW302" i="29"/>
  <c r="BU298" i="29"/>
  <c r="BW298" i="29"/>
  <c r="BV298" i="29"/>
  <c r="BT298" i="29"/>
  <c r="BT293" i="29"/>
  <c r="BV293" i="29"/>
  <c r="BW293" i="29"/>
  <c r="BU293" i="29"/>
  <c r="BT299" i="29"/>
  <c r="BU299" i="29"/>
  <c r="BV299" i="29"/>
  <c r="BW299" i="29"/>
  <c r="BW305" i="29"/>
  <c r="BV305" i="29"/>
  <c r="BU305" i="29"/>
  <c r="BT305" i="29"/>
  <c r="BT301" i="29"/>
  <c r="BW301" i="29"/>
  <c r="BU301" i="29"/>
  <c r="BV301" i="29"/>
  <c r="BW300" i="29"/>
  <c r="BV300" i="29"/>
  <c r="BU300" i="29"/>
  <c r="BT300" i="29"/>
  <c r="BW303" i="29"/>
  <c r="BV303" i="29"/>
  <c r="BU303" i="29"/>
  <c r="BT303" i="29"/>
  <c r="BU296" i="29"/>
  <c r="BT296" i="29"/>
  <c r="BW296" i="29"/>
  <c r="BV296" i="29"/>
  <c r="BT306" i="29"/>
  <c r="BW306" i="29"/>
  <c r="BV306" i="29"/>
  <c r="BU306" i="29"/>
  <c r="BU294" i="29"/>
  <c r="BT294" i="29"/>
  <c r="BW294" i="29"/>
  <c r="BV294" i="29"/>
  <c r="BU307" i="29"/>
  <c r="BT307" i="29"/>
  <c r="BW307" i="29"/>
  <c r="BV307" i="29"/>
  <c r="BW295" i="29"/>
  <c r="BT295" i="29"/>
  <c r="BV295" i="29"/>
  <c r="BU295" i="29"/>
  <c r="CI248" i="29"/>
  <c r="CG248" i="29"/>
  <c r="CH248" i="29"/>
  <c r="CF248" i="29"/>
  <c r="CH261" i="29"/>
  <c r="CG261" i="29"/>
  <c r="CF261" i="29"/>
  <c r="CI261" i="29"/>
  <c r="CG237" i="29"/>
  <c r="CI237" i="29"/>
  <c r="CH237" i="29"/>
  <c r="CF237" i="29"/>
  <c r="CG242" i="29"/>
  <c r="CI242" i="29"/>
  <c r="CH242" i="29"/>
  <c r="CF242" i="29"/>
  <c r="CF267" i="29"/>
  <c r="CG267" i="29"/>
  <c r="CI267" i="29"/>
  <c r="CH267" i="29"/>
  <c r="CG239" i="29"/>
  <c r="CI239" i="29"/>
  <c r="CH239" i="29"/>
  <c r="CF239" i="29"/>
  <c r="CF275" i="29"/>
  <c r="CG275" i="29"/>
  <c r="CI275" i="29"/>
  <c r="CH275" i="29"/>
  <c r="CH263" i="29"/>
  <c r="CG263" i="29"/>
  <c r="CF263" i="29"/>
  <c r="CI263" i="29"/>
  <c r="CF277" i="29"/>
  <c r="CI277" i="29"/>
  <c r="CH277" i="29"/>
  <c r="CG277" i="29"/>
  <c r="CI245" i="29"/>
  <c r="CG245" i="29"/>
  <c r="CH245" i="29"/>
  <c r="CF245" i="29"/>
  <c r="CI255" i="29"/>
  <c r="CH255" i="29"/>
  <c r="CF255" i="29"/>
  <c r="CG255" i="29"/>
  <c r="CF271" i="29"/>
  <c r="CI271" i="29"/>
  <c r="CH271" i="29"/>
  <c r="CG271" i="29"/>
  <c r="CI265" i="29"/>
  <c r="CH265" i="29"/>
  <c r="CG265" i="29"/>
  <c r="CF265" i="29"/>
  <c r="CF274" i="29"/>
  <c r="CG274" i="29"/>
  <c r="CI274" i="29"/>
  <c r="CH274" i="29"/>
  <c r="CF268" i="29"/>
  <c r="CI268" i="29"/>
  <c r="CG268" i="29"/>
  <c r="CH268" i="29"/>
  <c r="CG246" i="29"/>
  <c r="CI246" i="29"/>
  <c r="CH246" i="29"/>
  <c r="CF246" i="29"/>
  <c r="CI244" i="29"/>
  <c r="CH244" i="29"/>
  <c r="CG244" i="29"/>
  <c r="CF244" i="29"/>
  <c r="CF266" i="29"/>
  <c r="CI266" i="29"/>
  <c r="CH266" i="29"/>
  <c r="CG266" i="29"/>
  <c r="CF276" i="29"/>
  <c r="CI276" i="29"/>
  <c r="CG276" i="29"/>
  <c r="CH276" i="29"/>
  <c r="CH258" i="29"/>
  <c r="CG258" i="29"/>
  <c r="CF258" i="29"/>
  <c r="CI258" i="29"/>
  <c r="CF278" i="29"/>
  <c r="CI278" i="29"/>
  <c r="CH278" i="29"/>
  <c r="CG278" i="29"/>
  <c r="CG250" i="29"/>
  <c r="CI250" i="29"/>
  <c r="CH250" i="29"/>
  <c r="CF250" i="29"/>
  <c r="CI249" i="29"/>
  <c r="CH249" i="29"/>
  <c r="CG249" i="29"/>
  <c r="CF249" i="29"/>
  <c r="CF272" i="29"/>
  <c r="CG272" i="29"/>
  <c r="CI272" i="29"/>
  <c r="CH272" i="29"/>
  <c r="CI254" i="29"/>
  <c r="CG254" i="29"/>
  <c r="CH254" i="29"/>
  <c r="CF254" i="29"/>
  <c r="CI243" i="29"/>
  <c r="CG243" i="29"/>
  <c r="CH243" i="29"/>
  <c r="CF243" i="29"/>
  <c r="CF269" i="29"/>
  <c r="CI269" i="29"/>
  <c r="CH269" i="29"/>
  <c r="CG269" i="29"/>
  <c r="CI241" i="29"/>
  <c r="CH241" i="29"/>
  <c r="CG241" i="29"/>
  <c r="CF241" i="29"/>
  <c r="CF256" i="29"/>
  <c r="CG256" i="29"/>
  <c r="CI256" i="29"/>
  <c r="CH256" i="29"/>
  <c r="CH260" i="29"/>
  <c r="CG260" i="29"/>
  <c r="CI260" i="29"/>
  <c r="CF260" i="29"/>
  <c r="CF273" i="29"/>
  <c r="CI273" i="29"/>
  <c r="CH273" i="29"/>
  <c r="CG273" i="29"/>
  <c r="CI236" i="29"/>
  <c r="CH236" i="29"/>
  <c r="CG236" i="29"/>
  <c r="CF236" i="29"/>
  <c r="CI247" i="29"/>
  <c r="CH247" i="29"/>
  <c r="CG247" i="29"/>
  <c r="CF247" i="29"/>
  <c r="CH262" i="29"/>
  <c r="CG262" i="29"/>
  <c r="CF262" i="29"/>
  <c r="CI262" i="29"/>
  <c r="CI252" i="29"/>
  <c r="CH252" i="29"/>
  <c r="CG252" i="29"/>
  <c r="CF252" i="29"/>
  <c r="CH259" i="29"/>
  <c r="CI259" i="29"/>
  <c r="CG259" i="29"/>
  <c r="CF259" i="29"/>
  <c r="CI251" i="29"/>
  <c r="CG251" i="29"/>
  <c r="CH251" i="29"/>
  <c r="CF251" i="29"/>
  <c r="CI264" i="29"/>
  <c r="CH264" i="29"/>
  <c r="CG264" i="29"/>
  <c r="CF264" i="29"/>
  <c r="CI238" i="29"/>
  <c r="CG238" i="29"/>
  <c r="CH238" i="29"/>
  <c r="CF238" i="29"/>
  <c r="CG253" i="29"/>
  <c r="CI253" i="29"/>
  <c r="CH253" i="29"/>
  <c r="CF253" i="29"/>
  <c r="CI240" i="29"/>
  <c r="CG240" i="29"/>
  <c r="CH240" i="29"/>
  <c r="CF240" i="29"/>
  <c r="CG257" i="29"/>
  <c r="CF257" i="29"/>
  <c r="CH257" i="29"/>
  <c r="CI257" i="29"/>
  <c r="CF270" i="29"/>
  <c r="CI270" i="29"/>
  <c r="CH270" i="29"/>
  <c r="CG270" i="29"/>
  <c r="BX262" i="29"/>
  <c r="BV262" i="29"/>
  <c r="BW262" i="29"/>
  <c r="BV252" i="29"/>
  <c r="BX252" i="29"/>
  <c r="BW252" i="29"/>
  <c r="BX278" i="29"/>
  <c r="BV278" i="29"/>
  <c r="BW278" i="29"/>
  <c r="BX268" i="29"/>
  <c r="BV268" i="29"/>
  <c r="BW268" i="29"/>
  <c r="BV250" i="29"/>
  <c r="BX250" i="29"/>
  <c r="BW250" i="29"/>
  <c r="BX255" i="29"/>
  <c r="BV255" i="29"/>
  <c r="BW255" i="29"/>
  <c r="BV274" i="29"/>
  <c r="BX274" i="29"/>
  <c r="BW274" i="29"/>
  <c r="BV259" i="29"/>
  <c r="BX259" i="29"/>
  <c r="BW259" i="29"/>
  <c r="BV254" i="29"/>
  <c r="BX254" i="29"/>
  <c r="BW254" i="29"/>
  <c r="BV243" i="29"/>
  <c r="BW243" i="29"/>
  <c r="BX243" i="29"/>
  <c r="BV269" i="29"/>
  <c r="BX269" i="29"/>
  <c r="BW269" i="29"/>
  <c r="BV241" i="29"/>
  <c r="BW241" i="29"/>
  <c r="BX241" i="29"/>
  <c r="BV256" i="29"/>
  <c r="BX256" i="29"/>
  <c r="BW256" i="29"/>
  <c r="BX260" i="29"/>
  <c r="BV260" i="29"/>
  <c r="BW260" i="29"/>
  <c r="BV273" i="29"/>
  <c r="BX273" i="29"/>
  <c r="BW273" i="29"/>
  <c r="BX236" i="29"/>
  <c r="BV236" i="29"/>
  <c r="BW236" i="29"/>
  <c r="BX253" i="29"/>
  <c r="BV253" i="29"/>
  <c r="BW253" i="29"/>
  <c r="BX272" i="29"/>
  <c r="BV272" i="29"/>
  <c r="BW272" i="29"/>
  <c r="BX266" i="29"/>
  <c r="BV266" i="29"/>
  <c r="BW266" i="29"/>
  <c r="BX251" i="29"/>
  <c r="BV251" i="29"/>
  <c r="BW251" i="29"/>
  <c r="BV238" i="29"/>
  <c r="BX238" i="29"/>
  <c r="BW238" i="29"/>
  <c r="BX257" i="29"/>
  <c r="BV257" i="29"/>
  <c r="BW257" i="29"/>
  <c r="BV261" i="29"/>
  <c r="BX261" i="29"/>
  <c r="BW261" i="29"/>
  <c r="BX247" i="29"/>
  <c r="BV247" i="29"/>
  <c r="BW247" i="29"/>
  <c r="BX237" i="29"/>
  <c r="BW237" i="29"/>
  <c r="BV237" i="29"/>
  <c r="BV246" i="29"/>
  <c r="BX246" i="29"/>
  <c r="BW246" i="29"/>
  <c r="BV271" i="29"/>
  <c r="BX271" i="29"/>
  <c r="BW271" i="29"/>
  <c r="BX249" i="29"/>
  <c r="BV249" i="29"/>
  <c r="BW249" i="29"/>
  <c r="BV276" i="29"/>
  <c r="BX276" i="29"/>
  <c r="BW276" i="29"/>
  <c r="BX264" i="29"/>
  <c r="BV264" i="29"/>
  <c r="BW264" i="29"/>
  <c r="BX270" i="29"/>
  <c r="BV270" i="29"/>
  <c r="BW270" i="29"/>
  <c r="BV248" i="29"/>
  <c r="BX248" i="29"/>
  <c r="BW248" i="29"/>
  <c r="BV242" i="29"/>
  <c r="BX242" i="29"/>
  <c r="BW242" i="29"/>
  <c r="BV258" i="29"/>
  <c r="BX258" i="29"/>
  <c r="BW258" i="29"/>
  <c r="BV245" i="29"/>
  <c r="BX245" i="29"/>
  <c r="BW245" i="29"/>
  <c r="BV265" i="29"/>
  <c r="BX265" i="29"/>
  <c r="BW265" i="29"/>
  <c r="BV244" i="29"/>
  <c r="BX244" i="29"/>
  <c r="BW244" i="29"/>
  <c r="BV240" i="29"/>
  <c r="BX240" i="29"/>
  <c r="BW240" i="29"/>
  <c r="BV267" i="29"/>
  <c r="BX267" i="29"/>
  <c r="BW267" i="29"/>
  <c r="BV239" i="29"/>
  <c r="BW239" i="29"/>
  <c r="BX239" i="29"/>
  <c r="BX275" i="29"/>
  <c r="BV275" i="29"/>
  <c r="BW275" i="29"/>
  <c r="BV263" i="29"/>
  <c r="BX263" i="29"/>
  <c r="BW263" i="29"/>
  <c r="BV277" i="29"/>
  <c r="BX277" i="29"/>
  <c r="BW277" i="29"/>
  <c r="BU210" i="29"/>
  <c r="BV210" i="29"/>
  <c r="CG210" i="29"/>
  <c r="CF210" i="29"/>
  <c r="CF228" i="29"/>
  <c r="BV228" i="29"/>
  <c r="CG228" i="29"/>
  <c r="BU228" i="29"/>
  <c r="CG223" i="29"/>
  <c r="CF223" i="29"/>
  <c r="BV223" i="29"/>
  <c r="BU223" i="29"/>
  <c r="BQ25" i="28"/>
  <c r="BY41" i="28"/>
  <c r="BY25" i="28"/>
  <c r="BV204" i="29"/>
  <c r="CG204" i="29"/>
  <c r="BU204" i="29"/>
  <c r="CF204" i="29"/>
  <c r="BU216" i="29"/>
  <c r="BV216" i="29"/>
  <c r="CG216" i="29"/>
  <c r="CF216" i="29"/>
  <c r="BU226" i="29"/>
  <c r="CG226" i="29"/>
  <c r="CF226" i="29"/>
  <c r="BV226" i="29"/>
  <c r="BR41" i="28"/>
  <c r="BU197" i="29"/>
  <c r="BV197" i="29"/>
  <c r="CG197" i="29"/>
  <c r="CF197" i="29"/>
  <c r="CG202" i="29"/>
  <c r="CF202" i="29"/>
  <c r="BV202" i="29"/>
  <c r="BU202" i="29"/>
  <c r="CG189" i="29"/>
  <c r="BV189" i="29"/>
  <c r="BU189" i="29"/>
  <c r="CF189" i="29"/>
  <c r="BV214" i="29"/>
  <c r="BU214" i="29"/>
  <c r="CG214" i="29"/>
  <c r="CF214" i="29"/>
  <c r="BV225" i="29"/>
  <c r="BU225" i="29"/>
  <c r="CG225" i="29"/>
  <c r="CF225" i="29"/>
  <c r="CG194" i="29"/>
  <c r="CF194" i="29"/>
  <c r="BU194" i="29"/>
  <c r="BV194" i="29"/>
  <c r="BU230" i="29"/>
  <c r="CG230" i="29"/>
  <c r="CF230" i="29"/>
  <c r="BV230" i="29"/>
  <c r="BU196" i="29"/>
  <c r="CG196" i="29"/>
  <c r="CF196" i="29"/>
  <c r="BV196" i="29"/>
  <c r="CF220" i="29"/>
  <c r="CG220" i="29"/>
  <c r="BV220" i="29"/>
  <c r="BU220" i="29"/>
  <c r="BP25" i="28"/>
  <c r="BU41" i="28"/>
  <c r="BS25" i="28"/>
  <c r="CG198" i="29"/>
  <c r="CF198" i="29"/>
  <c r="BV198" i="29"/>
  <c r="BU198" i="29"/>
  <c r="BU205" i="29"/>
  <c r="BV205" i="29"/>
  <c r="CG205" i="29"/>
  <c r="CF205" i="29"/>
  <c r="CF193" i="29"/>
  <c r="BV193" i="29"/>
  <c r="BU193" i="29"/>
  <c r="CG193" i="29"/>
  <c r="CG190" i="29"/>
  <c r="CF190" i="29"/>
  <c r="BU190" i="29"/>
  <c r="BV190" i="29"/>
  <c r="CG219" i="29"/>
  <c r="CF219" i="29"/>
  <c r="BU219" i="29"/>
  <c r="BV219" i="29"/>
  <c r="BP41" i="28"/>
  <c r="CF211" i="29"/>
  <c r="BV211" i="29"/>
  <c r="CG211" i="29"/>
  <c r="BU211" i="29"/>
  <c r="CF213" i="29"/>
  <c r="CG213" i="29"/>
  <c r="BV213" i="29"/>
  <c r="BU213" i="29"/>
  <c r="CF199" i="29"/>
  <c r="BU199" i="29"/>
  <c r="CG199" i="29"/>
  <c r="BV199" i="29"/>
  <c r="CF203" i="29"/>
  <c r="BU203" i="29"/>
  <c r="CG203" i="29"/>
  <c r="BV203" i="29"/>
  <c r="CF218" i="29"/>
  <c r="BV218" i="29"/>
  <c r="CG218" i="29"/>
  <c r="BU218" i="29"/>
  <c r="CG227" i="29"/>
  <c r="CF227" i="29"/>
  <c r="BV227" i="29"/>
  <c r="BU227" i="29"/>
  <c r="CF207" i="29"/>
  <c r="BV207" i="29"/>
  <c r="BU207" i="29"/>
  <c r="CG207" i="29"/>
  <c r="CG206" i="29"/>
  <c r="BV206" i="29"/>
  <c r="CF206" i="29"/>
  <c r="BU206" i="29"/>
  <c r="CF224" i="29"/>
  <c r="BV224" i="29"/>
  <c r="BU224" i="29"/>
  <c r="CG224" i="29"/>
  <c r="CG212" i="29"/>
  <c r="CF212" i="29"/>
  <c r="BV212" i="29"/>
  <c r="BU212" i="29"/>
  <c r="CF195" i="29"/>
  <c r="CG195" i="29"/>
  <c r="BV195" i="29"/>
  <c r="BU195" i="29"/>
  <c r="CF200" i="29"/>
  <c r="BU200" i="29"/>
  <c r="BV200" i="29"/>
  <c r="CG200" i="29"/>
  <c r="BQ41" i="28"/>
  <c r="BW41" i="28"/>
  <c r="BV222" i="29"/>
  <c r="BU222" i="29"/>
  <c r="CG222" i="29"/>
  <c r="CF222" i="29"/>
  <c r="BV188" i="29"/>
  <c r="CF188" i="29"/>
  <c r="BU188" i="29"/>
  <c r="CG188" i="29"/>
  <c r="CF208" i="29"/>
  <c r="BV208" i="29"/>
  <c r="BU208" i="29"/>
  <c r="CG208" i="29"/>
  <c r="BX41" i="28"/>
  <c r="CF191" i="29"/>
  <c r="CG191" i="29"/>
  <c r="BV191" i="29"/>
  <c r="BU191" i="29"/>
  <c r="CG215" i="29"/>
  <c r="CF215" i="29"/>
  <c r="BU215" i="29"/>
  <c r="BV215" i="29"/>
  <c r="BV229" i="29"/>
  <c r="BU229" i="29"/>
  <c r="CF229" i="29"/>
  <c r="CG229" i="29"/>
  <c r="BV217" i="29"/>
  <c r="BU217" i="29"/>
  <c r="CG217" i="29"/>
  <c r="CF217" i="29"/>
  <c r="BV221" i="29"/>
  <c r="BU221" i="29"/>
  <c r="CG221" i="29"/>
  <c r="CF221" i="29"/>
  <c r="CG209" i="29"/>
  <c r="BU209" i="29"/>
  <c r="CF209" i="29"/>
  <c r="BV209" i="29"/>
  <c r="BU192" i="29"/>
  <c r="CG192" i="29"/>
  <c r="CF192" i="29"/>
  <c r="BV192" i="29"/>
  <c r="BO41" i="28"/>
  <c r="CF201" i="29"/>
  <c r="BU201" i="29"/>
  <c r="BV201" i="29"/>
  <c r="CG201" i="29"/>
  <c r="CG186" i="29"/>
  <c r="CF186" i="29"/>
  <c r="CC165" i="29"/>
  <c r="S64" i="29"/>
  <c r="BR165" i="29"/>
  <c r="V53" i="29"/>
  <c r="BO38" i="28"/>
  <c r="BQ165" i="29"/>
  <c r="BV38" i="28"/>
  <c r="S62" i="29"/>
  <c r="BP38" i="28"/>
  <c r="BY38" i="28"/>
  <c r="AT19" i="28"/>
  <c r="BS38" i="28"/>
  <c r="BY35" i="28"/>
  <c r="S77" i="29"/>
  <c r="V44" i="29"/>
  <c r="S69" i="29"/>
  <c r="L127" i="28"/>
  <c r="BQ359" i="29"/>
  <c r="CC359" i="29"/>
  <c r="CC148" i="29"/>
  <c r="BR148" i="29"/>
  <c r="V40" i="29"/>
  <c r="BQ32" i="28"/>
  <c r="V50" i="29"/>
  <c r="S75" i="29"/>
  <c r="V48" i="29"/>
  <c r="V55" i="29"/>
  <c r="V49" i="29"/>
  <c r="V43" i="29"/>
  <c r="V37" i="29"/>
  <c r="V54" i="29"/>
  <c r="V39" i="29"/>
  <c r="L125" i="28"/>
  <c r="BQ358" i="29"/>
  <c r="CC358" i="29"/>
  <c r="BR153" i="29"/>
  <c r="CC153" i="29"/>
  <c r="BR151" i="29"/>
  <c r="CC151" i="29"/>
  <c r="AT22" i="28"/>
  <c r="V41" i="29"/>
  <c r="AT44" i="28"/>
  <c r="BX32" i="28"/>
  <c r="V36" i="29"/>
  <c r="S70" i="29"/>
  <c r="V46" i="29"/>
  <c r="CB174" i="29"/>
  <c r="BQ174" i="29"/>
  <c r="CC174" i="29"/>
  <c r="BR174" i="29"/>
  <c r="V42" i="29"/>
  <c r="BY84" i="28"/>
  <c r="BW84" i="28"/>
  <c r="CC180" i="29"/>
  <c r="BR180" i="29"/>
  <c r="BQ180" i="29"/>
  <c r="CB180" i="29"/>
  <c r="BP32" i="28"/>
  <c r="BO32" i="28"/>
  <c r="S14" i="29"/>
  <c r="L126" i="28"/>
  <c r="V51" i="29"/>
  <c r="CC154" i="29"/>
  <c r="BR154" i="29"/>
  <c r="CC173" i="29"/>
  <c r="BR173" i="29"/>
  <c r="BQ173" i="29"/>
  <c r="CB173" i="29"/>
  <c r="BR178" i="29"/>
  <c r="CC178" i="29"/>
  <c r="BQ178" i="29"/>
  <c r="CC179" i="29"/>
  <c r="CB179" i="29"/>
  <c r="BQ179" i="29"/>
  <c r="BR179" i="29"/>
  <c r="BQ177" i="29"/>
  <c r="CC177" i="29"/>
  <c r="BR177" i="29"/>
  <c r="CB177" i="29"/>
  <c r="BR175" i="29"/>
  <c r="CB175" i="29"/>
  <c r="BQ175" i="29"/>
  <c r="CC175" i="29"/>
  <c r="BR149" i="29"/>
  <c r="CC149" i="29"/>
  <c r="BS32" i="28"/>
  <c r="S13" i="29"/>
  <c r="V38" i="29"/>
  <c r="V45" i="29"/>
  <c r="V47" i="29"/>
  <c r="CC152" i="29"/>
  <c r="BR152" i="29"/>
  <c r="V52" i="29"/>
  <c r="S11" i="29"/>
  <c r="BQ357" i="29"/>
  <c r="CC357" i="29"/>
  <c r="CC147" i="29"/>
  <c r="BR147" i="29"/>
  <c r="S12" i="29"/>
  <c r="BP35" i="28"/>
  <c r="BO35" i="28"/>
  <c r="BW35" i="28"/>
  <c r="BX35" i="28"/>
  <c r="BV35" i="28"/>
  <c r="BS35" i="28"/>
  <c r="BR35" i="28"/>
  <c r="BU35" i="28"/>
  <c r="L128" i="28"/>
  <c r="BU145" i="28"/>
  <c r="BP145" i="28"/>
  <c r="BV145" i="28"/>
  <c r="BO145" i="28"/>
  <c r="BW120" i="28"/>
  <c r="BU120" i="28"/>
  <c r="BX120" i="28"/>
  <c r="BR120" i="28"/>
  <c r="BQ120" i="28"/>
  <c r="BO120" i="28"/>
  <c r="BP144" i="28"/>
  <c r="BU144" i="28"/>
  <c r="BV144" i="28"/>
  <c r="BO144" i="28"/>
  <c r="BU142" i="28"/>
  <c r="BV142" i="28"/>
  <c r="BO142" i="28"/>
  <c r="BP142" i="28"/>
  <c r="BU140" i="28"/>
  <c r="BV140" i="28"/>
  <c r="BO140" i="28"/>
  <c r="BP140" i="28"/>
  <c r="BR119" i="28"/>
  <c r="BQ119" i="28"/>
  <c r="BO119" i="28"/>
  <c r="BX119" i="28"/>
  <c r="BW119" i="28"/>
  <c r="BU119" i="28"/>
  <c r="BS87" i="28"/>
  <c r="BY87" i="28"/>
  <c r="BU139" i="28"/>
  <c r="BP139" i="28"/>
  <c r="BV139" i="28"/>
  <c r="BO139" i="28"/>
  <c r="BV148" i="28"/>
  <c r="BO148" i="28"/>
  <c r="BU148" i="28"/>
  <c r="BP148" i="28"/>
  <c r="AT20" i="28"/>
  <c r="BP150" i="28"/>
  <c r="BV150" i="28"/>
  <c r="BO150" i="28"/>
  <c r="BU150" i="28"/>
  <c r="BR121" i="28"/>
  <c r="BQ121" i="28"/>
  <c r="BO121" i="28"/>
  <c r="BX121" i="28"/>
  <c r="BU121" i="28"/>
  <c r="BW121" i="28"/>
  <c r="BU146" i="28"/>
  <c r="BP146" i="28"/>
  <c r="BV146" i="28"/>
  <c r="BO146" i="28"/>
  <c r="BV141" i="28"/>
  <c r="BO141" i="28"/>
  <c r="BU141" i="28"/>
  <c r="BP141" i="28"/>
  <c r="BY86" i="28"/>
  <c r="BS86" i="28"/>
  <c r="BP143" i="28"/>
  <c r="BV143" i="28"/>
  <c r="BO143" i="28"/>
  <c r="BU143" i="28"/>
  <c r="BP138" i="28"/>
  <c r="BU138" i="28"/>
  <c r="BV138" i="28"/>
  <c r="BO138" i="28"/>
  <c r="BV147" i="28"/>
  <c r="BO147" i="28"/>
  <c r="BU147" i="28"/>
  <c r="BP147" i="28"/>
  <c r="BU151" i="28"/>
  <c r="BP151" i="28"/>
  <c r="BV151" i="28"/>
  <c r="BO151" i="28"/>
  <c r="N51" i="28"/>
  <c r="BY85" i="28"/>
  <c r="BS85" i="28"/>
  <c r="Y57" i="28"/>
  <c r="BS284" i="29"/>
  <c r="BQ284" i="29"/>
  <c r="CE284" i="29"/>
  <c r="CC284" i="29"/>
  <c r="BT284" i="29"/>
  <c r="BR284" i="29"/>
  <c r="CD284" i="29"/>
  <c r="CB284" i="29"/>
  <c r="BR350" i="29"/>
  <c r="CB350" i="29"/>
  <c r="CC350" i="29"/>
  <c r="BQ350" i="29"/>
  <c r="CC346" i="29"/>
  <c r="BQ346" i="29"/>
  <c r="BR346" i="29"/>
  <c r="CB346" i="29"/>
  <c r="CB348" i="29"/>
  <c r="CC348" i="29"/>
  <c r="BQ348" i="29"/>
  <c r="BR348" i="29"/>
  <c r="BR359" i="29"/>
  <c r="CB359" i="29"/>
  <c r="CB343" i="29"/>
  <c r="CC343" i="29"/>
  <c r="BR343" i="29"/>
  <c r="BQ343" i="29"/>
  <c r="BR345" i="29"/>
  <c r="CB345" i="29"/>
  <c r="CC345" i="29"/>
  <c r="BQ345" i="29"/>
  <c r="CD286" i="29"/>
  <c r="CB286" i="29"/>
  <c r="BS286" i="29"/>
  <c r="CE286" i="29"/>
  <c r="CC286" i="29"/>
  <c r="BQ286" i="29"/>
  <c r="BT286" i="29"/>
  <c r="BR286" i="29"/>
  <c r="BR351" i="29"/>
  <c r="CC351" i="29"/>
  <c r="BQ351" i="29"/>
  <c r="CB351" i="29"/>
  <c r="CE283" i="29"/>
  <c r="CB283" i="29"/>
  <c r="BR283" i="29"/>
  <c r="CD283" i="29"/>
  <c r="CC283" i="29"/>
  <c r="BT283" i="29"/>
  <c r="BS283" i="29"/>
  <c r="BR357" i="29"/>
  <c r="CB357" i="29"/>
  <c r="BR358" i="29"/>
  <c r="CB358" i="29"/>
  <c r="CB349" i="29"/>
  <c r="CC349" i="29"/>
  <c r="BR349" i="29"/>
  <c r="BQ349" i="29"/>
  <c r="BT329" i="29"/>
  <c r="BS329" i="29"/>
  <c r="CE329" i="29"/>
  <c r="CD329" i="29"/>
  <c r="CC347" i="29"/>
  <c r="BQ347" i="29"/>
  <c r="CB347" i="29"/>
  <c r="BR347" i="29"/>
  <c r="CC285" i="29"/>
  <c r="BS285" i="29"/>
  <c r="CB285" i="29"/>
  <c r="BQ285" i="29"/>
  <c r="BT285" i="29"/>
  <c r="CE285" i="29"/>
  <c r="BR285" i="29"/>
  <c r="CD285" i="29"/>
  <c r="CC342" i="29"/>
  <c r="BQ342" i="29"/>
  <c r="BR342" i="29"/>
  <c r="CB342" i="29"/>
  <c r="BR344" i="29"/>
  <c r="CB344" i="29"/>
  <c r="CC344" i="29"/>
  <c r="BQ344" i="29"/>
  <c r="S74" i="29"/>
  <c r="S78" i="29"/>
  <c r="CG234" i="29"/>
  <c r="CI234" i="29"/>
  <c r="CH234" i="29"/>
  <c r="S67" i="29"/>
  <c r="BV234" i="29"/>
  <c r="BW234" i="29"/>
  <c r="BR131" i="29"/>
  <c r="CC131" i="29"/>
  <c r="BQ131" i="29"/>
  <c r="CB131" i="29"/>
  <c r="BR160" i="29"/>
  <c r="CB160" i="29"/>
  <c r="CC160" i="29"/>
  <c r="BQ160" i="29"/>
  <c r="BR140" i="29"/>
  <c r="BQ140" i="29"/>
  <c r="CB140" i="29"/>
  <c r="CC140" i="29"/>
  <c r="CC115" i="29"/>
  <c r="CB115" i="29"/>
  <c r="BR115" i="29"/>
  <c r="BQ115" i="29"/>
  <c r="BV186" i="29"/>
  <c r="BR132" i="29"/>
  <c r="CB132" i="29"/>
  <c r="BQ132" i="29"/>
  <c r="CC132" i="29"/>
  <c r="CB130" i="29"/>
  <c r="CC130" i="29"/>
  <c r="BQ130" i="29"/>
  <c r="BR130" i="29"/>
  <c r="BQ161" i="29"/>
  <c r="CB161" i="29"/>
  <c r="CC161" i="29"/>
  <c r="BR161" i="29"/>
  <c r="CB151" i="29"/>
  <c r="BQ151" i="29"/>
  <c r="CB122" i="29"/>
  <c r="BQ122" i="29"/>
  <c r="BR122" i="29"/>
  <c r="CC122" i="29"/>
  <c r="CB114" i="29"/>
  <c r="BQ114" i="29"/>
  <c r="CC114" i="29"/>
  <c r="BR114" i="29"/>
  <c r="BR167" i="29"/>
  <c r="CB167" i="29"/>
  <c r="CC167" i="29"/>
  <c r="BQ167" i="29"/>
  <c r="CC133" i="29"/>
  <c r="BQ133" i="29"/>
  <c r="BR133" i="29"/>
  <c r="CB133" i="29"/>
  <c r="BR119" i="29"/>
  <c r="CB119" i="29"/>
  <c r="BQ119" i="29"/>
  <c r="CC119" i="29"/>
  <c r="CC164" i="29"/>
  <c r="CB164" i="29"/>
  <c r="BR164" i="29"/>
  <c r="BQ164" i="29"/>
  <c r="CC141" i="29"/>
  <c r="CB141" i="29"/>
  <c r="BQ141" i="29"/>
  <c r="BR141" i="29"/>
  <c r="BR120" i="29"/>
  <c r="CC120" i="29"/>
  <c r="CB120" i="29"/>
  <c r="BQ120" i="29"/>
  <c r="CB143" i="29"/>
  <c r="BR143" i="29"/>
  <c r="CC143" i="29"/>
  <c r="BQ143" i="29"/>
  <c r="CB147" i="29"/>
  <c r="BQ147" i="29"/>
  <c r="CC166" i="29"/>
  <c r="BR166" i="29"/>
  <c r="CB166" i="29"/>
  <c r="BQ166" i="29"/>
  <c r="CC128" i="29"/>
  <c r="BQ128" i="29"/>
  <c r="BR128" i="29"/>
  <c r="CB128" i="29"/>
  <c r="CB116" i="29"/>
  <c r="BQ116" i="29"/>
  <c r="BR116" i="29"/>
  <c r="CC116" i="29"/>
  <c r="CB152" i="29"/>
  <c r="BQ152" i="29"/>
  <c r="BQ154" i="29"/>
  <c r="CB154" i="29"/>
  <c r="BQ148" i="29"/>
  <c r="CB148" i="29"/>
  <c r="CB162" i="29"/>
  <c r="BQ162" i="29"/>
  <c r="CC162" i="29"/>
  <c r="BR162" i="29"/>
  <c r="CB149" i="29"/>
  <c r="BQ149" i="29"/>
  <c r="CC118" i="29"/>
  <c r="BR118" i="29"/>
  <c r="CB118" i="29"/>
  <c r="BQ118" i="29"/>
  <c r="CB129" i="29"/>
  <c r="BR129" i="29"/>
  <c r="CC129" i="29"/>
  <c r="BQ129" i="29"/>
  <c r="CB153" i="29"/>
  <c r="BQ153" i="29"/>
  <c r="CC134" i="29"/>
  <c r="BQ134" i="29"/>
  <c r="BR134" i="29"/>
  <c r="CB134" i="29"/>
  <c r="CC121" i="29"/>
  <c r="BQ121" i="29"/>
  <c r="BR121" i="29"/>
  <c r="CB121" i="29"/>
  <c r="BQ139" i="29"/>
  <c r="CB139" i="29"/>
  <c r="BR139" i="29"/>
  <c r="CC139" i="29"/>
  <c r="CC117" i="29"/>
  <c r="CB117" i="29"/>
  <c r="BQ117" i="29"/>
  <c r="BR117" i="29"/>
  <c r="BR142" i="29"/>
  <c r="CC142" i="29"/>
  <c r="BQ142" i="29"/>
  <c r="CB142" i="29"/>
  <c r="S66" i="29"/>
  <c r="S65" i="29"/>
  <c r="S73" i="29"/>
  <c r="S71" i="29"/>
  <c r="S76" i="29"/>
  <c r="S79" i="29"/>
  <c r="S61" i="29"/>
  <c r="S63" i="29"/>
  <c r="S72" i="29"/>
  <c r="BQ86" i="28"/>
  <c r="BR86" i="28"/>
  <c r="BX86" i="28"/>
  <c r="BP34" i="28"/>
  <c r="BV34" i="28"/>
  <c r="BO34" i="28"/>
  <c r="BU34" i="28"/>
  <c r="BY33" i="28"/>
  <c r="BR33" i="28"/>
  <c r="BV33" i="28"/>
  <c r="BO33" i="28"/>
  <c r="BS33" i="28"/>
  <c r="BX33" i="28"/>
  <c r="BQ33" i="28"/>
  <c r="BU33" i="28"/>
  <c r="BW33" i="28"/>
  <c r="BP33" i="28"/>
  <c r="BX24" i="28"/>
  <c r="BY24" i="28"/>
  <c r="BS24" i="28"/>
  <c r="BR24" i="28"/>
  <c r="BS26" i="28"/>
  <c r="BR26" i="28"/>
  <c r="BX26" i="28"/>
  <c r="BY26" i="28"/>
  <c r="BW26" i="28"/>
  <c r="BS13" i="28"/>
  <c r="BR13" i="28"/>
  <c r="BY13" i="28"/>
  <c r="BX13" i="28"/>
  <c r="BQ87" i="28"/>
  <c r="BR87" i="28"/>
  <c r="BX87" i="28"/>
  <c r="BS15" i="28"/>
  <c r="BR15" i="28"/>
  <c r="BY15" i="28"/>
  <c r="BX15" i="28"/>
  <c r="BS46" i="28"/>
  <c r="BW46" i="28"/>
  <c r="BP46" i="28"/>
  <c r="BY46" i="28"/>
  <c r="BR46" i="28"/>
  <c r="BV46" i="28"/>
  <c r="BO46" i="28"/>
  <c r="BX46" i="28"/>
  <c r="BQ46" i="28"/>
  <c r="BU46" i="28"/>
  <c r="BS21" i="28"/>
  <c r="BY21" i="28"/>
  <c r="BY45" i="28"/>
  <c r="BR45" i="28"/>
  <c r="BV45" i="28"/>
  <c r="BO45" i="28"/>
  <c r="BP45" i="28"/>
  <c r="BS45" i="28"/>
  <c r="BX45" i="28"/>
  <c r="BQ45" i="28"/>
  <c r="BU45" i="28"/>
  <c r="BW45" i="28"/>
  <c r="BY23" i="28"/>
  <c r="BX23" i="28"/>
  <c r="BS23" i="28"/>
  <c r="BR23" i="28"/>
  <c r="BR85" i="28"/>
  <c r="BX85" i="28"/>
  <c r="BQ85" i="28"/>
  <c r="BS31" i="28"/>
  <c r="BW31" i="28"/>
  <c r="BP31" i="28"/>
  <c r="BQ31" i="28"/>
  <c r="BU31" i="28"/>
  <c r="BY31" i="28"/>
  <c r="BR31" i="28"/>
  <c r="BV31" i="28"/>
  <c r="BO31" i="28"/>
  <c r="BX31" i="28"/>
  <c r="BX43" i="28"/>
  <c r="BQ43" i="28"/>
  <c r="BU43" i="28"/>
  <c r="BO43" i="28"/>
  <c r="BR43" i="28"/>
  <c r="BV43" i="28"/>
  <c r="BS43" i="28"/>
  <c r="BW43" i="28"/>
  <c r="BP43" i="28"/>
  <c r="BY43" i="28"/>
  <c r="BX42" i="28"/>
  <c r="BQ42" i="28"/>
  <c r="BU42" i="28"/>
  <c r="BS42" i="28"/>
  <c r="BW42" i="28"/>
  <c r="BP42" i="28"/>
  <c r="BY42" i="28"/>
  <c r="BV42" i="28"/>
  <c r="BR42" i="28"/>
  <c r="BO42" i="28"/>
  <c r="BY16" i="28"/>
  <c r="BS16" i="28"/>
  <c r="BR16" i="28"/>
  <c r="BX16" i="28"/>
  <c r="BS40" i="28"/>
  <c r="BW40" i="28"/>
  <c r="BP40" i="28"/>
  <c r="BY40" i="28"/>
  <c r="BR40" i="28"/>
  <c r="BV40" i="28"/>
  <c r="BO40" i="28"/>
  <c r="BQ40" i="28"/>
  <c r="BU40" i="28"/>
  <c r="BX40" i="28"/>
  <c r="BY39" i="28"/>
  <c r="BR39" i="28"/>
  <c r="BV39" i="28"/>
  <c r="BO39" i="28"/>
  <c r="BW39" i="28"/>
  <c r="BP39" i="28"/>
  <c r="BX39" i="28"/>
  <c r="BQ39" i="28"/>
  <c r="BU39" i="28"/>
  <c r="BS39" i="28"/>
  <c r="BX84" i="28"/>
  <c r="BS84" i="28"/>
  <c r="BQ84" i="28"/>
  <c r="BR84" i="28"/>
  <c r="BS14" i="28"/>
  <c r="BR14" i="28"/>
  <c r="BX14" i="28"/>
  <c r="BY14" i="28"/>
  <c r="BY17" i="28"/>
  <c r="BS17" i="28"/>
  <c r="BX37" i="28"/>
  <c r="BQ37" i="28"/>
  <c r="BU37" i="28"/>
  <c r="BY37" i="28"/>
  <c r="BR37" i="28"/>
  <c r="BS37" i="28"/>
  <c r="BW37" i="28"/>
  <c r="BP37" i="28"/>
  <c r="BV37" i="28"/>
  <c r="BO37" i="28"/>
  <c r="BX36" i="28"/>
  <c r="BQ36" i="28"/>
  <c r="BU36" i="28"/>
  <c r="BS36" i="28"/>
  <c r="BW36" i="28"/>
  <c r="BP36" i="28"/>
  <c r="BY36" i="28"/>
  <c r="BR36" i="28"/>
  <c r="BV36" i="28"/>
  <c r="BO36" i="28"/>
  <c r="Y61" i="28"/>
  <c r="N50" i="28"/>
  <c r="Y58" i="28"/>
  <c r="BV13" i="28"/>
  <c r="BO13" i="28"/>
  <c r="BW13" i="28"/>
  <c r="BP13" i="28"/>
  <c r="BQ13" i="28"/>
  <c r="BU13" i="28"/>
  <c r="BW23" i="28"/>
  <c r="BQ23" i="28"/>
  <c r="BU23" i="28"/>
  <c r="BV23" i="28"/>
  <c r="BO23" i="28"/>
  <c r="BP23" i="28"/>
  <c r="BW15" i="28"/>
  <c r="BV15" i="28"/>
  <c r="BO15" i="28"/>
  <c r="BP15" i="28"/>
  <c r="BQ15" i="28"/>
  <c r="BU15" i="28"/>
  <c r="BP24" i="28"/>
  <c r="BW24" i="28"/>
  <c r="BQ24" i="28"/>
  <c r="BU24" i="28"/>
  <c r="BV24" i="28"/>
  <c r="BO24" i="28"/>
  <c r="BU16" i="28"/>
  <c r="BV16" i="28"/>
  <c r="BO16" i="28"/>
  <c r="BP16" i="28"/>
  <c r="BW16" i="28"/>
  <c r="V79" i="28"/>
  <c r="BV21" i="28"/>
  <c r="BO21" i="28"/>
  <c r="BP21" i="28"/>
  <c r="BU21" i="28"/>
  <c r="AP149" i="28"/>
  <c r="BW14" i="28"/>
  <c r="BV14" i="28"/>
  <c r="BO14" i="28"/>
  <c r="BP14" i="28"/>
  <c r="BQ14" i="28"/>
  <c r="BU14" i="28"/>
  <c r="BU17" i="28"/>
  <c r="BV17" i="28"/>
  <c r="BO17" i="28"/>
  <c r="BP17" i="28"/>
  <c r="BV26" i="28"/>
  <c r="BO26" i="28"/>
  <c r="BP26" i="28"/>
  <c r="BQ26" i="28"/>
  <c r="BU26" i="28"/>
  <c r="Y60" i="28"/>
  <c r="S68" i="29"/>
  <c r="C163" i="29"/>
  <c r="C176" i="29"/>
  <c r="C150" i="29"/>
  <c r="C360" i="29"/>
  <c r="D156" i="29"/>
  <c r="C168" i="29"/>
  <c r="C155" i="29"/>
  <c r="E156" i="29"/>
  <c r="B12" i="28"/>
  <c r="C291" i="29"/>
  <c r="E169" i="29"/>
  <c r="C106" i="29"/>
  <c r="D169" i="29"/>
  <c r="E12" i="27"/>
  <c r="F12" i="27"/>
  <c r="E13" i="27"/>
  <c r="F13" i="27"/>
  <c r="E14" i="27"/>
  <c r="F14" i="27"/>
  <c r="G15" i="27"/>
  <c r="H15" i="27"/>
  <c r="I15" i="27"/>
  <c r="J15" i="27"/>
  <c r="K15" i="27"/>
  <c r="L15" i="27"/>
  <c r="M15" i="27"/>
  <c r="N15" i="27"/>
  <c r="O15" i="27"/>
  <c r="P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E22" i="27"/>
  <c r="F22" i="27"/>
  <c r="E23" i="27"/>
  <c r="F23" i="27"/>
  <c r="E24" i="27"/>
  <c r="F24" i="27"/>
  <c r="E25" i="27"/>
  <c r="F25" i="27"/>
  <c r="E26" i="27"/>
  <c r="F26" i="27"/>
  <c r="E27" i="27"/>
  <c r="F27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T28" i="27"/>
  <c r="U28" i="27"/>
  <c r="V28" i="27"/>
  <c r="W28" i="27"/>
  <c r="X28" i="27"/>
  <c r="Y28" i="27"/>
  <c r="Z28" i="27"/>
  <c r="AA28" i="27"/>
  <c r="AB28" i="27"/>
  <c r="AC28" i="27"/>
  <c r="AD28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B66" i="27"/>
  <c r="C90" i="27"/>
  <c r="D90" i="27"/>
  <c r="E90" i="27"/>
  <c r="F90" i="27"/>
  <c r="G90" i="27"/>
  <c r="H90" i="27"/>
  <c r="C100" i="27"/>
  <c r="D100" i="27"/>
  <c r="E100" i="27"/>
  <c r="F100" i="27"/>
  <c r="G100" i="27"/>
  <c r="H100" i="27"/>
  <c r="C104" i="27"/>
  <c r="C105" i="27"/>
  <c r="C106" i="27"/>
  <c r="C107" i="27"/>
  <c r="C108" i="27"/>
  <c r="C109" i="27"/>
  <c r="C113" i="27"/>
  <c r="C114" i="27"/>
  <c r="C115" i="27"/>
  <c r="C116" i="27"/>
  <c r="C117" i="27"/>
  <c r="C118" i="27"/>
  <c r="C136" i="27"/>
  <c r="C137" i="27"/>
  <c r="C138" i="27"/>
  <c r="C139" i="27"/>
  <c r="C140" i="27"/>
  <c r="C141" i="27"/>
  <c r="C153" i="27"/>
  <c r="D153" i="27"/>
  <c r="E153" i="27"/>
  <c r="F153" i="27"/>
  <c r="G153" i="27"/>
  <c r="H153" i="27"/>
  <c r="F160" i="27"/>
  <c r="F161" i="27"/>
  <c r="F162" i="27"/>
  <c r="F163" i="27"/>
  <c r="F164" i="27"/>
  <c r="F165" i="27"/>
  <c r="F166" i="27"/>
  <c r="F167" i="27"/>
  <c r="F168" i="27"/>
  <c r="F169" i="27"/>
  <c r="F170" i="27"/>
  <c r="F171" i="27"/>
  <c r="F172" i="27"/>
  <c r="F173" i="27"/>
  <c r="F174" i="27"/>
  <c r="F175" i="27"/>
  <c r="F176" i="27"/>
  <c r="F177" i="27"/>
  <c r="F178" i="27"/>
  <c r="F179" i="27"/>
  <c r="F180" i="27"/>
  <c r="F181" i="27"/>
  <c r="F182" i="27"/>
  <c r="F183" i="27"/>
  <c r="F184" i="27"/>
  <c r="G185" i="27"/>
  <c r="H185" i="27"/>
  <c r="I185" i="27"/>
  <c r="B190" i="27"/>
  <c r="B191" i="27"/>
  <c r="B192" i="27"/>
  <c r="B193" i="27"/>
  <c r="B194" i="27"/>
  <c r="B195" i="27"/>
  <c r="B196" i="27"/>
  <c r="B197" i="27"/>
  <c r="B198" i="27"/>
  <c r="B199" i="27"/>
  <c r="C200" i="27"/>
  <c r="D200" i="27"/>
  <c r="B206" i="27"/>
  <c r="C206" i="27"/>
  <c r="D206" i="27"/>
  <c r="C234" i="27"/>
  <c r="D234" i="27"/>
  <c r="E234" i="27"/>
  <c r="C237" i="27"/>
  <c r="C238" i="27"/>
  <c r="D239" i="27"/>
  <c r="E239" i="27"/>
  <c r="C255" i="27"/>
  <c r="D255" i="27"/>
  <c r="C259" i="27"/>
  <c r="D259" i="27"/>
  <c r="C264" i="27"/>
  <c r="D264" i="27"/>
  <c r="C268" i="27"/>
  <c r="D268" i="27"/>
  <c r="B275" i="27"/>
  <c r="C275" i="27"/>
  <c r="D275" i="27"/>
  <c r="C288" i="27"/>
  <c r="B297" i="27"/>
  <c r="W337" i="29" l="1"/>
  <c r="AX225" i="29"/>
  <c r="AX219" i="29"/>
  <c r="AX215" i="29"/>
  <c r="AX214" i="29"/>
  <c r="AX205" i="29"/>
  <c r="AX201" i="29"/>
  <c r="AX200" i="29"/>
  <c r="AX193" i="29"/>
  <c r="B200" i="28"/>
  <c r="D8" i="18" s="1"/>
  <c r="AT25" i="28"/>
  <c r="AT41" i="28"/>
  <c r="AT18" i="28"/>
  <c r="AX216" i="29"/>
  <c r="AW300" i="29"/>
  <c r="AW305" i="29"/>
  <c r="AX316" i="29"/>
  <c r="AX321" i="29"/>
  <c r="AX314" i="29"/>
  <c r="B400" i="29"/>
  <c r="AS121" i="28"/>
  <c r="AT38" i="28"/>
  <c r="AY236" i="29"/>
  <c r="AL330" i="29"/>
  <c r="AY234" i="29"/>
  <c r="AS119" i="28"/>
  <c r="AS120" i="28"/>
  <c r="AW307" i="29"/>
  <c r="AX222" i="29"/>
  <c r="AX195" i="29"/>
  <c r="AX202" i="29"/>
  <c r="AX223" i="29"/>
  <c r="AX199" i="29"/>
  <c r="AX190" i="29"/>
  <c r="AX212" i="29"/>
  <c r="AX206" i="29"/>
  <c r="AX227" i="29"/>
  <c r="AX213" i="29"/>
  <c r="AX220" i="29"/>
  <c r="AX226" i="29"/>
  <c r="AX228" i="29"/>
  <c r="AN128" i="29"/>
  <c r="AN127" i="29"/>
  <c r="AL329" i="29"/>
  <c r="AX198" i="29"/>
  <c r="AX189" i="29"/>
  <c r="AW302" i="29"/>
  <c r="AX203" i="29"/>
  <c r="AW295" i="29"/>
  <c r="AW294" i="29"/>
  <c r="AW296" i="29"/>
  <c r="AW309" i="29"/>
  <c r="AX323" i="29"/>
  <c r="AX318" i="29"/>
  <c r="AL331" i="29"/>
  <c r="AX209" i="29"/>
  <c r="AX217" i="29"/>
  <c r="AX208" i="29"/>
  <c r="AX230" i="29"/>
  <c r="AX197" i="29"/>
  <c r="AW293" i="29"/>
  <c r="AW304" i="29"/>
  <c r="AX320" i="29"/>
  <c r="AX218" i="29"/>
  <c r="AX211" i="29"/>
  <c r="AW303" i="29"/>
  <c r="AW298" i="29"/>
  <c r="AW308" i="29"/>
  <c r="AX324" i="29"/>
  <c r="AX322" i="29"/>
  <c r="AX191" i="29"/>
  <c r="AX224" i="29"/>
  <c r="AX207" i="29"/>
  <c r="AX194" i="29"/>
  <c r="AW297" i="29"/>
  <c r="AX319" i="29"/>
  <c r="AW292" i="29"/>
  <c r="AX204" i="29"/>
  <c r="AX186" i="29"/>
  <c r="AX221" i="29"/>
  <c r="AX229" i="29"/>
  <c r="AX188" i="29"/>
  <c r="AX196" i="29"/>
  <c r="AX210" i="29"/>
  <c r="AW306" i="29"/>
  <c r="AW301" i="29"/>
  <c r="AW299" i="29"/>
  <c r="AX315" i="29"/>
  <c r="AX317" i="29"/>
  <c r="AX192" i="29"/>
  <c r="AP357" i="29"/>
  <c r="AY265" i="29"/>
  <c r="AN133" i="29"/>
  <c r="AY277" i="29"/>
  <c r="AY267" i="29"/>
  <c r="AY245" i="29"/>
  <c r="AY276" i="29"/>
  <c r="AY271" i="29"/>
  <c r="AY261" i="29"/>
  <c r="AY238" i="29"/>
  <c r="AY273" i="29"/>
  <c r="AY256" i="29"/>
  <c r="AY269" i="29"/>
  <c r="AY254" i="29"/>
  <c r="AY274" i="29"/>
  <c r="AY264" i="29"/>
  <c r="AY255" i="29"/>
  <c r="AY240" i="29"/>
  <c r="AY258" i="29"/>
  <c r="AY246" i="29"/>
  <c r="AY260" i="29"/>
  <c r="AY243" i="29"/>
  <c r="AY259" i="29"/>
  <c r="AY252" i="29"/>
  <c r="AY237" i="29"/>
  <c r="AY275" i="29"/>
  <c r="AY266" i="29"/>
  <c r="AY244" i="29"/>
  <c r="AY242" i="29"/>
  <c r="AY270" i="29"/>
  <c r="AY253" i="29"/>
  <c r="AY250" i="29"/>
  <c r="AY278" i="29"/>
  <c r="AY262" i="29"/>
  <c r="AY263" i="29"/>
  <c r="AY241" i="29"/>
  <c r="AY248" i="29"/>
  <c r="AY249" i="29"/>
  <c r="AY247" i="29"/>
  <c r="AY257" i="29"/>
  <c r="AY251" i="29"/>
  <c r="AY272" i="29"/>
  <c r="AY268" i="29"/>
  <c r="AY239" i="29"/>
  <c r="S165" i="29"/>
  <c r="P153" i="29"/>
  <c r="P152" i="29"/>
  <c r="AO87" i="28"/>
  <c r="AN351" i="29"/>
  <c r="AP140" i="28"/>
  <c r="AP286" i="29"/>
  <c r="AT42" i="28"/>
  <c r="AJ117" i="29"/>
  <c r="AP143" i="28"/>
  <c r="AP142" i="28"/>
  <c r="AP138" i="28"/>
  <c r="AP145" i="28"/>
  <c r="AJ114" i="29"/>
  <c r="AT32" i="28"/>
  <c r="AT46" i="28"/>
  <c r="P147" i="29"/>
  <c r="AS141" i="29"/>
  <c r="AO84" i="28"/>
  <c r="AJ120" i="29"/>
  <c r="AT16" i="28"/>
  <c r="AT43" i="28"/>
  <c r="AT39" i="28"/>
  <c r="AT40" i="28"/>
  <c r="AP285" i="29"/>
  <c r="AT45" i="28"/>
  <c r="AT35" i="28"/>
  <c r="AP284" i="29"/>
  <c r="AP283" i="29"/>
  <c r="AT37" i="28"/>
  <c r="AT36" i="28"/>
  <c r="AT33" i="28"/>
  <c r="AT34" i="28"/>
  <c r="AT31" i="28"/>
  <c r="AO85" i="28"/>
  <c r="AT26" i="28"/>
  <c r="AT21" i="28"/>
  <c r="AT15" i="28"/>
  <c r="AT17" i="28"/>
  <c r="AT13" i="28"/>
  <c r="AT14" i="28"/>
  <c r="AT24" i="28"/>
  <c r="AO86" i="28"/>
  <c r="AT23" i="28"/>
  <c r="AJ119" i="29"/>
  <c r="AJ122" i="29"/>
  <c r="AS140" i="29"/>
  <c r="AJ116" i="29"/>
  <c r="AS143" i="29"/>
  <c r="AJ121" i="29"/>
  <c r="AN348" i="29"/>
  <c r="AN343" i="29"/>
  <c r="AN345" i="29"/>
  <c r="P151" i="29"/>
  <c r="AS139" i="29"/>
  <c r="R177" i="29"/>
  <c r="S161" i="29"/>
  <c r="AN350" i="29"/>
  <c r="AJ115" i="29"/>
  <c r="P148" i="29"/>
  <c r="R174" i="29"/>
  <c r="AP359" i="29"/>
  <c r="R180" i="29"/>
  <c r="AN342" i="29"/>
  <c r="S164" i="29"/>
  <c r="S162" i="29"/>
  <c r="P154" i="29"/>
  <c r="AJ118" i="29"/>
  <c r="AN349" i="29"/>
  <c r="AN344" i="29"/>
  <c r="S160" i="29"/>
  <c r="AP139" i="28"/>
  <c r="AP144" i="28"/>
  <c r="AP147" i="28"/>
  <c r="AP150" i="28"/>
  <c r="AP148" i="28"/>
  <c r="AP146" i="28"/>
  <c r="AP141" i="28"/>
  <c r="AN346" i="29"/>
  <c r="AP358" i="29"/>
  <c r="AN347" i="29"/>
  <c r="AP151" i="28"/>
  <c r="R179" i="29"/>
  <c r="R178" i="29"/>
  <c r="R175" i="29"/>
  <c r="AS142" i="29"/>
  <c r="P149" i="29"/>
  <c r="S166" i="29"/>
  <c r="S167" i="29"/>
  <c r="A200" i="28"/>
  <c r="E8" i="18" s="1"/>
  <c r="AN130" i="29"/>
  <c r="AN134" i="29"/>
  <c r="AN129" i="29"/>
  <c r="C169" i="29"/>
  <c r="C156" i="29"/>
  <c r="C239" i="27"/>
  <c r="D26" i="27"/>
  <c r="D23" i="27"/>
  <c r="AN132" i="29"/>
  <c r="D25" i="27"/>
  <c r="AN131" i="29"/>
  <c r="D27" i="27"/>
  <c r="D13" i="27"/>
  <c r="D269" i="27"/>
  <c r="C269" i="27"/>
  <c r="E15" i="27"/>
  <c r="F185" i="27"/>
  <c r="D12" i="27"/>
  <c r="E28" i="27"/>
  <c r="B200" i="27"/>
  <c r="D24" i="27"/>
  <c r="D14" i="27"/>
  <c r="F15" i="27"/>
  <c r="F28" i="27"/>
  <c r="D22" i="27"/>
  <c r="A400" i="29" l="1"/>
  <c r="E9" i="18" s="1"/>
  <c r="D15" i="27"/>
  <c r="D28" i="27"/>
  <c r="A320" i="27" l="1"/>
  <c r="E21" i="18" s="1"/>
  <c r="B215" i="24"/>
  <c r="B211" i="24"/>
  <c r="B210" i="24"/>
  <c r="C206" i="24"/>
  <c r="C205" i="24"/>
  <c r="C204" i="24"/>
  <c r="H200" i="24"/>
  <c r="C200" i="24"/>
  <c r="H199" i="24"/>
  <c r="C199" i="24"/>
  <c r="H198" i="24"/>
  <c r="C198" i="24"/>
  <c r="H197" i="24"/>
  <c r="C197" i="24"/>
  <c r="F193" i="24"/>
  <c r="B193" i="24"/>
  <c r="F192" i="24"/>
  <c r="B192" i="24"/>
  <c r="F191" i="24"/>
  <c r="B191" i="24"/>
  <c r="E187" i="24"/>
  <c r="B187" i="24"/>
  <c r="E186" i="24"/>
  <c r="B186" i="24"/>
  <c r="E182" i="24"/>
  <c r="B182" i="24"/>
  <c r="E181" i="24"/>
  <c r="B181" i="24"/>
  <c r="E180" i="24"/>
  <c r="B180" i="24"/>
  <c r="E179" i="24"/>
  <c r="B179" i="24"/>
  <c r="D174" i="24"/>
  <c r="C174" i="24"/>
  <c r="D173" i="24"/>
  <c r="C173" i="24"/>
  <c r="D172" i="24"/>
  <c r="C172" i="24"/>
  <c r="E167" i="24"/>
  <c r="D167" i="24"/>
  <c r="E166" i="24"/>
  <c r="D166" i="24"/>
  <c r="E165" i="24"/>
  <c r="D165" i="24"/>
  <c r="E164" i="24"/>
  <c r="D164" i="24"/>
  <c r="E163" i="24"/>
  <c r="D163" i="24"/>
  <c r="E162" i="24"/>
  <c r="D162" i="24"/>
  <c r="E161" i="24"/>
  <c r="D161" i="24"/>
  <c r="E160" i="24"/>
  <c r="D160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I155" i="24"/>
  <c r="H155" i="24"/>
  <c r="G155" i="24"/>
  <c r="F155" i="24"/>
  <c r="E154" i="24"/>
  <c r="D154" i="24"/>
  <c r="E153" i="24"/>
  <c r="D153" i="24"/>
  <c r="E152" i="24"/>
  <c r="D152" i="24"/>
  <c r="E151" i="24"/>
  <c r="D151" i="24"/>
  <c r="E150" i="24"/>
  <c r="D150" i="24"/>
  <c r="E149" i="24"/>
  <c r="D149" i="24"/>
  <c r="E148" i="24"/>
  <c r="D148" i="24"/>
  <c r="E147" i="24"/>
  <c r="D147" i="24"/>
  <c r="E146" i="24"/>
  <c r="D146" i="24"/>
  <c r="E145" i="24"/>
  <c r="D145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I144" i="24"/>
  <c r="H144" i="24"/>
  <c r="G144" i="24"/>
  <c r="F144" i="24"/>
  <c r="E143" i="24"/>
  <c r="D143" i="24"/>
  <c r="E142" i="24"/>
  <c r="D142" i="24"/>
  <c r="E141" i="24"/>
  <c r="D141" i="24"/>
  <c r="E140" i="24"/>
  <c r="D140" i="24"/>
  <c r="E139" i="24"/>
  <c r="D139" i="24"/>
  <c r="E138" i="24"/>
  <c r="D138" i="24"/>
  <c r="E137" i="24"/>
  <c r="D137" i="24"/>
  <c r="E136" i="24"/>
  <c r="D136" i="24"/>
  <c r="E135" i="24"/>
  <c r="D135" i="24"/>
  <c r="E134" i="24"/>
  <c r="D134" i="24"/>
  <c r="B129" i="24"/>
  <c r="B128" i="24"/>
  <c r="B127" i="24"/>
  <c r="T122" i="24"/>
  <c r="S122" i="24"/>
  <c r="R122" i="24"/>
  <c r="Q122" i="24"/>
  <c r="P122" i="24"/>
  <c r="O122" i="24"/>
  <c r="N122" i="24"/>
  <c r="M122" i="24"/>
  <c r="L122" i="24"/>
  <c r="K122" i="24"/>
  <c r="J122" i="24"/>
  <c r="I122" i="24"/>
  <c r="H122" i="24"/>
  <c r="G122" i="24"/>
  <c r="F122" i="24"/>
  <c r="E122" i="24"/>
  <c r="D122" i="24"/>
  <c r="C122" i="24"/>
  <c r="B121" i="24"/>
  <c r="CC120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I116" i="24"/>
  <c r="H116" i="24"/>
  <c r="G116" i="24"/>
  <c r="F116" i="24"/>
  <c r="E116" i="24"/>
  <c r="D116" i="24"/>
  <c r="C116" i="24"/>
  <c r="B115" i="24"/>
  <c r="B114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I108" i="24"/>
  <c r="H108" i="24"/>
  <c r="G108" i="24"/>
  <c r="F108" i="24"/>
  <c r="E107" i="24"/>
  <c r="D107" i="24"/>
  <c r="E106" i="24"/>
  <c r="D106" i="24"/>
  <c r="E105" i="24"/>
  <c r="D105" i="24"/>
  <c r="E104" i="24"/>
  <c r="D104" i="24"/>
  <c r="E103" i="24"/>
  <c r="D103" i="24"/>
  <c r="E102" i="24"/>
  <c r="D102" i="24"/>
  <c r="E101" i="24"/>
  <c r="D101" i="24"/>
  <c r="E100" i="24"/>
  <c r="C100" i="24" s="1"/>
  <c r="E99" i="24"/>
  <c r="D99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D94" i="24"/>
  <c r="AC94" i="24"/>
  <c r="AB94" i="24"/>
  <c r="AA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I94" i="24"/>
  <c r="H94" i="24"/>
  <c r="G94" i="24"/>
  <c r="F94" i="24"/>
  <c r="E94" i="24"/>
  <c r="D94" i="24"/>
  <c r="C94" i="24"/>
  <c r="AE93" i="24"/>
  <c r="Z93" i="24"/>
  <c r="B93" i="24"/>
  <c r="AE92" i="24"/>
  <c r="Z92" i="24"/>
  <c r="B92" i="24"/>
  <c r="AE91" i="24"/>
  <c r="Z91" i="24"/>
  <c r="B91" i="24"/>
  <c r="AE90" i="24"/>
  <c r="Z90" i="24"/>
  <c r="B90" i="24"/>
  <c r="AE89" i="24"/>
  <c r="Z89" i="24"/>
  <c r="B89" i="24"/>
  <c r="AE88" i="24"/>
  <c r="Z88" i="24"/>
  <c r="B88" i="24"/>
  <c r="AE87" i="24"/>
  <c r="Z87" i="24"/>
  <c r="B87" i="24"/>
  <c r="AE86" i="24"/>
  <c r="Z86" i="24"/>
  <c r="B86" i="24"/>
  <c r="AE85" i="24"/>
  <c r="Z85" i="24"/>
  <c r="B85" i="24"/>
  <c r="AE84" i="24"/>
  <c r="Z84" i="24"/>
  <c r="B84" i="24"/>
  <c r="AE83" i="24"/>
  <c r="Z83" i="24"/>
  <c r="B83" i="24"/>
  <c r="AE82" i="24"/>
  <c r="Z82" i="24"/>
  <c r="B82" i="24"/>
  <c r="AE81" i="24"/>
  <c r="Z81" i="24"/>
  <c r="B81" i="24"/>
  <c r="AE80" i="24"/>
  <c r="Z80" i="24"/>
  <c r="B80" i="24"/>
  <c r="AE79" i="24"/>
  <c r="Z79" i="24"/>
  <c r="B79" i="24"/>
  <c r="AE78" i="24"/>
  <c r="Z78" i="24"/>
  <c r="B78" i="24"/>
  <c r="AE77" i="24"/>
  <c r="Z77" i="24"/>
  <c r="B77" i="24"/>
  <c r="AE76" i="24"/>
  <c r="Z76" i="24"/>
  <c r="B76" i="24"/>
  <c r="AE75" i="24"/>
  <c r="Z75" i="24"/>
  <c r="B75" i="24"/>
  <c r="AE74" i="24"/>
  <c r="Z74" i="24"/>
  <c r="B74" i="24"/>
  <c r="AE73" i="24"/>
  <c r="Z73" i="24"/>
  <c r="B73" i="24"/>
  <c r="AE72" i="24"/>
  <c r="Z72" i="24"/>
  <c r="B72" i="24"/>
  <c r="AE71" i="24"/>
  <c r="Z71" i="24"/>
  <c r="B71" i="24"/>
  <c r="AE70" i="24"/>
  <c r="Z70" i="24"/>
  <c r="B70" i="24"/>
  <c r="AE69" i="24"/>
  <c r="Z69" i="24"/>
  <c r="B69" i="24"/>
  <c r="AE68" i="24"/>
  <c r="Z68" i="24"/>
  <c r="B68" i="24"/>
  <c r="AE67" i="24"/>
  <c r="Z67" i="24"/>
  <c r="B67" i="24"/>
  <c r="AE66" i="24"/>
  <c r="Z66" i="24"/>
  <c r="B66" i="24"/>
  <c r="AE65" i="24"/>
  <c r="Z65" i="24"/>
  <c r="B65" i="24"/>
  <c r="AE64" i="24"/>
  <c r="Z64" i="24"/>
  <c r="B64" i="24"/>
  <c r="AE63" i="24"/>
  <c r="Z63" i="24"/>
  <c r="B63" i="24"/>
  <c r="AE62" i="24"/>
  <c r="Z62" i="24"/>
  <c r="B62" i="24"/>
  <c r="AE61" i="24"/>
  <c r="Z61" i="24"/>
  <c r="B61" i="24"/>
  <c r="AE60" i="24"/>
  <c r="Z60" i="24"/>
  <c r="B60" i="24"/>
  <c r="AE59" i="24"/>
  <c r="Z59" i="24"/>
  <c r="B59" i="24"/>
  <c r="AE58" i="24"/>
  <c r="Z58" i="24"/>
  <c r="B58" i="24"/>
  <c r="AE57" i="24"/>
  <c r="Z57" i="24"/>
  <c r="B57" i="24"/>
  <c r="AE56" i="24"/>
  <c r="Z56" i="24"/>
  <c r="B56" i="24"/>
  <c r="AE55" i="24"/>
  <c r="Z55" i="24"/>
  <c r="B55" i="24"/>
  <c r="AE54" i="24"/>
  <c r="Z54" i="24"/>
  <c r="B54" i="24"/>
  <c r="AE53" i="24"/>
  <c r="Z53" i="24"/>
  <c r="B53" i="24"/>
  <c r="AE52" i="24"/>
  <c r="Z52" i="24"/>
  <c r="B52" i="24"/>
  <c r="AE51" i="24"/>
  <c r="Z51" i="24"/>
  <c r="B51" i="24"/>
  <c r="AE50" i="24"/>
  <c r="Z50" i="24"/>
  <c r="B50" i="24"/>
  <c r="AE49" i="24"/>
  <c r="Z49" i="24"/>
  <c r="B49" i="24"/>
  <c r="AE48" i="24"/>
  <c r="Z48" i="24"/>
  <c r="B48" i="24"/>
  <c r="AE47" i="24"/>
  <c r="Z47" i="24"/>
  <c r="B47" i="24"/>
  <c r="AE46" i="24"/>
  <c r="Z46" i="24"/>
  <c r="B46" i="24"/>
  <c r="AE45" i="24"/>
  <c r="Z45" i="24"/>
  <c r="B45" i="24"/>
  <c r="AE44" i="24"/>
  <c r="Z44" i="24"/>
  <c r="B44" i="24"/>
  <c r="AE43" i="24"/>
  <c r="Z43" i="24"/>
  <c r="B43" i="24"/>
  <c r="AE42" i="24"/>
  <c r="Z42" i="24"/>
  <c r="B42" i="24"/>
  <c r="AE41" i="24"/>
  <c r="Z41" i="24"/>
  <c r="B41" i="24"/>
  <c r="AE40" i="24"/>
  <c r="Z40" i="24"/>
  <c r="B40" i="24"/>
  <c r="AE39" i="24"/>
  <c r="Z39" i="24"/>
  <c r="B39" i="24"/>
  <c r="AE38" i="24"/>
  <c r="Z38" i="24"/>
  <c r="B38" i="24"/>
  <c r="AE37" i="24"/>
  <c r="Z37" i="24"/>
  <c r="B37" i="24"/>
  <c r="AE36" i="24"/>
  <c r="Z36" i="24"/>
  <c r="B36" i="24"/>
  <c r="AE35" i="24"/>
  <c r="Z35" i="24"/>
  <c r="B35" i="24"/>
  <c r="AE34" i="24"/>
  <c r="Z34" i="24"/>
  <c r="B34" i="24"/>
  <c r="B28" i="24"/>
  <c r="L24" i="24"/>
  <c r="K24" i="24"/>
  <c r="J24" i="24"/>
  <c r="I24" i="24"/>
  <c r="H24" i="24"/>
  <c r="G24" i="24"/>
  <c r="F24" i="24"/>
  <c r="E24" i="24"/>
  <c r="D23" i="24"/>
  <c r="C23" i="24"/>
  <c r="D22" i="24"/>
  <c r="C22" i="24"/>
  <c r="D21" i="24"/>
  <c r="C21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5" i="24"/>
  <c r="B14" i="24"/>
  <c r="B13" i="24"/>
  <c r="B12" i="24"/>
  <c r="B11" i="24"/>
  <c r="B91" i="23"/>
  <c r="B90" i="23"/>
  <c r="B89" i="23"/>
  <c r="T85" i="23"/>
  <c r="S85" i="23"/>
  <c r="R85" i="23"/>
  <c r="Q85" i="23"/>
  <c r="P85" i="23"/>
  <c r="O85" i="23"/>
  <c r="N85" i="23"/>
  <c r="M85" i="23"/>
  <c r="L85" i="23"/>
  <c r="K85" i="23"/>
  <c r="J85" i="23"/>
  <c r="I85" i="23"/>
  <c r="H85" i="23"/>
  <c r="G85" i="23"/>
  <c r="F85" i="23"/>
  <c r="B85" i="23"/>
  <c r="E84" i="23"/>
  <c r="D84" i="23"/>
  <c r="E83" i="23"/>
  <c r="D83" i="23"/>
  <c r="E82" i="23"/>
  <c r="D82" i="23"/>
  <c r="E81" i="23"/>
  <c r="D81" i="23"/>
  <c r="E80" i="23"/>
  <c r="D80" i="23"/>
  <c r="E79" i="23"/>
  <c r="D79" i="23"/>
  <c r="E78" i="23"/>
  <c r="D78" i="23"/>
  <c r="E77" i="23"/>
  <c r="D77" i="23"/>
  <c r="E76" i="23"/>
  <c r="D76" i="23"/>
  <c r="E75" i="23"/>
  <c r="D75" i="23"/>
  <c r="E74" i="23"/>
  <c r="D74" i="23"/>
  <c r="E73" i="23"/>
  <c r="D73" i="23"/>
  <c r="E72" i="23"/>
  <c r="D72" i="23"/>
  <c r="E71" i="23"/>
  <c r="D71" i="23"/>
  <c r="AF66" i="23"/>
  <c r="AE66" i="23"/>
  <c r="AD66" i="23"/>
  <c r="AC66" i="23"/>
  <c r="AB66" i="23"/>
  <c r="AA66" i="23"/>
  <c r="Z66" i="23"/>
  <c r="Y66" i="23"/>
  <c r="X66" i="23"/>
  <c r="W66" i="23"/>
  <c r="V66" i="23"/>
  <c r="U66" i="23"/>
  <c r="T66" i="23"/>
  <c r="S66" i="23"/>
  <c r="R66" i="23"/>
  <c r="Q66" i="23"/>
  <c r="P66" i="23"/>
  <c r="O66" i="23"/>
  <c r="N66" i="23"/>
  <c r="M66" i="23"/>
  <c r="L66" i="23"/>
  <c r="K66" i="23"/>
  <c r="J66" i="23"/>
  <c r="I66" i="23"/>
  <c r="H66" i="23"/>
  <c r="G66" i="23"/>
  <c r="F66" i="23"/>
  <c r="E66" i="23"/>
  <c r="D66" i="23"/>
  <c r="C66" i="23"/>
  <c r="B65" i="23"/>
  <c r="B64" i="23"/>
  <c r="B63" i="23"/>
  <c r="B62" i="23"/>
  <c r="B61" i="23"/>
  <c r="B60" i="23"/>
  <c r="B59" i="23"/>
  <c r="B58" i="23"/>
  <c r="B57" i="23"/>
  <c r="B56" i="23"/>
  <c r="B55" i="23"/>
  <c r="B54" i="23"/>
  <c r="B53" i="23"/>
  <c r="B52" i="23"/>
  <c r="B51" i="23"/>
  <c r="B50" i="23"/>
  <c r="AF46" i="23"/>
  <c r="AE46" i="23"/>
  <c r="AD46" i="23"/>
  <c r="AC46" i="23"/>
  <c r="AB46" i="23"/>
  <c r="AA46" i="23"/>
  <c r="Z46" i="23"/>
  <c r="Y46" i="23"/>
  <c r="X46" i="23"/>
  <c r="W46" i="23"/>
  <c r="V46" i="23"/>
  <c r="U46" i="23"/>
  <c r="T46" i="23"/>
  <c r="S46" i="23"/>
  <c r="R46" i="23"/>
  <c r="Q46" i="23"/>
  <c r="P46" i="23"/>
  <c r="O46" i="23"/>
  <c r="N46" i="23"/>
  <c r="M46" i="23"/>
  <c r="L46" i="23"/>
  <c r="K46" i="23"/>
  <c r="J46" i="23"/>
  <c r="I46" i="23"/>
  <c r="H46" i="23"/>
  <c r="G46" i="23"/>
  <c r="F46" i="23"/>
  <c r="E46" i="23"/>
  <c r="D46" i="23"/>
  <c r="C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AW28" i="23"/>
  <c r="AV28" i="23"/>
  <c r="AU28" i="23"/>
  <c r="AT28" i="23"/>
  <c r="AS28" i="23"/>
  <c r="AR28" i="23"/>
  <c r="AQ28" i="23"/>
  <c r="AP28" i="23"/>
  <c r="AO28" i="23"/>
  <c r="AN28" i="23"/>
  <c r="AM28" i="23"/>
  <c r="AL28" i="23"/>
  <c r="AK28" i="23"/>
  <c r="AJ28" i="23"/>
  <c r="AI28" i="23"/>
  <c r="AH28" i="23"/>
  <c r="AG28" i="23"/>
  <c r="AF28" i="23"/>
  <c r="AE28" i="23"/>
  <c r="AD28" i="23"/>
  <c r="AC28" i="23"/>
  <c r="AB28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7" i="23"/>
  <c r="D27" i="23"/>
  <c r="E26" i="23"/>
  <c r="D26" i="23"/>
  <c r="E25" i="23"/>
  <c r="D25" i="23"/>
  <c r="E24" i="23"/>
  <c r="D24" i="23"/>
  <c r="E23" i="23"/>
  <c r="D23" i="23"/>
  <c r="E22" i="23"/>
  <c r="D22" i="23"/>
  <c r="E21" i="23"/>
  <c r="D21" i="23"/>
  <c r="E20" i="23"/>
  <c r="D20" i="23"/>
  <c r="E19" i="23"/>
  <c r="D19" i="23"/>
  <c r="E18" i="23"/>
  <c r="D18" i="23"/>
  <c r="E17" i="23"/>
  <c r="D17" i="23"/>
  <c r="E16" i="23"/>
  <c r="D16" i="23"/>
  <c r="E15" i="23"/>
  <c r="D15" i="23"/>
  <c r="E14" i="23"/>
  <c r="D14" i="23"/>
  <c r="E13" i="23"/>
  <c r="D13" i="23"/>
  <c r="E12" i="23"/>
  <c r="D12" i="23"/>
  <c r="U118" i="22"/>
  <c r="T118" i="22"/>
  <c r="S118" i="22"/>
  <c r="R118" i="22"/>
  <c r="Q118" i="22"/>
  <c r="P118" i="22"/>
  <c r="O118" i="22"/>
  <c r="N118" i="22"/>
  <c r="M118" i="22"/>
  <c r="L118" i="22"/>
  <c r="K118" i="22"/>
  <c r="J118" i="22"/>
  <c r="I118" i="22"/>
  <c r="H118" i="22"/>
  <c r="G118" i="22"/>
  <c r="F118" i="22"/>
  <c r="E118" i="22"/>
  <c r="D118" i="22"/>
  <c r="C118" i="22"/>
  <c r="B117" i="22"/>
  <c r="BQ117" i="22" s="1"/>
  <c r="B116" i="22"/>
  <c r="BQ116" i="22" s="1"/>
  <c r="B115" i="22"/>
  <c r="BQ115" i="22" s="1"/>
  <c r="B114" i="22"/>
  <c r="BQ114" i="22" s="1"/>
  <c r="B113" i="22"/>
  <c r="BQ113" i="22" s="1"/>
  <c r="B112" i="22"/>
  <c r="BQ112" i="22" s="1"/>
  <c r="B111" i="22"/>
  <c r="BQ111" i="22" s="1"/>
  <c r="B110" i="22"/>
  <c r="BQ110" i="22" s="1"/>
  <c r="B109" i="22"/>
  <c r="BQ109" i="22" s="1"/>
  <c r="B108" i="22"/>
  <c r="BQ108" i="22" s="1"/>
  <c r="B107" i="22"/>
  <c r="BQ107" i="22" s="1"/>
  <c r="B106" i="22"/>
  <c r="BQ106" i="22" s="1"/>
  <c r="B105" i="22"/>
  <c r="BQ105" i="22" s="1"/>
  <c r="B104" i="22"/>
  <c r="BQ104" i="22" s="1"/>
  <c r="B103" i="22"/>
  <c r="BQ103" i="22" s="1"/>
  <c r="B95" i="22"/>
  <c r="B94" i="22"/>
  <c r="C89" i="22"/>
  <c r="C88" i="22"/>
  <c r="C87" i="22"/>
  <c r="C86" i="22"/>
  <c r="C85" i="22"/>
  <c r="C84" i="22"/>
  <c r="C83" i="22"/>
  <c r="C82" i="22"/>
  <c r="C76" i="22"/>
  <c r="C75" i="22"/>
  <c r="C74" i="22"/>
  <c r="C73" i="22"/>
  <c r="C72" i="22"/>
  <c r="C71" i="22"/>
  <c r="C70" i="22"/>
  <c r="C68" i="22"/>
  <c r="C66" i="22"/>
  <c r="C65" i="22"/>
  <c r="M61" i="22"/>
  <c r="L61" i="22"/>
  <c r="K61" i="22"/>
  <c r="J61" i="22"/>
  <c r="I61" i="22"/>
  <c r="H61" i="22"/>
  <c r="G61" i="22"/>
  <c r="F61" i="22"/>
  <c r="E61" i="22"/>
  <c r="D61" i="22"/>
  <c r="C60" i="22"/>
  <c r="BQ60" i="22" s="1"/>
  <c r="C59" i="22"/>
  <c r="BQ59" i="22" s="1"/>
  <c r="C58" i="22"/>
  <c r="BQ58" i="22" s="1"/>
  <c r="C57" i="22"/>
  <c r="BQ57" i="22" s="1"/>
  <c r="C56" i="22"/>
  <c r="BQ56" i="22" s="1"/>
  <c r="C55" i="22"/>
  <c r="BQ55" i="22" s="1"/>
  <c r="C54" i="22"/>
  <c r="BQ54" i="22" s="1"/>
  <c r="C53" i="22"/>
  <c r="BQ53" i="22" s="1"/>
  <c r="C52" i="22"/>
  <c r="D49" i="22"/>
  <c r="C49" i="22"/>
  <c r="D48" i="22"/>
  <c r="C48" i="22"/>
  <c r="D47" i="22"/>
  <c r="C47" i="22"/>
  <c r="D46" i="22"/>
  <c r="C46" i="22"/>
  <c r="C35" i="22"/>
  <c r="C34" i="22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BS17" i="22" s="1"/>
  <c r="C16" i="22"/>
  <c r="BS16" i="22" s="1"/>
  <c r="C15" i="22"/>
  <c r="BS15" i="22" s="1"/>
  <c r="C14" i="22"/>
  <c r="BS14" i="22" s="1"/>
  <c r="C13" i="22"/>
  <c r="BS13" i="22" s="1"/>
  <c r="C12" i="22"/>
  <c r="BS12" i="22" s="1"/>
  <c r="C11" i="22"/>
  <c r="BS11" i="22" s="1"/>
  <c r="C10" i="22"/>
  <c r="F188" i="19"/>
  <c r="E188" i="19"/>
  <c r="F187" i="19"/>
  <c r="E187" i="19"/>
  <c r="F186" i="19"/>
  <c r="E186" i="19"/>
  <c r="F185" i="19"/>
  <c r="E185" i="19"/>
  <c r="F184" i="19"/>
  <c r="E184" i="19"/>
  <c r="F183" i="19"/>
  <c r="E183" i="19"/>
  <c r="E178" i="19"/>
  <c r="D178" i="19"/>
  <c r="E177" i="19"/>
  <c r="D177" i="19"/>
  <c r="E176" i="19"/>
  <c r="D176" i="19"/>
  <c r="E175" i="19"/>
  <c r="D175" i="19"/>
  <c r="C170" i="19"/>
  <c r="C169" i="19"/>
  <c r="C168" i="19"/>
  <c r="C167" i="19"/>
  <c r="C166" i="19"/>
  <c r="C165" i="19"/>
  <c r="D162" i="19"/>
  <c r="C162" i="19"/>
  <c r="D161" i="19"/>
  <c r="C161" i="19"/>
  <c r="D160" i="19"/>
  <c r="C160" i="19"/>
  <c r="D159" i="19"/>
  <c r="C159" i="19"/>
  <c r="D158" i="19"/>
  <c r="C158" i="19"/>
  <c r="D153" i="19"/>
  <c r="C153" i="19"/>
  <c r="AJ142" i="19"/>
  <c r="AI142" i="19"/>
  <c r="AH142" i="19"/>
  <c r="AG142" i="19"/>
  <c r="AF142" i="19"/>
  <c r="AE142" i="19"/>
  <c r="AD142" i="19"/>
  <c r="AC142" i="19"/>
  <c r="AB142" i="19"/>
  <c r="AA142" i="19"/>
  <c r="Z142" i="19"/>
  <c r="Y142" i="19"/>
  <c r="X142" i="19"/>
  <c r="W142" i="19"/>
  <c r="V142" i="19"/>
  <c r="U142" i="19"/>
  <c r="T142" i="19"/>
  <c r="S142" i="19"/>
  <c r="R142" i="19"/>
  <c r="Q142" i="19"/>
  <c r="P142" i="19"/>
  <c r="O142" i="19"/>
  <c r="N142" i="19"/>
  <c r="M142" i="19"/>
  <c r="L142" i="19"/>
  <c r="K142" i="19"/>
  <c r="J142" i="19"/>
  <c r="I142" i="19"/>
  <c r="H142" i="19"/>
  <c r="G142" i="19"/>
  <c r="F142" i="19"/>
  <c r="E142" i="19"/>
  <c r="D141" i="19"/>
  <c r="C141" i="19"/>
  <c r="D140" i="19"/>
  <c r="C140" i="19"/>
  <c r="D139" i="19"/>
  <c r="C139" i="19"/>
  <c r="D138" i="19"/>
  <c r="C138" i="19"/>
  <c r="D137" i="19"/>
  <c r="C137" i="19"/>
  <c r="D136" i="19"/>
  <c r="C136" i="19"/>
  <c r="AK130" i="19"/>
  <c r="AJ130" i="19"/>
  <c r="AI130" i="19"/>
  <c r="AH130" i="19"/>
  <c r="AG130" i="19"/>
  <c r="AF130" i="19"/>
  <c r="AE130" i="19"/>
  <c r="AD130" i="19"/>
  <c r="AC130" i="19"/>
  <c r="AB130" i="19"/>
  <c r="AA130" i="19"/>
  <c r="Z130" i="19"/>
  <c r="Y130" i="19"/>
  <c r="X130" i="19"/>
  <c r="W130" i="19"/>
  <c r="V130" i="19"/>
  <c r="U130" i="19"/>
  <c r="T130" i="19"/>
  <c r="S130" i="19"/>
  <c r="R130" i="19"/>
  <c r="Q130" i="19"/>
  <c r="P130" i="19"/>
  <c r="O130" i="19"/>
  <c r="N130" i="19"/>
  <c r="M130" i="19"/>
  <c r="L130" i="19"/>
  <c r="K130" i="19"/>
  <c r="J130" i="19"/>
  <c r="I130" i="19"/>
  <c r="H130" i="19"/>
  <c r="G130" i="19"/>
  <c r="F130" i="19"/>
  <c r="E130" i="19"/>
  <c r="D129" i="19"/>
  <c r="C129" i="19"/>
  <c r="D128" i="19"/>
  <c r="C128" i="19"/>
  <c r="D127" i="19"/>
  <c r="C127" i="19"/>
  <c r="D126" i="19"/>
  <c r="C126" i="19"/>
  <c r="D125" i="19"/>
  <c r="C125" i="19"/>
  <c r="D124" i="19"/>
  <c r="C124" i="19"/>
  <c r="D119" i="19"/>
  <c r="C119" i="19"/>
  <c r="D118" i="19"/>
  <c r="C118" i="19"/>
  <c r="D117" i="19"/>
  <c r="C117" i="19"/>
  <c r="D116" i="19"/>
  <c r="C116" i="19"/>
  <c r="D115" i="19"/>
  <c r="C115" i="19"/>
  <c r="D110" i="19"/>
  <c r="C110" i="19"/>
  <c r="D109" i="19"/>
  <c r="C109" i="19"/>
  <c r="D108" i="19"/>
  <c r="C108" i="19"/>
  <c r="D103" i="19"/>
  <c r="C103" i="19"/>
  <c r="D102" i="19"/>
  <c r="C102" i="19"/>
  <c r="D101" i="19"/>
  <c r="C101" i="19"/>
  <c r="D100" i="19"/>
  <c r="C100" i="19"/>
  <c r="D99" i="19"/>
  <c r="C99" i="19"/>
  <c r="D98" i="19"/>
  <c r="C98" i="19"/>
  <c r="D97" i="19"/>
  <c r="C97" i="19"/>
  <c r="D96" i="19"/>
  <c r="C96" i="19"/>
  <c r="D95" i="19"/>
  <c r="C95" i="19"/>
  <c r="E90" i="19"/>
  <c r="D90" i="19"/>
  <c r="C89" i="19"/>
  <c r="C88" i="19"/>
  <c r="C87" i="19"/>
  <c r="AJ84" i="19"/>
  <c r="AI84" i="19"/>
  <c r="AH84" i="19"/>
  <c r="AG84" i="19"/>
  <c r="AF84" i="19"/>
  <c r="AE84" i="19"/>
  <c r="AD84" i="19"/>
  <c r="AC84" i="19"/>
  <c r="AB84" i="19"/>
  <c r="AA84" i="19"/>
  <c r="Z84" i="19"/>
  <c r="Y84" i="19"/>
  <c r="X84" i="19"/>
  <c r="W84" i="19"/>
  <c r="V84" i="19"/>
  <c r="U84" i="19"/>
  <c r="T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E84" i="19"/>
  <c r="D83" i="19"/>
  <c r="C83" i="19"/>
  <c r="D82" i="19"/>
  <c r="C82" i="19"/>
  <c r="D81" i="19"/>
  <c r="C81" i="19"/>
  <c r="D80" i="19"/>
  <c r="C80" i="19"/>
  <c r="D79" i="19"/>
  <c r="C79" i="19"/>
  <c r="D78" i="19"/>
  <c r="C78" i="19"/>
  <c r="AL73" i="19"/>
  <c r="AK73" i="19"/>
  <c r="AJ73" i="19"/>
  <c r="AI73" i="19"/>
  <c r="AH73" i="19"/>
  <c r="AG73" i="19"/>
  <c r="AF73" i="19"/>
  <c r="AE73" i="19"/>
  <c r="AD73" i="19"/>
  <c r="AC73" i="19"/>
  <c r="AB73" i="19"/>
  <c r="AA73" i="19"/>
  <c r="Z73" i="19"/>
  <c r="Y73" i="19"/>
  <c r="X73" i="19"/>
  <c r="W73" i="19"/>
  <c r="V73" i="19"/>
  <c r="U73" i="19"/>
  <c r="T73" i="19"/>
  <c r="S73" i="19"/>
  <c r="R73" i="19"/>
  <c r="Q73" i="19"/>
  <c r="P73" i="19"/>
  <c r="O73" i="19"/>
  <c r="N73" i="19"/>
  <c r="M73" i="19"/>
  <c r="L73" i="19"/>
  <c r="K73" i="19"/>
  <c r="J73" i="19"/>
  <c r="I73" i="19"/>
  <c r="H73" i="19"/>
  <c r="G73" i="19"/>
  <c r="F73" i="19"/>
  <c r="E73" i="19"/>
  <c r="D72" i="19"/>
  <c r="C72" i="19"/>
  <c r="D71" i="19"/>
  <c r="C71" i="19"/>
  <c r="AK66" i="19"/>
  <c r="AJ66" i="19"/>
  <c r="AI66" i="19"/>
  <c r="AH66" i="19"/>
  <c r="AG66" i="19"/>
  <c r="AF66" i="19"/>
  <c r="AE66" i="19"/>
  <c r="AD66" i="19"/>
  <c r="AC66" i="19"/>
  <c r="AB66" i="19"/>
  <c r="AA66" i="19"/>
  <c r="Z66" i="19"/>
  <c r="Y66" i="19"/>
  <c r="X66" i="19"/>
  <c r="W66" i="19"/>
  <c r="V66" i="19"/>
  <c r="U66" i="19"/>
  <c r="T66" i="19"/>
  <c r="S66" i="19"/>
  <c r="R66" i="19"/>
  <c r="Q66" i="19"/>
  <c r="P66" i="19"/>
  <c r="O66" i="19"/>
  <c r="N66" i="19"/>
  <c r="M66" i="19"/>
  <c r="L66" i="19"/>
  <c r="K66" i="19"/>
  <c r="J66" i="19"/>
  <c r="I66" i="19"/>
  <c r="H66" i="19"/>
  <c r="G66" i="19"/>
  <c r="F66" i="19"/>
  <c r="E66" i="19"/>
  <c r="D65" i="19"/>
  <c r="C65" i="19"/>
  <c r="D64" i="19"/>
  <c r="C64" i="19"/>
  <c r="D63" i="19"/>
  <c r="C63" i="19"/>
  <c r="D58" i="19"/>
  <c r="C58" i="19"/>
  <c r="D53" i="19"/>
  <c r="C53" i="19"/>
  <c r="D52" i="19"/>
  <c r="C52" i="19"/>
  <c r="D51" i="19"/>
  <c r="C51" i="19"/>
  <c r="D50" i="19"/>
  <c r="C50" i="19"/>
  <c r="D49" i="19"/>
  <c r="C49" i="19"/>
  <c r="D48" i="19"/>
  <c r="C48" i="19"/>
  <c r="D47" i="19"/>
  <c r="C47" i="19"/>
  <c r="D46" i="19"/>
  <c r="C46" i="19"/>
  <c r="AN41" i="19"/>
  <c r="AM41" i="19"/>
  <c r="AL41" i="19"/>
  <c r="AK41" i="19"/>
  <c r="AJ41" i="19"/>
  <c r="AI41" i="19"/>
  <c r="AH41" i="19"/>
  <c r="AG41" i="19"/>
  <c r="AF41" i="19"/>
  <c r="AE41" i="19"/>
  <c r="AD41" i="19"/>
  <c r="AC41" i="19"/>
  <c r="AB41" i="19"/>
  <c r="AA41" i="19"/>
  <c r="Z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0" i="19"/>
  <c r="D40" i="19"/>
  <c r="E39" i="19"/>
  <c r="D39" i="19"/>
  <c r="E38" i="19"/>
  <c r="D38" i="19"/>
  <c r="E37" i="19"/>
  <c r="D37" i="19"/>
  <c r="E36" i="19"/>
  <c r="D36" i="19"/>
  <c r="E35" i="19"/>
  <c r="D35" i="19"/>
  <c r="E34" i="19"/>
  <c r="D34" i="19"/>
  <c r="E33" i="19"/>
  <c r="D33" i="19"/>
  <c r="E32" i="19"/>
  <c r="D32" i="19"/>
  <c r="E31" i="19"/>
  <c r="D31" i="19"/>
  <c r="E30" i="19"/>
  <c r="D30" i="19"/>
  <c r="E29" i="19"/>
  <c r="D29" i="19"/>
  <c r="E28" i="19"/>
  <c r="D28" i="19"/>
  <c r="AM23" i="19"/>
  <c r="AL23" i="19"/>
  <c r="AK23" i="19"/>
  <c r="AJ23" i="19"/>
  <c r="AI23" i="19"/>
  <c r="AH23" i="19"/>
  <c r="AG23" i="19"/>
  <c r="AF23" i="19"/>
  <c r="AE23" i="19"/>
  <c r="AD23" i="19"/>
  <c r="AC23" i="19"/>
  <c r="AB23" i="19"/>
  <c r="AA23" i="19"/>
  <c r="Z23" i="19"/>
  <c r="Y23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2" i="19"/>
  <c r="C22" i="19"/>
  <c r="D21" i="19"/>
  <c r="C21" i="19"/>
  <c r="D20" i="19"/>
  <c r="C20" i="19"/>
  <c r="D19" i="19"/>
  <c r="C19" i="19"/>
  <c r="D18" i="19"/>
  <c r="C18" i="19"/>
  <c r="D17" i="19"/>
  <c r="C17" i="19"/>
  <c r="D16" i="19"/>
  <c r="C16" i="19"/>
  <c r="D15" i="19"/>
  <c r="C15" i="19"/>
  <c r="D14" i="19"/>
  <c r="C14" i="19"/>
  <c r="D13" i="19"/>
  <c r="C13" i="19"/>
  <c r="D12" i="19"/>
  <c r="C12" i="19"/>
  <c r="CD210" i="24" l="1"/>
  <c r="CL210" i="24"/>
  <c r="CL211" i="24"/>
  <c r="CD211" i="24"/>
  <c r="CE206" i="24"/>
  <c r="CM206" i="24"/>
  <c r="CM205" i="24"/>
  <c r="CE205" i="24"/>
  <c r="CM204" i="24"/>
  <c r="CE204" i="24"/>
  <c r="C19" i="23"/>
  <c r="CK19" i="23" s="1"/>
  <c r="C22" i="23"/>
  <c r="BS23" i="22"/>
  <c r="BX23" i="22"/>
  <c r="BT23" i="22"/>
  <c r="BU23" i="22"/>
  <c r="BR23" i="22"/>
  <c r="BS31" i="22"/>
  <c r="BR31" i="22"/>
  <c r="BT31" i="22"/>
  <c r="BU31" i="22"/>
  <c r="BX31" i="22"/>
  <c r="BX24" i="22"/>
  <c r="BS24" i="22"/>
  <c r="BT24" i="22"/>
  <c r="BR24" i="22"/>
  <c r="BU24" i="22"/>
  <c r="BR32" i="22"/>
  <c r="BX32" i="22"/>
  <c r="BS32" i="22"/>
  <c r="BT32" i="22"/>
  <c r="BU32" i="22"/>
  <c r="BU25" i="22"/>
  <c r="BT25" i="22"/>
  <c r="BR25" i="22"/>
  <c r="BS25" i="22"/>
  <c r="BX25" i="22"/>
  <c r="BU33" i="22"/>
  <c r="BX33" i="22"/>
  <c r="BR33" i="22"/>
  <c r="BT33" i="22"/>
  <c r="BS33" i="22"/>
  <c r="BR18" i="22"/>
  <c r="BX18" i="22"/>
  <c r="BS26" i="22"/>
  <c r="BT26" i="22"/>
  <c r="BU26" i="22"/>
  <c r="BX34" i="22"/>
  <c r="BS34" i="22"/>
  <c r="BT34" i="22"/>
  <c r="BU34" i="22"/>
  <c r="BR34" i="22"/>
  <c r="BX19" i="22"/>
  <c r="BR19" i="22"/>
  <c r="BS27" i="22"/>
  <c r="BT27" i="22"/>
  <c r="BU27" i="22"/>
  <c r="BX35" i="22"/>
  <c r="BS35" i="22"/>
  <c r="BR35" i="22"/>
  <c r="BT35" i="22"/>
  <c r="BU35" i="22"/>
  <c r="BR20" i="22"/>
  <c r="BX20" i="22"/>
  <c r="BT28" i="22"/>
  <c r="BU28" i="22"/>
  <c r="BS28" i="22"/>
  <c r="BS21" i="22"/>
  <c r="BT21" i="22"/>
  <c r="BU21" i="22"/>
  <c r="BS29" i="22"/>
  <c r="BR29" i="22"/>
  <c r="BT29" i="22"/>
  <c r="BU29" i="22"/>
  <c r="BX29" i="22"/>
  <c r="BU22" i="22"/>
  <c r="BS22" i="22"/>
  <c r="BT22" i="22"/>
  <c r="BU30" i="22"/>
  <c r="BR30" i="22"/>
  <c r="BX30" i="22"/>
  <c r="BS30" i="22"/>
  <c r="BT30" i="22"/>
  <c r="BW23" i="22"/>
  <c r="BZ23" i="22"/>
  <c r="BY23" i="22"/>
  <c r="CA23" i="22"/>
  <c r="BY31" i="22"/>
  <c r="BZ31" i="22"/>
  <c r="CA31" i="22"/>
  <c r="BW31" i="22"/>
  <c r="BY24" i="22"/>
  <c r="BW24" i="22"/>
  <c r="BZ24" i="22"/>
  <c r="CA24" i="22"/>
  <c r="CA32" i="22"/>
  <c r="BW32" i="22"/>
  <c r="BY32" i="22"/>
  <c r="BZ32" i="22"/>
  <c r="CA25" i="22"/>
  <c r="BY25" i="22"/>
  <c r="BW25" i="22"/>
  <c r="BZ25" i="22"/>
  <c r="BW33" i="22"/>
  <c r="BY33" i="22"/>
  <c r="CA33" i="22"/>
  <c r="BZ33" i="22"/>
  <c r="CA26" i="22"/>
  <c r="BW26" i="22"/>
  <c r="BY26" i="22"/>
  <c r="BZ26" i="22"/>
  <c r="BY34" i="22"/>
  <c r="BZ34" i="22"/>
  <c r="CA34" i="22"/>
  <c r="BW34" i="22"/>
  <c r="BU19" i="22"/>
  <c r="BW19" i="22"/>
  <c r="CA19" i="22"/>
  <c r="BY19" i="22"/>
  <c r="BZ19" i="22"/>
  <c r="BT19" i="22"/>
  <c r="BS19" i="22"/>
  <c r="CA27" i="22"/>
  <c r="BW27" i="22"/>
  <c r="BY27" i="22"/>
  <c r="BZ27" i="22"/>
  <c r="BW35" i="22"/>
  <c r="BZ35" i="22"/>
  <c r="CA35" i="22"/>
  <c r="BY35" i="22"/>
  <c r="BZ20" i="22"/>
  <c r="CA20" i="22"/>
  <c r="BS20" i="22"/>
  <c r="BT20" i="22"/>
  <c r="BU20" i="22"/>
  <c r="BW20" i="22"/>
  <c r="BY20" i="22"/>
  <c r="BY28" i="22"/>
  <c r="BW28" i="22"/>
  <c r="CA28" i="22"/>
  <c r="BZ28" i="22"/>
  <c r="BW21" i="22"/>
  <c r="BZ21" i="22"/>
  <c r="BY21" i="22"/>
  <c r="CA21" i="22"/>
  <c r="BZ29" i="22"/>
  <c r="CA29" i="22"/>
  <c r="BW29" i="22"/>
  <c r="BY29" i="22"/>
  <c r="BZ22" i="22"/>
  <c r="BY22" i="22"/>
  <c r="CA22" i="22"/>
  <c r="BW22" i="22"/>
  <c r="BW30" i="22"/>
  <c r="BY30" i="22"/>
  <c r="CA30" i="22"/>
  <c r="BZ30" i="22"/>
  <c r="BQ52" i="22"/>
  <c r="BW52" i="22"/>
  <c r="BY52" i="22"/>
  <c r="BX52" i="22"/>
  <c r="BS10" i="22"/>
  <c r="BU10" i="22"/>
  <c r="BY18" i="22"/>
  <c r="BS18" i="22"/>
  <c r="CC205" i="24"/>
  <c r="CK205" i="24"/>
  <c r="CL205" i="24"/>
  <c r="CD205" i="24"/>
  <c r="CF100" i="24"/>
  <c r="CK100" i="24"/>
  <c r="CC100" i="24"/>
  <c r="CB114" i="24"/>
  <c r="CR114" i="24"/>
  <c r="CG114" i="24"/>
  <c r="CH114" i="24"/>
  <c r="CM114" i="24"/>
  <c r="CI114" i="24"/>
  <c r="CN114" i="24"/>
  <c r="CO114" i="24"/>
  <c r="CP114" i="24"/>
  <c r="CQ114" i="24"/>
  <c r="CE114" i="24"/>
  <c r="CF114" i="24"/>
  <c r="CK211" i="24"/>
  <c r="CC211" i="24"/>
  <c r="M211" i="24" s="1"/>
  <c r="CB115" i="24"/>
  <c r="CR115" i="24"/>
  <c r="CM115" i="24"/>
  <c r="CI115" i="24"/>
  <c r="CN115" i="24"/>
  <c r="CO115" i="24"/>
  <c r="CP115" i="24"/>
  <c r="CQ115" i="24"/>
  <c r="CE115" i="24"/>
  <c r="CG115" i="24"/>
  <c r="CH115" i="24"/>
  <c r="CF115" i="24"/>
  <c r="CQ113" i="24"/>
  <c r="CM113" i="24"/>
  <c r="CG113" i="24"/>
  <c r="CI113" i="24"/>
  <c r="CH113" i="24"/>
  <c r="CP113" i="24"/>
  <c r="CF113" i="24"/>
  <c r="CO113" i="24"/>
  <c r="CE113" i="24"/>
  <c r="CN113" i="24"/>
  <c r="CK210" i="24"/>
  <c r="CC210" i="24"/>
  <c r="CL206" i="24"/>
  <c r="CC206" i="24"/>
  <c r="CD206" i="24"/>
  <c r="CK206" i="24"/>
  <c r="CK204" i="24"/>
  <c r="CD204" i="24"/>
  <c r="CC204" i="24"/>
  <c r="CL204" i="24"/>
  <c r="CL121" i="24"/>
  <c r="B101" i="19"/>
  <c r="B98" i="19"/>
  <c r="B95" i="19"/>
  <c r="C25" i="23"/>
  <c r="CE25" i="23" s="1"/>
  <c r="BQ23" i="22"/>
  <c r="BQ29" i="22"/>
  <c r="BQ35" i="22"/>
  <c r="BT18" i="22"/>
  <c r="CA18" i="22"/>
  <c r="BU18" i="22"/>
  <c r="BZ18" i="22"/>
  <c r="BW18" i="22"/>
  <c r="BQ18" i="22"/>
  <c r="BQ24" i="22"/>
  <c r="BQ30" i="22"/>
  <c r="BZ56" i="22"/>
  <c r="BX56" i="22"/>
  <c r="BW56" i="22"/>
  <c r="BY56" i="22"/>
  <c r="BR56" i="22"/>
  <c r="BT56" i="22"/>
  <c r="BS56" i="22"/>
  <c r="BW68" i="22"/>
  <c r="BX68" i="22"/>
  <c r="BR68" i="22"/>
  <c r="BQ68" i="22"/>
  <c r="K68" i="22" s="1"/>
  <c r="BW74" i="22"/>
  <c r="BX74" i="22"/>
  <c r="BQ74" i="22"/>
  <c r="BR74" i="22"/>
  <c r="CA17" i="22"/>
  <c r="BU17" i="22"/>
  <c r="BZ17" i="22"/>
  <c r="BT17" i="22"/>
  <c r="BY17" i="22"/>
  <c r="BW17" i="22"/>
  <c r="BQ17" i="22"/>
  <c r="BX73" i="22"/>
  <c r="BQ73" i="22"/>
  <c r="BR73" i="22"/>
  <c r="BW73" i="22"/>
  <c r="CA13" i="22"/>
  <c r="BU13" i="22"/>
  <c r="BZ13" i="22"/>
  <c r="BT13" i="22"/>
  <c r="BY13" i="22"/>
  <c r="BW13" i="22"/>
  <c r="BQ13" i="22"/>
  <c r="BQ19" i="22"/>
  <c r="BQ25" i="22"/>
  <c r="BQ31" i="22"/>
  <c r="BT57" i="22"/>
  <c r="BS57" i="22"/>
  <c r="BW57" i="22"/>
  <c r="BY57" i="22"/>
  <c r="BR57" i="22"/>
  <c r="BZ57" i="22"/>
  <c r="BX57" i="22"/>
  <c r="BW69" i="22"/>
  <c r="BX69" i="22"/>
  <c r="BQ69" i="22"/>
  <c r="BR69" i="22"/>
  <c r="BW75" i="22"/>
  <c r="BX75" i="22"/>
  <c r="BQ75" i="22"/>
  <c r="BR75" i="22"/>
  <c r="BQ20" i="22"/>
  <c r="BQ26" i="22"/>
  <c r="BQ32" i="22"/>
  <c r="CL19" i="23"/>
  <c r="CK25" i="23"/>
  <c r="CI25" i="23"/>
  <c r="CJ25" i="23"/>
  <c r="CB25" i="23"/>
  <c r="BU15" i="22"/>
  <c r="BY15" i="22"/>
  <c r="CA15" i="22"/>
  <c r="BZ15" i="22"/>
  <c r="BT15" i="22"/>
  <c r="BW15" i="22"/>
  <c r="BQ15" i="22"/>
  <c r="BQ21" i="22"/>
  <c r="BQ27" i="22"/>
  <c r="BQ33" i="22"/>
  <c r="BZ53" i="22"/>
  <c r="BX53" i="22"/>
  <c r="BW53" i="22"/>
  <c r="BY53" i="22"/>
  <c r="BR53" i="22"/>
  <c r="BT53" i="22"/>
  <c r="BS53" i="22"/>
  <c r="BR71" i="22"/>
  <c r="BW71" i="22"/>
  <c r="BX71" i="22"/>
  <c r="BQ71" i="22"/>
  <c r="K71" i="22" s="1"/>
  <c r="BR77" i="22"/>
  <c r="BW77" i="22"/>
  <c r="BX77" i="22"/>
  <c r="BQ77" i="22"/>
  <c r="CA14" i="22"/>
  <c r="BU14" i="22"/>
  <c r="BZ14" i="22"/>
  <c r="BT14" i="22"/>
  <c r="BY14" i="22"/>
  <c r="BW14" i="22"/>
  <c r="BQ14" i="22"/>
  <c r="BT58" i="22"/>
  <c r="BS58" i="22"/>
  <c r="BZ58" i="22"/>
  <c r="BX58" i="22"/>
  <c r="BW58" i="22"/>
  <c r="BY58" i="22"/>
  <c r="BR58" i="22"/>
  <c r="BR70" i="22"/>
  <c r="BX70" i="22"/>
  <c r="BQ70" i="22"/>
  <c r="BW70" i="22"/>
  <c r="BR76" i="22"/>
  <c r="BW76" i="22"/>
  <c r="BX76" i="22"/>
  <c r="BQ76" i="22"/>
  <c r="CE22" i="23"/>
  <c r="CD22" i="23"/>
  <c r="CI22" i="23"/>
  <c r="CL22" i="23"/>
  <c r="CJ22" i="23"/>
  <c r="CB22" i="23"/>
  <c r="CK22" i="23"/>
  <c r="CC22" i="23"/>
  <c r="B138" i="19"/>
  <c r="B141" i="19"/>
  <c r="B158" i="19"/>
  <c r="B161" i="19"/>
  <c r="C176" i="19"/>
  <c r="D183" i="19"/>
  <c r="D186" i="19"/>
  <c r="BZ10" i="22"/>
  <c r="BY10" i="22"/>
  <c r="BW10" i="22"/>
  <c r="CA10" i="22"/>
  <c r="BT10" i="22"/>
  <c r="BQ10" i="22"/>
  <c r="CA16" i="22"/>
  <c r="BU16" i="22"/>
  <c r="BZ16" i="22"/>
  <c r="BT16" i="22"/>
  <c r="BY16" i="22"/>
  <c r="BW16" i="22"/>
  <c r="BQ16" i="22"/>
  <c r="BQ22" i="22"/>
  <c r="BQ28" i="22"/>
  <c r="BQ34" i="22"/>
  <c r="BX72" i="22"/>
  <c r="BQ72" i="22"/>
  <c r="BR72" i="22"/>
  <c r="BW72" i="22"/>
  <c r="C14" i="23"/>
  <c r="C26" i="23"/>
  <c r="C74" i="23"/>
  <c r="C77" i="23"/>
  <c r="C80" i="23"/>
  <c r="C83" i="23"/>
  <c r="BR67" i="22"/>
  <c r="BW67" i="22"/>
  <c r="BX67" i="22"/>
  <c r="BQ67" i="22"/>
  <c r="BX60" i="22"/>
  <c r="BT60" i="22"/>
  <c r="BW60" i="22"/>
  <c r="BY60" i="22"/>
  <c r="BZ60" i="22"/>
  <c r="BR60" i="22"/>
  <c r="BS60" i="22"/>
  <c r="BZ59" i="22"/>
  <c r="BX59" i="22"/>
  <c r="BR59" i="22"/>
  <c r="BY59" i="22"/>
  <c r="BT59" i="22"/>
  <c r="BS59" i="22"/>
  <c r="BW59" i="22"/>
  <c r="CA11" i="22"/>
  <c r="BW11" i="22"/>
  <c r="BY11" i="22"/>
  <c r="BU11" i="22"/>
  <c r="BQ11" i="22"/>
  <c r="BZ11" i="22"/>
  <c r="BT11" i="22"/>
  <c r="BW65" i="22"/>
  <c r="BX65" i="22"/>
  <c r="BQ65" i="22"/>
  <c r="BR65" i="22"/>
  <c r="BR55" i="22"/>
  <c r="BZ55" i="22"/>
  <c r="BW55" i="22"/>
  <c r="BT55" i="22"/>
  <c r="BY55" i="22"/>
  <c r="BX55" i="22"/>
  <c r="BS55" i="22"/>
  <c r="BX66" i="22"/>
  <c r="BW66" i="22"/>
  <c r="BR66" i="22"/>
  <c r="BQ66" i="22"/>
  <c r="K66" i="22" s="1"/>
  <c r="BX54" i="22"/>
  <c r="BT54" i="22"/>
  <c r="BS54" i="22"/>
  <c r="BW54" i="22"/>
  <c r="BY54" i="22"/>
  <c r="BR54" i="22"/>
  <c r="BZ54" i="22"/>
  <c r="CA12" i="22"/>
  <c r="BW12" i="22"/>
  <c r="BU12" i="22"/>
  <c r="BT12" i="22"/>
  <c r="BQ12" i="22"/>
  <c r="BZ12" i="22"/>
  <c r="BY12" i="22"/>
  <c r="CH13" i="24"/>
  <c r="CE13" i="24"/>
  <c r="CM13" i="24"/>
  <c r="CP13" i="24"/>
  <c r="CN13" i="24"/>
  <c r="CG13" i="24"/>
  <c r="CD13" i="24"/>
  <c r="CO13" i="24"/>
  <c r="CL13" i="24"/>
  <c r="CF13" i="24"/>
  <c r="CO14" i="24"/>
  <c r="CL14" i="24"/>
  <c r="CH14" i="24"/>
  <c r="CE14" i="24"/>
  <c r="CP14" i="24"/>
  <c r="CF14" i="24"/>
  <c r="CN14" i="24"/>
  <c r="CG14" i="24"/>
  <c r="CD14" i="24"/>
  <c r="CM14" i="24"/>
  <c r="CG15" i="24"/>
  <c r="CD15" i="24"/>
  <c r="CO15" i="24"/>
  <c r="CL15" i="24"/>
  <c r="CP15" i="24"/>
  <c r="CM15" i="24"/>
  <c r="CF15" i="24"/>
  <c r="CN15" i="24"/>
  <c r="CH15" i="24"/>
  <c r="CE15" i="24"/>
  <c r="CP12" i="24"/>
  <c r="CM12" i="24"/>
  <c r="CN12" i="24"/>
  <c r="CF12" i="24"/>
  <c r="CG12" i="24"/>
  <c r="CD12" i="24"/>
  <c r="CO12" i="24"/>
  <c r="CL12" i="24"/>
  <c r="CH12" i="24"/>
  <c r="CE12" i="24"/>
  <c r="CN11" i="24"/>
  <c r="CG11" i="24"/>
  <c r="CD11" i="24"/>
  <c r="CO11" i="24"/>
  <c r="CH11" i="24"/>
  <c r="CE11" i="24"/>
  <c r="CP11" i="24"/>
  <c r="CM11" i="24"/>
  <c r="CF11" i="24"/>
  <c r="CL11" i="24"/>
  <c r="BS52" i="22"/>
  <c r="BR52" i="22"/>
  <c r="BZ52" i="22"/>
  <c r="BT52" i="22"/>
  <c r="CC12" i="24"/>
  <c r="CK12" i="24"/>
  <c r="CK28" i="24"/>
  <c r="CC28" i="24"/>
  <c r="CL28" i="24"/>
  <c r="CD28" i="24"/>
  <c r="CM28" i="24"/>
  <c r="CE28" i="24"/>
  <c r="CE100" i="24"/>
  <c r="CN100" i="24"/>
  <c r="CM100" i="24"/>
  <c r="CI128" i="24"/>
  <c r="CG128" i="24"/>
  <c r="CE128" i="24"/>
  <c r="CH128" i="24"/>
  <c r="CF128" i="24"/>
  <c r="CD128" i="24"/>
  <c r="CQ128" i="24"/>
  <c r="CO128" i="24"/>
  <c r="CM128" i="24"/>
  <c r="CN128" i="24"/>
  <c r="CP128" i="24"/>
  <c r="CL128" i="24"/>
  <c r="CC13" i="24"/>
  <c r="CK13" i="24"/>
  <c r="CN34" i="24"/>
  <c r="CF34" i="24"/>
  <c r="CM34" i="24"/>
  <c r="CE34" i="24"/>
  <c r="CN36" i="24"/>
  <c r="CF36" i="24"/>
  <c r="CM36" i="24"/>
  <c r="CE36" i="24"/>
  <c r="CN38" i="24"/>
  <c r="CF38" i="24"/>
  <c r="CM38" i="24"/>
  <c r="CE38" i="24"/>
  <c r="CN40" i="24"/>
  <c r="CF40" i="24"/>
  <c r="CE40" i="24"/>
  <c r="CM40" i="24"/>
  <c r="CN42" i="24"/>
  <c r="CF42" i="24"/>
  <c r="CM42" i="24"/>
  <c r="CE42" i="24"/>
  <c r="CN44" i="24"/>
  <c r="CF44" i="24"/>
  <c r="CM44" i="24"/>
  <c r="CE44" i="24"/>
  <c r="CN46" i="24"/>
  <c r="CF46" i="24"/>
  <c r="CM46" i="24"/>
  <c r="CE46" i="24"/>
  <c r="CN48" i="24"/>
  <c r="CF48" i="24"/>
  <c r="CM48" i="24"/>
  <c r="CE48" i="24"/>
  <c r="CN50" i="24"/>
  <c r="CF50" i="24"/>
  <c r="CM50" i="24"/>
  <c r="CE50" i="24"/>
  <c r="CN52" i="24"/>
  <c r="CF52" i="24"/>
  <c r="CM52" i="24"/>
  <c r="CE52" i="24"/>
  <c r="CN54" i="24"/>
  <c r="CF54" i="24"/>
  <c r="CM54" i="24"/>
  <c r="CE54" i="24"/>
  <c r="CN56" i="24"/>
  <c r="CF56" i="24"/>
  <c r="CM56" i="24"/>
  <c r="CE56" i="24"/>
  <c r="CN58" i="24"/>
  <c r="CF58" i="24"/>
  <c r="CM58" i="24"/>
  <c r="CE58" i="24"/>
  <c r="CN60" i="24"/>
  <c r="CF60" i="24"/>
  <c r="CM60" i="24"/>
  <c r="CE60" i="24"/>
  <c r="CN62" i="24"/>
  <c r="CF62" i="24"/>
  <c r="CM62" i="24"/>
  <c r="CE62" i="24"/>
  <c r="CN64" i="24"/>
  <c r="CF64" i="24"/>
  <c r="CE64" i="24"/>
  <c r="CM64" i="24"/>
  <c r="CN66" i="24"/>
  <c r="CF66" i="24"/>
  <c r="CM66" i="24"/>
  <c r="CE66" i="24"/>
  <c r="CN68" i="24"/>
  <c r="CF68" i="24"/>
  <c r="CM68" i="24"/>
  <c r="CE68" i="24"/>
  <c r="CN70" i="24"/>
  <c r="CF70" i="24"/>
  <c r="CM70" i="24"/>
  <c r="CE70" i="24"/>
  <c r="CN72" i="24"/>
  <c r="CF72" i="24"/>
  <c r="CM72" i="24"/>
  <c r="CE72" i="24"/>
  <c r="CN74" i="24"/>
  <c r="CF74" i="24"/>
  <c r="CE74" i="24"/>
  <c r="CM74" i="24"/>
  <c r="CN76" i="24"/>
  <c r="CF76" i="24"/>
  <c r="CM76" i="24"/>
  <c r="CE76" i="24"/>
  <c r="CN78" i="24"/>
  <c r="CF78" i="24"/>
  <c r="CM78" i="24"/>
  <c r="CE78" i="24"/>
  <c r="CN80" i="24"/>
  <c r="CF80" i="24"/>
  <c r="CM80" i="24"/>
  <c r="CE80" i="24"/>
  <c r="CN82" i="24"/>
  <c r="CF82" i="24"/>
  <c r="CE82" i="24"/>
  <c r="CM82" i="24"/>
  <c r="CN84" i="24"/>
  <c r="CF84" i="24"/>
  <c r="CM84" i="24"/>
  <c r="CE84" i="24"/>
  <c r="CN86" i="24"/>
  <c r="CF86" i="24"/>
  <c r="CM86" i="24"/>
  <c r="CE86" i="24"/>
  <c r="CN88" i="24"/>
  <c r="CF88" i="24"/>
  <c r="CM88" i="24"/>
  <c r="CE88" i="24"/>
  <c r="CN90" i="24"/>
  <c r="CF90" i="24"/>
  <c r="CM90" i="24"/>
  <c r="CE90" i="24"/>
  <c r="CN92" i="24"/>
  <c r="CF92" i="24"/>
  <c r="CM92" i="24"/>
  <c r="CE92" i="24"/>
  <c r="CI129" i="24"/>
  <c r="CG129" i="24"/>
  <c r="CE129" i="24"/>
  <c r="CH129" i="24"/>
  <c r="CL129" i="24"/>
  <c r="CN129" i="24"/>
  <c r="CF129" i="24"/>
  <c r="CP129" i="24"/>
  <c r="CD129" i="24"/>
  <c r="CM129" i="24"/>
  <c r="CO129" i="24"/>
  <c r="CQ129" i="24"/>
  <c r="CC14" i="24"/>
  <c r="CK14" i="24"/>
  <c r="CK15" i="24"/>
  <c r="CC15" i="24"/>
  <c r="CH120" i="24"/>
  <c r="CJ120" i="24"/>
  <c r="CG120" i="24"/>
  <c r="CI120" i="24"/>
  <c r="CF120" i="24"/>
  <c r="C73" i="23"/>
  <c r="C76" i="23"/>
  <c r="C79" i="23"/>
  <c r="C82" i="23"/>
  <c r="CM35" i="24"/>
  <c r="CE35" i="24"/>
  <c r="CN35" i="24"/>
  <c r="CF35" i="24"/>
  <c r="CN37" i="24"/>
  <c r="CF37" i="24"/>
  <c r="CM37" i="24"/>
  <c r="CE37" i="24"/>
  <c r="CN39" i="24"/>
  <c r="CF39" i="24"/>
  <c r="CM39" i="24"/>
  <c r="CE39" i="24"/>
  <c r="CM41" i="24"/>
  <c r="CE41" i="24"/>
  <c r="CF41" i="24"/>
  <c r="CN41" i="24"/>
  <c r="CN43" i="24"/>
  <c r="CF43" i="24"/>
  <c r="CM43" i="24"/>
  <c r="CE43" i="24"/>
  <c r="CN45" i="24"/>
  <c r="CF45" i="24"/>
  <c r="CM45" i="24"/>
  <c r="CE45" i="24"/>
  <c r="CM47" i="24"/>
  <c r="CE47" i="24"/>
  <c r="CF47" i="24"/>
  <c r="CN47" i="24"/>
  <c r="CN49" i="24"/>
  <c r="CF49" i="24"/>
  <c r="CM49" i="24"/>
  <c r="CE49" i="24"/>
  <c r="CN51" i="24"/>
  <c r="CF51" i="24"/>
  <c r="CM51" i="24"/>
  <c r="CE51" i="24"/>
  <c r="CM53" i="24"/>
  <c r="CE53" i="24"/>
  <c r="CF53" i="24"/>
  <c r="CN53" i="24"/>
  <c r="CN55" i="24"/>
  <c r="CF55" i="24"/>
  <c r="CM55" i="24"/>
  <c r="CE55" i="24"/>
  <c r="CN57" i="24"/>
  <c r="CF57" i="24"/>
  <c r="CM57" i="24"/>
  <c r="CE57" i="24"/>
  <c r="CM59" i="24"/>
  <c r="CE59" i="24"/>
  <c r="CF59" i="24"/>
  <c r="CN59" i="24"/>
  <c r="CN61" i="24"/>
  <c r="CF61" i="24"/>
  <c r="CM61" i="24"/>
  <c r="CE61" i="24"/>
  <c r="CN63" i="24"/>
  <c r="CF63" i="24"/>
  <c r="CM63" i="24"/>
  <c r="CE63" i="24"/>
  <c r="CM65" i="24"/>
  <c r="CE65" i="24"/>
  <c r="CN65" i="24"/>
  <c r="CF65" i="24"/>
  <c r="CN67" i="24"/>
  <c r="CF67" i="24"/>
  <c r="CM67" i="24"/>
  <c r="CE67" i="24"/>
  <c r="CN69" i="24"/>
  <c r="CF69" i="24"/>
  <c r="CM69" i="24"/>
  <c r="CE69" i="24"/>
  <c r="CM71" i="24"/>
  <c r="CE71" i="24"/>
  <c r="CN71" i="24"/>
  <c r="CF71" i="24"/>
  <c r="CN73" i="24"/>
  <c r="CF73" i="24"/>
  <c r="CE73" i="24"/>
  <c r="CM73" i="24"/>
  <c r="CN75" i="24"/>
  <c r="CF75" i="24"/>
  <c r="CM75" i="24"/>
  <c r="CE75" i="24"/>
  <c r="CM77" i="24"/>
  <c r="CE77" i="24"/>
  <c r="CF77" i="24"/>
  <c r="CN77" i="24"/>
  <c r="CN79" i="24"/>
  <c r="CF79" i="24"/>
  <c r="CM79" i="24"/>
  <c r="CE79" i="24"/>
  <c r="CN81" i="24"/>
  <c r="CF81" i="24"/>
  <c r="CM81" i="24"/>
  <c r="CE81" i="24"/>
  <c r="CM83" i="24"/>
  <c r="CE83" i="24"/>
  <c r="CF83" i="24"/>
  <c r="CN83" i="24"/>
  <c r="CN85" i="24"/>
  <c r="CF85" i="24"/>
  <c r="CM85" i="24"/>
  <c r="CE85" i="24"/>
  <c r="CN87" i="24"/>
  <c r="CF87" i="24"/>
  <c r="CM87" i="24"/>
  <c r="CE87" i="24"/>
  <c r="CM89" i="24"/>
  <c r="CE89" i="24"/>
  <c r="CF89" i="24"/>
  <c r="CN89" i="24"/>
  <c r="CN91" i="24"/>
  <c r="CF91" i="24"/>
  <c r="CM91" i="24"/>
  <c r="CE91" i="24"/>
  <c r="CN93" i="24"/>
  <c r="CF93" i="24"/>
  <c r="CM93" i="24"/>
  <c r="CE93" i="24"/>
  <c r="CJ121" i="24"/>
  <c r="CG121" i="24"/>
  <c r="CI121" i="24"/>
  <c r="CF121" i="24"/>
  <c r="CR121" i="24"/>
  <c r="CE121" i="24"/>
  <c r="CM121" i="24"/>
  <c r="CQ121" i="24"/>
  <c r="CP121" i="24"/>
  <c r="CH121" i="24"/>
  <c r="CO121" i="24"/>
  <c r="CN121" i="24"/>
  <c r="CK11" i="24"/>
  <c r="CC11" i="24"/>
  <c r="CH127" i="24"/>
  <c r="CF127" i="24"/>
  <c r="CD127" i="24"/>
  <c r="CI127" i="24"/>
  <c r="CG127" i="24"/>
  <c r="CE127" i="24"/>
  <c r="CQ127" i="24"/>
  <c r="CL127" i="24"/>
  <c r="CN127" i="24"/>
  <c r="CP127" i="24"/>
  <c r="CM127" i="24"/>
  <c r="CO127" i="24"/>
  <c r="CR120" i="24"/>
  <c r="CN120" i="24"/>
  <c r="CP120" i="24"/>
  <c r="CQ120" i="24"/>
  <c r="CO120" i="24"/>
  <c r="CM120" i="24"/>
  <c r="CE120" i="24"/>
  <c r="B58" i="19"/>
  <c r="CC128" i="24"/>
  <c r="CK128" i="24"/>
  <c r="CK129" i="24"/>
  <c r="CC129" i="24"/>
  <c r="CK121" i="24"/>
  <c r="CC121" i="24"/>
  <c r="CK127" i="24"/>
  <c r="CC127" i="24"/>
  <c r="CK120" i="24"/>
  <c r="CL35" i="24"/>
  <c r="CD35" i="24"/>
  <c r="CD45" i="24"/>
  <c r="CL45" i="24"/>
  <c r="CL55" i="24"/>
  <c r="CD55" i="24"/>
  <c r="CD65" i="24"/>
  <c r="CL65" i="24"/>
  <c r="CD75" i="24"/>
  <c r="CL75" i="24"/>
  <c r="CD87" i="24"/>
  <c r="CL87" i="24"/>
  <c r="CL43" i="24"/>
  <c r="CD43" i="24"/>
  <c r="CD53" i="24"/>
  <c r="CL53" i="24"/>
  <c r="CD63" i="24"/>
  <c r="CL63" i="24"/>
  <c r="CL73" i="24"/>
  <c r="CD73" i="24"/>
  <c r="CD83" i="24"/>
  <c r="CL83" i="24"/>
  <c r="CD93" i="24"/>
  <c r="CL93" i="24"/>
  <c r="CD41" i="24"/>
  <c r="CL41" i="24"/>
  <c r="CD51" i="24"/>
  <c r="CL51" i="24"/>
  <c r="CL61" i="24"/>
  <c r="CD61" i="24"/>
  <c r="CL71" i="24"/>
  <c r="CD71" i="24"/>
  <c r="CD81" i="24"/>
  <c r="CL81" i="24"/>
  <c r="CL91" i="24"/>
  <c r="CD91" i="24"/>
  <c r="CD38" i="24"/>
  <c r="CL38" i="24"/>
  <c r="CD40" i="24"/>
  <c r="CL40" i="24"/>
  <c r="CL42" i="24"/>
  <c r="CD42" i="24"/>
  <c r="CD44" i="24"/>
  <c r="CL44" i="24"/>
  <c r="CD46" i="24"/>
  <c r="CL46" i="24"/>
  <c r="CL48" i="24"/>
  <c r="CD48" i="24"/>
  <c r="CD50" i="24"/>
  <c r="CL50" i="24"/>
  <c r="CD52" i="24"/>
  <c r="CL52" i="24"/>
  <c r="CL54" i="24"/>
  <c r="CD54" i="24"/>
  <c r="CD56" i="24"/>
  <c r="CL56" i="24"/>
  <c r="CD58" i="24"/>
  <c r="CL58" i="24"/>
  <c r="CL60" i="24"/>
  <c r="CD60" i="24"/>
  <c r="CD62" i="24"/>
  <c r="CL62" i="24"/>
  <c r="CD64" i="24"/>
  <c r="CL64" i="24"/>
  <c r="CL66" i="24"/>
  <c r="CD66" i="24"/>
  <c r="CD68" i="24"/>
  <c r="CL68" i="24"/>
  <c r="CD70" i="24"/>
  <c r="CL70" i="24"/>
  <c r="CL72" i="24"/>
  <c r="CD72" i="24"/>
  <c r="CD74" i="24"/>
  <c r="CL74" i="24"/>
  <c r="CD76" i="24"/>
  <c r="CL76" i="24"/>
  <c r="CL78" i="24"/>
  <c r="CD78" i="24"/>
  <c r="CD80" i="24"/>
  <c r="CL80" i="24"/>
  <c r="CD82" i="24"/>
  <c r="CL82" i="24"/>
  <c r="CL84" i="24"/>
  <c r="CD84" i="24"/>
  <c r="CD86" i="24"/>
  <c r="CL86" i="24"/>
  <c r="CD88" i="24"/>
  <c r="CL88" i="24"/>
  <c r="CL90" i="24"/>
  <c r="CD90" i="24"/>
  <c r="CD92" i="24"/>
  <c r="CL92" i="24"/>
  <c r="CD39" i="24"/>
  <c r="CL39" i="24"/>
  <c r="CL49" i="24"/>
  <c r="CD49" i="24"/>
  <c r="CD59" i="24"/>
  <c r="CL59" i="24"/>
  <c r="CD69" i="24"/>
  <c r="CL69" i="24"/>
  <c r="CD77" i="24"/>
  <c r="CL77" i="24"/>
  <c r="CL85" i="24"/>
  <c r="CD85" i="24"/>
  <c r="CL37" i="24"/>
  <c r="CD37" i="24"/>
  <c r="CL47" i="24"/>
  <c r="CD47" i="24"/>
  <c r="CD57" i="24"/>
  <c r="CL57" i="24"/>
  <c r="CL67" i="24"/>
  <c r="CD67" i="24"/>
  <c r="CL79" i="24"/>
  <c r="CD79" i="24"/>
  <c r="CD89" i="24"/>
  <c r="CL89" i="24"/>
  <c r="CD36" i="24"/>
  <c r="CL36" i="24"/>
  <c r="CL34" i="24"/>
  <c r="CD34" i="24"/>
  <c r="C18" i="23"/>
  <c r="C33" i="19"/>
  <c r="B20" i="19"/>
  <c r="B14" i="19"/>
  <c r="C40" i="19"/>
  <c r="B81" i="19"/>
  <c r="C138" i="24"/>
  <c r="CL100" i="24"/>
  <c r="CD100" i="24"/>
  <c r="B173" i="24"/>
  <c r="CK34" i="24"/>
  <c r="CC34" i="24"/>
  <c r="CC36" i="24"/>
  <c r="CK36" i="24"/>
  <c r="CC38" i="24"/>
  <c r="CK38" i="24"/>
  <c r="CK40" i="24"/>
  <c r="CC40" i="24"/>
  <c r="CC42" i="24"/>
  <c r="CK42" i="24"/>
  <c r="CC44" i="24"/>
  <c r="CK44" i="24"/>
  <c r="CK46" i="24"/>
  <c r="CC46" i="24"/>
  <c r="CC48" i="24"/>
  <c r="CK48" i="24"/>
  <c r="CC50" i="24"/>
  <c r="CK50" i="24"/>
  <c r="CK52" i="24"/>
  <c r="CC52" i="24"/>
  <c r="CC54" i="24"/>
  <c r="CK54" i="24"/>
  <c r="CC56" i="24"/>
  <c r="CK56" i="24"/>
  <c r="CK58" i="24"/>
  <c r="CC58" i="24"/>
  <c r="CK60" i="24"/>
  <c r="CC60" i="24"/>
  <c r="CC62" i="24"/>
  <c r="CK62" i="24"/>
  <c r="CK64" i="24"/>
  <c r="CC64" i="24"/>
  <c r="CK66" i="24"/>
  <c r="CC66" i="24"/>
  <c r="CC68" i="24"/>
  <c r="CK68" i="24"/>
  <c r="CK70" i="24"/>
  <c r="CC70" i="24"/>
  <c r="CK72" i="24"/>
  <c r="CC72" i="24"/>
  <c r="CC74" i="24"/>
  <c r="CK74" i="24"/>
  <c r="CK76" i="24"/>
  <c r="CC76" i="24"/>
  <c r="CK78" i="24"/>
  <c r="CC78" i="24"/>
  <c r="CC80" i="24"/>
  <c r="CK80" i="24"/>
  <c r="CK82" i="24"/>
  <c r="CC82" i="24"/>
  <c r="CK84" i="24"/>
  <c r="CC84" i="24"/>
  <c r="CC86" i="24"/>
  <c r="CK86" i="24"/>
  <c r="CK88" i="24"/>
  <c r="CC88" i="24"/>
  <c r="CK90" i="24"/>
  <c r="CC90" i="24"/>
  <c r="CC92" i="24"/>
  <c r="CK92" i="24"/>
  <c r="CK35" i="24"/>
  <c r="CC35" i="24"/>
  <c r="CC37" i="24"/>
  <c r="CK37" i="24"/>
  <c r="CK39" i="24"/>
  <c r="CC39" i="24"/>
  <c r="CK41" i="24"/>
  <c r="CC41" i="24"/>
  <c r="CC43" i="24"/>
  <c r="CK43" i="24"/>
  <c r="CK45" i="24"/>
  <c r="CC45" i="24"/>
  <c r="CK47" i="24"/>
  <c r="CC47" i="24"/>
  <c r="CC49" i="24"/>
  <c r="CK49" i="24"/>
  <c r="CK51" i="24"/>
  <c r="CC51" i="24"/>
  <c r="CK53" i="24"/>
  <c r="CC53" i="24"/>
  <c r="CC55" i="24"/>
  <c r="CK55" i="24"/>
  <c r="CC57" i="24"/>
  <c r="CK57" i="24"/>
  <c r="CK59" i="24"/>
  <c r="CC59" i="24"/>
  <c r="CC61" i="24"/>
  <c r="CK61" i="24"/>
  <c r="CC63" i="24"/>
  <c r="CK63" i="24"/>
  <c r="CK65" i="24"/>
  <c r="CC65" i="24"/>
  <c r="CC67" i="24"/>
  <c r="CK67" i="24"/>
  <c r="CC69" i="24"/>
  <c r="CK69" i="24"/>
  <c r="CK71" i="24"/>
  <c r="CC71" i="24"/>
  <c r="CC73" i="24"/>
  <c r="CK73" i="24"/>
  <c r="CC75" i="24"/>
  <c r="CK75" i="24"/>
  <c r="CK77" i="24"/>
  <c r="CC77" i="24"/>
  <c r="CC79" i="24"/>
  <c r="CK79" i="24"/>
  <c r="CC81" i="24"/>
  <c r="CK81" i="24"/>
  <c r="CK83" i="24"/>
  <c r="CC83" i="24"/>
  <c r="CC85" i="24"/>
  <c r="CK85" i="24"/>
  <c r="CC87" i="24"/>
  <c r="CK87" i="24"/>
  <c r="CK89" i="24"/>
  <c r="CC89" i="24"/>
  <c r="CC91" i="24"/>
  <c r="CK91" i="24"/>
  <c r="CC93" i="24"/>
  <c r="CK93" i="24"/>
  <c r="B125" i="19"/>
  <c r="B15" i="19"/>
  <c r="B21" i="19"/>
  <c r="C39" i="19"/>
  <c r="B119" i="19"/>
  <c r="B126" i="19"/>
  <c r="B129" i="19"/>
  <c r="B19" i="19"/>
  <c r="C37" i="19"/>
  <c r="C29" i="19"/>
  <c r="C32" i="19"/>
  <c r="C35" i="19"/>
  <c r="B79" i="19"/>
  <c r="B82" i="19"/>
  <c r="C103" i="24"/>
  <c r="V108" i="22"/>
  <c r="BW108" i="22"/>
  <c r="D66" i="19"/>
  <c r="B115" i="19"/>
  <c r="V104" i="22"/>
  <c r="BW104" i="22"/>
  <c r="V110" i="22"/>
  <c r="BW110" i="22"/>
  <c r="V116" i="22"/>
  <c r="BW116" i="22"/>
  <c r="V114" i="22"/>
  <c r="BW114" i="22"/>
  <c r="V109" i="22"/>
  <c r="BW109" i="22"/>
  <c r="C30" i="19"/>
  <c r="B50" i="19"/>
  <c r="B53" i="19"/>
  <c r="B96" i="19"/>
  <c r="B99" i="19"/>
  <c r="B102" i="19"/>
  <c r="B109" i="19"/>
  <c r="B116" i="19"/>
  <c r="C142" i="19"/>
  <c r="V105" i="22"/>
  <c r="BW105" i="22"/>
  <c r="V111" i="22"/>
  <c r="BW111" i="22"/>
  <c r="V117" i="22"/>
  <c r="BW117" i="22"/>
  <c r="V103" i="22"/>
  <c r="BW103" i="22"/>
  <c r="D142" i="19"/>
  <c r="V106" i="22"/>
  <c r="BW106" i="22"/>
  <c r="V112" i="22"/>
  <c r="BW112" i="22"/>
  <c r="V115" i="22"/>
  <c r="BW115" i="22"/>
  <c r="C34" i="19"/>
  <c r="B83" i="19"/>
  <c r="B103" i="19"/>
  <c r="B110" i="19"/>
  <c r="B117" i="19"/>
  <c r="B137" i="19"/>
  <c r="B140" i="19"/>
  <c r="B160" i="19"/>
  <c r="C175" i="19"/>
  <c r="C178" i="19"/>
  <c r="D185" i="19"/>
  <c r="D188" i="19"/>
  <c r="B46" i="22"/>
  <c r="V107" i="22"/>
  <c r="BW107" i="22"/>
  <c r="V113" i="22"/>
  <c r="BW113" i="22"/>
  <c r="C24" i="23"/>
  <c r="C140" i="24"/>
  <c r="C161" i="24"/>
  <c r="C167" i="24"/>
  <c r="C101" i="24"/>
  <c r="C107" i="24"/>
  <c r="C150" i="24"/>
  <c r="C104" i="24"/>
  <c r="B174" i="24"/>
  <c r="C137" i="24"/>
  <c r="C141" i="24"/>
  <c r="C164" i="24"/>
  <c r="D144" i="24"/>
  <c r="C152" i="24"/>
  <c r="C135" i="24"/>
  <c r="C143" i="24"/>
  <c r="C149" i="24"/>
  <c r="B21" i="24"/>
  <c r="C146" i="24"/>
  <c r="AE94" i="24"/>
  <c r="C102" i="24"/>
  <c r="C105" i="24"/>
  <c r="B116" i="24"/>
  <c r="C162" i="24"/>
  <c r="C165" i="24"/>
  <c r="B172" i="24"/>
  <c r="C160" i="24"/>
  <c r="C163" i="24"/>
  <c r="E85" i="23"/>
  <c r="C12" i="23"/>
  <c r="B48" i="22"/>
  <c r="D130" i="19"/>
  <c r="B127" i="19"/>
  <c r="B47" i="19"/>
  <c r="C16" i="23"/>
  <c r="B17" i="19"/>
  <c r="B64" i="19"/>
  <c r="C73" i="19"/>
  <c r="B12" i="19"/>
  <c r="B18" i="19"/>
  <c r="B48" i="19"/>
  <c r="B51" i="19"/>
  <c r="B65" i="19"/>
  <c r="B80" i="19"/>
  <c r="C90" i="19"/>
  <c r="B108" i="19"/>
  <c r="B128" i="19"/>
  <c r="B49" i="22"/>
  <c r="B118" i="22"/>
  <c r="C20" i="23"/>
  <c r="C23" i="23"/>
  <c r="B16" i="24"/>
  <c r="E108" i="24"/>
  <c r="C84" i="19"/>
  <c r="B46" i="23"/>
  <c r="D85" i="23"/>
  <c r="C147" i="24"/>
  <c r="C153" i="24"/>
  <c r="D23" i="19"/>
  <c r="B13" i="19"/>
  <c r="B16" i="19"/>
  <c r="B22" i="19"/>
  <c r="C38" i="19"/>
  <c r="B46" i="19"/>
  <c r="B49" i="19"/>
  <c r="B52" i="19"/>
  <c r="B63" i="19"/>
  <c r="B72" i="19"/>
  <c r="D84" i="19"/>
  <c r="C130" i="19"/>
  <c r="C136" i="24"/>
  <c r="E41" i="19"/>
  <c r="C28" i="19"/>
  <c r="C31" i="19"/>
  <c r="C36" i="19"/>
  <c r="B97" i="19"/>
  <c r="B100" i="19"/>
  <c r="B118" i="19"/>
  <c r="B139" i="19"/>
  <c r="B159" i="19"/>
  <c r="B162" i="19"/>
  <c r="C177" i="19"/>
  <c r="D184" i="19"/>
  <c r="D187" i="19"/>
  <c r="C13" i="23"/>
  <c r="D155" i="24"/>
  <c r="C148" i="24"/>
  <c r="C151" i="24"/>
  <c r="C154" i="24"/>
  <c r="C21" i="23"/>
  <c r="E28" i="23"/>
  <c r="B66" i="23"/>
  <c r="D108" i="24"/>
  <c r="D41" i="19"/>
  <c r="B71" i="19"/>
  <c r="B78" i="19"/>
  <c r="B122" i="24"/>
  <c r="E144" i="24"/>
  <c r="C23" i="19"/>
  <c r="C66" i="19"/>
  <c r="D73" i="19"/>
  <c r="B136" i="19"/>
  <c r="B47" i="22"/>
  <c r="C17" i="23"/>
  <c r="C24" i="24"/>
  <c r="E155" i="24"/>
  <c r="C166" i="24"/>
  <c r="B124" i="19"/>
  <c r="C61" i="22"/>
  <c r="C15" i="23"/>
  <c r="C27" i="23"/>
  <c r="C72" i="23"/>
  <c r="C75" i="23"/>
  <c r="C78" i="23"/>
  <c r="C81" i="23"/>
  <c r="C84" i="23"/>
  <c r="D24" i="24"/>
  <c r="B94" i="24"/>
  <c r="Z94" i="24"/>
  <c r="C139" i="24"/>
  <c r="D28" i="23"/>
  <c r="B23" i="24"/>
  <c r="C106" i="24"/>
  <c r="C142" i="24"/>
  <c r="B22" i="24"/>
  <c r="C99" i="24"/>
  <c r="C134" i="24"/>
  <c r="C145" i="24"/>
  <c r="C71" i="23"/>
  <c r="V206" i="24" l="1"/>
  <c r="V205" i="24"/>
  <c r="V204" i="24"/>
  <c r="CE19" i="23"/>
  <c r="CI19" i="23"/>
  <c r="CD19" i="23"/>
  <c r="CJ19" i="23"/>
  <c r="CC19" i="23"/>
  <c r="CB19" i="23"/>
  <c r="K72" i="22"/>
  <c r="Q20" i="22"/>
  <c r="Q19" i="22"/>
  <c r="Q34" i="22"/>
  <c r="Q33" i="22"/>
  <c r="Q24" i="22"/>
  <c r="Q29" i="22"/>
  <c r="Q21" i="22"/>
  <c r="Q31" i="22"/>
  <c r="Q27" i="22"/>
  <c r="Q26" i="22"/>
  <c r="CB129" i="19"/>
  <c r="CC129" i="19"/>
  <c r="CB127" i="19"/>
  <c r="CC127" i="19"/>
  <c r="CC126" i="19"/>
  <c r="CB126" i="19"/>
  <c r="CB128" i="19"/>
  <c r="CC128" i="19"/>
  <c r="AL128" i="19" s="1"/>
  <c r="CB124" i="19"/>
  <c r="CC124" i="19"/>
  <c r="CB71" i="19"/>
  <c r="CD71" i="19"/>
  <c r="CJ72" i="19"/>
  <c r="CB72" i="19"/>
  <c r="CI72" i="19"/>
  <c r="CH72" i="19"/>
  <c r="CG72" i="19"/>
  <c r="CE72" i="19"/>
  <c r="CD72" i="19"/>
  <c r="CC72" i="19"/>
  <c r="CB63" i="19"/>
  <c r="CC63" i="19"/>
  <c r="CC65" i="19"/>
  <c r="CB65" i="19"/>
  <c r="CB64" i="19"/>
  <c r="CC64" i="19"/>
  <c r="CH58" i="19"/>
  <c r="CB58" i="19"/>
  <c r="CC58" i="19"/>
  <c r="CD30" i="19"/>
  <c r="CB30" i="19"/>
  <c r="CD28" i="19"/>
  <c r="CB28" i="19"/>
  <c r="CD29" i="19"/>
  <c r="CB29" i="19"/>
  <c r="CD36" i="19"/>
  <c r="CB36" i="19"/>
  <c r="CD37" i="19"/>
  <c r="CB37" i="19"/>
  <c r="CD40" i="19"/>
  <c r="CB40" i="19"/>
  <c r="CD31" i="19"/>
  <c r="CB31" i="19"/>
  <c r="CD34" i="19"/>
  <c r="CB34" i="19"/>
  <c r="CD38" i="19"/>
  <c r="CB38" i="19"/>
  <c r="CD33" i="19"/>
  <c r="CB33" i="19"/>
  <c r="CD35" i="19"/>
  <c r="CB35" i="19"/>
  <c r="CD39" i="19"/>
  <c r="CB39" i="19"/>
  <c r="CD32" i="19"/>
  <c r="CB32" i="19"/>
  <c r="Q30" i="22"/>
  <c r="K70" i="22"/>
  <c r="K75" i="22"/>
  <c r="Q23" i="22"/>
  <c r="K77" i="22"/>
  <c r="Q32" i="22"/>
  <c r="K65" i="22"/>
  <c r="K73" i="22"/>
  <c r="Q25" i="22"/>
  <c r="CK173" i="24"/>
  <c r="CL173" i="24"/>
  <c r="CD173" i="24"/>
  <c r="CC173" i="24"/>
  <c r="K76" i="22"/>
  <c r="Q35" i="22"/>
  <c r="K74" i="22"/>
  <c r="CK174" i="24"/>
  <c r="CL174" i="24"/>
  <c r="CD174" i="24"/>
  <c r="CC174" i="24"/>
  <c r="CL172" i="24"/>
  <c r="CK172" i="24"/>
  <c r="CC172" i="24"/>
  <c r="CD172" i="24"/>
  <c r="K69" i="22"/>
  <c r="K67" i="22"/>
  <c r="Q22" i="22"/>
  <c r="Q28" i="22"/>
  <c r="Q18" i="22"/>
  <c r="CL25" i="23"/>
  <c r="CD25" i="23"/>
  <c r="CC25" i="23"/>
  <c r="N53" i="22"/>
  <c r="X114" i="24"/>
  <c r="CF102" i="24"/>
  <c r="CK102" i="24"/>
  <c r="CC102" i="24"/>
  <c r="CF101" i="24"/>
  <c r="CK101" i="24"/>
  <c r="CC101" i="24"/>
  <c r="CH127" i="19"/>
  <c r="CF103" i="24"/>
  <c r="CK103" i="24"/>
  <c r="CC103" i="24"/>
  <c r="CH129" i="19"/>
  <c r="M210" i="24"/>
  <c r="CF104" i="24"/>
  <c r="CK104" i="24"/>
  <c r="CC104" i="24"/>
  <c r="CH128" i="19"/>
  <c r="CE12" i="23"/>
  <c r="CD12" i="23"/>
  <c r="CC12" i="23"/>
  <c r="CB12" i="23"/>
  <c r="CF105" i="24"/>
  <c r="CK105" i="24"/>
  <c r="CC105" i="24"/>
  <c r="CF107" i="24"/>
  <c r="CK107" i="24"/>
  <c r="CC107" i="24"/>
  <c r="AR91" i="24"/>
  <c r="AR75" i="24"/>
  <c r="AR67" i="24"/>
  <c r="X113" i="24"/>
  <c r="X115" i="24"/>
  <c r="CG126" i="19"/>
  <c r="CH126" i="19"/>
  <c r="CF106" i="24"/>
  <c r="CK106" i="24"/>
  <c r="CC106" i="24"/>
  <c r="CG125" i="19"/>
  <c r="CH125" i="19"/>
  <c r="Q17" i="22"/>
  <c r="CF99" i="24"/>
  <c r="CK99" i="24"/>
  <c r="CC99" i="24"/>
  <c r="AL124" i="19"/>
  <c r="CH124" i="19"/>
  <c r="AR93" i="24"/>
  <c r="AR85" i="24"/>
  <c r="AR61" i="24"/>
  <c r="AR37" i="24"/>
  <c r="AR43" i="24"/>
  <c r="AR65" i="24"/>
  <c r="AR81" i="24"/>
  <c r="AR57" i="24"/>
  <c r="AR47" i="24"/>
  <c r="AR89" i="24"/>
  <c r="AR41" i="24"/>
  <c r="AR84" i="24"/>
  <c r="AR60" i="24"/>
  <c r="AR63" i="24"/>
  <c r="Q14" i="22"/>
  <c r="AR77" i="24"/>
  <c r="AR53" i="24"/>
  <c r="N57" i="22"/>
  <c r="AR69" i="24"/>
  <c r="AR59" i="24"/>
  <c r="AX22" i="23"/>
  <c r="CL71" i="23"/>
  <c r="CD71" i="23"/>
  <c r="CI71" i="23"/>
  <c r="CE71" i="23"/>
  <c r="CJ71" i="23"/>
  <c r="CB71" i="23"/>
  <c r="CC71" i="23"/>
  <c r="CK71" i="23"/>
  <c r="CL27" i="23"/>
  <c r="CJ27" i="23"/>
  <c r="CB27" i="23"/>
  <c r="CK27" i="23"/>
  <c r="CC27" i="23"/>
  <c r="CD27" i="23"/>
  <c r="CE27" i="23"/>
  <c r="CI27" i="23"/>
  <c r="CK80" i="23"/>
  <c r="CC80" i="23"/>
  <c r="CD80" i="23"/>
  <c r="CI80" i="23"/>
  <c r="CE80" i="23"/>
  <c r="CJ80" i="23"/>
  <c r="CB80" i="23"/>
  <c r="CL80" i="23"/>
  <c r="CL84" i="23"/>
  <c r="CD84" i="23"/>
  <c r="CI84" i="23"/>
  <c r="CE84" i="23"/>
  <c r="CJ84" i="23"/>
  <c r="CB84" i="23"/>
  <c r="CK84" i="23"/>
  <c r="CC84" i="23"/>
  <c r="CL15" i="23"/>
  <c r="CJ15" i="23"/>
  <c r="CB15" i="23"/>
  <c r="CK15" i="23"/>
  <c r="CC15" i="23"/>
  <c r="CD15" i="23"/>
  <c r="CE15" i="23"/>
  <c r="CI15" i="23"/>
  <c r="CE17" i="23"/>
  <c r="CD17" i="23"/>
  <c r="CI17" i="23"/>
  <c r="CL17" i="23"/>
  <c r="CJ17" i="23"/>
  <c r="CB17" i="23"/>
  <c r="CK17" i="23"/>
  <c r="CC17" i="23"/>
  <c r="CL20" i="23"/>
  <c r="CJ20" i="23"/>
  <c r="CB20" i="23"/>
  <c r="CK20" i="23"/>
  <c r="CE20" i="23"/>
  <c r="CD20" i="23"/>
  <c r="CI20" i="23"/>
  <c r="CC20" i="23"/>
  <c r="AR54" i="24"/>
  <c r="AR36" i="24"/>
  <c r="CE82" i="23"/>
  <c r="CJ82" i="23"/>
  <c r="CB82" i="23"/>
  <c r="CK82" i="23"/>
  <c r="CC82" i="23"/>
  <c r="CL82" i="23"/>
  <c r="CD82" i="23"/>
  <c r="CI82" i="23"/>
  <c r="CE77" i="23"/>
  <c r="CJ77" i="23"/>
  <c r="CB77" i="23"/>
  <c r="CK77" i="23"/>
  <c r="CC77" i="23"/>
  <c r="CL77" i="23"/>
  <c r="CD77" i="23"/>
  <c r="CI77" i="23"/>
  <c r="CL21" i="23"/>
  <c r="CJ21" i="23"/>
  <c r="CB21" i="23"/>
  <c r="CK21" i="23"/>
  <c r="CC21" i="23"/>
  <c r="CE21" i="23"/>
  <c r="CI21" i="23"/>
  <c r="CD21" i="23"/>
  <c r="CE23" i="23"/>
  <c r="CD23" i="23"/>
  <c r="CI23" i="23"/>
  <c r="CL23" i="23"/>
  <c r="CJ23" i="23"/>
  <c r="CB23" i="23"/>
  <c r="CC23" i="23"/>
  <c r="CK23" i="23"/>
  <c r="CK81" i="23"/>
  <c r="CC81" i="23"/>
  <c r="CL81" i="23"/>
  <c r="CD81" i="23"/>
  <c r="CI81" i="23"/>
  <c r="CE81" i="23"/>
  <c r="CJ81" i="23"/>
  <c r="CB81" i="23"/>
  <c r="AR45" i="24"/>
  <c r="AR39" i="24"/>
  <c r="AR76" i="24"/>
  <c r="AR70" i="24"/>
  <c r="AR52" i="24"/>
  <c r="CL79" i="23"/>
  <c r="CD79" i="23"/>
  <c r="CI79" i="23"/>
  <c r="CE79" i="23"/>
  <c r="CJ79" i="23"/>
  <c r="CB79" i="23"/>
  <c r="CK79" i="23"/>
  <c r="CC79" i="23"/>
  <c r="CK74" i="23"/>
  <c r="CC74" i="23"/>
  <c r="CL74" i="23"/>
  <c r="CD74" i="23"/>
  <c r="CI74" i="23"/>
  <c r="CE74" i="23"/>
  <c r="CJ74" i="23"/>
  <c r="CB74" i="23"/>
  <c r="CL78" i="23"/>
  <c r="CD78" i="23"/>
  <c r="CI78" i="23"/>
  <c r="CE78" i="23"/>
  <c r="CJ78" i="23"/>
  <c r="CB78" i="23"/>
  <c r="CK78" i="23"/>
  <c r="CC78" i="23"/>
  <c r="CE76" i="23"/>
  <c r="CJ76" i="23"/>
  <c r="CB76" i="23"/>
  <c r="CK76" i="23"/>
  <c r="CC76" i="23"/>
  <c r="CL76" i="23"/>
  <c r="CD76" i="23"/>
  <c r="CI76" i="23"/>
  <c r="CK75" i="23"/>
  <c r="CC75" i="23"/>
  <c r="CL75" i="23"/>
  <c r="CD75" i="23"/>
  <c r="CI75" i="23"/>
  <c r="CE75" i="23"/>
  <c r="CJ75" i="23"/>
  <c r="CB75" i="23"/>
  <c r="CE16" i="23"/>
  <c r="CD16" i="23"/>
  <c r="CI16" i="23"/>
  <c r="CL16" i="23"/>
  <c r="CJ16" i="23"/>
  <c r="CB16" i="23"/>
  <c r="CK16" i="23"/>
  <c r="CC16" i="23"/>
  <c r="AB128" i="24"/>
  <c r="CL73" i="23"/>
  <c r="CD73" i="23"/>
  <c r="CI73" i="23"/>
  <c r="CE73" i="23"/>
  <c r="CJ73" i="23"/>
  <c r="CB73" i="23"/>
  <c r="CK73" i="23"/>
  <c r="CC73" i="23"/>
  <c r="CL14" i="23"/>
  <c r="CJ14" i="23"/>
  <c r="CB14" i="23"/>
  <c r="CK14" i="23"/>
  <c r="CC14" i="23"/>
  <c r="CE14" i="23"/>
  <c r="CD14" i="23"/>
  <c r="CI14" i="23"/>
  <c r="CK24" i="23"/>
  <c r="CC24" i="23"/>
  <c r="CE24" i="23"/>
  <c r="CD24" i="23"/>
  <c r="CI24" i="23"/>
  <c r="CL24" i="23"/>
  <c r="CJ24" i="23"/>
  <c r="CB24" i="23"/>
  <c r="CL26" i="23"/>
  <c r="CJ26" i="23"/>
  <c r="CB26" i="23"/>
  <c r="CK26" i="23"/>
  <c r="CC26" i="23"/>
  <c r="CE26" i="23"/>
  <c r="CD26" i="23"/>
  <c r="CI26" i="23"/>
  <c r="CL72" i="23"/>
  <c r="CD72" i="23"/>
  <c r="CI72" i="23"/>
  <c r="CJ72" i="23"/>
  <c r="CB72" i="23"/>
  <c r="CE72" i="23"/>
  <c r="CK72" i="23"/>
  <c r="CC72" i="23"/>
  <c r="AR73" i="24"/>
  <c r="AR49" i="24"/>
  <c r="AR92" i="24"/>
  <c r="AR80" i="24"/>
  <c r="AR68" i="24"/>
  <c r="AR62" i="24"/>
  <c r="AR44" i="24"/>
  <c r="AR38" i="24"/>
  <c r="CK18" i="23"/>
  <c r="CC18" i="23"/>
  <c r="CE18" i="23"/>
  <c r="CI18" i="23"/>
  <c r="CD18" i="23"/>
  <c r="CL18" i="23"/>
  <c r="CJ18" i="23"/>
  <c r="CB18" i="23"/>
  <c r="CE83" i="23"/>
  <c r="CJ83" i="23"/>
  <c r="CB83" i="23"/>
  <c r="CK83" i="23"/>
  <c r="CC83" i="23"/>
  <c r="CD83" i="23"/>
  <c r="CI83" i="23"/>
  <c r="CL83" i="23"/>
  <c r="CD13" i="23"/>
  <c r="CB13" i="23"/>
  <c r="CC13" i="23"/>
  <c r="CE13" i="23"/>
  <c r="CI13" i="23"/>
  <c r="CJ13" i="23"/>
  <c r="CK13" i="23"/>
  <c r="CL13" i="23"/>
  <c r="CI12" i="23"/>
  <c r="CK12" i="23"/>
  <c r="CL12" i="23"/>
  <c r="CJ12" i="23"/>
  <c r="N60" i="22"/>
  <c r="BW48" i="22"/>
  <c r="B149" i="22" s="1"/>
  <c r="D22" i="18" s="1"/>
  <c r="BQ48" i="22"/>
  <c r="AP48" i="22" s="1"/>
  <c r="N54" i="22"/>
  <c r="AA11" i="24"/>
  <c r="AA14" i="24"/>
  <c r="AB127" i="24"/>
  <c r="AR34" i="24"/>
  <c r="AV100" i="24"/>
  <c r="AB129" i="24"/>
  <c r="N52" i="22"/>
  <c r="CE105" i="24"/>
  <c r="CN105" i="24"/>
  <c r="CM105" i="24"/>
  <c r="CG142" i="24"/>
  <c r="CF142" i="24"/>
  <c r="CN142" i="24"/>
  <c r="CO142" i="24"/>
  <c r="CK142" i="24"/>
  <c r="CC142" i="24"/>
  <c r="CL142" i="24"/>
  <c r="CD142" i="24"/>
  <c r="CM142" i="24"/>
  <c r="CE142" i="24"/>
  <c r="CI18" i="19"/>
  <c r="CC18" i="19"/>
  <c r="CH18" i="19"/>
  <c r="CB18" i="19"/>
  <c r="CD18" i="19"/>
  <c r="CG18" i="19"/>
  <c r="CE145" i="24"/>
  <c r="CG145" i="24"/>
  <c r="CD145" i="24"/>
  <c r="CO145" i="24"/>
  <c r="CK145" i="24"/>
  <c r="CF145" i="24"/>
  <c r="CC145" i="24"/>
  <c r="CL145" i="24"/>
  <c r="CM145" i="24"/>
  <c r="CN145" i="24"/>
  <c r="CC30" i="19"/>
  <c r="CI30" i="19"/>
  <c r="CH30" i="19"/>
  <c r="CG30" i="19"/>
  <c r="CN103" i="24"/>
  <c r="CM103" i="24"/>
  <c r="CE103" i="24"/>
  <c r="CC37" i="19"/>
  <c r="CI37" i="19"/>
  <c r="CH37" i="19"/>
  <c r="CG37" i="19"/>
  <c r="CH21" i="19"/>
  <c r="CB21" i="19"/>
  <c r="CD21" i="19"/>
  <c r="CG21" i="19"/>
  <c r="CI21" i="19"/>
  <c r="CC21" i="19"/>
  <c r="CC40" i="19"/>
  <c r="CI40" i="19"/>
  <c r="CH40" i="19"/>
  <c r="CG40" i="19"/>
  <c r="AR88" i="24"/>
  <c r="AR50" i="24"/>
  <c r="AR46" i="24"/>
  <c r="AA12" i="24"/>
  <c r="CD23" i="24"/>
  <c r="CC23" i="24"/>
  <c r="CL23" i="24"/>
  <c r="CK23" i="24"/>
  <c r="CC31" i="19"/>
  <c r="CI31" i="19"/>
  <c r="CH31" i="19"/>
  <c r="CG31" i="19"/>
  <c r="CH22" i="19"/>
  <c r="CB22" i="19"/>
  <c r="CD22" i="19"/>
  <c r="CG22" i="19"/>
  <c r="CC22" i="19"/>
  <c r="CI22" i="19"/>
  <c r="CL165" i="24"/>
  <c r="CD165" i="24"/>
  <c r="CC165" i="24"/>
  <c r="CK165" i="24"/>
  <c r="CO150" i="24"/>
  <c r="CL150" i="24"/>
  <c r="CE150" i="24"/>
  <c r="CM150" i="24"/>
  <c r="CN150" i="24"/>
  <c r="CG150" i="24"/>
  <c r="CD150" i="24"/>
  <c r="CK150" i="24"/>
  <c r="CF150" i="24"/>
  <c r="CC150" i="24"/>
  <c r="CF134" i="24"/>
  <c r="CC134" i="24"/>
  <c r="CE134" i="24"/>
  <c r="CM134" i="24"/>
  <c r="CD134" i="24"/>
  <c r="CN134" i="24"/>
  <c r="CO134" i="24"/>
  <c r="CK134" i="24"/>
  <c r="CG134" i="24"/>
  <c r="CL134" i="24"/>
  <c r="CC28" i="19"/>
  <c r="CI28" i="19"/>
  <c r="CH28" i="19"/>
  <c r="CG28" i="19"/>
  <c r="CH16" i="19"/>
  <c r="CB16" i="19"/>
  <c r="CD16" i="19"/>
  <c r="CG16" i="19"/>
  <c r="CC16" i="19"/>
  <c r="CI16" i="19"/>
  <c r="CD162" i="24"/>
  <c r="CC162" i="24"/>
  <c r="CK162" i="24"/>
  <c r="CL162" i="24"/>
  <c r="CD21" i="24"/>
  <c r="CC21" i="24"/>
  <c r="CL21" i="24"/>
  <c r="CK21" i="24"/>
  <c r="CD164" i="24"/>
  <c r="CL164" i="24"/>
  <c r="CC164" i="24"/>
  <c r="CK164" i="24"/>
  <c r="CN107" i="24"/>
  <c r="CM107" i="24"/>
  <c r="CE107" i="24"/>
  <c r="CD19" i="19"/>
  <c r="CG19" i="19"/>
  <c r="CI19" i="19"/>
  <c r="CC19" i="19"/>
  <c r="CH19" i="19"/>
  <c r="CB19" i="19"/>
  <c r="CH15" i="19"/>
  <c r="CB15" i="19"/>
  <c r="CD15" i="19"/>
  <c r="CG15" i="19"/>
  <c r="CI15" i="19"/>
  <c r="CC15" i="19"/>
  <c r="CD14" i="19"/>
  <c r="CG14" i="19"/>
  <c r="CI14" i="19"/>
  <c r="CC14" i="19"/>
  <c r="CB14" i="19"/>
  <c r="CH14" i="19"/>
  <c r="Q10" i="22"/>
  <c r="Q13" i="22"/>
  <c r="Q16" i="22"/>
  <c r="AR87" i="24"/>
  <c r="AR71" i="24"/>
  <c r="AR51" i="24"/>
  <c r="AR35" i="24"/>
  <c r="AA15" i="24"/>
  <c r="AR64" i="24"/>
  <c r="AR40" i="24"/>
  <c r="CG136" i="24"/>
  <c r="CM136" i="24"/>
  <c r="CN136" i="24"/>
  <c r="CD136" i="24"/>
  <c r="CC136" i="24"/>
  <c r="CO136" i="24"/>
  <c r="CE136" i="24"/>
  <c r="CK136" i="24"/>
  <c r="CF136" i="24"/>
  <c r="CL136" i="24"/>
  <c r="CF153" i="24"/>
  <c r="CC153" i="24"/>
  <c r="CO153" i="24"/>
  <c r="CK153" i="24"/>
  <c r="CL153" i="24"/>
  <c r="CE153" i="24"/>
  <c r="CM153" i="24"/>
  <c r="CG153" i="24"/>
  <c r="CD153" i="24"/>
  <c r="CN153" i="24"/>
  <c r="CN146" i="24"/>
  <c r="CK146" i="24"/>
  <c r="CO146" i="24"/>
  <c r="CF146" i="24"/>
  <c r="CC146" i="24"/>
  <c r="CL146" i="24"/>
  <c r="CE146" i="24"/>
  <c r="CM146" i="24"/>
  <c r="CG146" i="24"/>
  <c r="CD146" i="24"/>
  <c r="CC140" i="24"/>
  <c r="CG140" i="24"/>
  <c r="CO140" i="24"/>
  <c r="CK140" i="24"/>
  <c r="CL140" i="24"/>
  <c r="CD140" i="24"/>
  <c r="CM140" i="24"/>
  <c r="CE140" i="24"/>
  <c r="CN140" i="24"/>
  <c r="CF140" i="24"/>
  <c r="CC34" i="19"/>
  <c r="CI34" i="19"/>
  <c r="CH34" i="19"/>
  <c r="CG34" i="19"/>
  <c r="CN99" i="24"/>
  <c r="CM99" i="24"/>
  <c r="CE99" i="24"/>
  <c r="CG139" i="24"/>
  <c r="CN139" i="24"/>
  <c r="CK139" i="24"/>
  <c r="CD139" i="24"/>
  <c r="CE139" i="24"/>
  <c r="CL139" i="24"/>
  <c r="CF139" i="24"/>
  <c r="CM139" i="24"/>
  <c r="CO139" i="24"/>
  <c r="CC139" i="24"/>
  <c r="CD13" i="19"/>
  <c r="CG13" i="19"/>
  <c r="CI13" i="19"/>
  <c r="CC13" i="19"/>
  <c r="CH13" i="19"/>
  <c r="CB13" i="19"/>
  <c r="CI17" i="19"/>
  <c r="CC17" i="19"/>
  <c r="CH17" i="19"/>
  <c r="CB17" i="19"/>
  <c r="CD17" i="19"/>
  <c r="CG17" i="19"/>
  <c r="CE149" i="24"/>
  <c r="CG149" i="24"/>
  <c r="CM149" i="24"/>
  <c r="CD149" i="24"/>
  <c r="CN149" i="24"/>
  <c r="CF149" i="24"/>
  <c r="CO149" i="24"/>
  <c r="CC149" i="24"/>
  <c r="CK149" i="24"/>
  <c r="CL149" i="24"/>
  <c r="CE141" i="24"/>
  <c r="CO141" i="24"/>
  <c r="CL141" i="24"/>
  <c r="CD141" i="24"/>
  <c r="CK141" i="24"/>
  <c r="CF141" i="24"/>
  <c r="CG141" i="24"/>
  <c r="CC141" i="24"/>
  <c r="CM141" i="24"/>
  <c r="CN141" i="24"/>
  <c r="CN101" i="24"/>
  <c r="CM101" i="24"/>
  <c r="CE101" i="24"/>
  <c r="CD20" i="19"/>
  <c r="CG20" i="19"/>
  <c r="CI20" i="19"/>
  <c r="CC20" i="19"/>
  <c r="CH20" i="19"/>
  <c r="CB20" i="19"/>
  <c r="N59" i="22"/>
  <c r="AR83" i="24"/>
  <c r="N56" i="22"/>
  <c r="AR90" i="24"/>
  <c r="AR82" i="24"/>
  <c r="AR78" i="24"/>
  <c r="AR72" i="24"/>
  <c r="AR58" i="24"/>
  <c r="AR48" i="24"/>
  <c r="AR42" i="24"/>
  <c r="X28" i="24"/>
  <c r="CM154" i="24"/>
  <c r="CD154" i="24"/>
  <c r="CK154" i="24"/>
  <c r="CF154" i="24"/>
  <c r="CL154" i="24"/>
  <c r="CC154" i="24"/>
  <c r="CE154" i="24"/>
  <c r="CN154" i="24"/>
  <c r="CO154" i="24"/>
  <c r="CG154" i="24"/>
  <c r="CM137" i="24"/>
  <c r="CE137" i="24"/>
  <c r="CF137" i="24"/>
  <c r="CC137" i="24"/>
  <c r="CG137" i="24"/>
  <c r="CN137" i="24"/>
  <c r="CO137" i="24"/>
  <c r="CK137" i="24"/>
  <c r="CD137" i="24"/>
  <c r="CL137" i="24"/>
  <c r="CC35" i="19"/>
  <c r="CI35" i="19"/>
  <c r="CH35" i="19"/>
  <c r="CG35" i="19"/>
  <c r="CG33" i="19"/>
  <c r="CI33" i="19"/>
  <c r="CH33" i="19"/>
  <c r="CC33" i="19"/>
  <c r="CC22" i="24"/>
  <c r="CL22" i="24"/>
  <c r="CK22" i="24"/>
  <c r="CD22" i="24"/>
  <c r="CC163" i="24"/>
  <c r="CL163" i="24"/>
  <c r="CD163" i="24"/>
  <c r="CK163" i="24"/>
  <c r="CE135" i="24"/>
  <c r="CO135" i="24"/>
  <c r="CL135" i="24"/>
  <c r="CF135" i="24"/>
  <c r="CN135" i="24"/>
  <c r="CG135" i="24"/>
  <c r="CK135" i="24"/>
  <c r="CC135" i="24"/>
  <c r="CD135" i="24"/>
  <c r="CM135" i="24"/>
  <c r="CE138" i="24"/>
  <c r="CC138" i="24"/>
  <c r="CL138" i="24"/>
  <c r="CM138" i="24"/>
  <c r="CD138" i="24"/>
  <c r="CN138" i="24"/>
  <c r="CF138" i="24"/>
  <c r="CO138" i="24"/>
  <c r="CK138" i="24"/>
  <c r="CG138" i="24"/>
  <c r="N58" i="22"/>
  <c r="AR86" i="24"/>
  <c r="AR66" i="24"/>
  <c r="AR56" i="24"/>
  <c r="CL166" i="24"/>
  <c r="CD166" i="24"/>
  <c r="CC166" i="24"/>
  <c r="CK166" i="24"/>
  <c r="CM143" i="24"/>
  <c r="CD143" i="24"/>
  <c r="CN143" i="24"/>
  <c r="CE143" i="24"/>
  <c r="CC143" i="24"/>
  <c r="CO143" i="24"/>
  <c r="CF143" i="24"/>
  <c r="CK143" i="24"/>
  <c r="CG143" i="24"/>
  <c r="CL143" i="24"/>
  <c r="CG151" i="24"/>
  <c r="CD151" i="24"/>
  <c r="CC151" i="24"/>
  <c r="CN151" i="24"/>
  <c r="CE151" i="24"/>
  <c r="CO151" i="24"/>
  <c r="CK151" i="24"/>
  <c r="CL151" i="24"/>
  <c r="CM151" i="24"/>
  <c r="CF151" i="24"/>
  <c r="CC160" i="24"/>
  <c r="CL160" i="24"/>
  <c r="CD160" i="24"/>
  <c r="CK160" i="24"/>
  <c r="CN102" i="24"/>
  <c r="CM102" i="24"/>
  <c r="CE102" i="24"/>
  <c r="CK167" i="24"/>
  <c r="CL167" i="24"/>
  <c r="CD167" i="24"/>
  <c r="CC167" i="24"/>
  <c r="CE106" i="24"/>
  <c r="CN106" i="24"/>
  <c r="CM106" i="24"/>
  <c r="CM148" i="24"/>
  <c r="CG148" i="24"/>
  <c r="CL148" i="24"/>
  <c r="CD148" i="24"/>
  <c r="CF148" i="24"/>
  <c r="CC148" i="24"/>
  <c r="CN148" i="24"/>
  <c r="CO148" i="24"/>
  <c r="CK148" i="24"/>
  <c r="CE148" i="24"/>
  <c r="CC36" i="19"/>
  <c r="CI36" i="19"/>
  <c r="CH36" i="19"/>
  <c r="CG36" i="19"/>
  <c r="CC38" i="19"/>
  <c r="CI38" i="19"/>
  <c r="CH38" i="19"/>
  <c r="CG38" i="19"/>
  <c r="CF147" i="24"/>
  <c r="CC147" i="24"/>
  <c r="CD147" i="24"/>
  <c r="CK147" i="24"/>
  <c r="CL147" i="24"/>
  <c r="CM147" i="24"/>
  <c r="CE147" i="24"/>
  <c r="CN147" i="24"/>
  <c r="CO147" i="24"/>
  <c r="CG147" i="24"/>
  <c r="CN152" i="24"/>
  <c r="CK152" i="24"/>
  <c r="CF152" i="24"/>
  <c r="CC152" i="24"/>
  <c r="CO152" i="24"/>
  <c r="CE152" i="24"/>
  <c r="CG152" i="24"/>
  <c r="CL152" i="24"/>
  <c r="CD152" i="24"/>
  <c r="CM152" i="24"/>
  <c r="CE104" i="24"/>
  <c r="CN104" i="24"/>
  <c r="CM104" i="24"/>
  <c r="CK161" i="24"/>
  <c r="CL161" i="24"/>
  <c r="CC161" i="24"/>
  <c r="CD161" i="24"/>
  <c r="CC29" i="19"/>
  <c r="CI29" i="19"/>
  <c r="CH29" i="19"/>
  <c r="CG29" i="19"/>
  <c r="CG39" i="19"/>
  <c r="CH39" i="19"/>
  <c r="CC39" i="19"/>
  <c r="CI39" i="19"/>
  <c r="Q15" i="22"/>
  <c r="Q12" i="22"/>
  <c r="Q11" i="22"/>
  <c r="U121" i="24"/>
  <c r="N55" i="22"/>
  <c r="AR79" i="24"/>
  <c r="AR55" i="24"/>
  <c r="AR74" i="24"/>
  <c r="AA13" i="24"/>
  <c r="CH12" i="19"/>
  <c r="CB12" i="19"/>
  <c r="CI12" i="19"/>
  <c r="CC12" i="19"/>
  <c r="CD12" i="19"/>
  <c r="CG12" i="19"/>
  <c r="CC32" i="19"/>
  <c r="CH32" i="19"/>
  <c r="CI32" i="19"/>
  <c r="CG32" i="19"/>
  <c r="U120" i="24"/>
  <c r="CG58" i="19"/>
  <c r="A149" i="22"/>
  <c r="E22" i="18" s="1"/>
  <c r="CC50" i="19"/>
  <c r="CB50" i="19"/>
  <c r="CG50" i="19"/>
  <c r="CH50" i="19"/>
  <c r="CC53" i="19"/>
  <c r="CB53" i="19"/>
  <c r="CG53" i="19"/>
  <c r="CH53" i="19"/>
  <c r="CC51" i="19"/>
  <c r="CB51" i="19"/>
  <c r="CG51" i="19"/>
  <c r="CH51" i="19"/>
  <c r="CB49" i="19"/>
  <c r="CG49" i="19"/>
  <c r="CH49" i="19"/>
  <c r="CC49" i="19"/>
  <c r="CG48" i="19"/>
  <c r="CH48" i="19"/>
  <c r="CC48" i="19"/>
  <c r="CB48" i="19"/>
  <c r="B84" i="19"/>
  <c r="CH52" i="19"/>
  <c r="CG52" i="19"/>
  <c r="CB52" i="19"/>
  <c r="CC52" i="19"/>
  <c r="CG46" i="19"/>
  <c r="CB46" i="19"/>
  <c r="CC46" i="19"/>
  <c r="CH46" i="19"/>
  <c r="CI71" i="19"/>
  <c r="AM71" i="19"/>
  <c r="CH47" i="19"/>
  <c r="CG47" i="19"/>
  <c r="CB47" i="19"/>
  <c r="CC47" i="19"/>
  <c r="AL125" i="19"/>
  <c r="C144" i="24"/>
  <c r="CL107" i="24"/>
  <c r="CD107" i="24"/>
  <c r="CL106" i="24"/>
  <c r="CD106" i="24"/>
  <c r="CL101" i="24"/>
  <c r="CD101" i="24"/>
  <c r="CL105" i="24"/>
  <c r="CD105" i="24"/>
  <c r="CL103" i="24"/>
  <c r="CD103" i="24"/>
  <c r="CL99" i="24"/>
  <c r="CD99" i="24"/>
  <c r="CL102" i="24"/>
  <c r="CD102" i="24"/>
  <c r="CL104" i="24"/>
  <c r="CD104" i="24"/>
  <c r="B66" i="19"/>
  <c r="C85" i="23"/>
  <c r="CG129" i="19"/>
  <c r="CG124" i="19"/>
  <c r="C41" i="19"/>
  <c r="CG63" i="19"/>
  <c r="CH63" i="19"/>
  <c r="CG65" i="19"/>
  <c r="CH65" i="19"/>
  <c r="CH64" i="19"/>
  <c r="CG64" i="19"/>
  <c r="CG128" i="19"/>
  <c r="AL127" i="19"/>
  <c r="CG127" i="19"/>
  <c r="B73" i="19"/>
  <c r="CG71" i="19"/>
  <c r="C155" i="24"/>
  <c r="B23" i="19"/>
  <c r="B130" i="19"/>
  <c r="B142" i="19"/>
  <c r="C108" i="24"/>
  <c r="C28" i="23"/>
  <c r="B24" i="24"/>
  <c r="AJ174" i="24" l="1"/>
  <c r="AX19" i="23"/>
  <c r="AL126" i="19"/>
  <c r="AX25" i="23"/>
  <c r="AL129" i="19"/>
  <c r="AJ172" i="24"/>
  <c r="AJ162" i="24"/>
  <c r="U76" i="23"/>
  <c r="AN20" i="19"/>
  <c r="U82" i="23"/>
  <c r="AM72" i="19"/>
  <c r="U75" i="23"/>
  <c r="U74" i="23"/>
  <c r="AN14" i="19"/>
  <c r="AX20" i="23"/>
  <c r="U84" i="23"/>
  <c r="AX27" i="23"/>
  <c r="U71" i="23"/>
  <c r="AX24" i="23"/>
  <c r="AX16" i="23"/>
  <c r="U78" i="23"/>
  <c r="AO39" i="19"/>
  <c r="AJ167" i="24"/>
  <c r="AO33" i="19"/>
  <c r="AX26" i="23"/>
  <c r="U73" i="23"/>
  <c r="AX23" i="23"/>
  <c r="U79" i="23"/>
  <c r="AX15" i="23"/>
  <c r="B240" i="24"/>
  <c r="D29" i="18" s="1"/>
  <c r="AX18" i="23"/>
  <c r="U81" i="23"/>
  <c r="AX17" i="23"/>
  <c r="U72" i="23"/>
  <c r="U80" i="23"/>
  <c r="AS140" i="24"/>
  <c r="AV101" i="24"/>
  <c r="U77" i="23"/>
  <c r="AS149" i="24"/>
  <c r="U83" i="23"/>
  <c r="AX14" i="23"/>
  <c r="AX13" i="23"/>
  <c r="AX12" i="23"/>
  <c r="B130" i="23"/>
  <c r="D28" i="18" s="1"/>
  <c r="AO32" i="19"/>
  <c r="AN13" i="19"/>
  <c r="AS143" i="24"/>
  <c r="AV102" i="24"/>
  <c r="AS146" i="24"/>
  <c r="AV99" i="24"/>
  <c r="AS152" i="24"/>
  <c r="AS147" i="24"/>
  <c r="A240" i="24"/>
  <c r="E29" i="18" s="1"/>
  <c r="AS153" i="24"/>
  <c r="AV106" i="24"/>
  <c r="AS135" i="24"/>
  <c r="AS137" i="24"/>
  <c r="AS139" i="24"/>
  <c r="AS142" i="24"/>
  <c r="AS141" i="24"/>
  <c r="AV107" i="24"/>
  <c r="AS134" i="24"/>
  <c r="AS145" i="24"/>
  <c r="AS148" i="24"/>
  <c r="AS154" i="24"/>
  <c r="AS150" i="24"/>
  <c r="AV105" i="24"/>
  <c r="AX21" i="23"/>
  <c r="AV103" i="24"/>
  <c r="AV104" i="24"/>
  <c r="AS151" i="24"/>
  <c r="AS138" i="24"/>
  <c r="AS136" i="24"/>
  <c r="AJ161" i="24"/>
  <c r="AJ166" i="24"/>
  <c r="AJ165" i="24"/>
  <c r="AJ173" i="24"/>
  <c r="M22" i="24"/>
  <c r="M21" i="24"/>
  <c r="AJ164" i="24"/>
  <c r="AJ163" i="24"/>
  <c r="M23" i="24"/>
  <c r="AJ160" i="24"/>
  <c r="A130" i="23"/>
  <c r="E28" i="18" s="1"/>
  <c r="AL58" i="19"/>
  <c r="AO30" i="19"/>
  <c r="AO40" i="19"/>
  <c r="AM51" i="19"/>
  <c r="A215" i="19"/>
  <c r="E19" i="18" s="1"/>
  <c r="AM53" i="19"/>
  <c r="AM49" i="19"/>
  <c r="AO29" i="19"/>
  <c r="AM48" i="19"/>
  <c r="AM50" i="19"/>
  <c r="B215" i="19"/>
  <c r="D19" i="18" s="1"/>
  <c r="AM47" i="19"/>
  <c r="AN19" i="19"/>
  <c r="AN15" i="19"/>
  <c r="AN21" i="19"/>
  <c r="AO35" i="19"/>
  <c r="AO37" i="19"/>
  <c r="AM52" i="19"/>
  <c r="AM46" i="19"/>
  <c r="AO36" i="19"/>
  <c r="AL65" i="19"/>
  <c r="AO28" i="19"/>
  <c r="AN16" i="19"/>
  <c r="AO31" i="19"/>
  <c r="AN12" i="19"/>
  <c r="AO34" i="19"/>
  <c r="AN17" i="19"/>
  <c r="AN18" i="19"/>
  <c r="AN22" i="19"/>
  <c r="AO38" i="19"/>
  <c r="AL64" i="19"/>
  <c r="AL63" i="19"/>
  <c r="F313" i="13"/>
  <c r="E313" i="13"/>
  <c r="F312" i="13"/>
  <c r="E312" i="13"/>
  <c r="F311" i="13"/>
  <c r="E311" i="13"/>
  <c r="F310" i="13"/>
  <c r="E310" i="13"/>
  <c r="F309" i="13"/>
  <c r="E309" i="13"/>
  <c r="AX304" i="13"/>
  <c r="AW304" i="13"/>
  <c r="AV304" i="13"/>
  <c r="AU304" i="13"/>
  <c r="AT304" i="13"/>
  <c r="AP304" i="13"/>
  <c r="AO304" i="13"/>
  <c r="AN304" i="13"/>
  <c r="AM304" i="13"/>
  <c r="AL304" i="13"/>
  <c r="AK304" i="13"/>
  <c r="AJ304" i="13"/>
  <c r="AI304" i="13"/>
  <c r="AH304" i="13"/>
  <c r="AG304" i="13"/>
  <c r="AF304" i="13"/>
  <c r="AE304" i="13"/>
  <c r="AD304" i="13"/>
  <c r="AC304" i="13"/>
  <c r="AB304" i="13"/>
  <c r="AA304" i="13"/>
  <c r="Z304" i="13"/>
  <c r="Y304" i="13"/>
  <c r="X304" i="13"/>
  <c r="W304" i="13"/>
  <c r="V304" i="13"/>
  <c r="U304" i="13"/>
  <c r="T304" i="13"/>
  <c r="S304" i="13"/>
  <c r="R304" i="13"/>
  <c r="Q304" i="13"/>
  <c r="P304" i="13"/>
  <c r="O304" i="13"/>
  <c r="N304" i="13"/>
  <c r="M304" i="13"/>
  <c r="L304" i="13"/>
  <c r="K304" i="13"/>
  <c r="J304" i="13"/>
  <c r="I304" i="13"/>
  <c r="H304" i="13"/>
  <c r="G304" i="13"/>
  <c r="AX303" i="13"/>
  <c r="AW303" i="13"/>
  <c r="AV303" i="13"/>
  <c r="AU303" i="13"/>
  <c r="AT303" i="13"/>
  <c r="AP303" i="13"/>
  <c r="AO303" i="13"/>
  <c r="AN303" i="13"/>
  <c r="AM303" i="13"/>
  <c r="AL303" i="13"/>
  <c r="AK303" i="13"/>
  <c r="AJ303" i="13"/>
  <c r="AI303" i="13"/>
  <c r="AH303" i="13"/>
  <c r="AG303" i="13"/>
  <c r="AF303" i="13"/>
  <c r="AE303" i="13"/>
  <c r="AD303" i="13"/>
  <c r="AC303" i="13"/>
  <c r="AB303" i="13"/>
  <c r="AA303" i="13"/>
  <c r="Z303" i="13"/>
  <c r="Y303" i="13"/>
  <c r="X303" i="13"/>
  <c r="W303" i="13"/>
  <c r="V303" i="13"/>
  <c r="U303" i="13"/>
  <c r="T303" i="13"/>
  <c r="S303" i="13"/>
  <c r="R303" i="13"/>
  <c r="Q303" i="13"/>
  <c r="P303" i="13"/>
  <c r="O303" i="13"/>
  <c r="N303" i="13"/>
  <c r="M303" i="13"/>
  <c r="L303" i="13"/>
  <c r="K303" i="13"/>
  <c r="J303" i="13"/>
  <c r="I303" i="13"/>
  <c r="H303" i="13"/>
  <c r="G303" i="13"/>
  <c r="AX302" i="13"/>
  <c r="AW302" i="13"/>
  <c r="AV302" i="13"/>
  <c r="AU302" i="13"/>
  <c r="AT302" i="13"/>
  <c r="AP302" i="13"/>
  <c r="AO302" i="13"/>
  <c r="AN302" i="13"/>
  <c r="AM302" i="13"/>
  <c r="AL302" i="13"/>
  <c r="AK302" i="13"/>
  <c r="AJ302" i="13"/>
  <c r="AI302" i="13"/>
  <c r="AH302" i="13"/>
  <c r="AG302" i="13"/>
  <c r="AF302" i="13"/>
  <c r="AE302" i="13"/>
  <c r="AD302" i="13"/>
  <c r="AC302" i="13"/>
  <c r="AB302" i="13"/>
  <c r="AA302" i="13"/>
  <c r="Z302" i="13"/>
  <c r="Y302" i="13"/>
  <c r="X302" i="13"/>
  <c r="W302" i="13"/>
  <c r="V302" i="13"/>
  <c r="U302" i="13"/>
  <c r="T302" i="13"/>
  <c r="S302" i="13"/>
  <c r="R302" i="13"/>
  <c r="Q302" i="13"/>
  <c r="P302" i="13"/>
  <c r="O302" i="13"/>
  <c r="N302" i="13"/>
  <c r="M302" i="13"/>
  <c r="L302" i="13"/>
  <c r="K302" i="13"/>
  <c r="J302" i="13"/>
  <c r="I302" i="13"/>
  <c r="H302" i="13"/>
  <c r="G302" i="13"/>
  <c r="AX301" i="13"/>
  <c r="AW301" i="13"/>
  <c r="AV301" i="13"/>
  <c r="AU301" i="13"/>
  <c r="AT301" i="13"/>
  <c r="AP301" i="13"/>
  <c r="AO301" i="13"/>
  <c r="AN301" i="13"/>
  <c r="AM301" i="13"/>
  <c r="AL301" i="13"/>
  <c r="AK301" i="13"/>
  <c r="AJ301" i="13"/>
  <c r="AI301" i="13"/>
  <c r="AH301" i="13"/>
  <c r="AG301" i="13"/>
  <c r="AF301" i="13"/>
  <c r="AE301" i="13"/>
  <c r="AD301" i="13"/>
  <c r="AC301" i="13"/>
  <c r="AB301" i="13"/>
  <c r="AA301" i="13"/>
  <c r="Z301" i="13"/>
  <c r="Y301" i="13"/>
  <c r="X301" i="13"/>
  <c r="W301" i="13"/>
  <c r="V301" i="13"/>
  <c r="U301" i="13"/>
  <c r="T301" i="13"/>
  <c r="S301" i="13"/>
  <c r="R301" i="13"/>
  <c r="Q301" i="13"/>
  <c r="P301" i="13"/>
  <c r="O301" i="13"/>
  <c r="N301" i="13"/>
  <c r="M301" i="13"/>
  <c r="L301" i="13"/>
  <c r="K301" i="13"/>
  <c r="J301" i="13"/>
  <c r="I301" i="13"/>
  <c r="H301" i="13"/>
  <c r="G301" i="13"/>
  <c r="AX300" i="13"/>
  <c r="AW300" i="13"/>
  <c r="AV300" i="13"/>
  <c r="AU300" i="13"/>
  <c r="AT300" i="13"/>
  <c r="AS300" i="13"/>
  <c r="AP300" i="13"/>
  <c r="AO300" i="13"/>
  <c r="AN300" i="13"/>
  <c r="AM300" i="13"/>
  <c r="AL300" i="13"/>
  <c r="AK300" i="13"/>
  <c r="AJ300" i="13"/>
  <c r="AI300" i="13"/>
  <c r="AH300" i="13"/>
  <c r="AG300" i="13"/>
  <c r="AF300" i="13"/>
  <c r="AE300" i="13"/>
  <c r="AD300" i="13"/>
  <c r="AC300" i="13"/>
  <c r="AB300" i="13"/>
  <c r="AA300" i="13"/>
  <c r="Z300" i="13"/>
  <c r="Y300" i="13"/>
  <c r="X300" i="13"/>
  <c r="W300" i="13"/>
  <c r="V300" i="13"/>
  <c r="U300" i="13"/>
  <c r="T300" i="13"/>
  <c r="S300" i="13"/>
  <c r="R300" i="13"/>
  <c r="Q300" i="13"/>
  <c r="P300" i="13"/>
  <c r="O300" i="13"/>
  <c r="N300" i="13"/>
  <c r="M300" i="13"/>
  <c r="L300" i="13"/>
  <c r="K300" i="13"/>
  <c r="J300" i="13"/>
  <c r="I300" i="13"/>
  <c r="H300" i="13"/>
  <c r="G300" i="13"/>
  <c r="AX299" i="13"/>
  <c r="AW299" i="13"/>
  <c r="AV299" i="13"/>
  <c r="AU299" i="13"/>
  <c r="AT299" i="13"/>
  <c r="AS299" i="13"/>
  <c r="AR299" i="13"/>
  <c r="AQ299" i="13"/>
  <c r="AP299" i="13"/>
  <c r="AO299" i="13"/>
  <c r="AN299" i="13"/>
  <c r="AM299" i="13"/>
  <c r="AL299" i="13"/>
  <c r="AK299" i="13"/>
  <c r="AJ299" i="13"/>
  <c r="AI299" i="13"/>
  <c r="AH299" i="13"/>
  <c r="AG299" i="13"/>
  <c r="AF299" i="13"/>
  <c r="AE299" i="13"/>
  <c r="AD299" i="13"/>
  <c r="AC299" i="13"/>
  <c r="AB299" i="13"/>
  <c r="AA299" i="13"/>
  <c r="Z299" i="13"/>
  <c r="Y299" i="13"/>
  <c r="X299" i="13"/>
  <c r="W299" i="13"/>
  <c r="V299" i="13"/>
  <c r="U299" i="13"/>
  <c r="T299" i="13"/>
  <c r="S299" i="13"/>
  <c r="R299" i="13"/>
  <c r="Q299" i="13"/>
  <c r="P299" i="13"/>
  <c r="O299" i="13"/>
  <c r="N299" i="13"/>
  <c r="M299" i="13"/>
  <c r="L299" i="13"/>
  <c r="K299" i="13"/>
  <c r="J299" i="13"/>
  <c r="I299" i="13"/>
  <c r="H299" i="13"/>
  <c r="G299" i="13"/>
  <c r="F298" i="13"/>
  <c r="E298" i="13"/>
  <c r="F297" i="13"/>
  <c r="E297" i="13"/>
  <c r="F296" i="13"/>
  <c r="E296" i="13"/>
  <c r="F295" i="13"/>
  <c r="E295" i="13"/>
  <c r="F294" i="13"/>
  <c r="E294" i="13"/>
  <c r="F293" i="13"/>
  <c r="E293" i="13"/>
  <c r="F292" i="13"/>
  <c r="E292" i="13"/>
  <c r="F291" i="13"/>
  <c r="E291" i="13"/>
  <c r="F290" i="13"/>
  <c r="E290" i="13"/>
  <c r="F289" i="13"/>
  <c r="E289" i="13"/>
  <c r="F288" i="13"/>
  <c r="E288" i="13"/>
  <c r="F287" i="13"/>
  <c r="E287" i="13"/>
  <c r="F286" i="13"/>
  <c r="E286" i="13"/>
  <c r="F285" i="13"/>
  <c r="E285" i="13"/>
  <c r="F284" i="13"/>
  <c r="E284" i="13"/>
  <c r="F283" i="13"/>
  <c r="E283" i="13"/>
  <c r="F282" i="13"/>
  <c r="E282" i="13"/>
  <c r="F281" i="13"/>
  <c r="E281" i="13"/>
  <c r="F280" i="13"/>
  <c r="E280" i="13"/>
  <c r="F279" i="13"/>
  <c r="E279" i="13"/>
  <c r="F278" i="13"/>
  <c r="E278" i="13"/>
  <c r="F277" i="13"/>
  <c r="E277" i="13"/>
  <c r="F276" i="13"/>
  <c r="E276" i="13"/>
  <c r="F275" i="13"/>
  <c r="E275" i="13"/>
  <c r="F274" i="13"/>
  <c r="E274" i="13"/>
  <c r="F273" i="13"/>
  <c r="E273" i="13"/>
  <c r="F272" i="13"/>
  <c r="E272" i="13"/>
  <c r="F271" i="13"/>
  <c r="E271" i="13"/>
  <c r="F270" i="13"/>
  <c r="E270" i="13"/>
  <c r="F269" i="13"/>
  <c r="E269" i="13"/>
  <c r="F268" i="13"/>
  <c r="E268" i="13"/>
  <c r="F267" i="13"/>
  <c r="E267" i="13"/>
  <c r="F266" i="13"/>
  <c r="E266" i="13"/>
  <c r="F265" i="13"/>
  <c r="E265" i="13"/>
  <c r="F264" i="13"/>
  <c r="E264" i="13"/>
  <c r="F263" i="13"/>
  <c r="E263" i="13"/>
  <c r="F262" i="13"/>
  <c r="E262" i="13"/>
  <c r="F261" i="13"/>
  <c r="E261" i="13"/>
  <c r="F260" i="13"/>
  <c r="E260" i="13"/>
  <c r="F259" i="13"/>
  <c r="E259" i="13"/>
  <c r="F258" i="13"/>
  <c r="E258" i="13"/>
  <c r="F257" i="13"/>
  <c r="E257" i="13"/>
  <c r="F256" i="13"/>
  <c r="E256" i="13"/>
  <c r="F255" i="13"/>
  <c r="E255" i="13"/>
  <c r="F254" i="13"/>
  <c r="E254" i="13"/>
  <c r="F253" i="13"/>
  <c r="E253" i="13"/>
  <c r="F252" i="13"/>
  <c r="E252" i="13"/>
  <c r="F251" i="13"/>
  <c r="E251" i="13"/>
  <c r="F250" i="13"/>
  <c r="E250" i="13"/>
  <c r="F249" i="13"/>
  <c r="E249" i="13"/>
  <c r="F248" i="13"/>
  <c r="E248" i="13"/>
  <c r="F247" i="13"/>
  <c r="E247" i="13"/>
  <c r="F246" i="13"/>
  <c r="E246" i="13"/>
  <c r="F245" i="13"/>
  <c r="E245" i="13"/>
  <c r="F243" i="13"/>
  <c r="E243" i="13"/>
  <c r="F242" i="13"/>
  <c r="E242" i="13"/>
  <c r="F241" i="13"/>
  <c r="E241" i="13"/>
  <c r="F240" i="13"/>
  <c r="E240" i="13"/>
  <c r="F239" i="13"/>
  <c r="E239" i="13"/>
  <c r="F237" i="13"/>
  <c r="E237" i="13"/>
  <c r="F236" i="13"/>
  <c r="E236" i="13"/>
  <c r="F235" i="13"/>
  <c r="E235" i="13"/>
  <c r="F234" i="13"/>
  <c r="E234" i="13"/>
  <c r="F233" i="13"/>
  <c r="E233" i="13"/>
  <c r="F231" i="13"/>
  <c r="E231" i="13"/>
  <c r="F230" i="13"/>
  <c r="E230" i="13"/>
  <c r="F229" i="13"/>
  <c r="E229" i="13"/>
  <c r="F228" i="13"/>
  <c r="E228" i="13"/>
  <c r="F227" i="13"/>
  <c r="E227" i="13"/>
  <c r="F225" i="13"/>
  <c r="E225" i="13"/>
  <c r="F224" i="13"/>
  <c r="E224" i="13"/>
  <c r="F223" i="13"/>
  <c r="E223" i="13"/>
  <c r="F222" i="13"/>
  <c r="E222" i="13"/>
  <c r="F221" i="13"/>
  <c r="E221" i="13"/>
  <c r="F220" i="13"/>
  <c r="E220" i="13"/>
  <c r="F219" i="13"/>
  <c r="E219" i="13"/>
  <c r="F214" i="13"/>
  <c r="E214" i="13"/>
  <c r="F213" i="13"/>
  <c r="E213" i="13"/>
  <c r="F212" i="13"/>
  <c r="E212" i="13"/>
  <c r="F211" i="13"/>
  <c r="E211" i="13"/>
  <c r="AD206" i="13"/>
  <c r="AD205" i="13"/>
  <c r="AD204" i="13"/>
  <c r="F204" i="13"/>
  <c r="E204" i="13"/>
  <c r="AD203" i="13"/>
  <c r="F203" i="13"/>
  <c r="E203" i="13"/>
  <c r="AD202" i="13"/>
  <c r="F202" i="13"/>
  <c r="E202" i="13"/>
  <c r="AD201" i="13"/>
  <c r="F201" i="13"/>
  <c r="E201" i="13"/>
  <c r="F196" i="13"/>
  <c r="E196" i="13"/>
  <c r="F195" i="13"/>
  <c r="E195" i="13"/>
  <c r="F194" i="13"/>
  <c r="E194" i="13"/>
  <c r="F193" i="13"/>
  <c r="E193" i="13"/>
  <c r="F192" i="13"/>
  <c r="E192" i="13"/>
  <c r="F186" i="13"/>
  <c r="E186" i="13"/>
  <c r="F185" i="13"/>
  <c r="E185" i="13"/>
  <c r="F184" i="13"/>
  <c r="E184" i="13"/>
  <c r="F183" i="13"/>
  <c r="E183" i="13"/>
  <c r="F182" i="13"/>
  <c r="E182" i="13"/>
  <c r="F181" i="13"/>
  <c r="E181" i="13"/>
  <c r="F180" i="13"/>
  <c r="E180" i="13"/>
  <c r="F179" i="13"/>
  <c r="E179" i="13"/>
  <c r="F178" i="13"/>
  <c r="E178" i="13"/>
  <c r="F177" i="13"/>
  <c r="E177" i="13"/>
  <c r="AW176" i="13"/>
  <c r="AV176" i="13"/>
  <c r="AU176" i="13"/>
  <c r="AT176" i="13"/>
  <c r="AS176" i="13"/>
  <c r="AR176" i="13"/>
  <c r="AQ176" i="13"/>
  <c r="AP176" i="13"/>
  <c r="AO176" i="13"/>
  <c r="AN176" i="13"/>
  <c r="AM176" i="13"/>
  <c r="AL176" i="13"/>
  <c r="AK176" i="13"/>
  <c r="AJ176" i="13"/>
  <c r="AI176" i="13"/>
  <c r="AH176" i="13"/>
  <c r="AG176" i="13"/>
  <c r="AF176" i="13"/>
  <c r="AE176" i="13"/>
  <c r="AD176" i="13"/>
  <c r="AB176" i="13"/>
  <c r="AA176" i="13"/>
  <c r="Z176" i="13"/>
  <c r="Y176" i="13"/>
  <c r="X176" i="13"/>
  <c r="W176" i="13"/>
  <c r="V176" i="13"/>
  <c r="U176" i="13"/>
  <c r="T176" i="13"/>
  <c r="S176" i="13"/>
  <c r="R176" i="13"/>
  <c r="Q176" i="13"/>
  <c r="P176" i="13"/>
  <c r="O176" i="13"/>
  <c r="N176" i="13"/>
  <c r="M176" i="13"/>
  <c r="L176" i="13"/>
  <c r="K176" i="13"/>
  <c r="J176" i="13"/>
  <c r="I176" i="13"/>
  <c r="H176" i="13"/>
  <c r="G176" i="13"/>
  <c r="E175" i="13"/>
  <c r="D175" i="13" s="1"/>
  <c r="E174" i="13"/>
  <c r="D174" i="13" s="1"/>
  <c r="E173" i="13"/>
  <c r="D173" i="13" s="1"/>
  <c r="E172" i="13"/>
  <c r="D172" i="13" s="1"/>
  <c r="E171" i="13"/>
  <c r="D171" i="13" s="1"/>
  <c r="F170" i="13"/>
  <c r="D170" i="13" s="1"/>
  <c r="F169" i="13"/>
  <c r="D169" i="13" s="1"/>
  <c r="F168" i="13"/>
  <c r="D168" i="13" s="1"/>
  <c r="F167" i="13"/>
  <c r="D167" i="13" s="1"/>
  <c r="F166" i="13"/>
  <c r="D166" i="13" s="1"/>
  <c r="F165" i="13"/>
  <c r="D165" i="13" s="1"/>
  <c r="AW164" i="13"/>
  <c r="AV164" i="13"/>
  <c r="AU164" i="13"/>
  <c r="AT164" i="13"/>
  <c r="AS164" i="13"/>
  <c r="AR164" i="13"/>
  <c r="AQ164" i="13"/>
  <c r="AP164" i="13"/>
  <c r="AN164" i="13"/>
  <c r="AL164" i="13"/>
  <c r="AJ164" i="13"/>
  <c r="AH164" i="13"/>
  <c r="AF164" i="13"/>
  <c r="F163" i="13"/>
  <c r="D163" i="13" s="1"/>
  <c r="F162" i="13"/>
  <c r="D162" i="13" s="1"/>
  <c r="F161" i="13"/>
  <c r="D161" i="13" s="1"/>
  <c r="F160" i="13"/>
  <c r="D160" i="13" s="1"/>
  <c r="AX155" i="13"/>
  <c r="AW155" i="13"/>
  <c r="AV155" i="13"/>
  <c r="AU155" i="13"/>
  <c r="AT155" i="13"/>
  <c r="AS155" i="13"/>
  <c r="AR155" i="13"/>
  <c r="AQ155" i="13"/>
  <c r="AP155" i="13"/>
  <c r="AO155" i="13"/>
  <c r="AN155" i="13"/>
  <c r="AM155" i="13"/>
  <c r="AL155" i="13"/>
  <c r="AK155" i="13"/>
  <c r="AJ155" i="13"/>
  <c r="AI155" i="13"/>
  <c r="AH155" i="13"/>
  <c r="AG155" i="13"/>
  <c r="AF155" i="13"/>
  <c r="AE155" i="13"/>
  <c r="AD155" i="13"/>
  <c r="AC155" i="13"/>
  <c r="AB155" i="13"/>
  <c r="AA155" i="13"/>
  <c r="Z155" i="13"/>
  <c r="Y155" i="13"/>
  <c r="X155" i="13"/>
  <c r="W155" i="13"/>
  <c r="V155" i="13"/>
  <c r="U155" i="13"/>
  <c r="T155" i="13"/>
  <c r="S155" i="13"/>
  <c r="R155" i="13"/>
  <c r="Q155" i="13"/>
  <c r="P155" i="13"/>
  <c r="O155" i="13"/>
  <c r="N155" i="13"/>
  <c r="M155" i="13"/>
  <c r="L155" i="13"/>
  <c r="K155" i="13"/>
  <c r="J155" i="13"/>
  <c r="I155" i="13"/>
  <c r="H155" i="13"/>
  <c r="G155" i="13"/>
  <c r="F154" i="13"/>
  <c r="E154" i="13"/>
  <c r="F153" i="13"/>
  <c r="E153" i="13"/>
  <c r="F152" i="13"/>
  <c r="E152" i="13"/>
  <c r="F151" i="13"/>
  <c r="E151" i="13"/>
  <c r="F150" i="13"/>
  <c r="E150" i="13"/>
  <c r="F149" i="13"/>
  <c r="E149" i="13"/>
  <c r="F148" i="13"/>
  <c r="E148" i="13"/>
  <c r="F147" i="13"/>
  <c r="E147" i="13"/>
  <c r="E146" i="13"/>
  <c r="D146" i="13" s="1"/>
  <c r="AW141" i="13"/>
  <c r="AV141" i="13"/>
  <c r="AU141" i="13"/>
  <c r="AT141" i="13"/>
  <c r="AS141" i="13"/>
  <c r="AR141" i="13"/>
  <c r="AQ141" i="13"/>
  <c r="AP141" i="13"/>
  <c r="AO141" i="13"/>
  <c r="AN141" i="13"/>
  <c r="AM141" i="13"/>
  <c r="AL141" i="13"/>
  <c r="AK141" i="13"/>
  <c r="AJ141" i="13"/>
  <c r="AI141" i="13"/>
  <c r="AH141" i="13"/>
  <c r="AG141" i="13"/>
  <c r="AF141" i="13"/>
  <c r="AE141" i="13"/>
  <c r="AD141" i="13"/>
  <c r="AC141" i="13"/>
  <c r="AB141" i="13"/>
  <c r="AA141" i="13"/>
  <c r="Z141" i="13"/>
  <c r="Y141" i="13"/>
  <c r="X141" i="13"/>
  <c r="W141" i="13"/>
  <c r="V141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0" i="13"/>
  <c r="CX140" i="13" s="1"/>
  <c r="E140" i="13"/>
  <c r="F139" i="13"/>
  <c r="CX139" i="13" s="1"/>
  <c r="E139" i="13"/>
  <c r="F138" i="13"/>
  <c r="CX138" i="13" s="1"/>
  <c r="E138" i="13"/>
  <c r="F137" i="13"/>
  <c r="CX137" i="13" s="1"/>
  <c r="E137" i="13"/>
  <c r="F136" i="13"/>
  <c r="CX136" i="13" s="1"/>
  <c r="E136" i="13"/>
  <c r="F135" i="13"/>
  <c r="CX135" i="13" s="1"/>
  <c r="E135" i="13"/>
  <c r="F134" i="13"/>
  <c r="CX134" i="13" s="1"/>
  <c r="E134" i="13"/>
  <c r="F133" i="13"/>
  <c r="CX133" i="13" s="1"/>
  <c r="E133" i="13"/>
  <c r="F132" i="13"/>
  <c r="CX132" i="13" s="1"/>
  <c r="E132" i="13"/>
  <c r="F131" i="13"/>
  <c r="CX131" i="13" s="1"/>
  <c r="E131" i="13"/>
  <c r="F130" i="13"/>
  <c r="CX130" i="13" s="1"/>
  <c r="E130" i="13"/>
  <c r="F129" i="13"/>
  <c r="CX129" i="13" s="1"/>
  <c r="E129" i="13"/>
  <c r="F128" i="13"/>
  <c r="CX128" i="13" s="1"/>
  <c r="E128" i="13"/>
  <c r="F127" i="13"/>
  <c r="CX127" i="13" s="1"/>
  <c r="E127" i="13"/>
  <c r="F126" i="13"/>
  <c r="CX126" i="13" s="1"/>
  <c r="E126" i="13"/>
  <c r="F125" i="13"/>
  <c r="CX125" i="13" s="1"/>
  <c r="E125" i="13"/>
  <c r="F124" i="13"/>
  <c r="CX124" i="13" s="1"/>
  <c r="E124" i="13"/>
  <c r="F123" i="13"/>
  <c r="CX123" i="13" s="1"/>
  <c r="E123" i="13"/>
  <c r="F122" i="13"/>
  <c r="CX122" i="13" s="1"/>
  <c r="E122" i="13"/>
  <c r="F121" i="13"/>
  <c r="CX121" i="13" s="1"/>
  <c r="E121" i="13"/>
  <c r="F120" i="13"/>
  <c r="CX120" i="13" s="1"/>
  <c r="E120" i="13"/>
  <c r="F119" i="13"/>
  <c r="CX119" i="13" s="1"/>
  <c r="E119" i="13"/>
  <c r="F118" i="13"/>
  <c r="CX118" i="13" s="1"/>
  <c r="E118" i="13"/>
  <c r="F117" i="13"/>
  <c r="CX117" i="13" s="1"/>
  <c r="E117" i="13"/>
  <c r="F116" i="13"/>
  <c r="CX116" i="13" s="1"/>
  <c r="E116" i="13"/>
  <c r="F115" i="13"/>
  <c r="CX115" i="13" s="1"/>
  <c r="E115" i="13"/>
  <c r="F114" i="13"/>
  <c r="CX114" i="13" s="1"/>
  <c r="E114" i="13"/>
  <c r="F113" i="13"/>
  <c r="CX113" i="13" s="1"/>
  <c r="E113" i="13"/>
  <c r="F112" i="13"/>
  <c r="CX112" i="13" s="1"/>
  <c r="E112" i="13"/>
  <c r="F111" i="13"/>
  <c r="CX111" i="13" s="1"/>
  <c r="E111" i="13"/>
  <c r="F110" i="13"/>
  <c r="CX110" i="13" s="1"/>
  <c r="E110" i="13"/>
  <c r="F109" i="13"/>
  <c r="CX109" i="13" s="1"/>
  <c r="E109" i="13"/>
  <c r="F108" i="13"/>
  <c r="CX108" i="13" s="1"/>
  <c r="E108" i="13"/>
  <c r="F107" i="13"/>
  <c r="CX107" i="13" s="1"/>
  <c r="E107" i="13"/>
  <c r="F106" i="13"/>
  <c r="CX106" i="13" s="1"/>
  <c r="E106" i="13"/>
  <c r="F105" i="13"/>
  <c r="CX105" i="13" s="1"/>
  <c r="E105" i="13"/>
  <c r="F104" i="13"/>
  <c r="CX104" i="13" s="1"/>
  <c r="E104" i="13"/>
  <c r="F103" i="13"/>
  <c r="CX103" i="13" s="1"/>
  <c r="E103" i="13"/>
  <c r="F102" i="13"/>
  <c r="CX102" i="13" s="1"/>
  <c r="E102" i="13"/>
  <c r="F101" i="13"/>
  <c r="CX101" i="13" s="1"/>
  <c r="E101" i="13"/>
  <c r="F100" i="13"/>
  <c r="CX100" i="13" s="1"/>
  <c r="E100" i="13"/>
  <c r="F99" i="13"/>
  <c r="CX99" i="13" s="1"/>
  <c r="E99" i="13"/>
  <c r="F98" i="13"/>
  <c r="CX98" i="13" s="1"/>
  <c r="E98" i="13"/>
  <c r="F97" i="13"/>
  <c r="CX97" i="13" s="1"/>
  <c r="E97" i="13"/>
  <c r="F96" i="13"/>
  <c r="CX96" i="13" s="1"/>
  <c r="E96" i="13"/>
  <c r="F95" i="13"/>
  <c r="CX95" i="13" s="1"/>
  <c r="E95" i="13"/>
  <c r="F94" i="13"/>
  <c r="CX94" i="13" s="1"/>
  <c r="E94" i="13"/>
  <c r="F93" i="13"/>
  <c r="CX93" i="13" s="1"/>
  <c r="E93" i="13"/>
  <c r="F92" i="13"/>
  <c r="CX92" i="13" s="1"/>
  <c r="E92" i="13"/>
  <c r="F91" i="13"/>
  <c r="CX91" i="13" s="1"/>
  <c r="E91" i="13"/>
  <c r="F90" i="13"/>
  <c r="CX90" i="13" s="1"/>
  <c r="E90" i="13"/>
  <c r="F89" i="13"/>
  <c r="CX89" i="13" s="1"/>
  <c r="E89" i="13"/>
  <c r="F88" i="13"/>
  <c r="CX88" i="13" s="1"/>
  <c r="E88" i="13"/>
  <c r="D83" i="13"/>
  <c r="D82" i="13"/>
  <c r="AX64" i="13"/>
  <c r="AW64" i="13"/>
  <c r="AV64" i="13"/>
  <c r="AU64" i="13"/>
  <c r="AT64" i="13"/>
  <c r="AS64" i="13"/>
  <c r="AR64" i="13"/>
  <c r="AQ64" i="13"/>
  <c r="AP64" i="13"/>
  <c r="AO64" i="13"/>
  <c r="AN64" i="13"/>
  <c r="AM64" i="13"/>
  <c r="AL64" i="13"/>
  <c r="AK64" i="13"/>
  <c r="AJ64" i="13"/>
  <c r="AI64" i="13"/>
  <c r="AH64" i="13"/>
  <c r="AG64" i="13"/>
  <c r="AF64" i="13"/>
  <c r="AE64" i="13"/>
  <c r="AD64" i="13"/>
  <c r="AC64" i="13"/>
  <c r="AB64" i="13"/>
  <c r="AA64" i="13"/>
  <c r="Z64" i="13"/>
  <c r="Y64" i="13"/>
  <c r="F63" i="13"/>
  <c r="E63" i="13"/>
  <c r="F62" i="13"/>
  <c r="E62" i="13"/>
  <c r="F61" i="13"/>
  <c r="E61" i="13"/>
  <c r="AX60" i="13"/>
  <c r="AW60" i="13"/>
  <c r="AV60" i="13"/>
  <c r="AU60" i="13"/>
  <c r="AT60" i="13"/>
  <c r="AS60" i="13"/>
  <c r="AR60" i="13"/>
  <c r="AQ60" i="13"/>
  <c r="AP60" i="13"/>
  <c r="AO60" i="13"/>
  <c r="AN60" i="13"/>
  <c r="AM60" i="13"/>
  <c r="AL60" i="13"/>
  <c r="AK60" i="13"/>
  <c r="AJ60" i="13"/>
  <c r="AI60" i="13"/>
  <c r="AH60" i="13"/>
  <c r="AG60" i="13"/>
  <c r="AF60" i="13"/>
  <c r="AE60" i="13"/>
  <c r="AD60" i="13"/>
  <c r="AC60" i="13"/>
  <c r="AB60" i="13"/>
  <c r="AA60" i="13"/>
  <c r="Z60" i="13"/>
  <c r="Y60" i="13"/>
  <c r="X60" i="13"/>
  <c r="W60" i="13"/>
  <c r="V60" i="13"/>
  <c r="U60" i="13"/>
  <c r="T60" i="13"/>
  <c r="S60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F59" i="13"/>
  <c r="E59" i="13"/>
  <c r="F58" i="13"/>
  <c r="E58" i="13"/>
  <c r="F57" i="13"/>
  <c r="E57" i="13"/>
  <c r="F56" i="13"/>
  <c r="E56" i="13"/>
  <c r="F55" i="13"/>
  <c r="E55" i="13"/>
  <c r="AX54" i="13"/>
  <c r="AW54" i="13"/>
  <c r="AV54" i="13"/>
  <c r="AU54" i="13"/>
  <c r="AT54" i="13"/>
  <c r="AS54" i="13"/>
  <c r="AR54" i="13"/>
  <c r="AQ54" i="13"/>
  <c r="AP54" i="13"/>
  <c r="AO54" i="13"/>
  <c r="AN54" i="13"/>
  <c r="AM54" i="13"/>
  <c r="AL54" i="13"/>
  <c r="AK54" i="13"/>
  <c r="AJ54" i="13"/>
  <c r="AI54" i="13"/>
  <c r="AH54" i="13"/>
  <c r="AG54" i="13"/>
  <c r="AF54" i="13"/>
  <c r="AE54" i="13"/>
  <c r="AD54" i="13"/>
  <c r="AC54" i="13"/>
  <c r="AB54" i="13"/>
  <c r="AA54" i="13"/>
  <c r="Z54" i="13"/>
  <c r="Y54" i="13"/>
  <c r="X54" i="13"/>
  <c r="W54" i="13"/>
  <c r="V54" i="13"/>
  <c r="U54" i="13"/>
  <c r="T54" i="13"/>
  <c r="S54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F53" i="13"/>
  <c r="E53" i="13"/>
  <c r="F52" i="13"/>
  <c r="E52" i="13"/>
  <c r="F51" i="13"/>
  <c r="E51" i="13"/>
  <c r="F50" i="13"/>
  <c r="E50" i="13"/>
  <c r="F49" i="13"/>
  <c r="E49" i="13"/>
  <c r="F48" i="13"/>
  <c r="E48" i="13"/>
  <c r="F47" i="13"/>
  <c r="E47" i="13"/>
  <c r="AX46" i="13"/>
  <c r="AW46" i="13"/>
  <c r="AV46" i="13"/>
  <c r="AU46" i="13"/>
  <c r="AT46" i="13"/>
  <c r="AS46" i="13"/>
  <c r="AR46" i="13"/>
  <c r="AQ46" i="13"/>
  <c r="AP46" i="13"/>
  <c r="AO46" i="13"/>
  <c r="AN46" i="13"/>
  <c r="AM46" i="13"/>
  <c r="AL46" i="13"/>
  <c r="AK46" i="13"/>
  <c r="AJ46" i="13"/>
  <c r="AI46" i="13"/>
  <c r="AH46" i="13"/>
  <c r="AG46" i="13"/>
  <c r="AF46" i="13"/>
  <c r="AE46" i="13"/>
  <c r="AD46" i="13"/>
  <c r="AC46" i="13"/>
  <c r="AB46" i="13"/>
  <c r="AA46" i="13"/>
  <c r="Z46" i="13"/>
  <c r="Y46" i="13"/>
  <c r="X46" i="13"/>
  <c r="W46" i="13"/>
  <c r="V46" i="13"/>
  <c r="U46" i="13"/>
  <c r="T46" i="13"/>
  <c r="S46" i="13"/>
  <c r="F45" i="13"/>
  <c r="E45" i="13"/>
  <c r="F44" i="13"/>
  <c r="CX44" i="13" s="1"/>
  <c r="E44" i="13"/>
  <c r="F43" i="13"/>
  <c r="CX43" i="13" s="1"/>
  <c r="E43" i="13"/>
  <c r="F42" i="13"/>
  <c r="E42" i="13"/>
  <c r="F41" i="13"/>
  <c r="E41" i="13"/>
  <c r="AX36" i="13"/>
  <c r="AW36" i="13"/>
  <c r="AV36" i="13"/>
  <c r="AU36" i="13"/>
  <c r="AT36" i="13"/>
  <c r="AS36" i="13"/>
  <c r="AR36" i="13"/>
  <c r="AQ36" i="13"/>
  <c r="AP36" i="13"/>
  <c r="AO36" i="13"/>
  <c r="AN36" i="13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5" i="13"/>
  <c r="E35" i="13"/>
  <c r="F34" i="13"/>
  <c r="E34" i="13"/>
  <c r="F33" i="13"/>
  <c r="E33" i="13"/>
  <c r="F32" i="13"/>
  <c r="E32" i="13"/>
  <c r="F31" i="13"/>
  <c r="E31" i="13"/>
  <c r="F30" i="13"/>
  <c r="E30" i="13"/>
  <c r="F29" i="13"/>
  <c r="E29" i="13"/>
  <c r="F28" i="13"/>
  <c r="E28" i="13"/>
  <c r="F27" i="13"/>
  <c r="E27" i="13"/>
  <c r="F26" i="13"/>
  <c r="E26" i="13"/>
  <c r="F25" i="13"/>
  <c r="E25" i="13"/>
  <c r="F24" i="13"/>
  <c r="E24" i="13"/>
  <c r="F23" i="13"/>
  <c r="E23" i="13"/>
  <c r="F22" i="13"/>
  <c r="E22" i="13"/>
  <c r="F21" i="13"/>
  <c r="E21" i="13"/>
  <c r="F20" i="13"/>
  <c r="E20" i="13"/>
  <c r="F19" i="13"/>
  <c r="CX19" i="13" s="1"/>
  <c r="E19" i="13"/>
  <c r="F15" i="13"/>
  <c r="CY15" i="13" s="1"/>
  <c r="E15" i="13"/>
  <c r="F14" i="13"/>
  <c r="CY14" i="13" s="1"/>
  <c r="E14" i="13"/>
  <c r="F13" i="13"/>
  <c r="CY13" i="13" s="1"/>
  <c r="E13" i="13"/>
  <c r="F12" i="13"/>
  <c r="CY12" i="13" s="1"/>
  <c r="E12" i="13"/>
  <c r="CY174" i="13" l="1"/>
  <c r="CX174" i="13"/>
  <c r="DA174" i="13"/>
  <c r="CZ174" i="13"/>
  <c r="CY172" i="13"/>
  <c r="CX172" i="13"/>
  <c r="CZ172" i="13"/>
  <c r="DA172" i="13"/>
  <c r="CY175" i="13"/>
  <c r="CX175" i="13"/>
  <c r="DA175" i="13"/>
  <c r="CZ175" i="13"/>
  <c r="DA173" i="13"/>
  <c r="CZ173" i="13"/>
  <c r="CY173" i="13"/>
  <c r="CX173" i="13"/>
  <c r="CY171" i="13"/>
  <c r="CX171" i="13"/>
  <c r="DA171" i="13"/>
  <c r="CZ171" i="13"/>
  <c r="DA170" i="13"/>
  <c r="CZ170" i="13"/>
  <c r="CY170" i="13"/>
  <c r="CX170" i="13"/>
  <c r="DA169" i="13"/>
  <c r="CZ169" i="13"/>
  <c r="CY169" i="13"/>
  <c r="CX169" i="13"/>
  <c r="CY168" i="13"/>
  <c r="CX168" i="13"/>
  <c r="DA168" i="13"/>
  <c r="CZ168" i="13"/>
  <c r="DA167" i="13"/>
  <c r="CZ167" i="13"/>
  <c r="CY167" i="13"/>
  <c r="CX167" i="13"/>
  <c r="CZ166" i="13"/>
  <c r="CY166" i="13"/>
  <c r="CX166" i="13"/>
  <c r="DA166" i="13"/>
  <c r="DA165" i="13"/>
  <c r="CZ165" i="13"/>
  <c r="CY165" i="13"/>
  <c r="CX165" i="13"/>
  <c r="CX163" i="13"/>
  <c r="CY163" i="13"/>
  <c r="CZ163" i="13"/>
  <c r="DA163" i="13"/>
  <c r="CX162" i="13"/>
  <c r="CY162" i="13"/>
  <c r="CZ162" i="13"/>
  <c r="DA162" i="13"/>
  <c r="CX161" i="13"/>
  <c r="CY161" i="13"/>
  <c r="CZ161" i="13"/>
  <c r="DA161" i="13"/>
  <c r="DG220" i="13"/>
  <c r="CW220" i="13"/>
  <c r="CW227" i="13"/>
  <c r="DG227" i="13"/>
  <c r="CW231" i="13"/>
  <c r="DG231" i="13"/>
  <c r="DG236" i="13"/>
  <c r="CW236" i="13"/>
  <c r="CW241" i="13"/>
  <c r="DG241" i="13"/>
  <c r="CW262" i="13"/>
  <c r="DG262" i="13"/>
  <c r="DG266" i="13"/>
  <c r="CW266" i="13"/>
  <c r="CW270" i="13"/>
  <c r="DG270" i="13"/>
  <c r="DG274" i="13"/>
  <c r="CW274" i="13"/>
  <c r="CW278" i="13"/>
  <c r="DG278" i="13"/>
  <c r="DG284" i="13"/>
  <c r="CW284" i="13"/>
  <c r="DG288" i="13"/>
  <c r="CW288" i="13"/>
  <c r="CW294" i="13"/>
  <c r="DG294" i="13"/>
  <c r="DG298" i="13"/>
  <c r="CW298" i="13"/>
  <c r="CW221" i="13"/>
  <c r="DG221" i="13"/>
  <c r="DG228" i="13"/>
  <c r="CW228" i="13"/>
  <c r="CW233" i="13"/>
  <c r="DG233" i="13"/>
  <c r="CW237" i="13"/>
  <c r="DG237" i="13"/>
  <c r="DG242" i="13"/>
  <c r="CW242" i="13"/>
  <c r="CW259" i="13"/>
  <c r="DG259" i="13"/>
  <c r="CW263" i="13"/>
  <c r="DG263" i="13"/>
  <c r="CW267" i="13"/>
  <c r="DG267" i="13"/>
  <c r="CW271" i="13"/>
  <c r="DG271" i="13"/>
  <c r="CW273" i="13"/>
  <c r="DG273" i="13"/>
  <c r="CW275" i="13"/>
  <c r="DG275" i="13"/>
  <c r="CW277" i="13"/>
  <c r="DG277" i="13"/>
  <c r="CW281" i="13"/>
  <c r="DG281" i="13"/>
  <c r="CW283" i="13"/>
  <c r="DG283" i="13"/>
  <c r="CW285" i="13"/>
  <c r="DG285" i="13"/>
  <c r="CW287" i="13"/>
  <c r="DG287" i="13"/>
  <c r="CW289" i="13"/>
  <c r="DG289" i="13"/>
  <c r="CW291" i="13"/>
  <c r="DG291" i="13"/>
  <c r="CW293" i="13"/>
  <c r="DG293" i="13"/>
  <c r="CW295" i="13"/>
  <c r="DG295" i="13"/>
  <c r="CW297" i="13"/>
  <c r="DG297" i="13"/>
  <c r="CW222" i="13"/>
  <c r="DG222" i="13"/>
  <c r="DG224" i="13"/>
  <c r="CW224" i="13"/>
  <c r="CW229" i="13"/>
  <c r="DG229" i="13"/>
  <c r="DG234" i="13"/>
  <c r="CW234" i="13"/>
  <c r="CW239" i="13"/>
  <c r="DG239" i="13"/>
  <c r="CW243" i="13"/>
  <c r="DG243" i="13"/>
  <c r="DG258" i="13"/>
  <c r="CW258" i="13"/>
  <c r="DG260" i="13"/>
  <c r="CW260" i="13"/>
  <c r="DG264" i="13"/>
  <c r="CW264" i="13"/>
  <c r="DG268" i="13"/>
  <c r="CW268" i="13"/>
  <c r="DG272" i="13"/>
  <c r="CW272" i="13"/>
  <c r="DG276" i="13"/>
  <c r="CW276" i="13"/>
  <c r="DG280" i="13"/>
  <c r="CW280" i="13"/>
  <c r="DG282" i="13"/>
  <c r="CW282" i="13"/>
  <c r="CW286" i="13"/>
  <c r="DG286" i="13"/>
  <c r="DG290" i="13"/>
  <c r="CW290" i="13"/>
  <c r="DG292" i="13"/>
  <c r="CW292" i="13"/>
  <c r="DG296" i="13"/>
  <c r="CW296" i="13"/>
  <c r="CW223" i="13"/>
  <c r="DG223" i="13"/>
  <c r="CW225" i="13"/>
  <c r="DG225" i="13"/>
  <c r="CW230" i="13"/>
  <c r="DG230" i="13"/>
  <c r="CW235" i="13"/>
  <c r="DG235" i="13"/>
  <c r="DG240" i="13"/>
  <c r="CW240" i="13"/>
  <c r="CW257" i="13"/>
  <c r="DG257" i="13"/>
  <c r="CW261" i="13"/>
  <c r="DG261" i="13"/>
  <c r="CW265" i="13"/>
  <c r="DG265" i="13"/>
  <c r="CW269" i="13"/>
  <c r="DG269" i="13"/>
  <c r="CW279" i="13"/>
  <c r="DG279" i="13"/>
  <c r="DA160" i="13"/>
  <c r="CZ160" i="13"/>
  <c r="DI174" i="13"/>
  <c r="DJ174" i="13"/>
  <c r="DK174" i="13"/>
  <c r="DH174" i="13"/>
  <c r="DM174" i="13"/>
  <c r="DK175" i="13"/>
  <c r="DH175" i="13"/>
  <c r="DM175" i="13"/>
  <c r="DI175" i="13"/>
  <c r="DJ175" i="13"/>
  <c r="DK173" i="13"/>
  <c r="DH173" i="13"/>
  <c r="DM173" i="13"/>
  <c r="DI173" i="13"/>
  <c r="DJ173" i="13"/>
  <c r="DJ172" i="13"/>
  <c r="DK172" i="13"/>
  <c r="DH172" i="13"/>
  <c r="DL172" i="13"/>
  <c r="DB172" i="13"/>
  <c r="DI172" i="13"/>
  <c r="DM172" i="13"/>
  <c r="DH171" i="13"/>
  <c r="DM171" i="13"/>
  <c r="DK171" i="13"/>
  <c r="DI171" i="13"/>
  <c r="DJ171" i="13"/>
  <c r="DJ165" i="13"/>
  <c r="DM165" i="13"/>
  <c r="DI165" i="13"/>
  <c r="DL165" i="13"/>
  <c r="DH165" i="13"/>
  <c r="DK165" i="13"/>
  <c r="DB165" i="13"/>
  <c r="DI166" i="13"/>
  <c r="DM166" i="13"/>
  <c r="DJ166" i="13"/>
  <c r="DK166" i="13"/>
  <c r="DH166" i="13"/>
  <c r="DL166" i="13"/>
  <c r="DB166" i="13"/>
  <c r="DI170" i="13"/>
  <c r="DM170" i="13"/>
  <c r="DJ170" i="13"/>
  <c r="DK170" i="13"/>
  <c r="DH170" i="13"/>
  <c r="DL170" i="13"/>
  <c r="DB170" i="13"/>
  <c r="DJ167" i="13"/>
  <c r="DK167" i="13"/>
  <c r="DH167" i="13"/>
  <c r="DL167" i="13"/>
  <c r="DB167" i="13"/>
  <c r="DI167" i="13"/>
  <c r="DM167" i="13"/>
  <c r="DH169" i="13"/>
  <c r="DL169" i="13"/>
  <c r="DB169" i="13"/>
  <c r="DI169" i="13"/>
  <c r="DM169" i="13"/>
  <c r="DJ169" i="13"/>
  <c r="DK169" i="13"/>
  <c r="DK168" i="13"/>
  <c r="DH168" i="13"/>
  <c r="DL168" i="13"/>
  <c r="DB168" i="13"/>
  <c r="DI168" i="13"/>
  <c r="DM168" i="13"/>
  <c r="DJ168" i="13"/>
  <c r="DM162" i="13"/>
  <c r="DH162" i="13"/>
  <c r="DI162" i="13"/>
  <c r="DJ162" i="13"/>
  <c r="DK162" i="13"/>
  <c r="DK163" i="13"/>
  <c r="DH163" i="13"/>
  <c r="DI163" i="13"/>
  <c r="DJ163" i="13"/>
  <c r="DI161" i="13"/>
  <c r="DM161" i="13"/>
  <c r="DJ161" i="13"/>
  <c r="DK161" i="13"/>
  <c r="DC161" i="13"/>
  <c r="DH161" i="13"/>
  <c r="DH160" i="13"/>
  <c r="DK160" i="13"/>
  <c r="CX160" i="13"/>
  <c r="DJ160" i="13"/>
  <c r="CY160" i="13"/>
  <c r="DI160" i="13"/>
  <c r="DH149" i="13"/>
  <c r="DI149" i="13"/>
  <c r="CX149" i="13"/>
  <c r="CY149" i="13"/>
  <c r="DH151" i="13"/>
  <c r="CX151" i="13"/>
  <c r="DI151" i="13"/>
  <c r="CY151" i="13"/>
  <c r="DI148" i="13"/>
  <c r="CX148" i="13"/>
  <c r="CY148" i="13"/>
  <c r="DH148" i="13"/>
  <c r="CX150" i="13"/>
  <c r="DH150" i="13"/>
  <c r="CY150" i="13"/>
  <c r="DI150" i="13"/>
  <c r="DI152" i="13"/>
  <c r="CX152" i="13"/>
  <c r="CY152" i="13"/>
  <c r="DH152" i="13"/>
  <c r="CX154" i="13"/>
  <c r="DH154" i="13"/>
  <c r="CY154" i="13"/>
  <c r="DI154" i="13"/>
  <c r="DH147" i="13"/>
  <c r="CX147" i="13"/>
  <c r="DI147" i="13"/>
  <c r="CY147" i="13"/>
  <c r="DH153" i="13"/>
  <c r="DI153" i="13"/>
  <c r="CX153" i="13"/>
  <c r="CY153" i="13"/>
  <c r="CY61" i="13"/>
  <c r="DH61" i="13"/>
  <c r="DI61" i="13"/>
  <c r="CX61" i="13"/>
  <c r="DI62" i="13"/>
  <c r="CX62" i="13"/>
  <c r="CY62" i="13"/>
  <c r="DH62" i="13"/>
  <c r="DH63" i="13"/>
  <c r="CY63" i="13"/>
  <c r="DI63" i="13"/>
  <c r="CX63" i="13"/>
  <c r="DH58" i="13"/>
  <c r="CY58" i="13"/>
  <c r="DI58" i="13"/>
  <c r="CX58" i="13"/>
  <c r="CX55" i="13"/>
  <c r="DI55" i="13"/>
  <c r="DH55" i="13"/>
  <c r="CY55" i="13"/>
  <c r="CY59" i="13"/>
  <c r="DI59" i="13"/>
  <c r="CX59" i="13"/>
  <c r="DH59" i="13"/>
  <c r="DH56" i="13"/>
  <c r="CY56" i="13"/>
  <c r="DI56" i="13"/>
  <c r="CX56" i="13"/>
  <c r="CY57" i="13"/>
  <c r="DI57" i="13"/>
  <c r="CX57" i="13"/>
  <c r="DH57" i="13"/>
  <c r="DH53" i="13"/>
  <c r="CY53" i="13"/>
  <c r="DI53" i="13"/>
  <c r="CX53" i="13"/>
  <c r="DH47" i="13"/>
  <c r="CY47" i="13"/>
  <c r="DI47" i="13"/>
  <c r="CX47" i="13"/>
  <c r="DH51" i="13"/>
  <c r="CY51" i="13"/>
  <c r="DI51" i="13"/>
  <c r="CX51" i="13"/>
  <c r="CY48" i="13"/>
  <c r="DI48" i="13"/>
  <c r="CX48" i="13"/>
  <c r="DH48" i="13"/>
  <c r="CY52" i="13"/>
  <c r="DI52" i="13"/>
  <c r="CX52" i="13"/>
  <c r="DH52" i="13"/>
  <c r="DH49" i="13"/>
  <c r="CY49" i="13"/>
  <c r="CX49" i="13"/>
  <c r="DI49" i="13"/>
  <c r="CY50" i="13"/>
  <c r="DI50" i="13"/>
  <c r="CX50" i="13"/>
  <c r="DH50" i="13"/>
  <c r="CX42" i="13"/>
  <c r="CY42" i="13"/>
  <c r="CX45" i="13"/>
  <c r="CY45" i="13"/>
  <c r="CX41" i="13"/>
  <c r="CY41" i="13"/>
  <c r="DI41" i="13"/>
  <c r="DH41" i="13"/>
  <c r="CX21" i="13"/>
  <c r="CY21" i="13"/>
  <c r="CX25" i="13"/>
  <c r="CY25" i="13"/>
  <c r="CY29" i="13"/>
  <c r="CX29" i="13"/>
  <c r="CY31" i="13"/>
  <c r="CX31" i="13"/>
  <c r="CY35" i="13"/>
  <c r="CX35" i="13"/>
  <c r="CX23" i="13"/>
  <c r="CY23" i="13"/>
  <c r="CX27" i="13"/>
  <c r="CY27" i="13"/>
  <c r="CY33" i="13"/>
  <c r="CX33" i="13"/>
  <c r="CX22" i="13"/>
  <c r="CY22" i="13"/>
  <c r="CX26" i="13"/>
  <c r="CY26" i="13"/>
  <c r="CY30" i="13"/>
  <c r="CX30" i="13"/>
  <c r="CY34" i="13"/>
  <c r="CX34" i="13"/>
  <c r="CX20" i="13"/>
  <c r="CY20" i="13"/>
  <c r="CX24" i="13"/>
  <c r="CY24" i="13"/>
  <c r="CY28" i="13"/>
  <c r="CX28" i="13"/>
  <c r="CY32" i="13"/>
  <c r="CX32" i="13"/>
  <c r="DI23" i="13"/>
  <c r="DH23" i="13"/>
  <c r="DI35" i="13"/>
  <c r="DH35" i="13"/>
  <c r="DI25" i="13"/>
  <c r="DH25" i="13"/>
  <c r="DI29" i="13"/>
  <c r="DH29" i="13"/>
  <c r="DI33" i="13"/>
  <c r="DH33" i="13"/>
  <c r="DI20" i="13"/>
  <c r="DH20" i="13"/>
  <c r="DH26" i="13"/>
  <c r="DI26" i="13"/>
  <c r="DH28" i="13"/>
  <c r="DI28" i="13"/>
  <c r="DI34" i="13"/>
  <c r="DH34" i="13"/>
  <c r="DI21" i="13"/>
  <c r="DH21" i="13"/>
  <c r="DI27" i="13"/>
  <c r="DH27" i="13"/>
  <c r="DI31" i="13"/>
  <c r="DH31" i="13"/>
  <c r="DI22" i="13"/>
  <c r="DH22" i="13"/>
  <c r="DI24" i="13"/>
  <c r="DH24" i="13"/>
  <c r="DH30" i="13"/>
  <c r="DI30" i="13"/>
  <c r="DI32" i="13"/>
  <c r="DH32" i="13"/>
  <c r="DH15" i="13"/>
  <c r="DI15" i="13"/>
  <c r="CX15" i="13"/>
  <c r="DH14" i="13"/>
  <c r="CX14" i="13"/>
  <c r="DI14" i="13"/>
  <c r="CW309" i="13"/>
  <c r="CV309" i="13"/>
  <c r="CW219" i="13"/>
  <c r="DG219" i="13"/>
  <c r="DK146" i="13"/>
  <c r="DN146" i="13"/>
  <c r="DM146" i="13"/>
  <c r="DL146" i="13"/>
  <c r="DD146" i="13"/>
  <c r="DA146" i="13"/>
  <c r="DC146" i="13"/>
  <c r="DB146" i="13"/>
  <c r="DI13" i="13"/>
  <c r="CX13" i="13"/>
  <c r="DH13" i="13"/>
  <c r="DH12" i="13"/>
  <c r="CX12" i="13"/>
  <c r="DI12" i="13"/>
  <c r="DI19" i="13"/>
  <c r="DH19" i="13"/>
  <c r="CY19" i="13"/>
  <c r="DG312" i="13"/>
  <c r="DH312" i="13"/>
  <c r="DG310" i="13"/>
  <c r="DH310" i="13"/>
  <c r="DG313" i="13"/>
  <c r="DH313" i="13"/>
  <c r="DG311" i="13"/>
  <c r="DH311" i="13"/>
  <c r="DG309" i="13"/>
  <c r="DH309" i="13"/>
  <c r="CV312" i="13"/>
  <c r="CW312" i="13"/>
  <c r="CV313" i="13"/>
  <c r="CW313" i="13"/>
  <c r="CV310" i="13"/>
  <c r="CW310" i="13"/>
  <c r="CV311" i="13"/>
  <c r="CW311" i="13"/>
  <c r="DH88" i="13"/>
  <c r="DH92" i="13"/>
  <c r="DH96" i="13"/>
  <c r="DH100" i="13"/>
  <c r="DH104" i="13"/>
  <c r="DH108" i="13"/>
  <c r="DH112" i="13"/>
  <c r="DH116" i="13"/>
  <c r="DH120" i="13"/>
  <c r="DH124" i="13"/>
  <c r="DH128" i="13"/>
  <c r="DH132" i="13"/>
  <c r="DH136" i="13"/>
  <c r="DH140" i="13"/>
  <c r="DH97" i="13"/>
  <c r="DH113" i="13"/>
  <c r="DH121" i="13"/>
  <c r="DH129" i="13"/>
  <c r="DH137" i="13"/>
  <c r="DH89" i="13"/>
  <c r="DH101" i="13"/>
  <c r="DH105" i="13"/>
  <c r="DH117" i="13"/>
  <c r="DH125" i="13"/>
  <c r="DH133" i="13"/>
  <c r="DH93" i="13"/>
  <c r="DH109" i="13"/>
  <c r="DH90" i="13"/>
  <c r="DH94" i="13"/>
  <c r="DH98" i="13"/>
  <c r="DH102" i="13"/>
  <c r="DH106" i="13"/>
  <c r="DH110" i="13"/>
  <c r="DH114" i="13"/>
  <c r="DH118" i="13"/>
  <c r="DH122" i="13"/>
  <c r="DH126" i="13"/>
  <c r="DH130" i="13"/>
  <c r="DH134" i="13"/>
  <c r="DH138" i="13"/>
  <c r="DH91" i="13"/>
  <c r="DH95" i="13"/>
  <c r="DH99" i="13"/>
  <c r="DH103" i="13"/>
  <c r="DH107" i="13"/>
  <c r="DH111" i="13"/>
  <c r="DH115" i="13"/>
  <c r="DH119" i="13"/>
  <c r="DH123" i="13"/>
  <c r="DH127" i="13"/>
  <c r="DH131" i="13"/>
  <c r="DH135" i="13"/>
  <c r="DH139" i="13"/>
  <c r="D22" i="13"/>
  <c r="D96" i="13"/>
  <c r="D99" i="13"/>
  <c r="D102" i="13"/>
  <c r="D114" i="13"/>
  <c r="D120" i="13"/>
  <c r="D152" i="13"/>
  <c r="D44" i="13"/>
  <c r="DE44" i="13" s="1"/>
  <c r="D47" i="13"/>
  <c r="D153" i="13"/>
  <c r="D147" i="13"/>
  <c r="D150" i="13"/>
  <c r="D148" i="13"/>
  <c r="D151" i="13"/>
  <c r="D154" i="13"/>
  <c r="D149" i="13"/>
  <c r="D132" i="13"/>
  <c r="D245" i="13"/>
  <c r="D260" i="13"/>
  <c r="D272" i="13"/>
  <c r="D287" i="13"/>
  <c r="D290" i="13"/>
  <c r="D311" i="13"/>
  <c r="D313" i="13"/>
  <c r="D293" i="13"/>
  <c r="D253" i="13"/>
  <c r="D280" i="13"/>
  <c r="F302" i="13"/>
  <c r="DI43" i="13"/>
  <c r="CY43" i="13"/>
  <c r="DH43" i="13"/>
  <c r="DH44" i="13"/>
  <c r="DI44" i="13"/>
  <c r="CY44" i="13"/>
  <c r="DI42" i="13"/>
  <c r="DH42" i="13"/>
  <c r="DH45" i="13"/>
  <c r="DI45" i="13"/>
  <c r="D41" i="13"/>
  <c r="DE41" i="13" s="1"/>
  <c r="D297" i="13"/>
  <c r="E304" i="13"/>
  <c r="F304" i="13"/>
  <c r="D45" i="13"/>
  <c r="DE45" i="13" s="1"/>
  <c r="D193" i="13"/>
  <c r="D196" i="13"/>
  <c r="D204" i="13"/>
  <c r="CX204" i="13" s="1"/>
  <c r="D225" i="13"/>
  <c r="D234" i="13"/>
  <c r="D237" i="13"/>
  <c r="D240" i="13"/>
  <c r="D243" i="13"/>
  <c r="D252" i="13"/>
  <c r="D261" i="13"/>
  <c r="D264" i="13"/>
  <c r="D267" i="13"/>
  <c r="D49" i="13"/>
  <c r="D89" i="13"/>
  <c r="D92" i="13"/>
  <c r="D95" i="13"/>
  <c r="D104" i="13"/>
  <c r="D110" i="13"/>
  <c r="D113" i="13"/>
  <c r="D116" i="13"/>
  <c r="D119" i="13"/>
  <c r="D134" i="13"/>
  <c r="D137" i="13"/>
  <c r="D185" i="13"/>
  <c r="D188" i="13"/>
  <c r="D229" i="13"/>
  <c r="F176" i="13"/>
  <c r="D285" i="13"/>
  <c r="D61" i="13"/>
  <c r="D232" i="13"/>
  <c r="D14" i="13"/>
  <c r="DE14" i="13" s="1"/>
  <c r="F164" i="13"/>
  <c r="D164" i="13" s="1"/>
  <c r="D53" i="13"/>
  <c r="D59" i="13"/>
  <c r="D62" i="13"/>
  <c r="D288" i="13"/>
  <c r="E141" i="13"/>
  <c r="D180" i="13"/>
  <c r="D183" i="13"/>
  <c r="E300" i="13"/>
  <c r="E36" i="13"/>
  <c r="D33" i="13"/>
  <c r="D21" i="13"/>
  <c r="D57" i="13"/>
  <c r="D88" i="13"/>
  <c r="D105" i="13"/>
  <c r="D129" i="13"/>
  <c r="D192" i="13"/>
  <c r="D195" i="13"/>
  <c r="D211" i="13"/>
  <c r="D224" i="13"/>
  <c r="D247" i="13"/>
  <c r="D250" i="13"/>
  <c r="D262" i="13"/>
  <c r="D268" i="13"/>
  <c r="D277" i="13"/>
  <c r="D97" i="13"/>
  <c r="D112" i="13"/>
  <c r="D124" i="13"/>
  <c r="D127" i="13"/>
  <c r="D130" i="13"/>
  <c r="D136" i="13"/>
  <c r="D139" i="13"/>
  <c r="D181" i="13"/>
  <c r="D236" i="13"/>
  <c r="D25" i="13"/>
  <c r="D28" i="13"/>
  <c r="D34" i="13"/>
  <c r="F46" i="13"/>
  <c r="D52" i="13"/>
  <c r="D184" i="13"/>
  <c r="D221" i="13"/>
  <c r="D248" i="13"/>
  <c r="D254" i="13"/>
  <c r="D257" i="13"/>
  <c r="D282" i="13"/>
  <c r="D296" i="13"/>
  <c r="D91" i="13"/>
  <c r="D94" i="13"/>
  <c r="D108" i="13"/>
  <c r="D125" i="13"/>
  <c r="F141" i="13"/>
  <c r="CX141" i="13" s="1"/>
  <c r="D190" i="13"/>
  <c r="D202" i="13"/>
  <c r="CX202" i="13" s="1"/>
  <c r="D227" i="13"/>
  <c r="D235" i="13"/>
  <c r="D249" i="13"/>
  <c r="D269" i="13"/>
  <c r="F299" i="13"/>
  <c r="E302" i="13"/>
  <c r="D12" i="13"/>
  <c r="DE12" i="13" s="1"/>
  <c r="D29" i="13"/>
  <c r="D32" i="13"/>
  <c r="D35" i="13"/>
  <c r="D58" i="13"/>
  <c r="D128" i="13"/>
  <c r="D177" i="13"/>
  <c r="D212" i="13"/>
  <c r="D219" i="13"/>
  <c r="D222" i="13"/>
  <c r="D230" i="13"/>
  <c r="D244" i="13"/>
  <c r="D255" i="13"/>
  <c r="D258" i="13"/>
  <c r="D275" i="13"/>
  <c r="D100" i="13"/>
  <c r="D106" i="13"/>
  <c r="D109" i="13"/>
  <c r="D270" i="13"/>
  <c r="D292" i="13"/>
  <c r="D24" i="13"/>
  <c r="D27" i="13"/>
  <c r="D30" i="13"/>
  <c r="D101" i="13"/>
  <c r="D115" i="13"/>
  <c r="D121" i="13"/>
  <c r="D140" i="13"/>
  <c r="D178" i="13"/>
  <c r="D186" i="13"/>
  <c r="D203" i="13"/>
  <c r="CX203" i="13" s="1"/>
  <c r="D213" i="13"/>
  <c r="D220" i="13"/>
  <c r="D228" i="13"/>
  <c r="D239" i="13"/>
  <c r="D242" i="13"/>
  <c r="D256" i="13"/>
  <c r="D276" i="13"/>
  <c r="D284" i="13"/>
  <c r="D295" i="13"/>
  <c r="D298" i="13"/>
  <c r="D20" i="13"/>
  <c r="E46" i="13"/>
  <c r="E60" i="13"/>
  <c r="E64" i="13"/>
  <c r="D107" i="13"/>
  <c r="D117" i="13"/>
  <c r="D122" i="13"/>
  <c r="D135" i="13"/>
  <c r="E155" i="13"/>
  <c r="D191" i="13"/>
  <c r="D265" i="13"/>
  <c r="D283" i="13"/>
  <c r="F300" i="13"/>
  <c r="E303" i="13"/>
  <c r="D310" i="13"/>
  <c r="F36" i="13"/>
  <c r="D42" i="13"/>
  <c r="DE42" i="13" s="1"/>
  <c r="D50" i="13"/>
  <c r="F155" i="13"/>
  <c r="D263" i="13"/>
  <c r="D273" i="13"/>
  <c r="D278" i="13"/>
  <c r="D291" i="13"/>
  <c r="E301" i="13"/>
  <c r="F303" i="13"/>
  <c r="D15" i="13"/>
  <c r="DE15" i="13" s="1"/>
  <c r="D23" i="13"/>
  <c r="D48" i="13"/>
  <c r="D56" i="13"/>
  <c r="D63" i="13"/>
  <c r="D90" i="13"/>
  <c r="D103" i="13"/>
  <c r="D118" i="13"/>
  <c r="D123" i="13"/>
  <c r="D133" i="13"/>
  <c r="D138" i="13"/>
  <c r="E176" i="13"/>
  <c r="D179" i="13"/>
  <c r="D189" i="13"/>
  <c r="D194" i="13"/>
  <c r="D214" i="13"/>
  <c r="D223" i="13"/>
  <c r="D233" i="13"/>
  <c r="D238" i="13"/>
  <c r="D251" i="13"/>
  <c r="D266" i="13"/>
  <c r="D271" i="13"/>
  <c r="D281" i="13"/>
  <c r="D286" i="13"/>
  <c r="F301" i="13"/>
  <c r="D13" i="13"/>
  <c r="DE13" i="13" s="1"/>
  <c r="D26" i="13"/>
  <c r="D31" i="13"/>
  <c r="D43" i="13"/>
  <c r="DE43" i="13" s="1"/>
  <c r="F54" i="13"/>
  <c r="D51" i="13"/>
  <c r="F60" i="13"/>
  <c r="F64" i="13"/>
  <c r="D93" i="13"/>
  <c r="D98" i="13"/>
  <c r="D111" i="13"/>
  <c r="D126" i="13"/>
  <c r="D131" i="13"/>
  <c r="D182" i="13"/>
  <c r="D187" i="13"/>
  <c r="D201" i="13"/>
  <c r="CX201" i="13" s="1"/>
  <c r="D226" i="13"/>
  <c r="D231" i="13"/>
  <c r="D241" i="13"/>
  <c r="D246" i="13"/>
  <c r="D259" i="13"/>
  <c r="D274" i="13"/>
  <c r="D279" i="13"/>
  <c r="D289" i="13"/>
  <c r="D294" i="13"/>
  <c r="E299" i="13"/>
  <c r="D309" i="13"/>
  <c r="D312" i="13"/>
  <c r="D19" i="13"/>
  <c r="DB19" i="13" s="1"/>
  <c r="D55" i="13"/>
  <c r="E54" i="13"/>
  <c r="CY259" i="13" l="1"/>
  <c r="DI259" i="13"/>
  <c r="CX259" i="13"/>
  <c r="DH259" i="13"/>
  <c r="CY271" i="13"/>
  <c r="DI271" i="13"/>
  <c r="CX271" i="13"/>
  <c r="DH271" i="13"/>
  <c r="DH249" i="13"/>
  <c r="CY249" i="13"/>
  <c r="DI249" i="13"/>
  <c r="CX249" i="13"/>
  <c r="DH224" i="13"/>
  <c r="CY224" i="13"/>
  <c r="DI224" i="13"/>
  <c r="CX224" i="13"/>
  <c r="DH290" i="13"/>
  <c r="CY290" i="13"/>
  <c r="DI290" i="13"/>
  <c r="CX290" i="13"/>
  <c r="DH266" i="13"/>
  <c r="CY266" i="13"/>
  <c r="DI266" i="13"/>
  <c r="CX266" i="13"/>
  <c r="DH254" i="13"/>
  <c r="CY254" i="13"/>
  <c r="CX254" i="13"/>
  <c r="DI254" i="13"/>
  <c r="CY229" i="13"/>
  <c r="DI229" i="13"/>
  <c r="DH229" i="13"/>
  <c r="CX229" i="13"/>
  <c r="DI280" i="13"/>
  <c r="CX280" i="13"/>
  <c r="DH280" i="13"/>
  <c r="CY280" i="13"/>
  <c r="CY294" i="13"/>
  <c r="DI294" i="13"/>
  <c r="CX294" i="13"/>
  <c r="DH294" i="13"/>
  <c r="CY241" i="13"/>
  <c r="DI241" i="13"/>
  <c r="DH241" i="13"/>
  <c r="CX241" i="13"/>
  <c r="DI251" i="13"/>
  <c r="CX251" i="13"/>
  <c r="DH251" i="13"/>
  <c r="CY251" i="13"/>
  <c r="DH273" i="13"/>
  <c r="CY273" i="13"/>
  <c r="CX273" i="13"/>
  <c r="DI273" i="13"/>
  <c r="CY276" i="13"/>
  <c r="DI276" i="13"/>
  <c r="CX276" i="13"/>
  <c r="DH276" i="13"/>
  <c r="CY270" i="13"/>
  <c r="DI270" i="13"/>
  <c r="CX270" i="13"/>
  <c r="DH270" i="13"/>
  <c r="DH255" i="13"/>
  <c r="CY255" i="13"/>
  <c r="DI255" i="13"/>
  <c r="CX255" i="13"/>
  <c r="CX227" i="13"/>
  <c r="DI227" i="13"/>
  <c r="DH227" i="13"/>
  <c r="CY227" i="13"/>
  <c r="DH248" i="13"/>
  <c r="CY248" i="13"/>
  <c r="DI248" i="13"/>
  <c r="CX248" i="13"/>
  <c r="DI268" i="13"/>
  <c r="CX268" i="13"/>
  <c r="DH268" i="13"/>
  <c r="CY268" i="13"/>
  <c r="CY240" i="13"/>
  <c r="DI240" i="13"/>
  <c r="CX240" i="13"/>
  <c r="DH240" i="13"/>
  <c r="CY253" i="13"/>
  <c r="DI253" i="13"/>
  <c r="CX253" i="13"/>
  <c r="DH253" i="13"/>
  <c r="DH272" i="13"/>
  <c r="CY272" i="13"/>
  <c r="CX272" i="13"/>
  <c r="DI272" i="13"/>
  <c r="CY295" i="13"/>
  <c r="DI295" i="13"/>
  <c r="CX295" i="13"/>
  <c r="DH295" i="13"/>
  <c r="CX275" i="13"/>
  <c r="DI275" i="13"/>
  <c r="DH275" i="13"/>
  <c r="CY275" i="13"/>
  <c r="CX257" i="13"/>
  <c r="DI257" i="13"/>
  <c r="DH257" i="13"/>
  <c r="CY257" i="13"/>
  <c r="DH297" i="13"/>
  <c r="CX297" i="13"/>
  <c r="CY297" i="13"/>
  <c r="DI297" i="13"/>
  <c r="CY246" i="13"/>
  <c r="DI246" i="13"/>
  <c r="CX246" i="13"/>
  <c r="DH246" i="13"/>
  <c r="DI220" i="13"/>
  <c r="CX220" i="13"/>
  <c r="DH220" i="13"/>
  <c r="CY220" i="13"/>
  <c r="DI292" i="13"/>
  <c r="CX292" i="13"/>
  <c r="DH292" i="13"/>
  <c r="CY292" i="13"/>
  <c r="DH243" i="13"/>
  <c r="CY243" i="13"/>
  <c r="CX243" i="13"/>
  <c r="DI243" i="13"/>
  <c r="CX287" i="13"/>
  <c r="DI287" i="13"/>
  <c r="DH287" i="13"/>
  <c r="CY287" i="13"/>
  <c r="CY289" i="13"/>
  <c r="DI289" i="13"/>
  <c r="DH289" i="13"/>
  <c r="CX289" i="13"/>
  <c r="DH231" i="13"/>
  <c r="CY231" i="13"/>
  <c r="DI231" i="13"/>
  <c r="CX231" i="13"/>
  <c r="DI238" i="13"/>
  <c r="CX238" i="13"/>
  <c r="DH238" i="13"/>
  <c r="CY238" i="13"/>
  <c r="CX263" i="13"/>
  <c r="DI263" i="13"/>
  <c r="DH263" i="13"/>
  <c r="CY263" i="13"/>
  <c r="DI256" i="13"/>
  <c r="CX256" i="13"/>
  <c r="DH256" i="13"/>
  <c r="CY256" i="13"/>
  <c r="DI244" i="13"/>
  <c r="CX244" i="13"/>
  <c r="DH244" i="13"/>
  <c r="CY244" i="13"/>
  <c r="DI221" i="13"/>
  <c r="CX221" i="13"/>
  <c r="DH221" i="13"/>
  <c r="CY221" i="13"/>
  <c r="DI262" i="13"/>
  <c r="CX262" i="13"/>
  <c r="DH262" i="13"/>
  <c r="CY262" i="13"/>
  <c r="CY288" i="13"/>
  <c r="DI288" i="13"/>
  <c r="CX288" i="13"/>
  <c r="DH288" i="13"/>
  <c r="DI232" i="13"/>
  <c r="CX232" i="13"/>
  <c r="DH232" i="13"/>
  <c r="CY232" i="13"/>
  <c r="DH267" i="13"/>
  <c r="CY267" i="13"/>
  <c r="CX267" i="13"/>
  <c r="DI267" i="13"/>
  <c r="CY237" i="13"/>
  <c r="DH237" i="13"/>
  <c r="CX237" i="13"/>
  <c r="DI237" i="13"/>
  <c r="DI293" i="13"/>
  <c r="CX293" i="13"/>
  <c r="DH293" i="13"/>
  <c r="CY293" i="13"/>
  <c r="DH260" i="13"/>
  <c r="CY260" i="13"/>
  <c r="DI260" i="13"/>
  <c r="CX260" i="13"/>
  <c r="DH291" i="13"/>
  <c r="CY291" i="13"/>
  <c r="CX291" i="13"/>
  <c r="DI291" i="13"/>
  <c r="CY228" i="13"/>
  <c r="DI228" i="13"/>
  <c r="CX228" i="13"/>
  <c r="DH228" i="13"/>
  <c r="CX219" i="13"/>
  <c r="DI219" i="13"/>
  <c r="DH219" i="13"/>
  <c r="CY219" i="13"/>
  <c r="CY252" i="13"/>
  <c r="DI252" i="13"/>
  <c r="CX252" i="13"/>
  <c r="DH252" i="13"/>
  <c r="DH279" i="13"/>
  <c r="CY279" i="13"/>
  <c r="DI279" i="13"/>
  <c r="CX279" i="13"/>
  <c r="DH242" i="13"/>
  <c r="CY242" i="13"/>
  <c r="DI242" i="13"/>
  <c r="CX242" i="13"/>
  <c r="DH230" i="13"/>
  <c r="CY230" i="13"/>
  <c r="DI230" i="13"/>
  <c r="CX230" i="13"/>
  <c r="DH296" i="13"/>
  <c r="CY296" i="13"/>
  <c r="CX296" i="13"/>
  <c r="DI296" i="13"/>
  <c r="DH236" i="13"/>
  <c r="CY236" i="13"/>
  <c r="CX236" i="13"/>
  <c r="DI236" i="13"/>
  <c r="DI250" i="13"/>
  <c r="CX250" i="13"/>
  <c r="DH250" i="13"/>
  <c r="CY250" i="13"/>
  <c r="CY264" i="13"/>
  <c r="DI264" i="13"/>
  <c r="CX264" i="13"/>
  <c r="DH264" i="13"/>
  <c r="CY234" i="13"/>
  <c r="DI234" i="13"/>
  <c r="CX234" i="13"/>
  <c r="DH234" i="13"/>
  <c r="CX245" i="13"/>
  <c r="DI245" i="13"/>
  <c r="DH245" i="13"/>
  <c r="CY245" i="13"/>
  <c r="CY265" i="13"/>
  <c r="DI265" i="13"/>
  <c r="DH265" i="13"/>
  <c r="CX265" i="13"/>
  <c r="DH278" i="13"/>
  <c r="CY278" i="13"/>
  <c r="DI278" i="13"/>
  <c r="CX278" i="13"/>
  <c r="DH284" i="13"/>
  <c r="CY284" i="13"/>
  <c r="DI284" i="13"/>
  <c r="CX284" i="13"/>
  <c r="CY258" i="13"/>
  <c r="DI258" i="13"/>
  <c r="CX258" i="13"/>
  <c r="DH258" i="13"/>
  <c r="CY235" i="13"/>
  <c r="DI235" i="13"/>
  <c r="CX235" i="13"/>
  <c r="DH235" i="13"/>
  <c r="CY277" i="13"/>
  <c r="DI277" i="13"/>
  <c r="DH277" i="13"/>
  <c r="CX277" i="13"/>
  <c r="DI226" i="13"/>
  <c r="CX226" i="13"/>
  <c r="DH226" i="13"/>
  <c r="CY226" i="13"/>
  <c r="DI286" i="13"/>
  <c r="CX286" i="13"/>
  <c r="DH286" i="13"/>
  <c r="CY286" i="13"/>
  <c r="DI233" i="13"/>
  <c r="CX233" i="13"/>
  <c r="DH233" i="13"/>
  <c r="CY233" i="13"/>
  <c r="DI274" i="13"/>
  <c r="CX274" i="13"/>
  <c r="DH274" i="13"/>
  <c r="CY274" i="13"/>
  <c r="DI281" i="13"/>
  <c r="CX281" i="13"/>
  <c r="DH281" i="13"/>
  <c r="CY281" i="13"/>
  <c r="CY223" i="13"/>
  <c r="CX223" i="13"/>
  <c r="DI223" i="13"/>
  <c r="DH223" i="13"/>
  <c r="CY283" i="13"/>
  <c r="DI283" i="13"/>
  <c r="CX283" i="13"/>
  <c r="DH283" i="13"/>
  <c r="DI298" i="13"/>
  <c r="CX298" i="13"/>
  <c r="DH298" i="13"/>
  <c r="CY298" i="13"/>
  <c r="CX239" i="13"/>
  <c r="DI239" i="13"/>
  <c r="DH239" i="13"/>
  <c r="CY239" i="13"/>
  <c r="CY222" i="13"/>
  <c r="DI222" i="13"/>
  <c r="CX222" i="13"/>
  <c r="DH222" i="13"/>
  <c r="DI269" i="13"/>
  <c r="CX269" i="13"/>
  <c r="DH269" i="13"/>
  <c r="CY269" i="13"/>
  <c r="CY282" i="13"/>
  <c r="DI282" i="13"/>
  <c r="CX282" i="13"/>
  <c r="DH282" i="13"/>
  <c r="CY247" i="13"/>
  <c r="DI247" i="13"/>
  <c r="CX247" i="13"/>
  <c r="DH247" i="13"/>
  <c r="CY285" i="13"/>
  <c r="DH285" i="13"/>
  <c r="DI285" i="13"/>
  <c r="CX285" i="13"/>
  <c r="DH261" i="13"/>
  <c r="CY261" i="13"/>
  <c r="CX261" i="13"/>
  <c r="DI261" i="13"/>
  <c r="DH225" i="13"/>
  <c r="CY225" i="13"/>
  <c r="CX225" i="13"/>
  <c r="DI225" i="13"/>
  <c r="DA191" i="13"/>
  <c r="CX191" i="13"/>
  <c r="DA190" i="13"/>
  <c r="CX190" i="13"/>
  <c r="DA189" i="13"/>
  <c r="CX189" i="13"/>
  <c r="DA188" i="13"/>
  <c r="CX188" i="13"/>
  <c r="CX187" i="13"/>
  <c r="DA187" i="13"/>
  <c r="CY196" i="13"/>
  <c r="CZ196" i="13"/>
  <c r="CX196" i="13"/>
  <c r="DA196" i="13"/>
  <c r="DA195" i="13"/>
  <c r="CZ195" i="13"/>
  <c r="CY195" i="13"/>
  <c r="CX195" i="13"/>
  <c r="CY193" i="13"/>
  <c r="DA193" i="13"/>
  <c r="CX193" i="13"/>
  <c r="CZ193" i="13"/>
  <c r="DA194" i="13"/>
  <c r="CY194" i="13"/>
  <c r="CZ194" i="13"/>
  <c r="CX194" i="13"/>
  <c r="CX192" i="13"/>
  <c r="DA192" i="13"/>
  <c r="CZ192" i="13"/>
  <c r="CY192" i="13"/>
  <c r="DA180" i="13"/>
  <c r="CZ180" i="13"/>
  <c r="CY180" i="13"/>
  <c r="CX180" i="13"/>
  <c r="DA182" i="13"/>
  <c r="CZ182" i="13"/>
  <c r="CY182" i="13"/>
  <c r="CX182" i="13"/>
  <c r="DA179" i="13"/>
  <c r="CZ179" i="13"/>
  <c r="CY179" i="13"/>
  <c r="CX179" i="13"/>
  <c r="DA185" i="13"/>
  <c r="CZ185" i="13"/>
  <c r="CY185" i="13"/>
  <c r="CX185" i="13"/>
  <c r="DA183" i="13"/>
  <c r="CZ183" i="13"/>
  <c r="CY183" i="13"/>
  <c r="CX183" i="13"/>
  <c r="DA186" i="13"/>
  <c r="CZ186" i="13"/>
  <c r="CY186" i="13"/>
  <c r="CX186" i="13"/>
  <c r="CY184" i="13"/>
  <c r="CX184" i="13"/>
  <c r="DA184" i="13"/>
  <c r="CZ184" i="13"/>
  <c r="CY178" i="13"/>
  <c r="CX178" i="13"/>
  <c r="DA178" i="13"/>
  <c r="CZ178" i="13"/>
  <c r="CY181" i="13"/>
  <c r="CX181" i="13"/>
  <c r="DA181" i="13"/>
  <c r="CZ181" i="13"/>
  <c r="CY177" i="13"/>
  <c r="CX177" i="13"/>
  <c r="DA177" i="13"/>
  <c r="CZ177" i="13"/>
  <c r="AX161" i="13"/>
  <c r="DA123" i="13"/>
  <c r="DB123" i="13"/>
  <c r="DC123" i="13"/>
  <c r="DD123" i="13"/>
  <c r="CY123" i="13"/>
  <c r="DA121" i="13"/>
  <c r="DB121" i="13"/>
  <c r="CY121" i="13"/>
  <c r="DC121" i="13"/>
  <c r="DD121" i="13"/>
  <c r="CY119" i="13"/>
  <c r="DA119" i="13"/>
  <c r="DB119" i="13"/>
  <c r="DC119" i="13"/>
  <c r="DD119" i="13"/>
  <c r="DC124" i="13"/>
  <c r="DD124" i="13"/>
  <c r="DA124" i="13"/>
  <c r="CY124" i="13"/>
  <c r="DB124" i="13"/>
  <c r="DC120" i="13"/>
  <c r="DD120" i="13"/>
  <c r="CY120" i="13"/>
  <c r="DB120" i="13"/>
  <c r="DA120" i="13"/>
  <c r="DC122" i="13"/>
  <c r="DD122" i="13"/>
  <c r="DB122" i="13"/>
  <c r="CY122" i="13"/>
  <c r="DA122" i="13"/>
  <c r="CY125" i="13"/>
  <c r="DA125" i="13"/>
  <c r="DB125" i="13"/>
  <c r="DC125" i="13"/>
  <c r="DD125" i="13"/>
  <c r="DA97" i="13"/>
  <c r="DB97" i="13"/>
  <c r="DC97" i="13"/>
  <c r="DD97" i="13"/>
  <c r="CY97" i="13"/>
  <c r="DC117" i="13"/>
  <c r="CY117" i="13"/>
  <c r="DD117" i="13"/>
  <c r="DB117" i="13"/>
  <c r="DA117" i="13"/>
  <c r="DC93" i="13"/>
  <c r="DD93" i="13"/>
  <c r="DB93" i="13"/>
  <c r="DA93" i="13"/>
  <c r="CY93" i="13"/>
  <c r="CZ204" i="13"/>
  <c r="CZ203" i="13"/>
  <c r="CZ202" i="13"/>
  <c r="AH202" i="13" s="1"/>
  <c r="DJ201" i="13"/>
  <c r="CZ201" i="13"/>
  <c r="DK201" i="13"/>
  <c r="DM191" i="13"/>
  <c r="DH191" i="13"/>
  <c r="DK191" i="13"/>
  <c r="DL190" i="13"/>
  <c r="DK190" i="13"/>
  <c r="DM190" i="13"/>
  <c r="DH190" i="13"/>
  <c r="DB190" i="13"/>
  <c r="DM189" i="13"/>
  <c r="DH189" i="13"/>
  <c r="DK189" i="13"/>
  <c r="DL188" i="13"/>
  <c r="DB188" i="13"/>
  <c r="DM188" i="13"/>
  <c r="DH188" i="13"/>
  <c r="DK188" i="13"/>
  <c r="DL187" i="13"/>
  <c r="DM187" i="13"/>
  <c r="DB187" i="13"/>
  <c r="DH187" i="13"/>
  <c r="DK187" i="13"/>
  <c r="DJ194" i="13"/>
  <c r="DB194" i="13"/>
  <c r="DK194" i="13"/>
  <c r="DH194" i="13"/>
  <c r="DL194" i="13"/>
  <c r="DI194" i="13"/>
  <c r="DM194" i="13"/>
  <c r="DH196" i="13"/>
  <c r="DI196" i="13"/>
  <c r="DM196" i="13"/>
  <c r="DJ196" i="13"/>
  <c r="DK196" i="13"/>
  <c r="DK195" i="13"/>
  <c r="DH195" i="13"/>
  <c r="DI195" i="13"/>
  <c r="DM195" i="13"/>
  <c r="DJ195" i="13"/>
  <c r="DI193" i="13"/>
  <c r="DM193" i="13"/>
  <c r="DJ193" i="13"/>
  <c r="DB193" i="13"/>
  <c r="DK193" i="13"/>
  <c r="DH193" i="13"/>
  <c r="DL193" i="13"/>
  <c r="DH192" i="13"/>
  <c r="DL192" i="13"/>
  <c r="DI192" i="13"/>
  <c r="DM192" i="13"/>
  <c r="DJ192" i="13"/>
  <c r="DB192" i="13"/>
  <c r="DK192" i="13"/>
  <c r="DI186" i="13"/>
  <c r="DJ186" i="13"/>
  <c r="DK186" i="13"/>
  <c r="DH186" i="13"/>
  <c r="DM186" i="13"/>
  <c r="DH184" i="13"/>
  <c r="DB184" i="13"/>
  <c r="DI184" i="13"/>
  <c r="DJ184" i="13"/>
  <c r="DK184" i="13"/>
  <c r="DL184" i="13"/>
  <c r="DM184" i="13"/>
  <c r="DH183" i="13"/>
  <c r="DM183" i="13"/>
  <c r="DI183" i="13"/>
  <c r="DJ183" i="13"/>
  <c r="DK183" i="13"/>
  <c r="DB182" i="13"/>
  <c r="DI182" i="13"/>
  <c r="DM182" i="13"/>
  <c r="DJ182" i="13"/>
  <c r="DK182" i="13"/>
  <c r="DH182" i="13"/>
  <c r="DL182" i="13"/>
  <c r="DH178" i="13"/>
  <c r="DL178" i="13"/>
  <c r="DI178" i="13"/>
  <c r="DM178" i="13"/>
  <c r="DJ178" i="13"/>
  <c r="DK178" i="13"/>
  <c r="DB178" i="13"/>
  <c r="DI180" i="13"/>
  <c r="DJ180" i="13"/>
  <c r="DK180" i="13"/>
  <c r="DH180" i="13"/>
  <c r="DM180" i="13"/>
  <c r="DI177" i="13"/>
  <c r="DH177" i="13"/>
  <c r="DK177" i="13"/>
  <c r="DJ177" i="13"/>
  <c r="DM177" i="13"/>
  <c r="DB177" i="13"/>
  <c r="DL177" i="13"/>
  <c r="DH179" i="13"/>
  <c r="DL179" i="13"/>
  <c r="DI179" i="13"/>
  <c r="DM179" i="13"/>
  <c r="DJ179" i="13"/>
  <c r="DK179" i="13"/>
  <c r="DB179" i="13"/>
  <c r="DK181" i="13"/>
  <c r="DH181" i="13"/>
  <c r="DI181" i="13"/>
  <c r="DJ181" i="13"/>
  <c r="DM181" i="13"/>
  <c r="DI185" i="13"/>
  <c r="DJ185" i="13"/>
  <c r="DK185" i="13"/>
  <c r="DH185" i="13"/>
  <c r="DM185" i="13"/>
  <c r="AX163" i="13"/>
  <c r="AX162" i="13"/>
  <c r="AX160" i="13"/>
  <c r="DL147" i="13"/>
  <c r="DA147" i="13"/>
  <c r="DK147" i="13"/>
  <c r="DM147" i="13"/>
  <c r="DB147" i="13"/>
  <c r="DN147" i="13"/>
  <c r="DC147" i="13"/>
  <c r="DD147" i="13"/>
  <c r="DL151" i="13"/>
  <c r="DA151" i="13"/>
  <c r="DK151" i="13"/>
  <c r="DM151" i="13"/>
  <c r="DB151" i="13"/>
  <c r="DN151" i="13"/>
  <c r="DC151" i="13"/>
  <c r="DD151" i="13"/>
  <c r="DC148" i="13"/>
  <c r="DL148" i="13"/>
  <c r="DD148" i="13"/>
  <c r="DK148" i="13"/>
  <c r="DM148" i="13"/>
  <c r="DA148" i="13"/>
  <c r="DN148" i="13"/>
  <c r="DB148" i="13"/>
  <c r="DK154" i="13"/>
  <c r="DM154" i="13"/>
  <c r="DC154" i="13"/>
  <c r="DN154" i="13"/>
  <c r="DD154" i="13"/>
  <c r="DA154" i="13"/>
  <c r="DL154" i="13"/>
  <c r="DB154" i="13"/>
  <c r="DC152" i="13"/>
  <c r="DL152" i="13"/>
  <c r="DD152" i="13"/>
  <c r="DK152" i="13"/>
  <c r="DM152" i="13"/>
  <c r="DA152" i="13"/>
  <c r="DN152" i="13"/>
  <c r="DB152" i="13"/>
  <c r="DN153" i="13"/>
  <c r="DA153" i="13"/>
  <c r="DB153" i="13"/>
  <c r="DL153" i="13"/>
  <c r="DC153" i="13"/>
  <c r="DK153" i="13"/>
  <c r="DM153" i="13"/>
  <c r="DD153" i="13"/>
  <c r="DN149" i="13"/>
  <c r="DA149" i="13"/>
  <c r="DB149" i="13"/>
  <c r="DL149" i="13"/>
  <c r="DC149" i="13"/>
  <c r="DK149" i="13"/>
  <c r="DM149" i="13"/>
  <c r="DD149" i="13"/>
  <c r="DK150" i="13"/>
  <c r="DM150" i="13"/>
  <c r="DC150" i="13"/>
  <c r="DN150" i="13"/>
  <c r="DD150" i="13"/>
  <c r="DA150" i="13"/>
  <c r="DL150" i="13"/>
  <c r="DB150" i="13"/>
  <c r="DA129" i="13"/>
  <c r="DC129" i="13"/>
  <c r="DD129" i="13"/>
  <c r="DB129" i="13"/>
  <c r="CY129" i="13"/>
  <c r="DA138" i="13"/>
  <c r="CY138" i="13"/>
  <c r="DD138" i="13"/>
  <c r="DB138" i="13"/>
  <c r="DC138" i="13"/>
  <c r="DA135" i="13"/>
  <c r="DC135" i="13"/>
  <c r="DD135" i="13"/>
  <c r="DB135" i="13"/>
  <c r="CY135" i="13"/>
  <c r="DA136" i="13"/>
  <c r="CY136" i="13"/>
  <c r="DB136" i="13"/>
  <c r="DC136" i="13"/>
  <c r="DD136" i="13"/>
  <c r="DA134" i="13"/>
  <c r="DB134" i="13"/>
  <c r="DC134" i="13"/>
  <c r="CY134" i="13"/>
  <c r="DD134" i="13"/>
  <c r="DA140" i="13"/>
  <c r="CY140" i="13"/>
  <c r="DD140" i="13"/>
  <c r="DB140" i="13"/>
  <c r="DC140" i="13"/>
  <c r="DA130" i="13"/>
  <c r="CY130" i="13"/>
  <c r="DB130" i="13"/>
  <c r="DC130" i="13"/>
  <c r="DD130" i="13"/>
  <c r="DA132" i="13"/>
  <c r="CY132" i="13"/>
  <c r="DB132" i="13"/>
  <c r="DC132" i="13"/>
  <c r="DD132" i="13"/>
  <c r="DA139" i="13"/>
  <c r="DC139" i="13"/>
  <c r="CY139" i="13"/>
  <c r="DB139" i="13"/>
  <c r="DD139" i="13"/>
  <c r="DA137" i="13"/>
  <c r="DC137" i="13"/>
  <c r="DB137" i="13"/>
  <c r="CY137" i="13"/>
  <c r="DD137" i="13"/>
  <c r="DA131" i="13"/>
  <c r="DC131" i="13"/>
  <c r="DD131" i="13"/>
  <c r="DB131" i="13"/>
  <c r="CY131" i="13"/>
  <c r="DA133" i="13"/>
  <c r="DC133" i="13"/>
  <c r="DD133" i="13"/>
  <c r="DB133" i="13"/>
  <c r="CY133" i="13"/>
  <c r="DA126" i="13"/>
  <c r="DB126" i="13"/>
  <c r="DC126" i="13"/>
  <c r="CY126" i="13"/>
  <c r="DD126" i="13"/>
  <c r="DA128" i="13"/>
  <c r="CY128" i="13"/>
  <c r="DB128" i="13"/>
  <c r="DC128" i="13"/>
  <c r="DD128" i="13"/>
  <c r="DA127" i="13"/>
  <c r="DC127" i="13"/>
  <c r="DD127" i="13"/>
  <c r="CY127" i="13"/>
  <c r="DB127" i="13"/>
  <c r="DA118" i="13"/>
  <c r="DD118" i="13"/>
  <c r="CY118" i="13"/>
  <c r="DB118" i="13"/>
  <c r="DC118" i="13"/>
  <c r="DA111" i="13"/>
  <c r="DC111" i="13"/>
  <c r="CY111" i="13"/>
  <c r="DB111" i="13"/>
  <c r="DD111" i="13"/>
  <c r="DA112" i="13"/>
  <c r="CY112" i="13"/>
  <c r="DD112" i="13"/>
  <c r="DB112" i="13"/>
  <c r="DC112" i="13"/>
  <c r="DA105" i="13"/>
  <c r="DB105" i="13"/>
  <c r="CY105" i="13"/>
  <c r="DC105" i="13"/>
  <c r="DD105" i="13"/>
  <c r="DA110" i="13"/>
  <c r="DD110" i="13"/>
  <c r="DB110" i="13"/>
  <c r="DC110" i="13"/>
  <c r="CY110" i="13"/>
  <c r="DA106" i="13"/>
  <c r="DC106" i="13"/>
  <c r="CY106" i="13"/>
  <c r="DD106" i="13"/>
  <c r="DB106" i="13"/>
  <c r="DA98" i="13"/>
  <c r="CY98" i="13"/>
  <c r="DD98" i="13"/>
  <c r="DB98" i="13"/>
  <c r="DC98" i="13"/>
  <c r="DA100" i="13"/>
  <c r="CY100" i="13"/>
  <c r="DC100" i="13"/>
  <c r="DD100" i="13"/>
  <c r="DB100" i="13"/>
  <c r="DA104" i="13"/>
  <c r="CY104" i="13"/>
  <c r="DC104" i="13"/>
  <c r="DD104" i="13"/>
  <c r="DB104" i="13"/>
  <c r="DA114" i="13"/>
  <c r="CY114" i="13"/>
  <c r="DD114" i="13"/>
  <c r="DB114" i="13"/>
  <c r="DC114" i="13"/>
  <c r="DA107" i="13"/>
  <c r="DC107" i="13"/>
  <c r="DB107" i="13"/>
  <c r="DD107" i="13"/>
  <c r="CY107" i="13"/>
  <c r="DA115" i="13"/>
  <c r="DC115" i="13"/>
  <c r="DB115" i="13"/>
  <c r="DD115" i="13"/>
  <c r="CY115" i="13"/>
  <c r="DA113" i="13"/>
  <c r="DC113" i="13"/>
  <c r="DB113" i="13"/>
  <c r="CY113" i="13"/>
  <c r="DD113" i="13"/>
  <c r="DA99" i="13"/>
  <c r="DC99" i="13"/>
  <c r="DB99" i="13"/>
  <c r="DD99" i="13"/>
  <c r="CY99" i="13"/>
  <c r="DA103" i="13"/>
  <c r="CY103" i="13"/>
  <c r="DB103" i="13"/>
  <c r="DC103" i="13"/>
  <c r="DD103" i="13"/>
  <c r="DA101" i="13"/>
  <c r="DB101" i="13"/>
  <c r="CY101" i="13"/>
  <c r="DC101" i="13"/>
  <c r="DD101" i="13"/>
  <c r="DA109" i="13"/>
  <c r="DC109" i="13"/>
  <c r="DB109" i="13"/>
  <c r="CY109" i="13"/>
  <c r="DD109" i="13"/>
  <c r="DA108" i="13"/>
  <c r="CY108" i="13"/>
  <c r="DD108" i="13"/>
  <c r="DB108" i="13"/>
  <c r="DC108" i="13"/>
  <c r="DA116" i="13"/>
  <c r="CY116" i="13"/>
  <c r="DD116" i="13"/>
  <c r="DB116" i="13"/>
  <c r="DC116" i="13"/>
  <c r="DA102" i="13"/>
  <c r="DC102" i="13"/>
  <c r="DD102" i="13"/>
  <c r="DB102" i="13"/>
  <c r="CY102" i="13"/>
  <c r="DA96" i="13"/>
  <c r="CY96" i="13"/>
  <c r="DB96" i="13"/>
  <c r="DC96" i="13"/>
  <c r="DD96" i="13"/>
  <c r="DA94" i="13"/>
  <c r="DC94" i="13"/>
  <c r="DD94" i="13"/>
  <c r="DB94" i="13"/>
  <c r="CY94" i="13"/>
  <c r="DA95" i="13"/>
  <c r="CY95" i="13"/>
  <c r="DB95" i="13"/>
  <c r="DC95" i="13"/>
  <c r="DD95" i="13"/>
  <c r="DA91" i="13"/>
  <c r="DB91" i="13"/>
  <c r="CY91" i="13"/>
  <c r="DD91" i="13"/>
  <c r="DC91" i="13"/>
  <c r="DA90" i="13"/>
  <c r="CY90" i="13"/>
  <c r="DD90" i="13"/>
  <c r="DB90" i="13"/>
  <c r="DC90" i="13"/>
  <c r="DA92" i="13"/>
  <c r="DD92" i="13"/>
  <c r="DB92" i="13"/>
  <c r="DC92" i="13"/>
  <c r="CY92" i="13"/>
  <c r="DA88" i="13"/>
  <c r="DD88" i="13"/>
  <c r="DC88" i="13"/>
  <c r="DB88" i="13"/>
  <c r="CY88" i="13"/>
  <c r="DL61" i="13"/>
  <c r="DA61" i="13"/>
  <c r="DO61" i="13"/>
  <c r="DK61" i="13"/>
  <c r="DD61" i="13"/>
  <c r="DN61" i="13"/>
  <c r="DC61" i="13"/>
  <c r="DM61" i="13"/>
  <c r="DB61" i="13"/>
  <c r="DN62" i="13"/>
  <c r="DC62" i="13"/>
  <c r="DK62" i="13"/>
  <c r="DM62" i="13"/>
  <c r="DB62" i="13"/>
  <c r="DL62" i="13"/>
  <c r="DA62" i="13"/>
  <c r="DO62" i="13"/>
  <c r="DD62" i="13"/>
  <c r="DL63" i="13"/>
  <c r="DA63" i="13"/>
  <c r="DB63" i="13"/>
  <c r="DO63" i="13"/>
  <c r="DK63" i="13"/>
  <c r="DD63" i="13"/>
  <c r="DN63" i="13"/>
  <c r="DC63" i="13"/>
  <c r="DM63" i="13"/>
  <c r="DM56" i="13"/>
  <c r="DB56" i="13"/>
  <c r="DL56" i="13"/>
  <c r="DA56" i="13"/>
  <c r="DO56" i="13"/>
  <c r="DK56" i="13"/>
  <c r="DD56" i="13"/>
  <c r="DN56" i="13"/>
  <c r="DC56" i="13"/>
  <c r="DB55" i="13"/>
  <c r="DO55" i="13"/>
  <c r="DK55" i="13"/>
  <c r="DA55" i="13"/>
  <c r="DN55" i="13"/>
  <c r="DD55" i="13"/>
  <c r="DM55" i="13"/>
  <c r="DC55" i="13"/>
  <c r="DL55" i="13"/>
  <c r="DO59" i="13"/>
  <c r="DK59" i="13"/>
  <c r="DD59" i="13"/>
  <c r="DN59" i="13"/>
  <c r="DC59" i="13"/>
  <c r="DM59" i="13"/>
  <c r="DB59" i="13"/>
  <c r="DL59" i="13"/>
  <c r="DA59" i="13"/>
  <c r="DM58" i="13"/>
  <c r="DB58" i="13"/>
  <c r="DL58" i="13"/>
  <c r="DA58" i="13"/>
  <c r="DO58" i="13"/>
  <c r="DK58" i="13"/>
  <c r="DD58" i="13"/>
  <c r="DN58" i="13"/>
  <c r="DC58" i="13"/>
  <c r="DO57" i="13"/>
  <c r="DK57" i="13"/>
  <c r="DD57" i="13"/>
  <c r="DN57" i="13"/>
  <c r="DC57" i="13"/>
  <c r="DM57" i="13"/>
  <c r="DB57" i="13"/>
  <c r="DL57" i="13"/>
  <c r="DA57" i="13"/>
  <c r="DO48" i="13"/>
  <c r="DK48" i="13"/>
  <c r="DD48" i="13"/>
  <c r="DN48" i="13"/>
  <c r="DC48" i="13"/>
  <c r="DM48" i="13"/>
  <c r="DB48" i="13"/>
  <c r="DL48" i="13"/>
  <c r="DA48" i="13"/>
  <c r="DO52" i="13"/>
  <c r="DK52" i="13"/>
  <c r="DD52" i="13"/>
  <c r="DN52" i="13"/>
  <c r="DC52" i="13"/>
  <c r="DM52" i="13"/>
  <c r="DB52" i="13"/>
  <c r="DL52" i="13"/>
  <c r="DA52" i="13"/>
  <c r="DM53" i="13"/>
  <c r="DB53" i="13"/>
  <c r="DL53" i="13"/>
  <c r="DA53" i="13"/>
  <c r="DO53" i="13"/>
  <c r="DK53" i="13"/>
  <c r="DD53" i="13"/>
  <c r="DN53" i="13"/>
  <c r="DC53" i="13"/>
  <c r="DM49" i="13"/>
  <c r="DB49" i="13"/>
  <c r="DL49" i="13"/>
  <c r="DA49" i="13"/>
  <c r="DO49" i="13"/>
  <c r="DK49" i="13"/>
  <c r="DD49" i="13"/>
  <c r="DN49" i="13"/>
  <c r="DC49" i="13"/>
  <c r="DM47" i="13"/>
  <c r="DB47" i="13"/>
  <c r="DL47" i="13"/>
  <c r="DA47" i="13"/>
  <c r="DO47" i="13"/>
  <c r="DK47" i="13"/>
  <c r="DD47" i="13"/>
  <c r="DN47" i="13"/>
  <c r="DC47" i="13"/>
  <c r="DM51" i="13"/>
  <c r="DB51" i="13"/>
  <c r="DL51" i="13"/>
  <c r="DA51" i="13"/>
  <c r="DO51" i="13"/>
  <c r="DK51" i="13"/>
  <c r="DD51" i="13"/>
  <c r="DN51" i="13"/>
  <c r="DC51" i="13"/>
  <c r="DO50" i="13"/>
  <c r="DK50" i="13"/>
  <c r="DD50" i="13"/>
  <c r="DN50" i="13"/>
  <c r="DC50" i="13"/>
  <c r="DM50" i="13"/>
  <c r="DB50" i="13"/>
  <c r="DL50" i="13"/>
  <c r="DA50" i="13"/>
  <c r="DD42" i="13"/>
  <c r="DN42" i="13"/>
  <c r="DA42" i="13"/>
  <c r="DK42" i="13"/>
  <c r="DO42" i="13"/>
  <c r="DB42" i="13"/>
  <c r="DL42" i="13"/>
  <c r="DC42" i="13"/>
  <c r="DM42" i="13"/>
  <c r="DC43" i="13"/>
  <c r="DM43" i="13"/>
  <c r="DD43" i="13"/>
  <c r="DN43" i="13"/>
  <c r="DA43" i="13"/>
  <c r="DK43" i="13"/>
  <c r="DO43" i="13"/>
  <c r="DB43" i="13"/>
  <c r="DL43" i="13"/>
  <c r="DA45" i="13"/>
  <c r="DK45" i="13"/>
  <c r="DO45" i="13"/>
  <c r="DB45" i="13"/>
  <c r="DL45" i="13"/>
  <c r="DC45" i="13"/>
  <c r="DM45" i="13"/>
  <c r="DD45" i="13"/>
  <c r="DN45" i="13"/>
  <c r="DB44" i="13"/>
  <c r="DL44" i="13"/>
  <c r="DC44" i="13"/>
  <c r="DM44" i="13"/>
  <c r="DD44" i="13"/>
  <c r="DN44" i="13"/>
  <c r="DA44" i="13"/>
  <c r="DK44" i="13"/>
  <c r="DO44" i="13"/>
  <c r="DB31" i="13"/>
  <c r="DC31" i="13"/>
  <c r="DD31" i="13"/>
  <c r="DE31" i="13"/>
  <c r="DB20" i="13"/>
  <c r="DC20" i="13"/>
  <c r="DD20" i="13"/>
  <c r="DE20" i="13"/>
  <c r="DB24" i="13"/>
  <c r="DC24" i="13"/>
  <c r="DD24" i="13"/>
  <c r="DE24" i="13"/>
  <c r="DB28" i="13"/>
  <c r="DC28" i="13"/>
  <c r="DD28" i="13"/>
  <c r="DE28" i="13"/>
  <c r="DB21" i="13"/>
  <c r="DE21" i="13"/>
  <c r="DC21" i="13"/>
  <c r="DD21" i="13"/>
  <c r="DB26" i="13"/>
  <c r="DC26" i="13"/>
  <c r="DD26" i="13"/>
  <c r="DE26" i="13"/>
  <c r="DB35" i="13"/>
  <c r="DD35" i="13"/>
  <c r="DC35" i="13"/>
  <c r="DE35" i="13"/>
  <c r="DB25" i="13"/>
  <c r="DC25" i="13"/>
  <c r="DD25" i="13"/>
  <c r="DE25" i="13"/>
  <c r="DB33" i="13"/>
  <c r="DC33" i="13"/>
  <c r="DD33" i="13"/>
  <c r="DE33" i="13"/>
  <c r="DB23" i="13"/>
  <c r="DE23" i="13"/>
  <c r="DC23" i="13"/>
  <c r="DD23" i="13"/>
  <c r="DB30" i="13"/>
  <c r="DE30" i="13"/>
  <c r="DC30" i="13"/>
  <c r="DD30" i="13"/>
  <c r="DB32" i="13"/>
  <c r="DE32" i="13"/>
  <c r="DC32" i="13"/>
  <c r="DD32" i="13"/>
  <c r="DB22" i="13"/>
  <c r="DE22" i="13"/>
  <c r="DC22" i="13"/>
  <c r="DD22" i="13"/>
  <c r="DB27" i="13"/>
  <c r="DD27" i="13"/>
  <c r="DC27" i="13"/>
  <c r="DE27" i="13"/>
  <c r="DB29" i="13"/>
  <c r="DE29" i="13"/>
  <c r="DC29" i="13"/>
  <c r="DD29" i="13"/>
  <c r="DB34" i="13"/>
  <c r="DE34" i="13"/>
  <c r="DC34" i="13"/>
  <c r="DD34" i="13"/>
  <c r="DL26" i="13"/>
  <c r="DN26" i="13"/>
  <c r="DO26" i="13"/>
  <c r="DM26" i="13"/>
  <c r="DL35" i="13"/>
  <c r="DN35" i="13"/>
  <c r="DM35" i="13"/>
  <c r="DO35" i="13"/>
  <c r="DL33" i="13"/>
  <c r="DN33" i="13"/>
  <c r="DM33" i="13"/>
  <c r="DO33" i="13"/>
  <c r="DL23" i="13"/>
  <c r="DN23" i="13"/>
  <c r="DO23" i="13"/>
  <c r="DM23" i="13"/>
  <c r="DL30" i="13"/>
  <c r="DN30" i="13"/>
  <c r="DO30" i="13"/>
  <c r="DM30" i="13"/>
  <c r="DL32" i="13"/>
  <c r="DO32" i="13"/>
  <c r="DN32" i="13"/>
  <c r="DM32" i="13"/>
  <c r="DL22" i="13"/>
  <c r="DN22" i="13"/>
  <c r="DO22" i="13"/>
  <c r="DM22" i="13"/>
  <c r="DL25" i="13"/>
  <c r="DN25" i="13"/>
  <c r="DO25" i="13"/>
  <c r="DM25" i="13"/>
  <c r="DL27" i="13"/>
  <c r="DO27" i="13"/>
  <c r="DN27" i="13"/>
  <c r="DM27" i="13"/>
  <c r="DL29" i="13"/>
  <c r="DO29" i="13"/>
  <c r="DN29" i="13"/>
  <c r="DM29" i="13"/>
  <c r="DL34" i="13"/>
  <c r="DM34" i="13"/>
  <c r="DO34" i="13"/>
  <c r="DN34" i="13"/>
  <c r="DL31" i="13"/>
  <c r="DN31" i="13"/>
  <c r="DO31" i="13"/>
  <c r="DM31" i="13"/>
  <c r="DL20" i="13"/>
  <c r="DN20" i="13"/>
  <c r="DO20" i="13"/>
  <c r="DM20" i="13"/>
  <c r="DL24" i="13"/>
  <c r="DO24" i="13"/>
  <c r="DN24" i="13"/>
  <c r="DM24" i="13"/>
  <c r="DL28" i="13"/>
  <c r="DN28" i="13"/>
  <c r="DO28" i="13"/>
  <c r="DM28" i="13"/>
  <c r="DL21" i="13"/>
  <c r="DO21" i="13"/>
  <c r="DN21" i="13"/>
  <c r="DM21" i="13"/>
  <c r="DC15" i="13"/>
  <c r="DK15" i="13"/>
  <c r="DO15" i="13"/>
  <c r="DD15" i="13"/>
  <c r="DL15" i="13"/>
  <c r="DA15" i="13"/>
  <c r="DM15" i="13"/>
  <c r="DB15" i="13"/>
  <c r="DN15" i="13"/>
  <c r="DA14" i="13"/>
  <c r="DN14" i="13"/>
  <c r="DB14" i="13"/>
  <c r="DK14" i="13"/>
  <c r="DC14" i="13"/>
  <c r="DL14" i="13"/>
  <c r="DM14" i="13"/>
  <c r="DO14" i="13"/>
  <c r="DD14" i="13"/>
  <c r="DK219" i="13"/>
  <c r="DL219" i="13"/>
  <c r="DB219" i="13"/>
  <c r="DA219" i="13"/>
  <c r="DB89" i="13"/>
  <c r="DC89" i="13"/>
  <c r="DD89" i="13"/>
  <c r="CY89" i="13"/>
  <c r="DA89" i="13"/>
  <c r="AY146" i="13"/>
  <c r="DD41" i="13"/>
  <c r="DN41" i="13"/>
  <c r="DC41" i="13"/>
  <c r="DK41" i="13"/>
  <c r="DM41" i="13"/>
  <c r="DB41" i="13"/>
  <c r="DL41" i="13"/>
  <c r="DA41" i="13"/>
  <c r="DO41" i="13"/>
  <c r="DN12" i="13"/>
  <c r="DD12" i="13"/>
  <c r="DM12" i="13"/>
  <c r="DC12" i="13"/>
  <c r="DL12" i="13"/>
  <c r="DK12" i="13"/>
  <c r="DO12" i="13"/>
  <c r="DB12" i="13"/>
  <c r="DA12" i="13"/>
  <c r="DD13" i="13"/>
  <c r="DC13" i="13"/>
  <c r="DK13" i="13"/>
  <c r="DL13" i="13"/>
  <c r="DM13" i="13"/>
  <c r="DN13" i="13"/>
  <c r="DA13" i="13"/>
  <c r="DB13" i="13"/>
  <c r="DO13" i="13"/>
  <c r="DC19" i="13"/>
  <c r="DL19" i="13"/>
  <c r="DO19" i="13"/>
  <c r="DN19" i="13"/>
  <c r="DM19" i="13"/>
  <c r="DE19" i="13"/>
  <c r="DD19" i="13"/>
  <c r="AS311" i="13"/>
  <c r="DL93" i="13"/>
  <c r="AS313" i="13"/>
  <c r="AS312" i="13"/>
  <c r="DL97" i="13"/>
  <c r="AS310" i="13"/>
  <c r="AS309" i="13"/>
  <c r="DI126" i="13"/>
  <c r="DI109" i="13"/>
  <c r="DI118" i="13"/>
  <c r="DI115" i="13"/>
  <c r="DI106" i="13"/>
  <c r="DI124" i="13"/>
  <c r="DI137" i="13"/>
  <c r="DI92" i="13"/>
  <c r="DI96" i="13"/>
  <c r="DI103" i="13"/>
  <c r="DI135" i="13"/>
  <c r="DI101" i="13"/>
  <c r="DI100" i="13"/>
  <c r="DI112" i="13"/>
  <c r="DI134" i="13"/>
  <c r="DI89" i="13"/>
  <c r="DI131" i="13"/>
  <c r="DI90" i="13"/>
  <c r="DI122" i="13"/>
  <c r="DI125" i="13"/>
  <c r="DI97" i="13"/>
  <c r="DI119" i="13"/>
  <c r="DI116" i="13"/>
  <c r="DI117" i="13"/>
  <c r="DI128" i="13"/>
  <c r="DI108" i="13"/>
  <c r="DI111" i="13"/>
  <c r="DI139" i="13"/>
  <c r="DI129" i="13"/>
  <c r="DI113" i="13"/>
  <c r="DI120" i="13"/>
  <c r="DI94" i="13"/>
  <c r="DI98" i="13"/>
  <c r="DI138" i="13"/>
  <c r="DI114" i="13"/>
  <c r="DI107" i="13"/>
  <c r="DI91" i="13"/>
  <c r="DI136" i="13"/>
  <c r="DI105" i="13"/>
  <c r="DI110" i="13"/>
  <c r="DI93" i="13"/>
  <c r="DI133" i="13"/>
  <c r="DI140" i="13"/>
  <c r="DI130" i="13"/>
  <c r="DI104" i="13"/>
  <c r="DI132" i="13"/>
  <c r="DI102" i="13"/>
  <c r="DI123" i="13"/>
  <c r="DI121" i="13"/>
  <c r="DI127" i="13"/>
  <c r="DI95" i="13"/>
  <c r="DI99" i="13"/>
  <c r="DI88" i="13"/>
  <c r="AX170" i="13"/>
  <c r="DK203" i="13"/>
  <c r="AX171" i="13"/>
  <c r="AX175" i="13"/>
  <c r="DK204" i="13"/>
  <c r="DK202" i="13"/>
  <c r="AX167" i="13"/>
  <c r="AX168" i="13"/>
  <c r="AX173" i="13"/>
  <c r="AX166" i="13"/>
  <c r="AX165" i="13"/>
  <c r="AX169" i="13"/>
  <c r="AX174" i="13"/>
  <c r="AX172" i="13"/>
  <c r="DM139" i="13"/>
  <c r="DN139" i="13"/>
  <c r="DK139" i="13"/>
  <c r="DL139" i="13"/>
  <c r="DM113" i="13"/>
  <c r="DN113" i="13"/>
  <c r="DK113" i="13"/>
  <c r="DL113" i="13"/>
  <c r="DL98" i="13"/>
  <c r="DM98" i="13"/>
  <c r="DN98" i="13"/>
  <c r="DK98" i="13"/>
  <c r="DM138" i="13"/>
  <c r="DN138" i="13"/>
  <c r="DK138" i="13"/>
  <c r="DL138" i="13"/>
  <c r="DK117" i="13"/>
  <c r="DL117" i="13"/>
  <c r="DM117" i="13"/>
  <c r="DN117" i="13"/>
  <c r="DN100" i="13"/>
  <c r="DK100" i="13"/>
  <c r="DL100" i="13"/>
  <c r="DM100" i="13"/>
  <c r="DN112" i="13"/>
  <c r="DK112" i="13"/>
  <c r="DL112" i="13"/>
  <c r="DM112" i="13"/>
  <c r="DK105" i="13"/>
  <c r="DL105" i="13"/>
  <c r="DM105" i="13"/>
  <c r="DN105" i="13"/>
  <c r="DL116" i="13"/>
  <c r="DM116" i="13"/>
  <c r="DN116" i="13"/>
  <c r="DK116" i="13"/>
  <c r="DM89" i="13"/>
  <c r="DN89" i="13"/>
  <c r="DK89" i="13"/>
  <c r="DL89" i="13"/>
  <c r="DM132" i="13"/>
  <c r="DN132" i="13"/>
  <c r="DK132" i="13"/>
  <c r="DL132" i="13"/>
  <c r="DM120" i="13"/>
  <c r="DN120" i="13"/>
  <c r="DK120" i="13"/>
  <c r="DL120" i="13"/>
  <c r="DK88" i="13"/>
  <c r="DL88" i="13"/>
  <c r="DM88" i="13"/>
  <c r="DN88" i="13"/>
  <c r="DM114" i="13"/>
  <c r="DN114" i="13"/>
  <c r="DK114" i="13"/>
  <c r="DL114" i="13"/>
  <c r="DK93" i="13"/>
  <c r="DM93" i="13"/>
  <c r="DN93" i="13"/>
  <c r="DM133" i="13"/>
  <c r="DN133" i="13"/>
  <c r="DK133" i="13"/>
  <c r="DL133" i="13"/>
  <c r="DM108" i="13"/>
  <c r="DN108" i="13"/>
  <c r="DK108" i="13"/>
  <c r="DL108" i="13"/>
  <c r="DN136" i="13"/>
  <c r="DK136" i="13"/>
  <c r="DL136" i="13"/>
  <c r="DM136" i="13"/>
  <c r="DL110" i="13"/>
  <c r="DM110" i="13"/>
  <c r="DN110" i="13"/>
  <c r="DK110" i="13"/>
  <c r="DM102" i="13"/>
  <c r="DN102" i="13"/>
  <c r="DK102" i="13"/>
  <c r="DL102" i="13"/>
  <c r="DM107" i="13"/>
  <c r="DN107" i="13"/>
  <c r="DK107" i="13"/>
  <c r="DL107" i="13"/>
  <c r="DL140" i="13"/>
  <c r="DM140" i="13"/>
  <c r="DN140" i="13"/>
  <c r="DK140" i="13"/>
  <c r="DM125" i="13"/>
  <c r="DN125" i="13"/>
  <c r="DK125" i="13"/>
  <c r="DL125" i="13"/>
  <c r="DM97" i="13"/>
  <c r="DN97" i="13"/>
  <c r="DK97" i="13"/>
  <c r="DK123" i="13"/>
  <c r="DL123" i="13"/>
  <c r="DM123" i="13"/>
  <c r="DN123" i="13"/>
  <c r="DM121" i="13"/>
  <c r="DN121" i="13"/>
  <c r="DK121" i="13"/>
  <c r="DL121" i="13"/>
  <c r="DM131" i="13"/>
  <c r="DN131" i="13"/>
  <c r="DK131" i="13"/>
  <c r="DL131" i="13"/>
  <c r="DN118" i="13"/>
  <c r="DK118" i="13"/>
  <c r="DL118" i="13"/>
  <c r="DM118" i="13"/>
  <c r="DM115" i="13"/>
  <c r="DN115" i="13"/>
  <c r="DK115" i="13"/>
  <c r="DL115" i="13"/>
  <c r="DN94" i="13"/>
  <c r="DK94" i="13"/>
  <c r="DL94" i="13"/>
  <c r="DM94" i="13"/>
  <c r="DN130" i="13"/>
  <c r="DK130" i="13"/>
  <c r="DL130" i="13"/>
  <c r="DM130" i="13"/>
  <c r="DM137" i="13"/>
  <c r="DN137" i="13"/>
  <c r="DK137" i="13"/>
  <c r="DL137" i="13"/>
  <c r="DL104" i="13"/>
  <c r="DM104" i="13"/>
  <c r="DN104" i="13"/>
  <c r="DK104" i="13"/>
  <c r="DK99" i="13"/>
  <c r="DL99" i="13"/>
  <c r="DM99" i="13"/>
  <c r="DN99" i="13"/>
  <c r="DM126" i="13"/>
  <c r="DN126" i="13"/>
  <c r="DK126" i="13"/>
  <c r="DL126" i="13"/>
  <c r="DM103" i="13"/>
  <c r="DN103" i="13"/>
  <c r="DK103" i="13"/>
  <c r="DL103" i="13"/>
  <c r="DK135" i="13"/>
  <c r="DL135" i="13"/>
  <c r="DM135" i="13"/>
  <c r="DN135" i="13"/>
  <c r="DM101" i="13"/>
  <c r="DN101" i="13"/>
  <c r="DK101" i="13"/>
  <c r="DL101" i="13"/>
  <c r="DM109" i="13"/>
  <c r="DN109" i="13"/>
  <c r="DK109" i="13"/>
  <c r="DL109" i="13"/>
  <c r="DL128" i="13"/>
  <c r="DM128" i="13"/>
  <c r="DN128" i="13"/>
  <c r="DK128" i="13"/>
  <c r="DL91" i="13"/>
  <c r="DM91" i="13"/>
  <c r="DN91" i="13"/>
  <c r="DK91" i="13"/>
  <c r="DM127" i="13"/>
  <c r="DN127" i="13"/>
  <c r="DK127" i="13"/>
  <c r="DL127" i="13"/>
  <c r="DL134" i="13"/>
  <c r="DM134" i="13"/>
  <c r="DN134" i="13"/>
  <c r="DK134" i="13"/>
  <c r="DM95" i="13"/>
  <c r="DN95" i="13"/>
  <c r="DK95" i="13"/>
  <c r="DL95" i="13"/>
  <c r="DM96" i="13"/>
  <c r="DN96" i="13"/>
  <c r="DK96" i="13"/>
  <c r="DL96" i="13"/>
  <c r="DK111" i="13"/>
  <c r="DL111" i="13"/>
  <c r="DM111" i="13"/>
  <c r="DN111" i="13"/>
  <c r="DL90" i="13"/>
  <c r="DM90" i="13"/>
  <c r="DN90" i="13"/>
  <c r="DK90" i="13"/>
  <c r="DL122" i="13"/>
  <c r="DM122" i="13"/>
  <c r="DN122" i="13"/>
  <c r="DK122" i="13"/>
  <c r="DN106" i="13"/>
  <c r="DK106" i="13"/>
  <c r="DL106" i="13"/>
  <c r="DM106" i="13"/>
  <c r="DN124" i="13"/>
  <c r="DK124" i="13"/>
  <c r="DL124" i="13"/>
  <c r="DM124" i="13"/>
  <c r="DK129" i="13"/>
  <c r="DL129" i="13"/>
  <c r="DM129" i="13"/>
  <c r="DN129" i="13"/>
  <c r="DM119" i="13"/>
  <c r="DN119" i="13"/>
  <c r="DK119" i="13"/>
  <c r="DL119" i="13"/>
  <c r="DL92" i="13"/>
  <c r="DM92" i="13"/>
  <c r="DN92" i="13"/>
  <c r="DK92" i="13"/>
  <c r="DL294" i="13"/>
  <c r="DB294" i="13"/>
  <c r="DL255" i="13"/>
  <c r="DB255" i="13"/>
  <c r="DL248" i="13"/>
  <c r="DB248" i="13"/>
  <c r="DB268" i="13"/>
  <c r="DL268" i="13"/>
  <c r="DL240" i="13"/>
  <c r="DB240" i="13"/>
  <c r="DB280" i="13"/>
  <c r="DL280" i="13"/>
  <c r="DB287" i="13"/>
  <c r="DL287" i="13"/>
  <c r="DL289" i="13"/>
  <c r="DB289" i="13"/>
  <c r="DL231" i="13"/>
  <c r="DB231" i="13"/>
  <c r="DB238" i="13"/>
  <c r="DL238" i="13"/>
  <c r="DB263" i="13"/>
  <c r="DL263" i="13"/>
  <c r="DB256" i="13"/>
  <c r="DL256" i="13"/>
  <c r="DB244" i="13"/>
  <c r="DL244" i="13"/>
  <c r="DB221" i="13"/>
  <c r="DL221" i="13"/>
  <c r="DB262" i="13"/>
  <c r="DL262" i="13"/>
  <c r="DL288" i="13"/>
  <c r="DB288" i="13"/>
  <c r="DB232" i="13"/>
  <c r="DL232" i="13"/>
  <c r="DL267" i="13"/>
  <c r="DB267" i="13"/>
  <c r="DL237" i="13"/>
  <c r="DB237" i="13"/>
  <c r="DA272" i="13"/>
  <c r="DL272" i="13"/>
  <c r="DB272" i="13"/>
  <c r="DL241" i="13"/>
  <c r="DB241" i="13"/>
  <c r="DB251" i="13"/>
  <c r="DL251" i="13"/>
  <c r="DL273" i="13"/>
  <c r="DB273" i="13"/>
  <c r="DB227" i="13"/>
  <c r="DL227" i="13"/>
  <c r="DL242" i="13"/>
  <c r="DB242" i="13"/>
  <c r="DL230" i="13"/>
  <c r="DB230" i="13"/>
  <c r="DL296" i="13"/>
  <c r="DB296" i="13"/>
  <c r="DL236" i="13"/>
  <c r="DB236" i="13"/>
  <c r="DB250" i="13"/>
  <c r="DL250" i="13"/>
  <c r="DL264" i="13"/>
  <c r="DB264" i="13"/>
  <c r="DL234" i="13"/>
  <c r="DB234" i="13"/>
  <c r="DL297" i="13"/>
  <c r="DB297" i="13"/>
  <c r="DK293" i="13"/>
  <c r="DB293" i="13"/>
  <c r="DL293" i="13"/>
  <c r="DL260" i="13"/>
  <c r="DB260" i="13"/>
  <c r="DL270" i="13"/>
  <c r="DB270" i="13"/>
  <c r="DL279" i="13"/>
  <c r="DB279" i="13"/>
  <c r="DL223" i="13"/>
  <c r="DB223" i="13"/>
  <c r="DL283" i="13"/>
  <c r="DB283" i="13"/>
  <c r="DB298" i="13"/>
  <c r="DL298" i="13"/>
  <c r="DB239" i="13"/>
  <c r="DL239" i="13"/>
  <c r="DL222" i="13"/>
  <c r="DB222" i="13"/>
  <c r="DB269" i="13"/>
  <c r="DL269" i="13"/>
  <c r="DL282" i="13"/>
  <c r="DB282" i="13"/>
  <c r="DL247" i="13"/>
  <c r="DB247" i="13"/>
  <c r="DL285" i="13"/>
  <c r="DB285" i="13"/>
  <c r="DL229" i="13"/>
  <c r="DB229" i="13"/>
  <c r="DL261" i="13"/>
  <c r="DB261" i="13"/>
  <c r="DL225" i="13"/>
  <c r="DB225" i="13"/>
  <c r="DA287" i="13"/>
  <c r="DA245" i="13"/>
  <c r="DB245" i="13"/>
  <c r="DL245" i="13"/>
  <c r="DL276" i="13"/>
  <c r="DB276" i="13"/>
  <c r="DB233" i="13"/>
  <c r="DL233" i="13"/>
  <c r="DB274" i="13"/>
  <c r="DL274" i="13"/>
  <c r="DB281" i="13"/>
  <c r="DL281" i="13"/>
  <c r="DL259" i="13"/>
  <c r="DB259" i="13"/>
  <c r="DL271" i="13"/>
  <c r="DB271" i="13"/>
  <c r="DL291" i="13"/>
  <c r="DB291" i="13"/>
  <c r="DL265" i="13"/>
  <c r="DB265" i="13"/>
  <c r="DL295" i="13"/>
  <c r="DB295" i="13"/>
  <c r="DL228" i="13"/>
  <c r="DB228" i="13"/>
  <c r="DB275" i="13"/>
  <c r="DL275" i="13"/>
  <c r="DL249" i="13"/>
  <c r="DB249" i="13"/>
  <c r="DB257" i="13"/>
  <c r="DL257" i="13"/>
  <c r="DL224" i="13"/>
  <c r="DB224" i="13"/>
  <c r="DL252" i="13"/>
  <c r="DB252" i="13"/>
  <c r="DB226" i="13"/>
  <c r="DL226" i="13"/>
  <c r="DB286" i="13"/>
  <c r="DL286" i="13"/>
  <c r="DL246" i="13"/>
  <c r="DB246" i="13"/>
  <c r="DL266" i="13"/>
  <c r="DB266" i="13"/>
  <c r="DL278" i="13"/>
  <c r="DB278" i="13"/>
  <c r="DL284" i="13"/>
  <c r="DB284" i="13"/>
  <c r="DB220" i="13"/>
  <c r="DL220" i="13"/>
  <c r="DB292" i="13"/>
  <c r="DL292" i="13"/>
  <c r="DL258" i="13"/>
  <c r="DB258" i="13"/>
  <c r="DL235" i="13"/>
  <c r="DB235" i="13"/>
  <c r="DL254" i="13"/>
  <c r="DB254" i="13"/>
  <c r="DL277" i="13"/>
  <c r="DB277" i="13"/>
  <c r="DL243" i="13"/>
  <c r="DB243" i="13"/>
  <c r="DL253" i="13"/>
  <c r="DB253" i="13"/>
  <c r="DL290" i="13"/>
  <c r="DB290" i="13"/>
  <c r="DA293" i="13"/>
  <c r="DK245" i="13"/>
  <c r="D155" i="13"/>
  <c r="DK272" i="13"/>
  <c r="DA260" i="13"/>
  <c r="DA290" i="13"/>
  <c r="DK290" i="13"/>
  <c r="DK260" i="13"/>
  <c r="DK287" i="13"/>
  <c r="D46" i="13"/>
  <c r="D302" i="13"/>
  <c r="DA269" i="13"/>
  <c r="DK269" i="13"/>
  <c r="DA286" i="13"/>
  <c r="DK286" i="13"/>
  <c r="DK275" i="13"/>
  <c r="DA275" i="13"/>
  <c r="DK259" i="13"/>
  <c r="DA259" i="13"/>
  <c r="DK281" i="13"/>
  <c r="DA281" i="13"/>
  <c r="DA223" i="13"/>
  <c r="DK223" i="13"/>
  <c r="DK284" i="13"/>
  <c r="DA284" i="13"/>
  <c r="DK220" i="13"/>
  <c r="DA220" i="13"/>
  <c r="DA292" i="13"/>
  <c r="DK292" i="13"/>
  <c r="DA258" i="13"/>
  <c r="DK258" i="13"/>
  <c r="DA235" i="13"/>
  <c r="DK235" i="13"/>
  <c r="DK254" i="13"/>
  <c r="DA254" i="13"/>
  <c r="DA277" i="13"/>
  <c r="DK277" i="13"/>
  <c r="DA243" i="13"/>
  <c r="DK243" i="13"/>
  <c r="DK280" i="13"/>
  <c r="DA280" i="13"/>
  <c r="DA226" i="13"/>
  <c r="DK226" i="13"/>
  <c r="DK239" i="13"/>
  <c r="DA239" i="13"/>
  <c r="DA247" i="13"/>
  <c r="DK247" i="13"/>
  <c r="DK285" i="13"/>
  <c r="DA285" i="13"/>
  <c r="DK263" i="13"/>
  <c r="DA263" i="13"/>
  <c r="DA228" i="13"/>
  <c r="DK228" i="13"/>
  <c r="DK253" i="13"/>
  <c r="DA253" i="13"/>
  <c r="DK246" i="13"/>
  <c r="DA246" i="13"/>
  <c r="DA271" i="13"/>
  <c r="DK271" i="13"/>
  <c r="DA283" i="13"/>
  <c r="DK283" i="13"/>
  <c r="DK276" i="13"/>
  <c r="DA276" i="13"/>
  <c r="DA270" i="13"/>
  <c r="DK270" i="13"/>
  <c r="DK255" i="13"/>
  <c r="DA255" i="13"/>
  <c r="DA227" i="13"/>
  <c r="DK227" i="13"/>
  <c r="DK248" i="13"/>
  <c r="DA248" i="13"/>
  <c r="DK268" i="13"/>
  <c r="DA268" i="13"/>
  <c r="DA240" i="13"/>
  <c r="DK240" i="13"/>
  <c r="DK273" i="13"/>
  <c r="DA273" i="13"/>
  <c r="DK261" i="13"/>
  <c r="DA261" i="13"/>
  <c r="DA274" i="13"/>
  <c r="DK274" i="13"/>
  <c r="DJ204" i="13"/>
  <c r="DK241" i="13"/>
  <c r="DA241" i="13"/>
  <c r="DJ203" i="13"/>
  <c r="DA244" i="13"/>
  <c r="DK244" i="13"/>
  <c r="DA262" i="13"/>
  <c r="DK262" i="13"/>
  <c r="DK232" i="13"/>
  <c r="DA232" i="13"/>
  <c r="DA279" i="13"/>
  <c r="DK279" i="13"/>
  <c r="DK238" i="13"/>
  <c r="DA238" i="13"/>
  <c r="DK298" i="13"/>
  <c r="DA298" i="13"/>
  <c r="DA222" i="13"/>
  <c r="DK222" i="13"/>
  <c r="DK282" i="13"/>
  <c r="DA282" i="13"/>
  <c r="DK229" i="13"/>
  <c r="DA229" i="13"/>
  <c r="DK225" i="13"/>
  <c r="DA225" i="13"/>
  <c r="DK233" i="13"/>
  <c r="DA233" i="13"/>
  <c r="DA295" i="13"/>
  <c r="DK295" i="13"/>
  <c r="DA249" i="13"/>
  <c r="DK249" i="13"/>
  <c r="DA257" i="13"/>
  <c r="DK257" i="13"/>
  <c r="DK224" i="13"/>
  <c r="DA224" i="13"/>
  <c r="DA252" i="13"/>
  <c r="DK252" i="13"/>
  <c r="DK294" i="13"/>
  <c r="DA294" i="13"/>
  <c r="DK266" i="13"/>
  <c r="DA266" i="13"/>
  <c r="DA291" i="13"/>
  <c r="DK291" i="13"/>
  <c r="DA265" i="13"/>
  <c r="DK265" i="13"/>
  <c r="DA256" i="13"/>
  <c r="DK256" i="13"/>
  <c r="DJ202" i="13"/>
  <c r="DA221" i="13"/>
  <c r="DK221" i="13"/>
  <c r="DK288" i="13"/>
  <c r="DA288" i="13"/>
  <c r="DA267" i="13"/>
  <c r="DK267" i="13"/>
  <c r="DK237" i="13"/>
  <c r="DA237" i="13"/>
  <c r="DK289" i="13"/>
  <c r="DA289" i="13"/>
  <c r="DA231" i="13"/>
  <c r="DK231" i="13"/>
  <c r="DK251" i="13"/>
  <c r="DA251" i="13"/>
  <c r="DK278" i="13"/>
  <c r="DA278" i="13"/>
  <c r="DK242" i="13"/>
  <c r="DA242" i="13"/>
  <c r="DK230" i="13"/>
  <c r="DA230" i="13"/>
  <c r="DK296" i="13"/>
  <c r="DA296" i="13"/>
  <c r="DK236" i="13"/>
  <c r="DA236" i="13"/>
  <c r="DA250" i="13"/>
  <c r="DK250" i="13"/>
  <c r="DA264" i="13"/>
  <c r="DK264" i="13"/>
  <c r="DA234" i="13"/>
  <c r="DK234" i="13"/>
  <c r="DK297" i="13"/>
  <c r="DA297" i="13"/>
  <c r="D300" i="13"/>
  <c r="D304" i="13"/>
  <c r="D176" i="13"/>
  <c r="D54" i="13"/>
  <c r="D141" i="13"/>
  <c r="D303" i="13"/>
  <c r="D301" i="13"/>
  <c r="D299" i="13"/>
  <c r="D64" i="13"/>
  <c r="D36" i="13"/>
  <c r="D60" i="13"/>
  <c r="D103" i="11"/>
  <c r="C103" i="11"/>
  <c r="D102" i="11"/>
  <c r="C102" i="11"/>
  <c r="D101" i="11"/>
  <c r="C101" i="11"/>
  <c r="D100" i="11"/>
  <c r="C100" i="11"/>
  <c r="D99" i="11"/>
  <c r="C99" i="11"/>
  <c r="D98" i="11"/>
  <c r="C98" i="11"/>
  <c r="D97" i="11"/>
  <c r="C97" i="11"/>
  <c r="D96" i="11"/>
  <c r="C96" i="11"/>
  <c r="D95" i="11"/>
  <c r="C95" i="11"/>
  <c r="D94" i="11"/>
  <c r="C94" i="11"/>
  <c r="D93" i="11"/>
  <c r="C93" i="11"/>
  <c r="D92" i="11"/>
  <c r="C92" i="11"/>
  <c r="E87" i="11"/>
  <c r="D87" i="11"/>
  <c r="E86" i="11"/>
  <c r="D86" i="11"/>
  <c r="E85" i="11"/>
  <c r="D85" i="11"/>
  <c r="E84" i="11"/>
  <c r="D84" i="11"/>
  <c r="E83" i="11"/>
  <c r="D83" i="11"/>
  <c r="E82" i="11"/>
  <c r="D82" i="11"/>
  <c r="E81" i="11"/>
  <c r="D81" i="11"/>
  <c r="E80" i="11"/>
  <c r="D80" i="11"/>
  <c r="E79" i="11"/>
  <c r="D79" i="11"/>
  <c r="E78" i="11"/>
  <c r="D78" i="11"/>
  <c r="E77" i="11"/>
  <c r="D77" i="11"/>
  <c r="E76" i="11"/>
  <c r="D76" i="11"/>
  <c r="E75" i="11"/>
  <c r="D75" i="11"/>
  <c r="E74" i="11"/>
  <c r="D74" i="11"/>
  <c r="E73" i="11"/>
  <c r="D73" i="11"/>
  <c r="E72" i="11"/>
  <c r="D72" i="11"/>
  <c r="E71" i="11"/>
  <c r="D71" i="11"/>
  <c r="E70" i="11"/>
  <c r="D70" i="11"/>
  <c r="E69" i="11"/>
  <c r="D69" i="11"/>
  <c r="E68" i="11"/>
  <c r="D68" i="11"/>
  <c r="E67" i="11"/>
  <c r="D67" i="11"/>
  <c r="E66" i="11"/>
  <c r="D66" i="11"/>
  <c r="E65" i="11"/>
  <c r="D65" i="11"/>
  <c r="E64" i="11"/>
  <c r="D64" i="11"/>
  <c r="E63" i="11"/>
  <c r="D63" i="11"/>
  <c r="E62" i="11"/>
  <c r="D62" i="11"/>
  <c r="E61" i="11"/>
  <c r="D61" i="11"/>
  <c r="D55" i="11"/>
  <c r="C55" i="11"/>
  <c r="D54" i="11"/>
  <c r="C54" i="11"/>
  <c r="D53" i="11"/>
  <c r="C53" i="11"/>
  <c r="D52" i="11"/>
  <c r="C52" i="11"/>
  <c r="D51" i="11"/>
  <c r="C51" i="11"/>
  <c r="D50" i="11"/>
  <c r="C50" i="11"/>
  <c r="D49" i="11"/>
  <c r="C49" i="11"/>
  <c r="D48" i="11"/>
  <c r="C48" i="11"/>
  <c r="D47" i="11"/>
  <c r="C47" i="11"/>
  <c r="D46" i="11"/>
  <c r="C46" i="11"/>
  <c r="D45" i="11"/>
  <c r="C45" i="11"/>
  <c r="D44" i="11"/>
  <c r="C44" i="11"/>
  <c r="E39" i="11"/>
  <c r="D39" i="11"/>
  <c r="E38" i="11"/>
  <c r="D38" i="11"/>
  <c r="E36" i="11"/>
  <c r="D36" i="11"/>
  <c r="E35" i="11"/>
  <c r="D35" i="11"/>
  <c r="E34" i="11"/>
  <c r="D34" i="11"/>
  <c r="E33" i="11"/>
  <c r="D33" i="11"/>
  <c r="E32" i="11"/>
  <c r="D32" i="11"/>
  <c r="E31" i="11"/>
  <c r="D31" i="11"/>
  <c r="E30" i="11"/>
  <c r="D30" i="11"/>
  <c r="E29" i="11"/>
  <c r="D29" i="11"/>
  <c r="E28" i="11"/>
  <c r="D28" i="11"/>
  <c r="E27" i="11"/>
  <c r="D27" i="11"/>
  <c r="E26" i="11"/>
  <c r="D26" i="11"/>
  <c r="E25" i="11"/>
  <c r="D25" i="11"/>
  <c r="E24" i="11"/>
  <c r="D24" i="11"/>
  <c r="E23" i="11"/>
  <c r="D23" i="11"/>
  <c r="E22" i="11"/>
  <c r="D22" i="11"/>
  <c r="E21" i="11"/>
  <c r="D21" i="11"/>
  <c r="E20" i="11"/>
  <c r="D20" i="11"/>
  <c r="E19" i="11"/>
  <c r="D19" i="11"/>
  <c r="E18" i="11"/>
  <c r="D18" i="11"/>
  <c r="E17" i="11"/>
  <c r="D17" i="11"/>
  <c r="E16" i="11"/>
  <c r="D16" i="11"/>
  <c r="E15" i="11"/>
  <c r="D15" i="11"/>
  <c r="E14" i="11"/>
  <c r="D14" i="11"/>
  <c r="E13" i="11"/>
  <c r="D13" i="11"/>
  <c r="AX99" i="13" l="1"/>
  <c r="B350" i="13"/>
  <c r="D13" i="18" s="1"/>
  <c r="AY152" i="13"/>
  <c r="AX97" i="13"/>
  <c r="AY12" i="13"/>
  <c r="AY31" i="13"/>
  <c r="AY35" i="13"/>
  <c r="AX122" i="13"/>
  <c r="AX104" i="13"/>
  <c r="AX93" i="13"/>
  <c r="AX126" i="13"/>
  <c r="AX191" i="13"/>
  <c r="AH204" i="13"/>
  <c r="AY28" i="13"/>
  <c r="AX102" i="13"/>
  <c r="AX140" i="13"/>
  <c r="AX129" i="13"/>
  <c r="AX111" i="13"/>
  <c r="AY34" i="13"/>
  <c r="AY58" i="13"/>
  <c r="AY43" i="13"/>
  <c r="AY26" i="13"/>
  <c r="AY49" i="13"/>
  <c r="AY59" i="13"/>
  <c r="AX123" i="13"/>
  <c r="AX116" i="13"/>
  <c r="AX90" i="13"/>
  <c r="AX91" i="13"/>
  <c r="AX137" i="13"/>
  <c r="AX131" i="13"/>
  <c r="AY154" i="13"/>
  <c r="AX121" i="13"/>
  <c r="AX118" i="13"/>
  <c r="AH203" i="13"/>
  <c r="AY148" i="13"/>
  <c r="AY44" i="13"/>
  <c r="AY62" i="13"/>
  <c r="AY56" i="13"/>
  <c r="AX117" i="13"/>
  <c r="AH201" i="13"/>
  <c r="AY23" i="13"/>
  <c r="AY48" i="13"/>
  <c r="AX100" i="13"/>
  <c r="AX136" i="13"/>
  <c r="AX110" i="13"/>
  <c r="C19" i="11"/>
  <c r="AY15" i="13"/>
  <c r="AY30" i="13"/>
  <c r="AY55" i="13"/>
  <c r="AY42" i="13"/>
  <c r="AY32" i="13"/>
  <c r="AX113" i="13"/>
  <c r="AX139" i="13"/>
  <c r="AX107" i="13"/>
  <c r="AX112" i="13"/>
  <c r="AX124" i="13"/>
  <c r="AX95" i="13"/>
  <c r="AX103" i="13"/>
  <c r="AY147" i="13"/>
  <c r="AY52" i="13"/>
  <c r="AX120" i="13"/>
  <c r="AY21" i="13"/>
  <c r="AX138" i="13"/>
  <c r="AX119" i="13"/>
  <c r="AX108" i="13"/>
  <c r="AX134" i="13"/>
  <c r="AX101" i="13"/>
  <c r="AX115" i="13"/>
  <c r="AY61" i="13"/>
  <c r="AY20" i="13"/>
  <c r="AY45" i="13"/>
  <c r="AY51" i="13"/>
  <c r="AY57" i="13"/>
  <c r="AY53" i="13"/>
  <c r="AX98" i="13"/>
  <c r="AX106" i="13"/>
  <c r="AX128" i="13"/>
  <c r="C25" i="11"/>
  <c r="AY13" i="13"/>
  <c r="AY25" i="13"/>
  <c r="AY29" i="13"/>
  <c r="AY50" i="13"/>
  <c r="AX125" i="13"/>
  <c r="AX133" i="13"/>
  <c r="AX132" i="13"/>
  <c r="AX105" i="13"/>
  <c r="AX135" i="13"/>
  <c r="AX130" i="13"/>
  <c r="AX96" i="13"/>
  <c r="AY41" i="13"/>
  <c r="AY63" i="13"/>
  <c r="AY149" i="13"/>
  <c r="AY153" i="13"/>
  <c r="AY14" i="13"/>
  <c r="AY33" i="13"/>
  <c r="AY24" i="13"/>
  <c r="AX92" i="13"/>
  <c r="AX127" i="13"/>
  <c r="AY22" i="13"/>
  <c r="AY150" i="13"/>
  <c r="AY47" i="13"/>
  <c r="AX89" i="13"/>
  <c r="AX109" i="13"/>
  <c r="AX94" i="13"/>
  <c r="AX114" i="13"/>
  <c r="AY151" i="13"/>
  <c r="AX186" i="13"/>
  <c r="AX183" i="13"/>
  <c r="AX181" i="13"/>
  <c r="AX185" i="13"/>
  <c r="AX179" i="13"/>
  <c r="AX88" i="13"/>
  <c r="AY27" i="13"/>
  <c r="AY245" i="13"/>
  <c r="AX194" i="13"/>
  <c r="AX193" i="13"/>
  <c r="AX178" i="13"/>
  <c r="AX190" i="13"/>
  <c r="AX192" i="13"/>
  <c r="AX177" i="13"/>
  <c r="AX188" i="13"/>
  <c r="AX187" i="13"/>
  <c r="AX184" i="13"/>
  <c r="AX196" i="13"/>
  <c r="AX189" i="13"/>
  <c r="AX180" i="13"/>
  <c r="AX195" i="13"/>
  <c r="AX182" i="13"/>
  <c r="AY290" i="13"/>
  <c r="AY272" i="13"/>
  <c r="AY287" i="13"/>
  <c r="B44" i="11"/>
  <c r="AY260" i="13"/>
  <c r="A350" i="13"/>
  <c r="E13" i="18" s="1"/>
  <c r="C68" i="11"/>
  <c r="AY293" i="13"/>
  <c r="B97" i="11"/>
  <c r="B47" i="11"/>
  <c r="B53" i="11"/>
  <c r="C61" i="11"/>
  <c r="C67" i="11"/>
  <c r="C85" i="11"/>
  <c r="B92" i="11"/>
  <c r="B95" i="11"/>
  <c r="AY247" i="13"/>
  <c r="AY275" i="13"/>
  <c r="AY246" i="13"/>
  <c r="AY235" i="13"/>
  <c r="AY227" i="13"/>
  <c r="AY264" i="13"/>
  <c r="AY291" i="13"/>
  <c r="AY269" i="13"/>
  <c r="B102" i="11"/>
  <c r="AY236" i="13"/>
  <c r="AY267" i="13"/>
  <c r="AY257" i="13"/>
  <c r="AY282" i="13"/>
  <c r="AY298" i="13"/>
  <c r="AY285" i="13"/>
  <c r="AY243" i="13"/>
  <c r="C27" i="11"/>
  <c r="C33" i="11"/>
  <c r="B52" i="11"/>
  <c r="B55" i="11"/>
  <c r="B103" i="11"/>
  <c r="AY244" i="13"/>
  <c r="AY240" i="13"/>
  <c r="AY234" i="13"/>
  <c r="AY262" i="13"/>
  <c r="AY250" i="13"/>
  <c r="AY296" i="13"/>
  <c r="AY230" i="13"/>
  <c r="AY288" i="13"/>
  <c r="AY256" i="13"/>
  <c r="AY294" i="13"/>
  <c r="AY226" i="13"/>
  <c r="AY223" i="13"/>
  <c r="C17" i="11"/>
  <c r="C32" i="11"/>
  <c r="C35" i="11"/>
  <c r="B45" i="11"/>
  <c r="C65" i="11"/>
  <c r="B98" i="11"/>
  <c r="AY278" i="13"/>
  <c r="AY221" i="13"/>
  <c r="AY266" i="13"/>
  <c r="AY229" i="13"/>
  <c r="AY274" i="13"/>
  <c r="AY255" i="13"/>
  <c r="AY270" i="13"/>
  <c r="AY283" i="13"/>
  <c r="AY271" i="13"/>
  <c r="AY253" i="13"/>
  <c r="AY280" i="13"/>
  <c r="AY277" i="13"/>
  <c r="AY286" i="13"/>
  <c r="C74" i="11"/>
  <c r="B99" i="11"/>
  <c r="AY224" i="13"/>
  <c r="AY254" i="13"/>
  <c r="AY220" i="13"/>
  <c r="AY284" i="13"/>
  <c r="AY259" i="13"/>
  <c r="AY237" i="13"/>
  <c r="AY249" i="13"/>
  <c r="AY232" i="13"/>
  <c r="C69" i="11"/>
  <c r="C72" i="11"/>
  <c r="C75" i="11"/>
  <c r="C81" i="11"/>
  <c r="C84" i="11"/>
  <c r="B94" i="11"/>
  <c r="AY297" i="13"/>
  <c r="AY251" i="13"/>
  <c r="AY289" i="13"/>
  <c r="AY225" i="13"/>
  <c r="AY222" i="13"/>
  <c r="AY238" i="13"/>
  <c r="AY261" i="13"/>
  <c r="AY248" i="13"/>
  <c r="AY228" i="13"/>
  <c r="AY252" i="13"/>
  <c r="AY233" i="13"/>
  <c r="AY241" i="13"/>
  <c r="AY292" i="13"/>
  <c r="C28" i="11"/>
  <c r="C36" i="11"/>
  <c r="B48" i="11"/>
  <c r="C73" i="11"/>
  <c r="C76" i="11"/>
  <c r="C82" i="11"/>
  <c r="B100" i="11"/>
  <c r="AY279" i="13"/>
  <c r="AY263" i="13"/>
  <c r="AY242" i="13"/>
  <c r="AY295" i="13"/>
  <c r="AY239" i="13"/>
  <c r="C15" i="11"/>
  <c r="C24" i="11"/>
  <c r="C80" i="11"/>
  <c r="C83" i="11"/>
  <c r="AY231" i="13"/>
  <c r="AY276" i="13"/>
  <c r="AY258" i="13"/>
  <c r="AY281" i="13"/>
  <c r="C16" i="11"/>
  <c r="C30" i="11"/>
  <c r="C38" i="11"/>
  <c r="B50" i="11"/>
  <c r="C63" i="11"/>
  <c r="C66" i="11"/>
  <c r="B93" i="11"/>
  <c r="B96" i="11"/>
  <c r="AY265" i="13"/>
  <c r="AY273" i="13"/>
  <c r="AY268" i="13"/>
  <c r="AY219" i="13"/>
  <c r="C29" i="11"/>
  <c r="C77" i="11"/>
  <c r="C14" i="11"/>
  <c r="C22" i="11"/>
  <c r="C62" i="11"/>
  <c r="B49" i="11"/>
  <c r="C70" i="11"/>
  <c r="C78" i="11"/>
  <c r="C13" i="11"/>
  <c r="C20" i="11"/>
  <c r="C23" i="11"/>
  <c r="C31" i="11"/>
  <c r="C39" i="11"/>
  <c r="B51" i="11"/>
  <c r="C71" i="11"/>
  <c r="C79" i="11"/>
  <c r="C86" i="11"/>
  <c r="B101" i="11"/>
  <c r="C21" i="11"/>
  <c r="C18" i="11"/>
  <c r="C26" i="11"/>
  <c r="C34" i="11"/>
  <c r="B46" i="11"/>
  <c r="B54" i="11"/>
  <c r="C64" i="11"/>
  <c r="C87" i="11"/>
  <c r="A150" i="11" l="1"/>
  <c r="E30" i="18" s="1"/>
  <c r="CA13" i="11"/>
  <c r="CB63" i="11"/>
  <c r="CA63" i="11"/>
  <c r="CA75" i="11"/>
  <c r="CB75" i="11"/>
  <c r="CA71" i="11"/>
  <c r="CB71" i="11"/>
  <c r="CA70" i="11"/>
  <c r="CB70" i="11"/>
  <c r="CA38" i="11"/>
  <c r="CB38" i="11"/>
  <c r="CB80" i="11"/>
  <c r="CA80" i="11"/>
  <c r="CA72" i="11"/>
  <c r="CB72" i="11"/>
  <c r="CB13" i="11"/>
  <c r="CA78" i="11"/>
  <c r="CB78" i="11"/>
  <c r="CA83" i="11"/>
  <c r="CB83" i="11"/>
  <c r="CB27" i="11"/>
  <c r="CA27" i="11"/>
  <c r="CB34" i="11"/>
  <c r="CA34" i="11"/>
  <c r="CA30" i="11"/>
  <c r="CB30" i="11"/>
  <c r="CB24" i="11"/>
  <c r="CA24" i="11"/>
  <c r="CB82" i="11"/>
  <c r="CA82" i="11"/>
  <c r="CA69" i="11"/>
  <c r="CB69" i="11"/>
  <c r="CA68" i="11"/>
  <c r="CB68" i="11"/>
  <c r="CA86" i="11"/>
  <c r="CB86" i="11"/>
  <c r="CB28" i="11"/>
  <c r="CA28" i="11"/>
  <c r="CB26" i="11"/>
  <c r="CA26" i="11"/>
  <c r="CA15" i="11"/>
  <c r="CB15" i="11"/>
  <c r="CB65" i="11"/>
  <c r="CA65" i="11"/>
  <c r="CA31" i="11"/>
  <c r="CB31" i="11"/>
  <c r="CA22" i="11"/>
  <c r="CB22" i="11"/>
  <c r="CA73" i="11"/>
  <c r="CB73" i="11"/>
  <c r="CB74" i="11"/>
  <c r="CA74" i="11"/>
  <c r="CA67" i="11"/>
  <c r="CB67" i="11"/>
  <c r="CB29" i="11"/>
  <c r="CA29" i="11"/>
  <c r="CA17" i="11"/>
  <c r="CB17" i="11"/>
  <c r="CA39" i="11"/>
  <c r="CB39" i="11"/>
  <c r="CA16" i="11"/>
  <c r="CB16" i="11"/>
  <c r="CA76" i="11"/>
  <c r="CB76" i="11"/>
  <c r="CE25" i="11"/>
  <c r="CB25" i="11"/>
  <c r="CA25" i="11"/>
  <c r="CB18" i="11"/>
  <c r="CA18" i="11"/>
  <c r="CA21" i="11"/>
  <c r="CB21" i="11"/>
  <c r="CA23" i="11"/>
  <c r="CB23" i="11"/>
  <c r="CA14" i="11"/>
  <c r="CB14" i="11"/>
  <c r="CB35" i="11"/>
  <c r="CA35" i="11"/>
  <c r="CB61" i="11"/>
  <c r="CA61" i="11"/>
  <c r="CA64" i="11"/>
  <c r="CB64" i="11"/>
  <c r="CA81" i="11"/>
  <c r="CB81" i="11"/>
  <c r="CB33" i="11"/>
  <c r="CA33" i="11"/>
  <c r="CA79" i="11"/>
  <c r="CB79" i="11"/>
  <c r="CA62" i="11"/>
  <c r="CB62" i="11"/>
  <c r="CA85" i="11"/>
  <c r="CB85" i="11"/>
  <c r="CE19" i="11"/>
  <c r="CA19" i="11"/>
  <c r="CB19" i="11"/>
  <c r="CB87" i="11"/>
  <c r="CA87" i="11"/>
  <c r="CB20" i="11"/>
  <c r="CA20" i="11"/>
  <c r="CA77" i="11"/>
  <c r="CB77" i="11"/>
  <c r="CA66" i="11"/>
  <c r="CB66" i="11"/>
  <c r="CB36" i="11"/>
  <c r="CA36" i="11"/>
  <c r="CB84" i="11"/>
  <c r="CA84" i="11"/>
  <c r="CA32" i="11"/>
  <c r="CB32" i="11"/>
  <c r="CD19" i="11"/>
  <c r="CD25" i="11"/>
  <c r="CD34" i="11"/>
  <c r="CE34" i="11"/>
  <c r="CD79" i="11"/>
  <c r="CE79" i="11"/>
  <c r="CE62" i="11"/>
  <c r="CD62" i="11"/>
  <c r="CD17" i="11"/>
  <c r="CE17" i="11"/>
  <c r="CD26" i="11"/>
  <c r="CE26" i="11"/>
  <c r="CE37" i="11"/>
  <c r="CD37" i="11"/>
  <c r="CE69" i="11"/>
  <c r="CD69" i="11"/>
  <c r="CE71" i="11"/>
  <c r="CD71" i="11"/>
  <c r="CD22" i="11"/>
  <c r="CE22" i="11"/>
  <c r="CE82" i="11"/>
  <c r="CD82" i="11"/>
  <c r="CD85" i="11"/>
  <c r="CE85" i="11"/>
  <c r="CE87" i="11"/>
  <c r="CD87" i="11"/>
  <c r="CE18" i="11"/>
  <c r="CD18" i="11"/>
  <c r="CE14" i="11"/>
  <c r="CD14" i="11"/>
  <c r="CE38" i="11"/>
  <c r="CD38" i="11"/>
  <c r="CD76" i="11"/>
  <c r="CE76" i="11"/>
  <c r="CE65" i="11"/>
  <c r="CD65" i="11"/>
  <c r="CD67" i="11"/>
  <c r="CE67" i="11"/>
  <c r="CE68" i="11"/>
  <c r="CD68" i="11"/>
  <c r="CE20" i="11"/>
  <c r="CD20" i="11"/>
  <c r="CE64" i="11"/>
  <c r="CD64" i="11"/>
  <c r="CE21" i="11"/>
  <c r="CD21" i="11"/>
  <c r="CD78" i="11"/>
  <c r="CE78" i="11"/>
  <c r="CE77" i="11"/>
  <c r="CD77" i="11"/>
  <c r="CE83" i="11"/>
  <c r="CD83" i="11"/>
  <c r="CD73" i="11"/>
  <c r="CE73" i="11"/>
  <c r="CD84" i="11"/>
  <c r="CE84" i="11"/>
  <c r="CE31" i="11"/>
  <c r="CD31" i="11"/>
  <c r="CE70" i="11"/>
  <c r="CD70" i="11"/>
  <c r="CD29" i="11"/>
  <c r="CE29" i="11"/>
  <c r="CD16" i="11"/>
  <c r="CE16" i="11"/>
  <c r="CE80" i="11"/>
  <c r="CD80" i="11"/>
  <c r="CE81" i="11"/>
  <c r="CD81" i="11"/>
  <c r="CD35" i="11"/>
  <c r="CE35" i="11"/>
  <c r="CE33" i="11"/>
  <c r="CD33" i="11"/>
  <c r="CE63" i="11"/>
  <c r="CD63" i="11"/>
  <c r="CE15" i="11"/>
  <c r="CD15" i="11"/>
  <c r="CD28" i="11"/>
  <c r="CE28" i="11"/>
  <c r="CD72" i="11"/>
  <c r="CE72" i="11"/>
  <c r="CE39" i="11"/>
  <c r="CD39" i="11"/>
  <c r="CE30" i="11"/>
  <c r="CD30" i="11"/>
  <c r="CE86" i="11"/>
  <c r="CD86" i="11"/>
  <c r="CD23" i="11"/>
  <c r="CE23" i="11"/>
  <c r="CD66" i="11"/>
  <c r="CE66" i="11"/>
  <c r="CE24" i="11"/>
  <c r="CD24" i="11"/>
  <c r="CE36" i="11"/>
  <c r="CD36" i="11"/>
  <c r="CE75" i="11"/>
  <c r="CD75" i="11"/>
  <c r="CE74" i="11"/>
  <c r="CD74" i="11"/>
  <c r="CE32" i="11"/>
  <c r="CD32" i="11"/>
  <c r="CE27" i="11"/>
  <c r="CD27" i="11"/>
  <c r="CE61" i="11"/>
  <c r="CD61" i="11"/>
  <c r="CD13" i="11"/>
  <c r="CE13" i="11"/>
  <c r="B109" i="5"/>
  <c r="AP109" i="5" s="1"/>
  <c r="B108" i="5"/>
  <c r="AO108" i="5" s="1"/>
  <c r="G104" i="5"/>
  <c r="F104" i="5"/>
  <c r="E104" i="5"/>
  <c r="D104" i="5"/>
  <c r="C104" i="5"/>
  <c r="B103" i="5"/>
  <c r="B102" i="5"/>
  <c r="B101" i="5"/>
  <c r="B100" i="5"/>
  <c r="B98" i="5"/>
  <c r="B97" i="5"/>
  <c r="B96" i="5"/>
  <c r="I92" i="5"/>
  <c r="H92" i="5"/>
  <c r="G92" i="5"/>
  <c r="F92" i="5"/>
  <c r="E92" i="5"/>
  <c r="D92" i="5"/>
  <c r="C92" i="5"/>
  <c r="B92" i="5"/>
  <c r="C74" i="5"/>
  <c r="C73" i="5"/>
  <c r="C72" i="5"/>
  <c r="C71" i="5"/>
  <c r="C70" i="5"/>
  <c r="E67" i="5"/>
  <c r="D67" i="5"/>
  <c r="C67" i="5"/>
  <c r="B67" i="5"/>
  <c r="B58" i="5"/>
  <c r="B57" i="5"/>
  <c r="B56" i="5"/>
  <c r="B53" i="5"/>
  <c r="B52" i="5"/>
  <c r="B51" i="5"/>
  <c r="C37" i="5"/>
  <c r="C36" i="5"/>
  <c r="C35" i="5"/>
  <c r="C34" i="5"/>
  <c r="C33" i="5"/>
  <c r="C32" i="5"/>
  <c r="C31" i="5"/>
  <c r="B150" i="11" l="1"/>
  <c r="D30" i="18" s="1"/>
  <c r="AP31" i="11"/>
  <c r="AP14" i="11"/>
  <c r="AP25" i="11"/>
  <c r="AP79" i="11"/>
  <c r="AP19" i="11"/>
  <c r="AP73" i="11"/>
  <c r="AO96" i="5"/>
  <c r="H96" i="5" s="1"/>
  <c r="AS96" i="5"/>
  <c r="AO98" i="5"/>
  <c r="H98" i="5" s="1"/>
  <c r="AS98" i="5"/>
  <c r="AO101" i="5"/>
  <c r="H101" i="5" s="1"/>
  <c r="AS101" i="5"/>
  <c r="AO103" i="5"/>
  <c r="H103" i="5" s="1"/>
  <c r="AS103" i="5"/>
  <c r="AO100" i="5"/>
  <c r="H100" i="5" s="1"/>
  <c r="AS100" i="5"/>
  <c r="AS102" i="5"/>
  <c r="AO102" i="5"/>
  <c r="H102" i="5" s="1"/>
  <c r="AS97" i="5"/>
  <c r="AO97" i="5"/>
  <c r="H97" i="5" s="1"/>
  <c r="AP83" i="11"/>
  <c r="AP64" i="11"/>
  <c r="AP65" i="11"/>
  <c r="AP29" i="11"/>
  <c r="AP18" i="11"/>
  <c r="AP76" i="11"/>
  <c r="AP17" i="11"/>
  <c r="AP63" i="11"/>
  <c r="AP87" i="11"/>
  <c r="AP37" i="11"/>
  <c r="AP26" i="11"/>
  <c r="AP36" i="11"/>
  <c r="AP24" i="11"/>
  <c r="AP23" i="11"/>
  <c r="AP30" i="11"/>
  <c r="AP72" i="11"/>
  <c r="AP81" i="11"/>
  <c r="AP16" i="11"/>
  <c r="AP84" i="11"/>
  <c r="AP78" i="11"/>
  <c r="AP38" i="11"/>
  <c r="AP85" i="11"/>
  <c r="AP22" i="11"/>
  <c r="AP34" i="11"/>
  <c r="AP27" i="11"/>
  <c r="AP21" i="11"/>
  <c r="AP71" i="11"/>
  <c r="AP80" i="11"/>
  <c r="AP77" i="11"/>
  <c r="AP32" i="11"/>
  <c r="AP15" i="11"/>
  <c r="AP70" i="11"/>
  <c r="AS108" i="5"/>
  <c r="H108" i="5"/>
  <c r="AT109" i="5"/>
  <c r="H109" i="5"/>
  <c r="AP20" i="11"/>
  <c r="AP74" i="11"/>
  <c r="AP82" i="11"/>
  <c r="AP28" i="11"/>
  <c r="AP75" i="11"/>
  <c r="AP86" i="11"/>
  <c r="AP62" i="11"/>
  <c r="AP67" i="11"/>
  <c r="AP35" i="11"/>
  <c r="AP33" i="11"/>
  <c r="AP66" i="11"/>
  <c r="AP61" i="11"/>
  <c r="AP39" i="11"/>
  <c r="AP69" i="11"/>
  <c r="AP68" i="11"/>
  <c r="AP13" i="11"/>
  <c r="B104" i="5"/>
  <c r="AO104" i="5" s="1"/>
  <c r="H104" i="5" s="1"/>
  <c r="B26" i="5"/>
  <c r="B25" i="5"/>
  <c r="B24" i="5"/>
  <c r="B23" i="5"/>
  <c r="B22" i="5"/>
  <c r="AS104" i="5" l="1"/>
  <c r="AC17" i="5"/>
  <c r="Z17" i="5"/>
  <c r="U17" i="5"/>
  <c r="P17" i="5"/>
  <c r="K17" i="5"/>
  <c r="G17" i="5"/>
  <c r="AC16" i="5"/>
  <c r="Z16" i="5"/>
  <c r="U16" i="5"/>
  <c r="P16" i="5"/>
  <c r="K16" i="5"/>
  <c r="G16" i="5"/>
  <c r="AC15" i="5"/>
  <c r="Z15" i="5"/>
  <c r="U15" i="5"/>
  <c r="P15" i="5"/>
  <c r="K15" i="5"/>
  <c r="G15" i="5"/>
  <c r="AC14" i="5"/>
  <c r="Z14" i="5"/>
  <c r="U14" i="5"/>
  <c r="P14" i="5"/>
  <c r="P13" i="5" s="1"/>
  <c r="K14" i="5"/>
  <c r="G14" i="5"/>
  <c r="AE13" i="5"/>
  <c r="AD13" i="5"/>
  <c r="AB13" i="5"/>
  <c r="AA13" i="5"/>
  <c r="Y13" i="5"/>
  <c r="X13" i="5"/>
  <c r="W13" i="5"/>
  <c r="V13" i="5"/>
  <c r="T13" i="5"/>
  <c r="S13" i="5"/>
  <c r="R13" i="5"/>
  <c r="Q13" i="5"/>
  <c r="O13" i="5"/>
  <c r="N13" i="5"/>
  <c r="M13" i="5"/>
  <c r="L13" i="5"/>
  <c r="J13" i="5"/>
  <c r="I13" i="5"/>
  <c r="H13" i="5"/>
  <c r="F13" i="5"/>
  <c r="E13" i="5"/>
  <c r="D13" i="5"/>
  <c r="C13" i="5"/>
  <c r="B13" i="5"/>
  <c r="U13" i="5" l="1"/>
  <c r="AC13" i="5"/>
  <c r="B201" i="5"/>
  <c r="D18" i="18" s="1"/>
  <c r="K13" i="5"/>
  <c r="G13" i="5"/>
  <c r="Z13" i="5"/>
  <c r="D202" i="4"/>
  <c r="C202" i="4"/>
  <c r="D201" i="4"/>
  <c r="C201" i="4"/>
  <c r="D200" i="4"/>
  <c r="C200" i="4"/>
  <c r="D199" i="4"/>
  <c r="C199" i="4"/>
  <c r="D198" i="4"/>
  <c r="C198" i="4"/>
  <c r="O197" i="4"/>
  <c r="N197" i="4"/>
  <c r="M197" i="4"/>
  <c r="L197" i="4"/>
  <c r="K197" i="4"/>
  <c r="J197" i="4"/>
  <c r="I197" i="4"/>
  <c r="H197" i="4"/>
  <c r="G197" i="4"/>
  <c r="F197" i="4"/>
  <c r="E197" i="4"/>
  <c r="B199" i="4" l="1"/>
  <c r="BN199" i="4" s="1"/>
  <c r="A201" i="5"/>
  <c r="E18" i="18" s="1"/>
  <c r="B200" i="4"/>
  <c r="BO200" i="4" s="1"/>
  <c r="D197" i="4"/>
  <c r="B202" i="4"/>
  <c r="B198" i="4"/>
  <c r="B201" i="4"/>
  <c r="C197" i="4"/>
  <c r="D192" i="4"/>
  <c r="BO192" i="4" s="1"/>
  <c r="C192" i="4"/>
  <c r="BQ192" i="4" s="1"/>
  <c r="B187" i="4"/>
  <c r="B186" i="4"/>
  <c r="E183" i="4"/>
  <c r="D183" i="4"/>
  <c r="E182" i="4"/>
  <c r="D182" i="4"/>
  <c r="D177" i="4"/>
  <c r="C177" i="4"/>
  <c r="D176" i="4"/>
  <c r="C176" i="4"/>
  <c r="D175" i="4"/>
  <c r="C175" i="4"/>
  <c r="D174" i="4"/>
  <c r="C174" i="4"/>
  <c r="BJ199" i="4" l="1"/>
  <c r="BO199" i="4"/>
  <c r="BI199" i="4"/>
  <c r="BK192" i="4"/>
  <c r="BL192" i="4"/>
  <c r="BP192" i="4"/>
  <c r="BN192" i="4"/>
  <c r="BI192" i="4"/>
  <c r="BJ192" i="4"/>
  <c r="B197" i="4"/>
  <c r="BN200" i="4"/>
  <c r="BJ200" i="4"/>
  <c r="BI200" i="4"/>
  <c r="B175" i="4"/>
  <c r="C182" i="4"/>
  <c r="BJ201" i="4"/>
  <c r="BN201" i="4"/>
  <c r="BO201" i="4"/>
  <c r="BI201" i="4"/>
  <c r="BO202" i="4"/>
  <c r="BI202" i="4"/>
  <c r="BJ202" i="4"/>
  <c r="BN202" i="4"/>
  <c r="B177" i="4"/>
  <c r="BJ198" i="4"/>
  <c r="BN198" i="4"/>
  <c r="BI198" i="4"/>
  <c r="BO198" i="4"/>
  <c r="B192" i="4"/>
  <c r="B174" i="4"/>
  <c r="B176" i="4"/>
  <c r="C183" i="4"/>
  <c r="BJ183" i="4" s="1"/>
  <c r="C169" i="4"/>
  <c r="C168" i="4"/>
  <c r="C167" i="4"/>
  <c r="C166" i="4"/>
  <c r="C165" i="4"/>
  <c r="C164" i="4"/>
  <c r="C152" i="4"/>
  <c r="C151" i="4"/>
  <c r="B144" i="4"/>
  <c r="P199" i="4" l="1"/>
  <c r="AO192" i="4"/>
  <c r="BI182" i="4"/>
  <c r="BQ182" i="4"/>
  <c r="BN182" i="4"/>
  <c r="BL182" i="4"/>
  <c r="BO182" i="4"/>
  <c r="BP182" i="4"/>
  <c r="BN165" i="4"/>
  <c r="BI165" i="4"/>
  <c r="I165" i="4" s="1"/>
  <c r="BN166" i="4"/>
  <c r="BI166" i="4"/>
  <c r="I166" i="4" s="1"/>
  <c r="BN164" i="4"/>
  <c r="BI164" i="4"/>
  <c r="I164" i="4" s="1"/>
  <c r="BN167" i="4"/>
  <c r="BI167" i="4"/>
  <c r="I167" i="4" s="1"/>
  <c r="BI152" i="4"/>
  <c r="M152" i="4" s="1"/>
  <c r="BN152" i="4"/>
  <c r="BN169" i="4"/>
  <c r="BI169" i="4"/>
  <c r="I169" i="4" s="1"/>
  <c r="BI183" i="4"/>
  <c r="BO183" i="4"/>
  <c r="BN183" i="4"/>
  <c r="BP183" i="4"/>
  <c r="BL183" i="4"/>
  <c r="BQ183" i="4"/>
  <c r="BN168" i="4"/>
  <c r="BI168" i="4"/>
  <c r="I168" i="4" s="1"/>
  <c r="BN151" i="4"/>
  <c r="BI151" i="4"/>
  <c r="M151" i="4" s="1"/>
  <c r="BK183" i="4"/>
  <c r="BK182" i="4"/>
  <c r="BJ182" i="4"/>
  <c r="BO128" i="4"/>
  <c r="BJ128" i="4"/>
  <c r="BJ129" i="4"/>
  <c r="BO129" i="4"/>
  <c r="P200" i="4"/>
  <c r="P201" i="4"/>
  <c r="P198" i="4"/>
  <c r="P202" i="4"/>
  <c r="BN128" i="4"/>
  <c r="BI129" i="4"/>
  <c r="BN129" i="4"/>
  <c r="E119" i="4"/>
  <c r="D119" i="4"/>
  <c r="E118" i="4"/>
  <c r="D118" i="4"/>
  <c r="Q123" i="4" l="1"/>
  <c r="AL183" i="4"/>
  <c r="K129" i="4"/>
  <c r="AL182" i="4"/>
  <c r="K128" i="4"/>
  <c r="C118" i="4"/>
  <c r="C119" i="4"/>
  <c r="E114" i="4"/>
  <c r="D114" i="4"/>
  <c r="E113" i="4"/>
  <c r="D113" i="4"/>
  <c r="E112" i="4"/>
  <c r="D112" i="4"/>
  <c r="E102" i="4"/>
  <c r="D102" i="4"/>
  <c r="E101" i="4"/>
  <c r="D101" i="4"/>
  <c r="E100" i="4"/>
  <c r="D100" i="4"/>
  <c r="E99" i="4"/>
  <c r="D99" i="4"/>
  <c r="E98" i="4"/>
  <c r="D98" i="4"/>
  <c r="E97" i="4"/>
  <c r="D97" i="4"/>
  <c r="E96" i="4"/>
  <c r="D96" i="4"/>
  <c r="AO95" i="4"/>
  <c r="AN95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0" i="4"/>
  <c r="D90" i="4"/>
  <c r="C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6" i="4"/>
  <c r="C66" i="4"/>
  <c r="D65" i="4"/>
  <c r="C65" i="4"/>
  <c r="D64" i="4"/>
  <c r="C64" i="4"/>
  <c r="D63" i="4"/>
  <c r="C63" i="4"/>
  <c r="D62" i="4"/>
  <c r="C62" i="4"/>
  <c r="D61" i="4"/>
  <c r="C61" i="4"/>
  <c r="D56" i="4"/>
  <c r="C56" i="4"/>
  <c r="D55" i="4"/>
  <c r="C55" i="4"/>
  <c r="D54" i="4"/>
  <c r="C54" i="4"/>
  <c r="D53" i="4"/>
  <c r="C53" i="4"/>
  <c r="D52" i="4"/>
  <c r="C52" i="4"/>
  <c r="D51" i="4"/>
  <c r="C51" i="4"/>
  <c r="D46" i="4"/>
  <c r="C46" i="4"/>
  <c r="D45" i="4"/>
  <c r="C45" i="4"/>
  <c r="D44" i="4"/>
  <c r="C44" i="4"/>
  <c r="D43" i="4"/>
  <c r="C43" i="4"/>
  <c r="D42" i="4"/>
  <c r="C42" i="4"/>
  <c r="D41" i="4"/>
  <c r="C41" i="4"/>
  <c r="D36" i="4"/>
  <c r="C36" i="4"/>
  <c r="D35" i="4"/>
  <c r="C35" i="4"/>
  <c r="D34" i="4"/>
  <c r="C34" i="4"/>
  <c r="D33" i="4"/>
  <c r="C33" i="4"/>
  <c r="D32" i="4"/>
  <c r="C32" i="4"/>
  <c r="D31" i="4"/>
  <c r="C31" i="4"/>
  <c r="D26" i="4"/>
  <c r="C26" i="4"/>
  <c r="D25" i="4"/>
  <c r="C25" i="4"/>
  <c r="D24" i="4"/>
  <c r="C24" i="4"/>
  <c r="D23" i="4"/>
  <c r="C23" i="4"/>
  <c r="D22" i="4"/>
  <c r="C22" i="4"/>
  <c r="D21" i="4"/>
  <c r="C21" i="4"/>
  <c r="D16" i="4"/>
  <c r="C16" i="4"/>
  <c r="D15" i="4"/>
  <c r="C15" i="4"/>
  <c r="D14" i="4"/>
  <c r="C14" i="4"/>
  <c r="D13" i="4"/>
  <c r="C13" i="4"/>
  <c r="Q124" i="4" l="1"/>
  <c r="B34" i="4"/>
  <c r="BI34" i="4" s="1"/>
  <c r="B54" i="4"/>
  <c r="B64" i="4"/>
  <c r="BI64" i="4" s="1"/>
  <c r="AO64" i="4" s="1"/>
  <c r="C114" i="4"/>
  <c r="BO114" i="4" s="1"/>
  <c r="B55" i="4"/>
  <c r="B62" i="4"/>
  <c r="BI62" i="4" s="1"/>
  <c r="AO62" i="4" s="1"/>
  <c r="B32" i="4"/>
  <c r="BI32" i="4" s="1"/>
  <c r="B35" i="4"/>
  <c r="BI35" i="4" s="1"/>
  <c r="B42" i="4"/>
  <c r="C100" i="4"/>
  <c r="B23" i="4"/>
  <c r="B24" i="4"/>
  <c r="B14" i="4"/>
  <c r="B25" i="4"/>
  <c r="B45" i="4"/>
  <c r="B52" i="4"/>
  <c r="C112" i="4"/>
  <c r="B33" i="4"/>
  <c r="BI33" i="4" s="1"/>
  <c r="B43" i="4"/>
  <c r="B46" i="4"/>
  <c r="B53" i="4"/>
  <c r="B51" i="4"/>
  <c r="B31" i="4"/>
  <c r="C102" i="4"/>
  <c r="B36" i="4"/>
  <c r="BI36" i="4" s="1"/>
  <c r="B15" i="4"/>
  <c r="B22" i="4"/>
  <c r="C98" i="4"/>
  <c r="C101" i="4"/>
  <c r="B13" i="4"/>
  <c r="B16" i="4"/>
  <c r="B26" i="4"/>
  <c r="B44" i="4"/>
  <c r="B56" i="4"/>
  <c r="B63" i="4"/>
  <c r="C113" i="4"/>
  <c r="E95" i="4"/>
  <c r="B21" i="4"/>
  <c r="B61" i="4"/>
  <c r="C97" i="4"/>
  <c r="D67" i="4"/>
  <c r="B90" i="4"/>
  <c r="B65" i="4"/>
  <c r="B41" i="4"/>
  <c r="B66" i="4"/>
  <c r="C99" i="4"/>
  <c r="C96" i="4"/>
  <c r="D95" i="4"/>
  <c r="C67" i="4"/>
  <c r="BJ99" i="4" l="1"/>
  <c r="BN99" i="4"/>
  <c r="BN100" i="4"/>
  <c r="BJ100" i="4"/>
  <c r="BJ96" i="4"/>
  <c r="BN96" i="4"/>
  <c r="BN101" i="4"/>
  <c r="BJ101" i="4"/>
  <c r="BK97" i="4"/>
  <c r="BN97" i="4"/>
  <c r="BJ97" i="4"/>
  <c r="BJ98" i="4"/>
  <c r="BN98" i="4"/>
  <c r="BJ102" i="4"/>
  <c r="BN102" i="4"/>
  <c r="BJ46" i="4"/>
  <c r="BO46" i="4"/>
  <c r="BP24" i="4"/>
  <c r="BK24" i="4"/>
  <c r="BK21" i="4"/>
  <c r="BP21" i="4"/>
  <c r="BQ21" i="4"/>
  <c r="BM14" i="4"/>
  <c r="BS14" i="4"/>
  <c r="BJ55" i="4"/>
  <c r="BO55" i="4"/>
  <c r="BO43" i="4"/>
  <c r="BJ43" i="4"/>
  <c r="BJ56" i="4"/>
  <c r="BO56" i="4"/>
  <c r="BJ54" i="4"/>
  <c r="BO54" i="4"/>
  <c r="BO45" i="4"/>
  <c r="BJ45" i="4"/>
  <c r="BM13" i="4"/>
  <c r="BS13" i="4"/>
  <c r="BJ53" i="4"/>
  <c r="BO53" i="4"/>
  <c r="BJ41" i="4"/>
  <c r="BO41" i="4"/>
  <c r="BK22" i="4"/>
  <c r="BP22" i="4"/>
  <c r="BK23" i="4"/>
  <c r="BP23" i="4"/>
  <c r="BJ44" i="4"/>
  <c r="BO44" i="4"/>
  <c r="BJ42" i="4"/>
  <c r="BO42" i="4"/>
  <c r="BO31" i="4"/>
  <c r="BJ31" i="4"/>
  <c r="BJ51" i="4"/>
  <c r="BO51" i="4"/>
  <c r="BO52" i="4"/>
  <c r="BJ52" i="4"/>
  <c r="BL96" i="4"/>
  <c r="BK96" i="4"/>
  <c r="BI96" i="4"/>
  <c r="BI100" i="4"/>
  <c r="BO100" i="4"/>
  <c r="BN44" i="4"/>
  <c r="BI44" i="4"/>
  <c r="BN42" i="4"/>
  <c r="BI42" i="4"/>
  <c r="BI54" i="4"/>
  <c r="BN54" i="4"/>
  <c r="BP97" i="4"/>
  <c r="BQ97" i="4"/>
  <c r="BL97" i="4"/>
  <c r="BI97" i="4"/>
  <c r="BO97" i="4"/>
  <c r="BI26" i="4"/>
  <c r="BJ26" i="4"/>
  <c r="BN26" i="4"/>
  <c r="BO26" i="4"/>
  <c r="BI102" i="4"/>
  <c r="BO102" i="4"/>
  <c r="BI52" i="4"/>
  <c r="BN52" i="4"/>
  <c r="BI43" i="4"/>
  <c r="AO43" i="4" s="1"/>
  <c r="BN43" i="4"/>
  <c r="BI45" i="4"/>
  <c r="AO45" i="4" s="1"/>
  <c r="BN45" i="4"/>
  <c r="BI23" i="4"/>
  <c r="BJ23" i="4"/>
  <c r="BN23" i="4"/>
  <c r="BO23" i="4"/>
  <c r="BI22" i="4"/>
  <c r="BJ22" i="4"/>
  <c r="BQ22" i="4"/>
  <c r="BL22" i="4"/>
  <c r="BN22" i="4"/>
  <c r="BO22" i="4"/>
  <c r="BI56" i="4"/>
  <c r="AO56" i="4" s="1"/>
  <c r="BN56" i="4"/>
  <c r="BI99" i="4"/>
  <c r="BO99" i="4"/>
  <c r="BI25" i="4"/>
  <c r="BJ25" i="4"/>
  <c r="BN25" i="4"/>
  <c r="BO25" i="4"/>
  <c r="BI101" i="4"/>
  <c r="BO101" i="4"/>
  <c r="BN53" i="4"/>
  <c r="BI53" i="4"/>
  <c r="AO53" i="4" s="1"/>
  <c r="BO14" i="4"/>
  <c r="BP14" i="4"/>
  <c r="BQ14" i="4"/>
  <c r="BR14" i="4"/>
  <c r="BI55" i="4"/>
  <c r="AO55" i="4" s="1"/>
  <c r="BN55" i="4"/>
  <c r="BO98" i="4"/>
  <c r="BP98" i="4"/>
  <c r="BK98" i="4"/>
  <c r="BQ98" i="4"/>
  <c r="BL98" i="4"/>
  <c r="BI98" i="4"/>
  <c r="BI46" i="4"/>
  <c r="AO46" i="4" s="1"/>
  <c r="BN46" i="4"/>
  <c r="BI24" i="4"/>
  <c r="BJ24" i="4"/>
  <c r="BL24" i="4"/>
  <c r="BQ24" i="4"/>
  <c r="BN24" i="4"/>
  <c r="BO24" i="4"/>
  <c r="BQ96" i="4"/>
  <c r="BP96" i="4"/>
  <c r="BI51" i="4"/>
  <c r="BI41" i="4"/>
  <c r="BI31" i="4"/>
  <c r="BL21" i="4"/>
  <c r="BI21" i="4"/>
  <c r="BO21" i="4"/>
  <c r="BJ21" i="4"/>
  <c r="BK13" i="4"/>
  <c r="BR13" i="4"/>
  <c r="BQ13" i="4"/>
  <c r="BL13" i="4"/>
  <c r="BO13" i="4"/>
  <c r="BK14" i="4"/>
  <c r="BL14" i="4"/>
  <c r="BJ14" i="4"/>
  <c r="BI14" i="4"/>
  <c r="BJ13" i="4"/>
  <c r="BI13" i="4"/>
  <c r="BN64" i="4"/>
  <c r="BI114" i="4"/>
  <c r="BJ114" i="4"/>
  <c r="BN114" i="4"/>
  <c r="BN31" i="4"/>
  <c r="BN51" i="4"/>
  <c r="BN34" i="4"/>
  <c r="AO34" i="4"/>
  <c r="BN33" i="4"/>
  <c r="AO33" i="4"/>
  <c r="BN32" i="4"/>
  <c r="AO32" i="4"/>
  <c r="BN41" i="4"/>
  <c r="BN21" i="4"/>
  <c r="BI15" i="4"/>
  <c r="AT15" i="4" s="1"/>
  <c r="BO15" i="4"/>
  <c r="BI16" i="4"/>
  <c r="AT16" i="4" s="1"/>
  <c r="BO16" i="4"/>
  <c r="BN36" i="4"/>
  <c r="AO36" i="4"/>
  <c r="BN35" i="4"/>
  <c r="AO35" i="4"/>
  <c r="BO112" i="4"/>
  <c r="BJ112" i="4"/>
  <c r="BO96" i="4"/>
  <c r="BJ113" i="4"/>
  <c r="BO113" i="4"/>
  <c r="BN62" i="4"/>
  <c r="BN65" i="4"/>
  <c r="BI65" i="4"/>
  <c r="AO65" i="4" s="1"/>
  <c r="BN113" i="4"/>
  <c r="BI113" i="4"/>
  <c r="BP13" i="4"/>
  <c r="BN63" i="4"/>
  <c r="BI63" i="4"/>
  <c r="AO63" i="4" s="1"/>
  <c r="BI112" i="4"/>
  <c r="BN112" i="4"/>
  <c r="BI61" i="4"/>
  <c r="AO61" i="4" s="1"/>
  <c r="BN61" i="4"/>
  <c r="C95" i="4"/>
  <c r="B67" i="4"/>
  <c r="AO44" i="4" l="1"/>
  <c r="AO54" i="4"/>
  <c r="AO51" i="4"/>
  <c r="AO52" i="4"/>
  <c r="AO42" i="4"/>
  <c r="B248" i="4"/>
  <c r="D12" i="18" s="1"/>
  <c r="AP102" i="4"/>
  <c r="AO41" i="4"/>
  <c r="AQ24" i="4"/>
  <c r="AQ21" i="4"/>
  <c r="AQ23" i="4"/>
  <c r="AO113" i="4"/>
  <c r="AQ26" i="4"/>
  <c r="AP96" i="4"/>
  <c r="AQ22" i="4"/>
  <c r="AP98" i="4"/>
  <c r="AP97" i="4"/>
  <c r="AQ25" i="4"/>
  <c r="AT13" i="4"/>
  <c r="AT14" i="4"/>
  <c r="AO31" i="4"/>
  <c r="AO114" i="4"/>
  <c r="AP101" i="4"/>
  <c r="AO112" i="4"/>
  <c r="AP100" i="4"/>
  <c r="AP99" i="4"/>
  <c r="A248" i="4"/>
  <c r="E12" i="18" s="1"/>
  <c r="S60" i="29" l="1"/>
  <c r="AY19" i="13" l="1"/>
  <c r="R173" i="29" l="1"/>
  <c r="D9" i="18"/>
  <c r="D31" i="18" s="1"/>
  <c r="B7" i="44" s="1"/>
</calcChain>
</file>

<file path=xl/sharedStrings.xml><?xml version="1.0" encoding="utf-8"?>
<sst xmlns="http://schemas.openxmlformats.org/spreadsheetml/2006/main" count="13840" uniqueCount="3945">
  <si>
    <t>CONDICIÓN</t>
  </si>
  <si>
    <t xml:space="preserve">TOTAL      </t>
  </si>
  <si>
    <t>Pueblos Originarios</t>
  </si>
  <si>
    <t>Migrantes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</si>
  <si>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</si>
  <si>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</si>
  <si>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</si>
  <si>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</si>
  <si>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</si>
  <si>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</si>
  <si>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</si>
  <si>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</si>
  <si>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RANGO ETARIO</t>
  </si>
  <si>
    <t>PATOLOGÍA</t>
  </si>
  <si>
    <t>SÍFILIS</t>
  </si>
  <si>
    <t>Síndrome Hipertensivo del Embarazo (SHE)</t>
  </si>
  <si>
    <t>Retardo Crecimiento Intrauterino (RCIU)</t>
  </si>
  <si>
    <t>Espacios Amigables/ Adolescentes</t>
  </si>
  <si>
    <t>55 - 59 años</t>
  </si>
  <si>
    <t>60 - 64 años</t>
  </si>
  <si>
    <t>65 - 69 años</t>
  </si>
  <si>
    <t>Mujer</t>
  </si>
  <si>
    <t>Hombres</t>
  </si>
  <si>
    <t>CONCEPTO</t>
  </si>
  <si>
    <t>TOTAL</t>
  </si>
  <si>
    <t>Ingresos</t>
  </si>
  <si>
    <t>Ambos Sexos</t>
  </si>
  <si>
    <t>Mujeres</t>
  </si>
  <si>
    <t>Otros</t>
  </si>
  <si>
    <t>Inasistente</t>
  </si>
  <si>
    <t>RANGO ETARIO Y SEXO</t>
  </si>
  <si>
    <t>Egresos</t>
  </si>
  <si>
    <t>80 y más años</t>
  </si>
  <si>
    <t>Tabaquismo</t>
  </si>
  <si>
    <t>Altas</t>
  </si>
  <si>
    <t xml:space="preserve">TOTAL  </t>
  </si>
  <si>
    <t>0 - 4 años</t>
  </si>
  <si>
    <t>5 - 9 años</t>
  </si>
  <si>
    <t>10 - 14 años</t>
  </si>
  <si>
    <t>Gestantes</t>
  </si>
  <si>
    <t>Niños, Niñas, Adolescentes y Jóvenes  SENAME</t>
  </si>
  <si>
    <t>Masculino</t>
  </si>
  <si>
    <t>Femenino</t>
  </si>
  <si>
    <t>Avanzado</t>
  </si>
  <si>
    <t>Otras</t>
  </si>
  <si>
    <t>Niños, Niñas, Adolescentes y Jóvenes Mejor Niñez</t>
  </si>
  <si>
    <t>Programa de Rehabilitación Tipo I</t>
  </si>
  <si>
    <t xml:space="preserve">TOTAL </t>
  </si>
  <si>
    <t>TRANS</t>
  </si>
  <si>
    <t>Niños, Niñas, Adolescentes y Jóvenes SENAME</t>
  </si>
  <si>
    <t>Total</t>
  </si>
  <si>
    <t xml:space="preserve">Hombres </t>
  </si>
  <si>
    <t>Menor de 6 meses</t>
  </si>
  <si>
    <t>6 a 11 meses</t>
  </si>
  <si>
    <t>12-24 meses</t>
  </si>
  <si>
    <t>3 a 4 años</t>
  </si>
  <si>
    <t>5 a 9 años</t>
  </si>
  <si>
    <t>75 y más años</t>
  </si>
  <si>
    <t>ACTIVIDAD</t>
  </si>
  <si>
    <t xml:space="preserve">TOTAL               </t>
  </si>
  <si>
    <t>Médico</t>
  </si>
  <si>
    <t>PROFESIONAL</t>
  </si>
  <si>
    <t>Trabajador/a Social</t>
  </si>
  <si>
    <t xml:space="preserve">TOTAL        </t>
  </si>
  <si>
    <t>REM-06.   PROGRAMA DE SALUD MENTAL ATENCIÓN PRIMARIA Y ESPECIALIDADES</t>
  </si>
  <si>
    <t>SECCIÓN A.1: CONTROLES DE ATENCIÓN PRIMARIA / ESPECIALIDADES</t>
  </si>
  <si>
    <t>GRUPOS DE EDAD  (en años)</t>
  </si>
  <si>
    <t>Beneficiarios</t>
  </si>
  <si>
    <t>Demencia</t>
  </si>
  <si>
    <t xml:space="preserve">TRANS
</t>
  </si>
  <si>
    <t>70 - 74 años</t>
  </si>
  <si>
    <t>75 - 79 años</t>
  </si>
  <si>
    <t>80 y mas años</t>
  </si>
  <si>
    <t>Controles Salud Mental</t>
  </si>
  <si>
    <t>Médico/a</t>
  </si>
  <si>
    <t>Psicólogo/a</t>
  </si>
  <si>
    <t>Enfermera/o</t>
  </si>
  <si>
    <t>Matrona/ón</t>
  </si>
  <si>
    <t>Otros Profesionales Capacitados (Salud Mental)</t>
  </si>
  <si>
    <t>Terapeuta Ocupacional</t>
  </si>
  <si>
    <t>Técnico en Enfermería en Salud Mental</t>
  </si>
  <si>
    <t>Gestor Comunitario</t>
  </si>
  <si>
    <t>Técnico Rehabilitación Alcohol y Drogas</t>
  </si>
  <si>
    <t>Intervención Psicosocial Grupal</t>
  </si>
  <si>
    <t>Psicodiagnóstico</t>
  </si>
  <si>
    <t>Psicoterapia Individual</t>
  </si>
  <si>
    <t>Médico/a Psiquiatra</t>
  </si>
  <si>
    <t>SECCIÓN A.2: CONSULTORÍAS DE SALUD MENTAL EN APS</t>
  </si>
  <si>
    <t>TOTAL CONSULTORÍAS Y TELECONSULTORÍAS RECIBIDAS</t>
  </si>
  <si>
    <t>CONSULTORÍAS Y TELECONSULTORÍAS RECIBIDAS</t>
  </si>
  <si>
    <t>TOTAL Nº DE CASOS REVISADOS</t>
  </si>
  <si>
    <t>Personas con sospecha de demencia</t>
  </si>
  <si>
    <t>Personas con diagnóstico de demencia</t>
  </si>
  <si>
    <t>Consultorías de Salud Mental</t>
  </si>
  <si>
    <t>Teleconsultorías de Salud Mental</t>
  </si>
  <si>
    <t>Consultorías y Teleconsultorías de Salud Mental Infanto Adolescente</t>
  </si>
  <si>
    <t>Consultorías Y Teleconsultorías de Salud Mental Adulto</t>
  </si>
  <si>
    <t>SECCIÓN A.3: CONSULTORÍAS DE SALUD MENTAL OTORGADA POR EL NIVEL DE ESPECIALIDAD</t>
  </si>
  <si>
    <t>TOTAL CONSULTORÍAS Y TELECONSULTORÍAS OTORGADAS</t>
  </si>
  <si>
    <t>CONSULTORÍAS Y TELECONSULTORÍAS OTORGADAS</t>
  </si>
  <si>
    <t>Participantes</t>
  </si>
  <si>
    <t>Médico psiquiatra</t>
  </si>
  <si>
    <t>Médico Psiquiatría más un profesional</t>
  </si>
  <si>
    <t>Médico Psiquiatría más dos Profesionales</t>
  </si>
  <si>
    <t>Médico Psiquiatría con más de dos Profesionales</t>
  </si>
  <si>
    <t>Dos profesionales</t>
  </si>
  <si>
    <t>Más de dos profesionales</t>
  </si>
  <si>
    <t>Consultorías y Teleconsultorías de Salud Mental Adulto</t>
  </si>
  <si>
    <t>SECCIÓN B.1: ACTIVIDADES GRUPALES (NÚMERO DE SESIONES)</t>
  </si>
  <si>
    <t>Psicoterapia Grupal</t>
  </si>
  <si>
    <t>Psicoterapia Familiar</t>
  </si>
  <si>
    <t>SECCIÓN B.2:  PROGRAMA DE REHABILITACIÓN (PERSONAS CON TRASTORNOS PSIQUIÁTRICOS)</t>
  </si>
  <si>
    <t>TIPO</t>
  </si>
  <si>
    <t>Programa de Rehabilitación Tipo II</t>
  </si>
  <si>
    <t>Días Persona</t>
  </si>
  <si>
    <t>SECCIÓN B.3: ACTIVIDADES DE PSIQUIATRÍA FORENSE PARA PERSONAS EN CONFLICTO CON LA JUSTICIA (En lo Penal, Civil, Familiar, etc.)</t>
  </si>
  <si>
    <t xml:space="preserve">Examen Preliminar en Drogas para Adolescentes Imputados / Condenados </t>
  </si>
  <si>
    <t>Peritaje Psiquiátrico Judicial</t>
  </si>
  <si>
    <t>Evaluación Clínica para Adolescentes Imputados con Consumo de Drogas</t>
  </si>
  <si>
    <t>Examen Mental Preliminar a Personas Imputadas</t>
  </si>
  <si>
    <t>Peritaje Drogas</t>
  </si>
  <si>
    <t>Atención a Agresores Derivados de Tribunales (Ley de Violencia Intrafamiliar)</t>
  </si>
  <si>
    <t>Enfermero/a</t>
  </si>
  <si>
    <t>Otros Profesionales</t>
  </si>
  <si>
    <t>SECCIÓN B.4: DISPOSITIVOS DE SALUD MENTAL</t>
  </si>
  <si>
    <t>TIPO DE DISPOSITIVO</t>
  </si>
  <si>
    <t>Nº DE PERSONAS ATENDIDAS</t>
  </si>
  <si>
    <t>DÍAS DE ESTADA DE PERSONAS ATENDIDAS EN EL MES</t>
  </si>
  <si>
    <t>Nº DE EGRESOS</t>
  </si>
  <si>
    <t>Nº DE PERSONAS EN LISTA DE ESPERA</t>
  </si>
  <si>
    <t>Menos de 20 años</t>
  </si>
  <si>
    <t>20 y más años</t>
  </si>
  <si>
    <t xml:space="preserve">Hogar Protegido  </t>
  </si>
  <si>
    <t>Residencia Protegida</t>
  </si>
  <si>
    <t>Hospital Psiquiátrico Diurno</t>
  </si>
  <si>
    <t>Centro Privativo de Libertad (SENAME)</t>
  </si>
  <si>
    <t>SECCIÓN C.1: ACTIVIDADES DE COORDINACION SECTORIAL, INTERSECTORIAL Y COMUNITARIA</t>
  </si>
  <si>
    <t>ACTIVIDADES</t>
  </si>
  <si>
    <t>TOTAL DE PARTICIPANTES</t>
  </si>
  <si>
    <t>Nº REUNIONES / SESIONES</t>
  </si>
  <si>
    <t>Nº INSTITUCIONES,  ORGANIZACIONES  PARTICIPANTES</t>
  </si>
  <si>
    <t>Trabajo Intersectorial</t>
  </si>
  <si>
    <t>Trabajo con Organizaciones Comunitarias de Base</t>
  </si>
  <si>
    <t>Trabajo con Organizaciones de Usuarios y Familiares</t>
  </si>
  <si>
    <t>Colaboración con Grupo de Autoayuda</t>
  </si>
  <si>
    <t>Reuniones con Instituciones del Sector Salud Programa Acompañamiento Psicosocial</t>
  </si>
  <si>
    <t>Reuniones con Instituciones del Intersector Acompañamiento Psicosocial</t>
  </si>
  <si>
    <t>Reuniones con Organizaciones Comunitarias Acompañamiento Psicosocial</t>
  </si>
  <si>
    <t>SECCIÓN C.2: INFORMES A TRIBUNALES</t>
  </si>
  <si>
    <t>TRIBUNALES</t>
  </si>
  <si>
    <t>18 y más años</t>
  </si>
  <si>
    <t>ASISTENCIA A TRIBUNALES</t>
  </si>
  <si>
    <t>Nº de profesionales</t>
  </si>
  <si>
    <t>Nº de veces</t>
  </si>
  <si>
    <t>De Familia</t>
  </si>
  <si>
    <t>Penales</t>
  </si>
  <si>
    <t>Civiles</t>
  </si>
  <si>
    <t>Policía Local</t>
  </si>
  <si>
    <t>Laborales</t>
  </si>
  <si>
    <t>SECCIÓN D: PLANES Y EVALUACIONES PROGRAMA DE ACOMPAÑAMIENTO PSICOSOCIAL EN ATENCIÓN PRIMARIA</t>
  </si>
  <si>
    <t>Plan de Acompañamiento Elaborados</t>
  </si>
  <si>
    <t>Plan de Acompañamiento con Mejoría al Egreso del Programa</t>
  </si>
  <si>
    <t>Evaluaciones Participativas Realizadas al Egreso del Programa</t>
  </si>
  <si>
    <t>SECCIÓN E: PERSONAS CON EVALUACIÓN Y CONFIRMACIÓN DIAGNOSTICA EN APS</t>
  </si>
  <si>
    <t>N° DE ENTREVISTAS</t>
  </si>
  <si>
    <t>REALIZADA POR</t>
  </si>
  <si>
    <t>1 Profesional</t>
  </si>
  <si>
    <t>2 Profesionales</t>
  </si>
  <si>
    <t>3 Profesionales</t>
  </si>
  <si>
    <t>N° Confirmaciones Diagnósticas</t>
  </si>
  <si>
    <t>SECCIÓN F: EVALUACIONES PROGRAMA PLAN NACIONAL DE DEMENCIA</t>
  </si>
  <si>
    <t>Personas con Demencia con Reevaluación Deterioro GLOBAL GDS REISBERG</t>
  </si>
  <si>
    <t>Cuidadores Personas con Demencia con Reevaluación Sobrecarga del Cuidado</t>
  </si>
  <si>
    <t>Cuidadores de Personas con Demencia con Evaluación de Satisfacción Usuaria del Proceso de Intervención</t>
  </si>
  <si>
    <t>SECCIÓN G: EVALUACIÓN PROGRAMA DE APOYO A LA SALUD MENTAL INFANTIL (PASMI)</t>
  </si>
  <si>
    <t>Evaluadores</t>
  </si>
  <si>
    <t>Cumplimiento de criterios diagnósticos según  Evaluación Diagnóstica Integral (EDI)</t>
  </si>
  <si>
    <t>Equipo biopsicosocial</t>
  </si>
  <si>
    <t>Equipo psicosocial</t>
  </si>
  <si>
    <t>Requiere tratamiento en APS</t>
  </si>
  <si>
    <t>Requiere tratamiento en nivel secundario</t>
  </si>
  <si>
    <t>No Requiere tratamiento</t>
  </si>
  <si>
    <t>Evaluación Diagnóstica Integral (EDI)</t>
  </si>
  <si>
    <t>SECCIÓN H: CONSULTA DE SALUD MENTAL POR EL NIVEL DE ESPECIALIDAD</t>
  </si>
  <si>
    <t>Consulta Nueva Salud Mental (Ingreso)</t>
  </si>
  <si>
    <t>Uniprofesional</t>
  </si>
  <si>
    <t>Dos Profesionales</t>
  </si>
  <si>
    <t>Multiprofesional</t>
  </si>
  <si>
    <t xml:space="preserve">SECCIÓN I: RESCATE DE PACIENTES PROGRAMA SALUD MENTAL </t>
  </si>
  <si>
    <t>RESCATE EN DOMICILIO</t>
  </si>
  <si>
    <t>RESCATE TELEFÓNICO</t>
  </si>
  <si>
    <t>Profesional</t>
  </si>
  <si>
    <t>Técnico en Enfermería</t>
  </si>
  <si>
    <t>Administrativo</t>
  </si>
  <si>
    <t>Otro</t>
  </si>
  <si>
    <t>Desde el establecimiento</t>
  </si>
  <si>
    <t>Compra de servicio (*)</t>
  </si>
  <si>
    <t>SECCIÓN J: TIEMPOS DE ESPERA EN SALUD MENTAL DE APS</t>
  </si>
  <si>
    <t>TIEMPOS DE ESPERA ENTRE:</t>
  </si>
  <si>
    <t xml:space="preserve">Número de días </t>
  </si>
  <si>
    <t xml:space="preserve">Número de personas atendidas </t>
  </si>
  <si>
    <t>Tamizaje y Primera Atención Salud Mental en APS (Individual o Grupal)</t>
  </si>
  <si>
    <t>Tamizaje y Confirmación Diagnóstica</t>
  </si>
  <si>
    <t>SECCIÓN K : SALUD MENTAL EN SITUACIONES DE EMERGENCIA O DESASTRE</t>
  </si>
  <si>
    <t>Acciones no presenciales o remotas</t>
  </si>
  <si>
    <t>Atenciones a funcionarios de la salud</t>
  </si>
  <si>
    <t>10 - 14</t>
  </si>
  <si>
    <t>35 - 39</t>
  </si>
  <si>
    <t>40 - 44</t>
  </si>
  <si>
    <t>50 - 54</t>
  </si>
  <si>
    <t>55 - 59</t>
  </si>
  <si>
    <t>60 - 64</t>
  </si>
  <si>
    <t>65 - 69</t>
  </si>
  <si>
    <t>70 - 74</t>
  </si>
  <si>
    <t>75 - 79</t>
  </si>
  <si>
    <t>Consulta de Salud Mental Asociada a Emergencia o Desastre</t>
  </si>
  <si>
    <t>Primera Ayuda Psicológica</t>
  </si>
  <si>
    <t>Matrón/a</t>
  </si>
  <si>
    <t>Menos 15 años</t>
  </si>
  <si>
    <t>De 15 y más años</t>
  </si>
  <si>
    <t>APS</t>
  </si>
  <si>
    <t>Urgencia</t>
  </si>
  <si>
    <t>Menos 
15 años</t>
  </si>
  <si>
    <t>15 y más 
años</t>
  </si>
  <si>
    <t>Pediatría</t>
  </si>
  <si>
    <t>Medicina Interna</t>
  </si>
  <si>
    <t>Neonatología</t>
  </si>
  <si>
    <t>Dermatología</t>
  </si>
  <si>
    <t>Inmunología</t>
  </si>
  <si>
    <t>Geriatría</t>
  </si>
  <si>
    <t>Neurología Pediátrica</t>
  </si>
  <si>
    <t>Cirugía Pediátrica</t>
  </si>
  <si>
    <t>Cirugía Tórax</t>
  </si>
  <si>
    <t>Cirugía Vascular Periférica</t>
  </si>
  <si>
    <t>Neurocirugía</t>
  </si>
  <si>
    <t>Cirugía Cardiovascular</t>
  </si>
  <si>
    <t>Anestesiología</t>
  </si>
  <si>
    <t>Obstetricia</t>
  </si>
  <si>
    <t>Oftalmología</t>
  </si>
  <si>
    <t>Otorrinolaringología</t>
  </si>
  <si>
    <t>Diabetología</t>
  </si>
  <si>
    <t>Imagenología</t>
  </si>
  <si>
    <t>15 y más años</t>
  </si>
  <si>
    <t>Controles</t>
  </si>
  <si>
    <t>Infertilidad</t>
  </si>
  <si>
    <t>Total Controles (incluidos en grupo de edad)</t>
  </si>
  <si>
    <t>ARO</t>
  </si>
  <si>
    <t>Nutricionista</t>
  </si>
  <si>
    <t>Psicólogo/a (Excluye SM)</t>
  </si>
  <si>
    <t>Fonoaudiólogo/a</t>
  </si>
  <si>
    <t>Hombre</t>
  </si>
  <si>
    <t>Cirugía de Cabeza, Cuello y Maxilofacial</t>
  </si>
  <si>
    <t>REM-A08.  ATENCIÓN DE URGENCIA</t>
  </si>
  <si>
    <t>SECCIÓN A.1: ATENCIONES REALIZADAS EN UNIDADES DE EMERGENCIA HOSPITALARIA (Establecimientos de alta, mediana complejidad)</t>
  </si>
  <si>
    <t>TIPO DE ATENCIÓN</t>
  </si>
  <si>
    <t>Establecimientos de otra Red</t>
  </si>
  <si>
    <t>Demanda de Urgencia</t>
  </si>
  <si>
    <t>SAPU/ SAR / SUR</t>
  </si>
  <si>
    <t>Hospital Baja Complejidad</t>
  </si>
  <si>
    <t>Hospital Mediana/Alta Complejidad</t>
  </si>
  <si>
    <t>Atención Médica Niño y Adulto</t>
  </si>
  <si>
    <t>Atención Médica Gineco-Obstetra</t>
  </si>
  <si>
    <t>Atención por Matrona/ón</t>
  </si>
  <si>
    <t>Atención por Odontólogo/a</t>
  </si>
  <si>
    <t>SECCIÓN A.2: ATENCIONES Y ACTIVIDADES DE URGENCIA REALIZADAS EN SAPU Y SAR</t>
  </si>
  <si>
    <t>ATENCIÓN</t>
  </si>
  <si>
    <t>Atenciones por profesionales  a Honorarios</t>
  </si>
  <si>
    <t>Por Campaña de Invierno</t>
  </si>
  <si>
    <t>Atención Medica</t>
  </si>
  <si>
    <t>Enfermería</t>
  </si>
  <si>
    <t>Matronería</t>
  </si>
  <si>
    <t>Kinesiología</t>
  </si>
  <si>
    <t>Psicología</t>
  </si>
  <si>
    <t>Trabajo Social</t>
  </si>
  <si>
    <t>SECCIÓN A.3: ATENCIONES DE URGENCIA REALIZADAS EN ESTABLECIMIENTOS DE BAJA COMPLEJIDAD</t>
  </si>
  <si>
    <t>Enfermera /o</t>
  </si>
  <si>
    <t>Matrona /ón</t>
  </si>
  <si>
    <t>Kinesiólogo/a</t>
  </si>
  <si>
    <t>SECCIÓN A.4: ATENCIONES DE URGENCIA REALIZADAS EN ESTABLECIMIENTOS  ATENCIÓN PRIMARIA NO SAPU</t>
  </si>
  <si>
    <t>SECCIÓN A.5:  CONSULTAS EN SISTEMA DE ATENCIÓN DE URGENCIA EN CENTROS DE SALUD RURAL (SUR) Y POSTAS RURALES</t>
  </si>
  <si>
    <t>CATEGORÍAS</t>
  </si>
  <si>
    <t>Herramientas de Categorización</t>
  </si>
  <si>
    <t>Discrecional</t>
  </si>
  <si>
    <t>Estructurado (ESI)</t>
  </si>
  <si>
    <t>C1</t>
  </si>
  <si>
    <t>C2</t>
  </si>
  <si>
    <t>C3</t>
  </si>
  <si>
    <t>C4</t>
  </si>
  <si>
    <t>C5</t>
  </si>
  <si>
    <t>Sin Categorización</t>
  </si>
  <si>
    <t>SECCIÓN C: ATENCIONES REALIZADAS POR MÉDICOS ESPECIALISTAS EN LAS UNIDADES DE URGENCIA HOSPITALARIA</t>
  </si>
  <si>
    <t>ESPECIALIDADES</t>
  </si>
  <si>
    <t>Neurología Adultos</t>
  </si>
  <si>
    <t>Obstetricia y Ginecología</t>
  </si>
  <si>
    <t>Traumatología y Ortopedia</t>
  </si>
  <si>
    <t>Psiquiatría Adultos</t>
  </si>
  <si>
    <t>Psiquiatría Pediátrica y Adolescentes</t>
  </si>
  <si>
    <t>Urología</t>
  </si>
  <si>
    <t>Urgenciólogo</t>
  </si>
  <si>
    <t>Cirugía General</t>
  </si>
  <si>
    <t>Cardiología</t>
  </si>
  <si>
    <t>Odontólogo</t>
  </si>
  <si>
    <t>SECCIÓN D: PACIENTES CON INDICACIÓN DE HOSPITALIZACIÓN EN ESPERA DE CAMAS EN UEH (establecimientos de alta, mediana y baja complejidad)</t>
  </si>
  <si>
    <t>TIPO DE PACIENTES</t>
  </si>
  <si>
    <t>Hospitalización Domiciliaria</t>
  </si>
  <si>
    <t>Total de Pacientes con Indicación de Hospitalización</t>
  </si>
  <si>
    <t xml:space="preserve">Pacientes que Ingresan a Cama Hospitalaria Según Tiempo de Demora al Ingreso                                </t>
  </si>
  <si>
    <t>Mayor a 24 Horas</t>
  </si>
  <si>
    <t xml:space="preserve">Pacientes que Rechazan Hospitalización </t>
  </si>
  <si>
    <t>Pacientes Derivados a otro Establecimiento</t>
  </si>
  <si>
    <t>Pacientes que Permanecen en UEH</t>
  </si>
  <si>
    <t>Pacientes que Ingresan Directamente a Proceso Quirúrgico</t>
  </si>
  <si>
    <t>PACIENTES CON INDICACIÓN DE OBSERVACIÓN</t>
  </si>
  <si>
    <t xml:space="preserve">Pacientes que Permanecen en Observación         </t>
  </si>
  <si>
    <t>Menos de 2 Horas</t>
  </si>
  <si>
    <t>Mayor a 6 Horas</t>
  </si>
  <si>
    <t>SECCIÓN F: PACIENTES FALLECIDOS EN UNIDADES DE EMERGENCIA (Establecimientos Alta, Mediana o Baja Complejidad, SAR, SAPU y SUR)</t>
  </si>
  <si>
    <t>Pacientes Fallecidos en Espera de Atención Médica</t>
  </si>
  <si>
    <t>Pacientes Fallecidos en Proceso de Atención</t>
  </si>
  <si>
    <t xml:space="preserve">Pacientes Fallecidos en Espera de Cama Hospitalaria </t>
  </si>
  <si>
    <t>SECCIÓN G: ATENCIONES MÉDICAS ASOCIADAS A  VIOLENCIA POR GRUPO ETARIO</t>
  </si>
  <si>
    <t>Violencia Intrafamiliar</t>
  </si>
  <si>
    <t>Otras Violencias</t>
  </si>
  <si>
    <t>SECCIÓN G.1: ATENCIONES MÉDICAS ASOCIADAS A  VIOLENCIA POR CONDICIÓN (incluidas en sección G)</t>
  </si>
  <si>
    <t>AGRESOR /A</t>
  </si>
  <si>
    <t>Sin lesiones constatables</t>
  </si>
  <si>
    <t xml:space="preserve">Diversidad Sexual </t>
  </si>
  <si>
    <t>Embarazadas</t>
  </si>
  <si>
    <t>Pareja/ Ex pareja</t>
  </si>
  <si>
    <t>Familiar</t>
  </si>
  <si>
    <t>Conocido/a</t>
  </si>
  <si>
    <t>Desconocido/a</t>
  </si>
  <si>
    <t>Contusionales</t>
  </si>
  <si>
    <t>Por Arma</t>
  </si>
  <si>
    <t>Traumatológicas</t>
  </si>
  <si>
    <t>Odontológicas</t>
  </si>
  <si>
    <t xml:space="preserve">SECCIÓN H: ATENCIONES  POR ANTICONCEPCIÓN DE EMERGENCIA </t>
  </si>
  <si>
    <t>25 - 34 años</t>
  </si>
  <si>
    <t>35 - 44 años</t>
  </si>
  <si>
    <t>45 - 54 años</t>
  </si>
  <si>
    <t>Atención por Anticoncepción de Emergencia</t>
  </si>
  <si>
    <t>Con Entrega de Anticonceptivo</t>
  </si>
  <si>
    <t>Sin Entrega de Anticonceptivo</t>
  </si>
  <si>
    <t>SECCIÓN I: MOTIVOS DE ATENCIÓN POR EMERGENCIA OBSTÉTRICA AL SERVICIO DE URGENCIA  (Establecimientos Alta y Mediana Complejidad)</t>
  </si>
  <si>
    <t>HELLP</t>
  </si>
  <si>
    <t>Preeclampsia Severa</t>
  </si>
  <si>
    <t>Eclampsia</t>
  </si>
  <si>
    <t>Parto Prematuro</t>
  </si>
  <si>
    <t>Hemorragia I Trimestre</t>
  </si>
  <si>
    <t>Hemorragia II Trimestre</t>
  </si>
  <si>
    <t>Hemorragia III Trimestre</t>
  </si>
  <si>
    <t>Rotura Prematura de Membrana</t>
  </si>
  <si>
    <t>Otras Patologías</t>
  </si>
  <si>
    <t>Trabajo de Parto sin Patología</t>
  </si>
  <si>
    <t>SECCIÓN J: LLAMADOS DE URGENCIA A CENTRO REGULADOR</t>
  </si>
  <si>
    <t>TIPO DE ACCIÓN</t>
  </si>
  <si>
    <t xml:space="preserve"> Centro Regulador </t>
  </si>
  <si>
    <t>Nº  Llamados de Urgencia</t>
  </si>
  <si>
    <t>SECCIÓN K: INTERVENCIONES PRE HOSPITALARIAS (SAMU)</t>
  </si>
  <si>
    <t>N° INTERVENCIONES</t>
  </si>
  <si>
    <t>Criticas</t>
  </si>
  <si>
    <t>No Criticas</t>
  </si>
  <si>
    <t>0-20 Min</t>
  </si>
  <si>
    <t>20-40 Min</t>
  </si>
  <si>
    <t>Mas de 40 Min</t>
  </si>
  <si>
    <t>Intervenciones Clínicas Pre Hospitalarias</t>
  </si>
  <si>
    <t>Intervención de Móvil Básico</t>
  </si>
  <si>
    <t>Intervención de Móvil Avanzado</t>
  </si>
  <si>
    <t>SECCIÓN L: TRASLADOS PRIMARIOS A UNIDADES DE URGENCIA (Desde el lugar del evento a unidad de Emergencia)</t>
  </si>
  <si>
    <t>Por compra de servicios</t>
  </si>
  <si>
    <t>SAMU</t>
  </si>
  <si>
    <t>NO SAMU</t>
  </si>
  <si>
    <t>Enrutado</t>
  </si>
  <si>
    <t>No SAMU</t>
  </si>
  <si>
    <t>Básico</t>
  </si>
  <si>
    <t>Terrestre</t>
  </si>
  <si>
    <t>Marítimo</t>
  </si>
  <si>
    <t>Aéreo</t>
  </si>
  <si>
    <t>SECCIÓN M: TRASLADO SECUNDARIO (Desde un Establecimiento a Otro)</t>
  </si>
  <si>
    <t>TOTAL DE TRASLADOS</t>
  </si>
  <si>
    <t>Ambos</t>
  </si>
  <si>
    <t>Crítico</t>
  </si>
  <si>
    <t>No Crítico</t>
  </si>
  <si>
    <t>SECCIÓN N: CLASIFICACIÓN DE LAS INTERVENCIONES POR GRANDES GRUPOS DE DIAGNÓSTICOS (SAMU)</t>
  </si>
  <si>
    <t>CAUSAS DE LA INTERVENCIÓN</t>
  </si>
  <si>
    <t>TOTALES</t>
  </si>
  <si>
    <t>Síndrome Coronario Agudo</t>
  </si>
  <si>
    <t>Paro Cardiorrespiratorio</t>
  </si>
  <si>
    <t>Politraumatismo</t>
  </si>
  <si>
    <t xml:space="preserve">SECCIÓN O: ATENCIONES  EN URGENCIA POR VIOLENCIA SEXUAL  </t>
  </si>
  <si>
    <t>Con entrega de anticoncepción de emergencia</t>
  </si>
  <si>
    <t>Sin entrega de anticoncepción de emergencia</t>
  </si>
  <si>
    <t xml:space="preserve">Con profilaxis VIH </t>
  </si>
  <si>
    <t>Con profilaxis ITS</t>
  </si>
  <si>
    <t>Con profilaxis Hepatitis B</t>
  </si>
  <si>
    <t>VICTIMARIO/A</t>
  </si>
  <si>
    <t xml:space="preserve">Diversidad sexual </t>
  </si>
  <si>
    <t>15 - 17 años</t>
  </si>
  <si>
    <t>18 - 24 años</t>
  </si>
  <si>
    <t>25 - 44 años</t>
  </si>
  <si>
    <t>45-64 años</t>
  </si>
  <si>
    <t>65 años y más años</t>
  </si>
  <si>
    <t>72 horas o menos</t>
  </si>
  <si>
    <t>Violencia Sexual</t>
  </si>
  <si>
    <t xml:space="preserve">SECCIÓN P: ATENCIONES MÉDICAS POR VIOLENCIA SEXUAL CON REALIZACIÓN O INDICACIÓN DE PERITAJE </t>
  </si>
  <si>
    <t>Atención por Médico Perito</t>
  </si>
  <si>
    <t>Atención otros Médicos</t>
  </si>
  <si>
    <t>SECCIÓN Q: ATENCIONES DE URGENCIA ASOCIADAS A LESIONES AUTOINFLIGIDAS</t>
  </si>
  <si>
    <t>Nº De Atenciones</t>
  </si>
  <si>
    <t xml:space="preserve">SECCIÓN R: ATENCIONES EN SERVICIO DE URGENCIA DE LA RED, ASOCIADOS A MORDEDURA </t>
  </si>
  <si>
    <t>IDENTIFICACIÓN DEL ANIMAL MORDEDOR</t>
  </si>
  <si>
    <t>Única</t>
  </si>
  <si>
    <t>Múltiple</t>
  </si>
  <si>
    <t>Tipo de Mordedura</t>
  </si>
  <si>
    <t>Indicación de Vacuna</t>
  </si>
  <si>
    <t>Perro</t>
  </si>
  <si>
    <t>Gato</t>
  </si>
  <si>
    <t>Animal Silvestre</t>
  </si>
  <si>
    <t>Exposición a Murciélago</t>
  </si>
  <si>
    <t>Roedor o Animal de Abasto</t>
  </si>
  <si>
    <t>REM-21.   QUIRÓFANOS Y OTROS RECURSOS HOSPITALARIOS</t>
  </si>
  <si>
    <t>SECCIÓN A:  CAPACIDAD INSTALADA Y UTILIZACIÓN DE LOS QUIRÓFANOS</t>
  </si>
  <si>
    <t>TIPO DE QUIRÓFANOS</t>
  </si>
  <si>
    <t>QUIRÓFANOS CIRUGIA MAYOR</t>
  </si>
  <si>
    <t>Beneficiarios MAI</t>
  </si>
  <si>
    <t>Beneficiarios MLE</t>
  </si>
  <si>
    <t>De preparación</t>
  </si>
  <si>
    <t>Cirugía Menor</t>
  </si>
  <si>
    <t>Otros Procedimientos</t>
  </si>
  <si>
    <t>TOTAL QUIRÓFANOS</t>
  </si>
  <si>
    <t>De Cirugía Electiva</t>
  </si>
  <si>
    <t>De Urgencia</t>
  </si>
  <si>
    <t>Obstétrico</t>
  </si>
  <si>
    <t>Indiferenciado</t>
  </si>
  <si>
    <t xml:space="preserve">                                                                             </t>
  </si>
  <si>
    <t xml:space="preserve">               </t>
  </si>
  <si>
    <t>SECCIÓN B:  PROCEDIMIENTOS COMPLEJOS AMBULATORIOS</t>
  </si>
  <si>
    <t>COMPONENTES</t>
  </si>
  <si>
    <t>Recurso Disponible</t>
  </si>
  <si>
    <t>Personas Atendidas</t>
  </si>
  <si>
    <t>Días Personas Atendidas</t>
  </si>
  <si>
    <t xml:space="preserve">SECCIÓN C:  HOSPITALIZACIÓN DOMICILIARIA </t>
  </si>
  <si>
    <t>SECCIÓN C.1:  PERSONAS ATENDIDAS EN EL PROGRAMA</t>
  </si>
  <si>
    <t>Menores de 15 años</t>
  </si>
  <si>
    <t>Hospitalización</t>
  </si>
  <si>
    <t>Ambulatorio</t>
  </si>
  <si>
    <t>Ley de Urgencia</t>
  </si>
  <si>
    <t>UGCC</t>
  </si>
  <si>
    <t>Esperados</t>
  </si>
  <si>
    <t xml:space="preserve">No esperados </t>
  </si>
  <si>
    <t>Fallecidos</t>
  </si>
  <si>
    <t xml:space="preserve">Reingresos a Hospitalización Tradicional	</t>
  </si>
  <si>
    <t xml:space="preserve">SECCIÓN C.2:  VISITAS REALIZADAS </t>
  </si>
  <si>
    <t>COMPONENTE</t>
  </si>
  <si>
    <t>Enfermera</t>
  </si>
  <si>
    <t>Matrona</t>
  </si>
  <si>
    <t>Kinesiólogo</t>
  </si>
  <si>
    <t>Psicólogo</t>
  </si>
  <si>
    <t>SECCIÓN C.3:  CUPOS DISPONIBLES EN UNIDAD DE HOSPITALIZACIÓN DOMICILIARIA</t>
  </si>
  <si>
    <t>N° de Cupos</t>
  </si>
  <si>
    <t>N° de cupos CAM INV Adicionales</t>
  </si>
  <si>
    <t>N° de cupos Campaña de Invierno</t>
  </si>
  <si>
    <t>Número Cupos Programados</t>
  </si>
  <si>
    <t>Número Cupos Utilizados</t>
  </si>
  <si>
    <t>Número de Cupos Disponibles</t>
  </si>
  <si>
    <t>SECCIÓN C.4: ASISTENCIA VENTILATORIA Y OXÍGENO EN DOMICILIO</t>
  </si>
  <si>
    <t>TIPO DE ESTRATEGIA</t>
  </si>
  <si>
    <t>0-9 años</t>
  </si>
  <si>
    <t>Estrategia de Asistencia Ventilatoria Invasiva en Domicilio</t>
  </si>
  <si>
    <t>Estrategia de Asistencia Ventilatoria no Invasiva en Domicilio</t>
  </si>
  <si>
    <t>Estrategia Oxígeno Domiciliario para pacientes Crónicos</t>
  </si>
  <si>
    <t>SECCIÓN C.5: INGRESOS Y EGRESOS AL PROGRAMA</t>
  </si>
  <si>
    <t xml:space="preserve">Número de ingresos </t>
  </si>
  <si>
    <t xml:space="preserve">Número de egresos </t>
  </si>
  <si>
    <t>Número de personas activas</t>
  </si>
  <si>
    <t>Número de controles médicos</t>
  </si>
  <si>
    <t>Asistencia Ventilatoria Invasiva Infantil (AVI)</t>
  </si>
  <si>
    <t>Asistencia Ventilatoria Invasiva Del Adulto (AVIA)</t>
  </si>
  <si>
    <t>Asistencia Ventilatoria no Invasiva Infantil (AVNI)</t>
  </si>
  <si>
    <t>Asistencia Ventilatoria no Invasiva Adulto (AVNIA)</t>
  </si>
  <si>
    <t>Oxigenoterapia Ambulatorio Crónico Respiratorio Infantil</t>
  </si>
  <si>
    <t>Oxigenoterapia Ambulatorio Crónico Respiratorio Adulto</t>
  </si>
  <si>
    <t>SECCIÓN D: APOYO PSICOSOCIAL EN NIÑOS, NIÑAS Y ADOLESCENTES HOSPITALIZADOS</t>
  </si>
  <si>
    <t>INTERVENCIÓN</t>
  </si>
  <si>
    <t>Hasta 28 días</t>
  </si>
  <si>
    <t xml:space="preserve">29 días hasta menor de 1 año </t>
  </si>
  <si>
    <t>TOTAL DE EGRESOS (en el período)</t>
  </si>
  <si>
    <t>Intervención Psicosocial</t>
  </si>
  <si>
    <t>Estimulación del Desarrollo</t>
  </si>
  <si>
    <t>Egresados con Apoyo Psicosocial (en el período)</t>
  </si>
  <si>
    <t>Nº de Atenciones (en el mes)</t>
  </si>
  <si>
    <t>0 - 9 años</t>
  </si>
  <si>
    <t>10-17 años</t>
  </si>
  <si>
    <t>18-19 años</t>
  </si>
  <si>
    <t>25-34 años</t>
  </si>
  <si>
    <t>35-44 años</t>
  </si>
  <si>
    <t>45-54 años</t>
  </si>
  <si>
    <t>55-64 años</t>
  </si>
  <si>
    <t>65 -74 años</t>
  </si>
  <si>
    <t>Quimioterapia</t>
  </si>
  <si>
    <t>Hemodiálisis</t>
  </si>
  <si>
    <t>SECCIÓN E: GESTIÓN DE PROCESOS DE PACIENTES QUIRÚRGICOS CON CIRUGÍA ELECTIVA</t>
  </si>
  <si>
    <t>ESPECIALIDAD</t>
  </si>
  <si>
    <t>DÍAS DE ESTADA PREQUIRÚRGICOS</t>
  </si>
  <si>
    <t>PACIENTES INTERVENIDOS</t>
  </si>
  <si>
    <t>PROGRAMACIÓN DE TABLA QUIRÚRGICA (N° DE PACIENTES)</t>
  </si>
  <si>
    <t>Cirugía Maxilofacial</t>
  </si>
  <si>
    <t>Traumatología</t>
  </si>
  <si>
    <t>Obstetricia Y Ginecología</t>
  </si>
  <si>
    <t>Ginecología</t>
  </si>
  <si>
    <t>Resto Especialidades</t>
  </si>
  <si>
    <t>Odontología</t>
  </si>
  <si>
    <t>SECCIÓN F: CAUSAS DE SUSPENSIÓN DE CIRUGÍAS ELECTIVAS</t>
  </si>
  <si>
    <t xml:space="preserve">CAUSAS DE SUSPENSIÓN ATRIBUIBLES A:
</t>
  </si>
  <si>
    <t>Nº DE PERSONAS</t>
  </si>
  <si>
    <t>Paciente</t>
  </si>
  <si>
    <t>Administrativas</t>
  </si>
  <si>
    <t>Unidad de Apoyo Clínico</t>
  </si>
  <si>
    <t>Equipo Quirúrgico</t>
  </si>
  <si>
    <t>Infraestructura</t>
  </si>
  <si>
    <t>Emergencias</t>
  </si>
  <si>
    <t>Gremiales</t>
  </si>
  <si>
    <t>SECCIÓN G: ESTERILIZACIONES QUIRÚRGICAS</t>
  </si>
  <si>
    <t>SEXO</t>
  </si>
  <si>
    <t>20 - 34 años</t>
  </si>
  <si>
    <t>35 y más años</t>
  </si>
  <si>
    <t>Psiquiatría</t>
  </si>
  <si>
    <t>Cirugía Bucal</t>
  </si>
  <si>
    <t xml:space="preserve">
TRANS
</t>
  </si>
  <si>
    <t>Pacientes Programados</t>
  </si>
  <si>
    <t>Pacientes Suspendidos</t>
  </si>
  <si>
    <t>Origen de la Derivación</t>
  </si>
  <si>
    <r>
      <t xml:space="preserve">Horas Mensuales </t>
    </r>
    <r>
      <rPr>
        <b/>
        <sz val="8"/>
        <rFont val="Verdana"/>
        <family val="2"/>
      </rPr>
      <t>Programadas</t>
    </r>
    <r>
      <rPr>
        <sz val="8"/>
        <rFont val="Verdana"/>
        <family val="2"/>
      </rPr>
      <t xml:space="preserve"> de Tabla Quirúrgica de Quirófanos en Trabajo, Horario Hábil</t>
    </r>
  </si>
  <si>
    <r>
      <t xml:space="preserve">Horas Mensuales </t>
    </r>
    <r>
      <rPr>
        <b/>
        <sz val="8"/>
        <rFont val="Verdana"/>
        <family val="2"/>
      </rPr>
      <t xml:space="preserve">Ocupadas </t>
    </r>
    <r>
      <rPr>
        <sz val="8"/>
        <rFont val="Verdana"/>
        <family val="2"/>
      </rPr>
      <t>de Quirófanos en Trabajo Horario Hábil</t>
    </r>
  </si>
  <si>
    <r>
      <t xml:space="preserve">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 Horario Inhábil de Lunes a Viernes</t>
    </r>
  </si>
  <si>
    <r>
      <t xml:space="preserve">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 Horario Sábado, Domingo y Festivo</t>
    </r>
  </si>
  <si>
    <r>
      <t xml:space="preserve">Total 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Trabajo, Horario Hábil</t>
    </r>
  </si>
  <si>
    <r>
      <t>Total Horas Mensuales</t>
    </r>
    <r>
      <rPr>
        <b/>
        <sz val="8"/>
        <rFont val="Verdana"/>
        <family val="2"/>
      </rPr>
      <t xml:space="preserve"> Ocupadas</t>
    </r>
    <r>
      <rPr>
        <sz val="8"/>
        <rFont val="Verdana"/>
        <family val="2"/>
      </rPr>
      <t xml:space="preserve"> de Quirófanos en Trabajo, Horario Inhábil</t>
    </r>
  </si>
  <si>
    <t>Número de Quirófanos en Dotación</t>
  </si>
  <si>
    <t>Promedio Mensual de Quirófanos Habilitados</t>
  </si>
  <si>
    <t>Promedio Mensual de Quirófanos en Trabajo</t>
  </si>
  <si>
    <t>Total de Horas Mensuales de Quirófanos Habilitados (Horario Hábil)</t>
  </si>
  <si>
    <t>Total de Horas Mensuales de Quirófanos en Trabajo</t>
  </si>
  <si>
    <t>SECCIÓN A: ATENCIONES REALIZADAS EN UNIDADES DE URGENCIA DE LA RED</t>
  </si>
  <si>
    <t>Origen de la procedencia (Sólo pacientes derivados de establecimientos de la Red)</t>
  </si>
  <si>
    <t>Donantes</t>
  </si>
  <si>
    <t>Pueblos originarios</t>
  </si>
  <si>
    <t>1 mes</t>
  </si>
  <si>
    <t>2 meses</t>
  </si>
  <si>
    <t>3 meses</t>
  </si>
  <si>
    <t>4 meses</t>
  </si>
  <si>
    <t>5 meses</t>
  </si>
  <si>
    <t>6 meses</t>
  </si>
  <si>
    <t>5-9 años</t>
  </si>
  <si>
    <t>10-14 años</t>
  </si>
  <si>
    <t>55-59 años</t>
  </si>
  <si>
    <t>60-64 años</t>
  </si>
  <si>
    <t>65-69 años</t>
  </si>
  <si>
    <t xml:space="preserve">RANGO ETARIO 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</si>
  <si>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</si>
  <si>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</si>
  <si>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</si>
  <si>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</si>
  <si>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</si>
  <si>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</si>
  <si>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</si>
  <si>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Trabajador/a social</t>
  </si>
  <si>
    <t>TOTAL ACTIVIDADES</t>
  </si>
  <si>
    <t>15-19 años</t>
  </si>
  <si>
    <t>Establecimientos educacionales</t>
  </si>
  <si>
    <t>Consultas</t>
  </si>
  <si>
    <t>TOTAL DE ACTIVIDADES</t>
  </si>
  <si>
    <t>REM - A33. CUIDADOS PALIATIVOS NIVEL APS Y ESPECIALIDADES</t>
  </si>
  <si>
    <t xml:space="preserve">SECCIÓN A:  NIVEL PRIMARIO </t>
  </si>
  <si>
    <t>SECCIÓN A1:  INGRESOS POR DIAGNÓSTICO Y EGRESO POR CAUSALES</t>
  </si>
  <si>
    <t xml:space="preserve">INGRESO Y EGRESO SEGÚN DIAGNÓSTICO </t>
  </si>
  <si>
    <t>45- 49 años</t>
  </si>
  <si>
    <t>Ingresos por diagnóstico con plan de tratamiento</t>
  </si>
  <si>
    <t>Tumores malignos</t>
  </si>
  <si>
    <t>Otros cáncer (incluye hematológicos)</t>
  </si>
  <si>
    <t>Infección causada por VIH</t>
  </si>
  <si>
    <t>Otras enfermedades infecciosas</t>
  </si>
  <si>
    <t>Trastornos mentales orgánicos</t>
  </si>
  <si>
    <t>Enfermedades extrapiramidales y/o del movimiento</t>
  </si>
  <si>
    <t>Desmielinizantes del SNC</t>
  </si>
  <si>
    <t>Neurodegenerativas</t>
  </si>
  <si>
    <t>Parálisis cerebral severa</t>
  </si>
  <si>
    <t>Cardiopatías congénitas o adquiridas</t>
  </si>
  <si>
    <t>Insuficiencia cardíaca</t>
  </si>
  <si>
    <t>Enfermedades sistema nervioso vascular o traumático (ACV-TEC)</t>
  </si>
  <si>
    <t>EPOC</t>
  </si>
  <si>
    <t>Otras pulmonares (restrictivas, vasculares)</t>
  </si>
  <si>
    <t>Insuficiencia hepática</t>
  </si>
  <si>
    <t>Enfermedad renal crónica</t>
  </si>
  <si>
    <t>Malformaciones congénitas, deformidades y anomalías cromosómicas</t>
  </si>
  <si>
    <t>Enfermedades autoinmunes e inmunodeficiencias severas</t>
  </si>
  <si>
    <t>Enfermedades gastrointestinales</t>
  </si>
  <si>
    <t>Prematurez</t>
  </si>
  <si>
    <t>Enfermedades endocrinas, nutricionales y metabólicas</t>
  </si>
  <si>
    <t>Alteraciones del tejido conjuntivo o musculoesquelético severos</t>
  </si>
  <si>
    <t>Fallecimiento menor a 6 meses desde ingreso</t>
  </si>
  <si>
    <t>Fallecimiento más de 6 meses y menos de un año del ingreso</t>
  </si>
  <si>
    <t>Fallecimiento posterior a 12 meses del ingreso</t>
  </si>
  <si>
    <t>Otra causal</t>
  </si>
  <si>
    <t xml:space="preserve">SECCIÓN A.2:  ACTIVIDADES NIVEL PRIMARIO </t>
  </si>
  <si>
    <t>Atenciones por Profesional o Técnico</t>
  </si>
  <si>
    <t>Quimico Farmacéutico</t>
  </si>
  <si>
    <t>Terapeúta Ocupacional</t>
  </si>
  <si>
    <t>Visita Domiciliaria Integral (Elaboración o Evaluación Plan)</t>
  </si>
  <si>
    <t>Visita Domiciliaria Tratamiento/Rehabilitación/Seguimiento</t>
  </si>
  <si>
    <t>Procedimientos de Enfermería</t>
  </si>
  <si>
    <t>Control Ambulatorio</t>
  </si>
  <si>
    <t>Consulta Telefónica</t>
  </si>
  <si>
    <t>Atención Ambulatoria a Familiares</t>
  </si>
  <si>
    <t>Servicios Farmacéuticos</t>
  </si>
  <si>
    <t>Apoyo Psicológico al Usuario</t>
  </si>
  <si>
    <t>Apoyo Social al Usuario</t>
  </si>
  <si>
    <t>Apoyo Psicológico a Familia o Cuidadores</t>
  </si>
  <si>
    <t>Educación</t>
  </si>
  <si>
    <t>Apoyo en la Gestión de Manifestación de Voluntades Anticipadas</t>
  </si>
  <si>
    <t xml:space="preserve">SECCIÓN B:  NIVEL ESPECIALIDAD  </t>
  </si>
  <si>
    <t>SECCIÓN B1:  INGRESOS POR DIAGNÓSTICO Y EGRESO POR CAUSALES</t>
  </si>
  <si>
    <t xml:space="preserve">15 - 19 </t>
  </si>
  <si>
    <t xml:space="preserve">20 - 24 </t>
  </si>
  <si>
    <t>25-29</t>
  </si>
  <si>
    <t>30-34</t>
  </si>
  <si>
    <t>45- 49</t>
  </si>
  <si>
    <t>80 y más</t>
  </si>
  <si>
    <t>Otras causal</t>
  </si>
  <si>
    <t xml:space="preserve">SECCIÓN B.2:  ACTIVIDADES NIVEL ESPECIALIDAD  </t>
  </si>
  <si>
    <t xml:space="preserve">Médico/a del Programa </t>
  </si>
  <si>
    <t xml:space="preserve">Enfermera/a  </t>
  </si>
  <si>
    <t xml:space="preserve">Técnico en Enfermería </t>
  </si>
  <si>
    <t>Psicologo/a</t>
  </si>
  <si>
    <t xml:space="preserve">Fonoaudiólogo </t>
  </si>
  <si>
    <t xml:space="preserve">Terapauta Ocupacional </t>
  </si>
  <si>
    <t>Consulta Nueva</t>
  </si>
  <si>
    <t>Consulta Control</t>
  </si>
  <si>
    <t>Visita Domiciliaria</t>
  </si>
  <si>
    <t>Interconsulta en Sala</t>
  </si>
  <si>
    <t>Atención Farmacéutica</t>
  </si>
  <si>
    <t>Procedimientos</t>
  </si>
  <si>
    <t xml:space="preserve">Educación </t>
  </si>
  <si>
    <t>Contacto telefónico</t>
  </si>
  <si>
    <t xml:space="preserve">Consulta  Salud Mental Usuario </t>
  </si>
  <si>
    <t xml:space="preserve">Consulta Salud mental al Cuidador o Familiar </t>
  </si>
  <si>
    <t xml:space="preserve">Apoyo social al Usuario </t>
  </si>
  <si>
    <t xml:space="preserve">Apoyo en la Gestión de manifestación de voluntades anticipadas </t>
  </si>
  <si>
    <t>SECCION C: CAPACITACIONES DE EQUIPOS (INTRA Y ENTRE EQUIPOS)</t>
  </si>
  <si>
    <t>Atención Primaria de Salud</t>
  </si>
  <si>
    <t>Destino Hospitalario</t>
  </si>
  <si>
    <t xml:space="preserve">Nº Sesiones </t>
  </si>
  <si>
    <t xml:space="preserve">Nº Participantes </t>
  </si>
  <si>
    <t>Modalidad Remota</t>
  </si>
  <si>
    <t>Modalidad Presencial</t>
  </si>
  <si>
    <t>Nº Participantes</t>
  </si>
  <si>
    <t>Desde Especialidad</t>
  </si>
  <si>
    <t>Desde APS (Atención Primaria de Salud)</t>
  </si>
  <si>
    <t>SECCION D: TELECOMITÉS</t>
  </si>
  <si>
    <t>Entre Especialistas</t>
  </si>
  <si>
    <t>Con la RED</t>
  </si>
  <si>
    <t>SECCIÓN E:  REQUERIMIENTO DERIVACIÓN Y/O ATENCIÓN DE URGENCIA</t>
  </si>
  <si>
    <t>DERIVACIONES</t>
  </si>
  <si>
    <t>Nivel Hospitalario</t>
  </si>
  <si>
    <t>Urgencia Hospitalaria</t>
  </si>
  <si>
    <t>Domicilio</t>
  </si>
  <si>
    <t>SAPU-SAR</t>
  </si>
  <si>
    <t>Atención Cerrada</t>
  </si>
  <si>
    <t>SUH</t>
  </si>
  <si>
    <t xml:space="preserve">Derivación desde Especialidad </t>
  </si>
  <si>
    <t xml:space="preserve">Derivación desde APS (Atención Primaria de Salud) </t>
  </si>
  <si>
    <t xml:space="preserve">Derivación desde Hospitalización </t>
  </si>
  <si>
    <t xml:space="preserve">Derivación desde Urgencia </t>
  </si>
  <si>
    <t xml:space="preserve"> REM-A9. ATENCIÓN DE SALUD BUCAL EN LA RED ASISTENCIAL </t>
  </si>
  <si>
    <t>SECCIÓN A: CONSULTAS Y CONTROLES ODONTOLÓGICOS REALIZADOS EN APS</t>
  </si>
  <si>
    <t xml:space="preserve">ACTIVIDAD </t>
  </si>
  <si>
    <t>12 años (incluido en el grupo de 10-14 años)</t>
  </si>
  <si>
    <t>60 años (incluido en grupos de 60-64 años)</t>
  </si>
  <si>
    <t>Usuarios con Discapacidad</t>
  </si>
  <si>
    <t>Paciente en Control Programa Salud Cardiovascular</t>
  </si>
  <si>
    <t>Niños, niñas, adolescentes y jóvenes SENAME</t>
  </si>
  <si>
    <t>Niños, niñas, adolescentes y jóvenes Mejor Niñez</t>
  </si>
  <si>
    <t>Menos de 1 año</t>
  </si>
  <si>
    <t>1 año</t>
  </si>
  <si>
    <t>2 años</t>
  </si>
  <si>
    <t>3 años</t>
  </si>
  <si>
    <t>4 años</t>
  </si>
  <si>
    <t>5 años</t>
  </si>
  <si>
    <t>6 años</t>
  </si>
  <si>
    <t>7 años</t>
  </si>
  <si>
    <t>8-9 años</t>
  </si>
  <si>
    <t xml:space="preserve">20-29 años </t>
  </si>
  <si>
    <t>30-39 años</t>
  </si>
  <si>
    <t>40-49 años</t>
  </si>
  <si>
    <t>50-59 años</t>
  </si>
  <si>
    <t>65-74 años</t>
  </si>
  <si>
    <t xml:space="preserve">Consulta de Morbilidad </t>
  </si>
  <si>
    <t xml:space="preserve">Control Odontológico </t>
  </si>
  <si>
    <t>Consulta de urgencia (GES)</t>
  </si>
  <si>
    <t>Inasistencia a consulta</t>
  </si>
  <si>
    <t>SECCIÓN B: ACTIVIDADES DE ODONTOLOGÍA GENERAL  REALIZADOS EN NIVEL PRIMARIO Y SECUNDARIO DE SALUD</t>
  </si>
  <si>
    <t>TIPO DE ACTIVIDAD</t>
  </si>
  <si>
    <t>Compra de Servicio</t>
  </si>
  <si>
    <t>Consejería breve en tabaco</t>
  </si>
  <si>
    <t xml:space="preserve">Examen de salud oral </t>
  </si>
  <si>
    <t xml:space="preserve">Aplicación de sellantes </t>
  </si>
  <si>
    <t xml:space="preserve">Fluoración tópica barniz </t>
  </si>
  <si>
    <t>Actividad interceptiva de anomalías dento maxilares (OPI)</t>
  </si>
  <si>
    <t xml:space="preserve">Destartraje supragingival y pulido coronario </t>
  </si>
  <si>
    <t xml:space="preserve">Exodoncia </t>
  </si>
  <si>
    <t xml:space="preserve">Procedimiento pulpar </t>
  </si>
  <si>
    <t xml:space="preserve">Acceso cavitario </t>
  </si>
  <si>
    <t xml:space="preserve">Restauración estética </t>
  </si>
  <si>
    <t xml:space="preserve">Restauración de amalgamas </t>
  </si>
  <si>
    <t xml:space="preserve">Obturación de vidrio ionómero  </t>
  </si>
  <si>
    <t xml:space="preserve">Destartraje subgingival y pulido radiocular por sextante </t>
  </si>
  <si>
    <t>Tratamiento restaurador atraumático (ART)</t>
  </si>
  <si>
    <t>Procedimientos Médico-Quirúrgicos</t>
  </si>
  <si>
    <t>Radiografía intraoral (retroalveolares, bite wing y oclusales)</t>
  </si>
  <si>
    <t>SECCIÓN C : INGRESOS Y EGRESOS EN APS</t>
  </si>
  <si>
    <t>TIPO DE INGRESO O EGRESO</t>
  </si>
  <si>
    <t>Niños, niñas, adolescentes y jóvenes población SENAME</t>
  </si>
  <si>
    <t>Pacientes en Control Programa Salud Cardiovascular</t>
  </si>
  <si>
    <t xml:space="preserve">ingreso a tratamiento odontología general </t>
  </si>
  <si>
    <t>Ingreso control con enfoque riesgo odontológico (cero)</t>
  </si>
  <si>
    <t>Egreso control con enfoque riesgo odontológico (cero)</t>
  </si>
  <si>
    <t xml:space="preserve">Altas odontológicas preventivas </t>
  </si>
  <si>
    <t>Altas odontológicas integrales (excluye sección G)</t>
  </si>
  <si>
    <t>ALTAS ODONTOLÓGICAS TOTALES</t>
  </si>
  <si>
    <t>Egresos por abandono</t>
  </si>
  <si>
    <t xml:space="preserve">Índice CEOD o COPD en pacientes ingresados (Índice ceod se usa en menores de 7 años, para resto se utiliza COPD) </t>
  </si>
  <si>
    <t>1 a 2</t>
  </si>
  <si>
    <t>3 a 4</t>
  </si>
  <si>
    <t>5 a 6</t>
  </si>
  <si>
    <t>7 a 8</t>
  </si>
  <si>
    <t>9 o más</t>
  </si>
  <si>
    <t xml:space="preserve"> N° de dientes (total de dientes en boca. En dentición mixta se suman los dientes primarios y permanentes)</t>
  </si>
  <si>
    <t>1 a 9</t>
  </si>
  <si>
    <t>10 a 19</t>
  </si>
  <si>
    <t>20 a 27</t>
  </si>
  <si>
    <t>28 y más</t>
  </si>
  <si>
    <t xml:space="preserve">Código examen periodontal básico (EPB) en pacientes ingresados </t>
  </si>
  <si>
    <t>1,2,3</t>
  </si>
  <si>
    <t>4 y *</t>
  </si>
  <si>
    <t>SECCIÓN D : INTERCONSULTAS GENERADAS EN ESTABLECIMIENTOS DE APS</t>
  </si>
  <si>
    <t>60 años</t>
  </si>
  <si>
    <t>Niños. Niñas, adolescentes y jóvenes SENAME</t>
  </si>
  <si>
    <t>Niños. Niñas, adolescentes y jóvenes Mejor Niñez</t>
  </si>
  <si>
    <t xml:space="preserve">Endodoncia </t>
  </si>
  <si>
    <t xml:space="preserve">Rehabilitación Oral </t>
  </si>
  <si>
    <t xml:space="preserve">Prótesis removibles </t>
  </si>
  <si>
    <t xml:space="preserve">Prótesis fija </t>
  </si>
  <si>
    <t xml:space="preserve">Cirugía y Traumatología Maxilofacial </t>
  </si>
  <si>
    <t xml:space="preserve">Odontopediatría </t>
  </si>
  <si>
    <t xml:space="preserve">Ortodoncia y Ortopedia Dentomaxilofacial </t>
  </si>
  <si>
    <t xml:space="preserve">Periodoncia </t>
  </si>
  <si>
    <t xml:space="preserve">Patología oral </t>
  </si>
  <si>
    <t xml:space="preserve">Implantología buco Maxilofacial </t>
  </si>
  <si>
    <t xml:space="preserve">Trastornos temporomandibulares y dolor orofacial </t>
  </si>
  <si>
    <t xml:space="preserve">Somatoprótesis </t>
  </si>
  <si>
    <t>SECCIÓN E: CONSULTAS ODONTOLÓGICAS  EN HORARIO CONTINUADO (Incluidas en  Secciones A y B. Excluye extensiones horarias de Sección G )</t>
  </si>
  <si>
    <t>JORNADA</t>
  </si>
  <si>
    <t xml:space="preserve"> Horario continuado </t>
  </si>
  <si>
    <t>Vespertina (lunes-viernes)</t>
  </si>
  <si>
    <t>Sábado, domingo o festivo</t>
  </si>
  <si>
    <t xml:space="preserve">SECCIÓN F:  ACTIVIDADES DE ATENCIÓN EN ESPECIALIDADES ODONTOLÓGICAS. </t>
  </si>
  <si>
    <t>ACTIVIDADES DE ESPECIALIDADES</t>
  </si>
  <si>
    <t>12 años (incluidos en  grupo de 10-14 años)</t>
  </si>
  <si>
    <t>60 años incluidos en grupos de  60-64 años)</t>
  </si>
  <si>
    <t>Compra de Servicios</t>
  </si>
  <si>
    <t xml:space="preserve">Usuarios con Discapacidad </t>
  </si>
  <si>
    <t>Menos de 1 año - 1 año</t>
  </si>
  <si>
    <t xml:space="preserve">Respuesta a interconsulta personas hospitalizadas </t>
  </si>
  <si>
    <t xml:space="preserve">Visita a sala </t>
  </si>
  <si>
    <t xml:space="preserve">Contraloría clínica </t>
  </si>
  <si>
    <t xml:space="preserve">Cirugía tercer molar </t>
  </si>
  <si>
    <t xml:space="preserve">Cirugía menor ambulatoria </t>
  </si>
  <si>
    <t xml:space="preserve">Tratamiento traumatismo dentoalveolar </t>
  </si>
  <si>
    <t xml:space="preserve">Obturación directa </t>
  </si>
  <si>
    <t>Obturación indirecta (inlays u onlays)</t>
  </si>
  <si>
    <t xml:space="preserve">Instalación aparato removible ortodóncico </t>
  </si>
  <si>
    <t xml:space="preserve">Instalación aparato fijo ortodóncico </t>
  </si>
  <si>
    <t xml:space="preserve">Instalación aparato de contención ortodóncico </t>
  </si>
  <si>
    <t xml:space="preserve">Retiro aparatología de ortodoncia </t>
  </si>
  <si>
    <t xml:space="preserve">Ortopedia prequirúrgica </t>
  </si>
  <si>
    <t>Ortodoncia preventiva e interceptiva (OPI)</t>
  </si>
  <si>
    <t xml:space="preserve">Tratamiento endodoncia unirradicular </t>
  </si>
  <si>
    <t xml:space="preserve">Tratamiento endodoncia birradicular </t>
  </si>
  <si>
    <t xml:space="preserve">Tratamiento endodoncia multirradicular </t>
  </si>
  <si>
    <t xml:space="preserve">Inducción al cierre apical </t>
  </si>
  <si>
    <t xml:space="preserve">Retratamiento de endodoncia </t>
  </si>
  <si>
    <t xml:space="preserve">Cirugía apical </t>
  </si>
  <si>
    <t xml:space="preserve">Adaptación a la atención odontológica  </t>
  </si>
  <si>
    <t>Procedimiento restaurador (odontopediatría)</t>
  </si>
  <si>
    <t>Procedimiento pulpar (odontopediatría)</t>
  </si>
  <si>
    <t>Cirugía ambulatoria (odontopediatría)</t>
  </si>
  <si>
    <t xml:space="preserve">Destartraje subgingival o pulido radicular </t>
  </si>
  <si>
    <t xml:space="preserve">Destartraje supragingival o pulido coronario </t>
  </si>
  <si>
    <t>Procedimiento quirúrgico (periodoncia)</t>
  </si>
  <si>
    <t>Procedimiento quirúrgico periimplantar (periodoncia)</t>
  </si>
  <si>
    <t xml:space="preserve">Ferulización </t>
  </si>
  <si>
    <t xml:space="preserve">Rehabilitación mediante prótesis removible acrílica parcial o total </t>
  </si>
  <si>
    <t xml:space="preserve">Rehabilitación mediante prótesis removible metálica parcial </t>
  </si>
  <si>
    <t xml:space="preserve">Rehabilitación mediante prótesis fija unitaria o plural </t>
  </si>
  <si>
    <t xml:space="preserve">Rehabilitación mediante prótesis fija implantoasistida </t>
  </si>
  <si>
    <t xml:space="preserve">Rehabilitación mediante prótesis muco-implantoasistida </t>
  </si>
  <si>
    <t xml:space="preserve">Reparación de prótesis </t>
  </si>
  <si>
    <t xml:space="preserve">Implantología quirúrgica </t>
  </si>
  <si>
    <t xml:space="preserve">Toma de biopsia </t>
  </si>
  <si>
    <t xml:space="preserve">Estudio hispatológico </t>
  </si>
  <si>
    <t xml:space="preserve">Sialometría </t>
  </si>
  <si>
    <t xml:space="preserve">Terapia farmacológica de lesiones del territorio oral y maxilofacial </t>
  </si>
  <si>
    <t xml:space="preserve">Terapia no farmacológica de lesiones del territorio oral y maxilofacial </t>
  </si>
  <si>
    <t xml:space="preserve">Estudio clínico lesiones del territorio oral maxilofacial </t>
  </si>
  <si>
    <t>Terapia física en trastornos temporomandibulares (TTM) y dolor orofacial (DOF)</t>
  </si>
  <si>
    <t>Infiltración en articulación temporo mandibular (ATM)</t>
  </si>
  <si>
    <t>Bloqueo anestésico y/o medicamentoso en TTM y DOF</t>
  </si>
  <si>
    <t>Artrocentesis en ATM</t>
  </si>
  <si>
    <t xml:space="preserve">Terapia bioconductual </t>
  </si>
  <si>
    <t xml:space="preserve">Desgaste selectivo </t>
  </si>
  <si>
    <t xml:space="preserve">Instalación en dispositivo ortopédico </t>
  </si>
  <si>
    <t xml:space="preserve">Actividades somatoprótesis </t>
  </si>
  <si>
    <t xml:space="preserve">Rehabilitación de prótesis maxilofacial </t>
  </si>
  <si>
    <t>SECCIÓN F.1:  ACTIVIDADES DE IMAGENOLOGÍA ORAL Y MAXILOFACIAL.</t>
  </si>
  <si>
    <t>ACTIVIDADES DE APOYO</t>
  </si>
  <si>
    <t>GRUPO ETARIO Y SEXO</t>
  </si>
  <si>
    <t xml:space="preserve">Total </t>
  </si>
  <si>
    <t>Radiografía intraoral mediante técnicas retroalveolares (Por placa)</t>
  </si>
  <si>
    <t>Radiografía intraoral mediante técnicas bite wing (Por placa)</t>
  </si>
  <si>
    <t>Radiografía extraoral (Por placa)</t>
  </si>
  <si>
    <t>Radiografía oclusal (Por placa)</t>
  </si>
  <si>
    <t>Telerradiografía (Por placa)</t>
  </si>
  <si>
    <t>Radiografía panorámica (Por placa)</t>
  </si>
  <si>
    <t>Tomografía computacional maxilo facial cone beam (Por adquisición)</t>
  </si>
  <si>
    <t>Sialografías (Por procedimiento)</t>
  </si>
  <si>
    <t>Procedimiento imagenológico complejo (Por procedimiento)</t>
  </si>
  <si>
    <t>SECCIÓN G: PROGRAMAS ESPECIALES Y GES (Actividades incluidas en Sección B)</t>
  </si>
  <si>
    <t>PROGRAMA - ACTIVIDAD</t>
  </si>
  <si>
    <t>Egreso por Abandono</t>
  </si>
  <si>
    <t>Paciente Diabético en Control Programa Salud Cardiovascular</t>
  </si>
  <si>
    <t>Programa odontológico integral, estrategia más Sonrisas para Chile</t>
  </si>
  <si>
    <t>N°Auditorías clínicas realizadas</t>
  </si>
  <si>
    <t xml:space="preserve">Altas integrales </t>
  </si>
  <si>
    <t>JUNJI-INTEGRA-MINEDUC</t>
  </si>
  <si>
    <t>SERNAM</t>
  </si>
  <si>
    <t>PRODEMU</t>
  </si>
  <si>
    <t xml:space="preserve">Chile Solidario </t>
  </si>
  <si>
    <t>MINVU</t>
  </si>
  <si>
    <t xml:space="preserve">Demanda local </t>
  </si>
  <si>
    <t xml:space="preserve">Programa odontológico integral, estrategia hombres de escasos recursos </t>
  </si>
  <si>
    <t>Altas integrales/actividades</t>
  </si>
  <si>
    <t xml:space="preserve">Total altas integrales </t>
  </si>
  <si>
    <t xml:space="preserve">Nº de auditorías clínicas realizadas </t>
  </si>
  <si>
    <t xml:space="preserve">Programa odontológico integral, estrategia atención odontológica en domicilio </t>
  </si>
  <si>
    <t xml:space="preserve">Altas odontológicas </t>
  </si>
  <si>
    <t xml:space="preserve">TOTAL ALTAS </t>
  </si>
  <si>
    <t xml:space="preserve">Altas personas con dependencia severa </t>
  </si>
  <si>
    <t xml:space="preserve">Altas cuidadores personas con dependencia </t>
  </si>
  <si>
    <t>Programa mejoramiento del acceso, estrategia resolución de especialidad en APS</t>
  </si>
  <si>
    <t xml:space="preserve">Tratamiento endodoncia </t>
  </si>
  <si>
    <t xml:space="preserve">N° Pacientes </t>
  </si>
  <si>
    <t xml:space="preserve">N° Dientes tratados por odontólogo general </t>
  </si>
  <si>
    <t xml:space="preserve">N° Dientes tratados por endodoncista </t>
  </si>
  <si>
    <t xml:space="preserve">Tratamiento de periodoncia </t>
  </si>
  <si>
    <t xml:space="preserve">N° de sextantes por periodoncista </t>
  </si>
  <si>
    <t xml:space="preserve">N° Prótesis realizadas por odontólogo general </t>
  </si>
  <si>
    <t xml:space="preserve">N° Prótesis realizadas por rehabilitadores orales </t>
  </si>
  <si>
    <t xml:space="preserve">Programa GES odontológico adulto de 60 años </t>
  </si>
  <si>
    <t>ALTAS INTEGRALES</t>
  </si>
  <si>
    <t>N° Dientes</t>
  </si>
  <si>
    <t xml:space="preserve">N° Paciente </t>
  </si>
  <si>
    <t xml:space="preserve">N° Prótesis </t>
  </si>
  <si>
    <t xml:space="preserve">Programa odontológico integral, estrategia estudiantes de enseñanza media </t>
  </si>
  <si>
    <t xml:space="preserve">Altas integrales estudiantes de enseñanza media </t>
  </si>
  <si>
    <t xml:space="preserve">Alta integral en centro de salud </t>
  </si>
  <si>
    <t xml:space="preserve">Alta integral en unidad dental móvil o portátil </t>
  </si>
  <si>
    <t xml:space="preserve">Alta integral en establecimiento educacional </t>
  </si>
  <si>
    <t xml:space="preserve">Programa mejoramiento del acceso, estrategia morbilidad adulto </t>
  </si>
  <si>
    <t xml:space="preserve">Morbilidad adulto </t>
  </si>
  <si>
    <t xml:space="preserve">N° total de actividades recuperativa realizada en &gt;20 años, en extensión horaria </t>
  </si>
  <si>
    <t xml:space="preserve">N° de consultas de morbilidad realizadas en &gt;20 años, en extensión horaria </t>
  </si>
  <si>
    <t>SECCIÓN G.1: PROGRAMA SEMBRANDO SONRISAS</t>
  </si>
  <si>
    <t>JUNJI</t>
  </si>
  <si>
    <t>INTEGRA</t>
  </si>
  <si>
    <t>MINEDUC</t>
  </si>
  <si>
    <t xml:space="preserve">Examen de salud </t>
  </si>
  <si>
    <t xml:space="preserve">Nº de niños con índice ceod=0 al ingreso </t>
  </si>
  <si>
    <t xml:space="preserve">Set de higiene oral entregados </t>
  </si>
  <si>
    <t xml:space="preserve">Nº de aplicaciones flúor barniz </t>
  </si>
  <si>
    <t xml:space="preserve">Educación grupal en establecimiento de educación </t>
  </si>
  <si>
    <t>N° de establecimientos de educación con programa implementado</t>
  </si>
  <si>
    <t>SECCIÓN H: SEDACIÓN Y ANESTESIA</t>
  </si>
  <si>
    <t xml:space="preserve">20-24 años </t>
  </si>
  <si>
    <t>45-59 años</t>
  </si>
  <si>
    <t>Atención bajo sedación inhalatoria (con óxido nitroso)</t>
  </si>
  <si>
    <t xml:space="preserve">Sedación endovenosa </t>
  </si>
  <si>
    <t xml:space="preserve">Atención bajo anestesia general </t>
  </si>
  <si>
    <t xml:space="preserve">Atención bajo sedación oral </t>
  </si>
  <si>
    <t>ESPECIALIDAD Y TIPO DE INGRESO O EGRESO.</t>
  </si>
  <si>
    <t xml:space="preserve">TOTAL   </t>
  </si>
  <si>
    <t>60 años (incluido en grupos de  60-64 años)</t>
  </si>
  <si>
    <t xml:space="preserve">Consultas Pertinentes </t>
  </si>
  <si>
    <t>Operatoria</t>
  </si>
  <si>
    <t>Usuarios Oncológicos</t>
  </si>
  <si>
    <t>Según Protocolo de Referencia</t>
  </si>
  <si>
    <t>Según condición clínica</t>
  </si>
  <si>
    <t xml:space="preserve">Consultas </t>
  </si>
  <si>
    <t>Consultas de urgencia GES</t>
  </si>
  <si>
    <t>Consulta de urgencia no GES</t>
  </si>
  <si>
    <t xml:space="preserve">Cirugía bucal </t>
  </si>
  <si>
    <t xml:space="preserve">Consulta nueva  </t>
  </si>
  <si>
    <t xml:space="preserve">Control  </t>
  </si>
  <si>
    <t xml:space="preserve">Ingreso a tratamiento </t>
  </si>
  <si>
    <t xml:space="preserve">Altas de tratamiento </t>
  </si>
  <si>
    <t xml:space="preserve">Control de especialidad post alta </t>
  </si>
  <si>
    <t xml:space="preserve">Altas administrativas </t>
  </si>
  <si>
    <t xml:space="preserve">Cirugía y traumatología maxilofacial </t>
  </si>
  <si>
    <t>Ortodoncia y ortopedia dento maxilofacial: Aparatología fija</t>
  </si>
  <si>
    <t>Ortodoncia y ortopedia dento maxilofacial: Aparatología removible</t>
  </si>
  <si>
    <t xml:space="preserve">Rehabilitación: Prótesis fija </t>
  </si>
  <si>
    <t xml:space="preserve">Rehabilitación: Prótesis removible </t>
  </si>
  <si>
    <t xml:space="preserve">Rehabilitación: Prótesis implantoasistida </t>
  </si>
  <si>
    <t xml:space="preserve">Implantología buco maxilofacial </t>
  </si>
  <si>
    <t xml:space="preserve">SECCIÓN J: ACTIVIDADES EFECTUADAS POR TÉCNICO PARAMÉDICO DENTAL Y/O HIGIENISTAS DENTALES  </t>
  </si>
  <si>
    <t xml:space="preserve">Pulido coronario y destartraje supragingival </t>
  </si>
  <si>
    <t xml:space="preserve">Fluoración tópica </t>
  </si>
  <si>
    <t xml:space="preserve">Educación individual con instrucción  de técnica de cepillado </t>
  </si>
  <si>
    <t>Radiografías intraorales (retroalveolares y bitewing)</t>
  </si>
  <si>
    <t xml:space="preserve">SECCIÓN K: CONSULTORÍAS DE ESPECIALIDADES ODONTOLÓGICAS. </t>
  </si>
  <si>
    <t xml:space="preserve">Nº Consultorías </t>
  </si>
  <si>
    <t xml:space="preserve">Nº de casos revisados por el equipo </t>
  </si>
  <si>
    <t xml:space="preserve">Nº de casos atendidos </t>
  </si>
  <si>
    <t xml:space="preserve">Imagenología oral y Maxilofacial  </t>
  </si>
  <si>
    <t xml:space="preserve">Ortodoncia </t>
  </si>
  <si>
    <t xml:space="preserve">Rehabilitación oral </t>
  </si>
  <si>
    <t xml:space="preserve">Trastornos Temporomandibulares y dolor Orofacial </t>
  </si>
  <si>
    <t>De Turno</t>
  </si>
  <si>
    <t>De Llamada</t>
  </si>
  <si>
    <t xml:space="preserve">Total de Llamadas </t>
  </si>
  <si>
    <t>Llamadas Validas</t>
  </si>
  <si>
    <t>Tiempo de Llegada Intervenciones Criticas</t>
  </si>
  <si>
    <t>Tiempo de Llegada Intervenciones no Criticas</t>
  </si>
  <si>
    <t>Lesiones de la Víctima</t>
  </si>
  <si>
    <t>Reingreso</t>
  </si>
  <si>
    <t>20 - 64 años</t>
  </si>
  <si>
    <t>65 y más años</t>
  </si>
  <si>
    <t>MODALIDAD</t>
  </si>
  <si>
    <t>Institucional</t>
  </si>
  <si>
    <t>Solicitadas</t>
  </si>
  <si>
    <t>Sistema</t>
  </si>
  <si>
    <t>Extrasistema</t>
  </si>
  <si>
    <t>Medicina interna</t>
  </si>
  <si>
    <t>Enfermedad respiratoria de adulto (Broncopulmonar)</t>
  </si>
  <si>
    <t>Cardiología pediátrica</t>
  </si>
  <si>
    <t>Cardiología adulto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</si>
  <si>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</si>
  <si>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</si>
  <si>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</si>
  <si>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</si>
  <si>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</si>
  <si>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</si>
  <si>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 adulto</t>
  </si>
  <si>
    <t>Nefrología pediátrica</t>
  </si>
  <si>
    <t>Nefrología adulto</t>
  </si>
  <si>
    <t>Nutriólogo pediátrico</t>
  </si>
  <si>
    <t>Nutriólogo adulto</t>
  </si>
  <si>
    <t>Reumatología pediátrica</t>
  </si>
  <si>
    <t>Reumatología adulto</t>
  </si>
  <si>
    <t>Infectología pediátrica</t>
  </si>
  <si>
    <t>Infectología adulto</t>
  </si>
  <si>
    <t>Medicina física y rehabilitación pediátrica (fisiatría pediátrica)</t>
  </si>
  <si>
    <t>Medicina física y rehabilitación adulto (fisiatría adulto)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</si>
  <si>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</si>
  <si>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</si>
  <si>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</si>
  <si>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</si>
  <si>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</si>
  <si>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</si>
  <si>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>Cirugía general adulto</t>
  </si>
  <si>
    <t>Cirugía digestiva (alta)</t>
  </si>
  <si>
    <t>Cirugía de cabeza, cuello y maxilofacial</t>
  </si>
  <si>
    <t>Cirugía plástica y reparadora pediátrica</t>
  </si>
  <si>
    <t>Cirugía plástica y reparadora adulto</t>
  </si>
  <si>
    <t>Cirugía tórax</t>
  </si>
  <si>
    <t>Cirugía cardiovascular</t>
  </si>
  <si>
    <t>Ginecología pediátrica y de la adolescencia</t>
  </si>
  <si>
    <t>Ginecología adulto</t>
  </si>
  <si>
    <t>Traumatología y ortopedia pediátrica</t>
  </si>
  <si>
    <t>Traumatología y ortopedia adulto</t>
  </si>
  <si>
    <t>Urología pediátrica</t>
  </si>
  <si>
    <t>Urología adulto</t>
  </si>
  <si>
    <t>Medicina familiar del niño</t>
  </si>
  <si>
    <t>Medicina familiar</t>
  </si>
  <si>
    <t>Medicina familiar adulto</t>
  </si>
  <si>
    <t>Radioterapia oncológica</t>
  </si>
  <si>
    <t>Establecimiento de la Red</t>
  </si>
  <si>
    <t>Tratamiento anticoagulante oral</t>
  </si>
  <si>
    <t>REM-23.   SALAS: IRA, ERA Y MIXTAS EN APS</t>
  </si>
  <si>
    <t>SECCIÓN A: INGRESOS AGUDOS SEGÚN DIAGNOSTICO DERIVADOS A SALA</t>
  </si>
  <si>
    <t>DIAGNÓSTICOS</t>
  </si>
  <si>
    <t>Menos 
1 año</t>
  </si>
  <si>
    <t>1 - 4 
años</t>
  </si>
  <si>
    <t>5 - 9 
años</t>
  </si>
  <si>
    <t>25 - 39 años</t>
  </si>
  <si>
    <t>I.R.A. alta</t>
  </si>
  <si>
    <t>Influenza</t>
  </si>
  <si>
    <t xml:space="preserve">Neumonía </t>
  </si>
  <si>
    <t>Coqueluche</t>
  </si>
  <si>
    <t>Bronquitis obstructiva aguda</t>
  </si>
  <si>
    <t>Otras IRAS bajas</t>
  </si>
  <si>
    <t>Exacerbación síndrome bronquial obstructivo recurrente (SBOR)</t>
  </si>
  <si>
    <t>Exacerbación Asma</t>
  </si>
  <si>
    <t>Exacerbación de enfermedad pulmonar obstructiva crónica (EPOC)</t>
  </si>
  <si>
    <t>Exacerbación fibrosis quística</t>
  </si>
  <si>
    <t>Exacerbación otras respiratorias crónicas</t>
  </si>
  <si>
    <t>SECCIÓN B: INGRESO CRÓNICO SEGÚN DIAGNÓSTICO (SÓLO MÉDICO)</t>
  </si>
  <si>
    <t>DIAGNÓSTICO O PROGRAMA</t>
  </si>
  <si>
    <t>Reingresos</t>
  </si>
  <si>
    <t>Síndrome bronquial obstructivo recurrente (SBOR)</t>
  </si>
  <si>
    <t>Leve</t>
  </si>
  <si>
    <t>Moderado</t>
  </si>
  <si>
    <t>Severo</t>
  </si>
  <si>
    <t>Asma bronquial</t>
  </si>
  <si>
    <t>Enfermedad pulmonar obstructiva crónica (EPOC)</t>
  </si>
  <si>
    <t>Tipo A</t>
  </si>
  <si>
    <t>Tipo B</t>
  </si>
  <si>
    <t>Displasia broncopulmonar</t>
  </si>
  <si>
    <t>Fibrosis quística</t>
  </si>
  <si>
    <t>Oxígeno dependiente</t>
  </si>
  <si>
    <t xml:space="preserve">Asistencia ventilatoria no invasiva o invasiva </t>
  </si>
  <si>
    <t>Otras respiratorias crónicas</t>
  </si>
  <si>
    <t>SECCION C: EGRESOS</t>
  </si>
  <si>
    <t>CAUSAL</t>
  </si>
  <si>
    <t>Abandono</t>
  </si>
  <si>
    <t>Fallecimiento</t>
  </si>
  <si>
    <t>Síndrome bronquial obstructiva recurrente (SBOR)</t>
  </si>
  <si>
    <t>SECCIÓN D: CONSULTAS DE MORBILIDAD POR ENFERMEDADES RESPIRATORIAS EN SALAS IRA, ERA Y MIXTA</t>
  </si>
  <si>
    <t>SECCIÓN E: CONTROLES REALIZADOS (CRONICOS)</t>
  </si>
  <si>
    <t>SECCIÓN F: SEGUIMIENTO DE ATENCIONES REALIZADAS EN AGUDOS</t>
  </si>
  <si>
    <t>SECCIÓN G: INASISTENTES A CONTROL DE CRÓNICOS</t>
  </si>
  <si>
    <t>S.B.O. recurrente</t>
  </si>
  <si>
    <t>Asma</t>
  </si>
  <si>
    <t>Enfermedad pulmonar obstructiva crónica</t>
  </si>
  <si>
    <t>SECCIÓN H: INASISTENTES A CITACIÓN AGENDADA</t>
  </si>
  <si>
    <t>De 20 años y más</t>
  </si>
  <si>
    <t>SECCIÓN I: PROCEDIMIENTOS REALIZADOS</t>
  </si>
  <si>
    <t>PROCEDIMIENTO</t>
  </si>
  <si>
    <t xml:space="preserve">Espirometría basal </t>
  </si>
  <si>
    <t>Espirometría post BD</t>
  </si>
  <si>
    <t xml:space="preserve">Flujometría basal </t>
  </si>
  <si>
    <t>Flujometría post BD</t>
  </si>
  <si>
    <t>Pimometría</t>
  </si>
  <si>
    <t>Test de provocación con ejercicio</t>
  </si>
  <si>
    <t>Test de marcha 6 minutos</t>
  </si>
  <si>
    <t>Sesiones de kinesioterapia respiratoria</t>
  </si>
  <si>
    <t>Toma de muestra secreción mucosa/bronquial</t>
  </si>
  <si>
    <t>SECCIÓN J: DERIVACIÓN DE PACIENTES SEGÚN DESTINO</t>
  </si>
  <si>
    <t>DESTINO</t>
  </si>
  <si>
    <t>Unidad emergencia hospitalaria (UEH)</t>
  </si>
  <si>
    <t>SAPU, SUR O SAR</t>
  </si>
  <si>
    <t>CAE / CDT / CRS</t>
  </si>
  <si>
    <t>SECCIÓN K: RECEPCIÓN DE PACIENTES SEGÚN ORIGEN</t>
  </si>
  <si>
    <t>SAPU , SUR O SAR</t>
  </si>
  <si>
    <t>Consulta de morbilidad</t>
  </si>
  <si>
    <t>SECCIÓN L: HOSPITALIZACION ABREVIADA / INTERVENCION EN CRISIS RESPIRATORIA</t>
  </si>
  <si>
    <t>Bronquitis obstructiva</t>
  </si>
  <si>
    <t>Reagudización de SBOR</t>
  </si>
  <si>
    <t>Reagudización de asma</t>
  </si>
  <si>
    <t>Neumonía</t>
  </si>
  <si>
    <t>Reagudización de EPOC</t>
  </si>
  <si>
    <t>Otras respiratorias</t>
  </si>
  <si>
    <t>SECCIÓN M: EDUCACIÓN EN SALAS</t>
  </si>
  <si>
    <t>SECCIÓN M.1: EDUCACION INDIVIDUAL EN SALA</t>
  </si>
  <si>
    <t>Antitabaco</t>
  </si>
  <si>
    <t>Autocuidado según patología</t>
  </si>
  <si>
    <t>Uso de terapia inhalatoria</t>
  </si>
  <si>
    <t xml:space="preserve">Educacion integral en salud respiratoria </t>
  </si>
  <si>
    <t>Estilo de vida saludables</t>
  </si>
  <si>
    <t>SECCIÓN M.2: EDUCACIÓN GRUPAL (AGENDADA Y PROGRAMADA)</t>
  </si>
  <si>
    <t>TEMAS</t>
  </si>
  <si>
    <t>Nº Sesiones</t>
  </si>
  <si>
    <t>Educación integral en salud respiratoria</t>
  </si>
  <si>
    <t>Pacientes, padres o cuidadores</t>
  </si>
  <si>
    <t>Salas cunas y jardines infantiles</t>
  </si>
  <si>
    <t>Intersector</t>
  </si>
  <si>
    <t xml:space="preserve">SECCIÓN N: VISITAS DOMICILIARIAS Y SEGUIMIENTO REALIZADOS POR EQUIPO IRA-ERA </t>
  </si>
  <si>
    <t>CONCEPTOS</t>
  </si>
  <si>
    <t>Hogar libre del humo del tabaco</t>
  </si>
  <si>
    <t>Por muerte de neumonía en domicilio</t>
  </si>
  <si>
    <t>Programa oxigenoterapia ambulatoria, AVNI, AVI, AVNIA, AVIA</t>
  </si>
  <si>
    <t>Seguimiento telefónico realizado por kinesiologo sala</t>
  </si>
  <si>
    <t>Otras visitas</t>
  </si>
  <si>
    <t xml:space="preserve">SECCIÓN O: REHABILITACION PULMONAR Y ACTIVIDAD FÍSICA </t>
  </si>
  <si>
    <t>EPOC A</t>
  </si>
  <si>
    <t>EPOC B</t>
  </si>
  <si>
    <t>Rehabilitación pulmonar</t>
  </si>
  <si>
    <t>Sesiones educativas</t>
  </si>
  <si>
    <t>Sesiones actividad física</t>
  </si>
  <si>
    <t>Articulación continuidad con intersector</t>
  </si>
  <si>
    <t>Planes de actividad física</t>
  </si>
  <si>
    <t>Diseño plan de trabajo</t>
  </si>
  <si>
    <t>Seguimiento presencial</t>
  </si>
  <si>
    <t>Seguimiento telefónico</t>
  </si>
  <si>
    <t>SECCIÓN P: REHABILITACION PULMONAR POST COVID</t>
  </si>
  <si>
    <t>Rehabilitacion pulmonar post COVID</t>
  </si>
  <si>
    <t>Seguimiento telefonico</t>
  </si>
  <si>
    <t>SECCIÓN Q: APLICACIÓN DE ENCUESTA CALIDAD DE VIDA</t>
  </si>
  <si>
    <t>DIAGNÓSTICO</t>
  </si>
  <si>
    <t>ENCUESTAS REALIZADAS</t>
  </si>
  <si>
    <t>Ingreso</t>
  </si>
  <si>
    <t>Reevaluación anual</t>
  </si>
  <si>
    <t>Otras crónicas respiratorias</t>
  </si>
  <si>
    <t>Post Parto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</si>
  <si>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</si>
  <si>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</si>
  <si>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</si>
  <si>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</si>
  <si>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</si>
  <si>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</si>
  <si>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</si>
  <si>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TIPOS DE CONSULTA</t>
  </si>
  <si>
    <t>Pacientes</t>
  </si>
  <si>
    <t>15 años y más</t>
  </si>
  <si>
    <t>REM-26.  ACTIVIDADES EN DOMICILIO Y OTROS ESPACIOS</t>
  </si>
  <si>
    <t>SECCIÓN A: VISITAS DOMICILIARIAS INTEGRALES A FAMILIAS (ESTABLECIMIENTOS APS)</t>
  </si>
  <si>
    <t>Un Profesional</t>
  </si>
  <si>
    <t>Dos o Más Profesionales</t>
  </si>
  <si>
    <t xml:space="preserve">Un Profesional y Un Técnico En Enfermería </t>
  </si>
  <si>
    <t xml:space="preserve">Técnico En Enfermería </t>
  </si>
  <si>
    <t>Facilitador/a Intercultural Pueblos Originarios</t>
  </si>
  <si>
    <t>Agente Comunitario</t>
  </si>
  <si>
    <t>Primera Visita</t>
  </si>
  <si>
    <t>Segunda Visita</t>
  </si>
  <si>
    <t>Tercera o Más Visitas De Seguimiento</t>
  </si>
  <si>
    <t>Familia con niño prematuro</t>
  </si>
  <si>
    <t>Familia con niño recién nacido</t>
  </si>
  <si>
    <t>Familia con niño con déficit del DSM</t>
  </si>
  <si>
    <t>Familia con niño en riesgo vincular afectivo</t>
  </si>
  <si>
    <t>Familia con niño con problema respiratorio crónico o no controlado</t>
  </si>
  <si>
    <t>Familia con niño malnutrido</t>
  </si>
  <si>
    <t>Familia con niño con riesgo psicosocial (excluye vincular afectivo)</t>
  </si>
  <si>
    <t>Familia con adolescente en riesgo o problema psicosocial</t>
  </si>
  <si>
    <t>Familia con integrante con patología crónica descompensada</t>
  </si>
  <si>
    <t>Familia con adulto mayor dependediente (excluye dependiente severo)</t>
  </si>
  <si>
    <t>Familia con adulto mayor en riesgo psicosocial</t>
  </si>
  <si>
    <t>Familia con gestante adolescente 10 a 14 años</t>
  </si>
  <si>
    <t>Familia con gestante &gt;20 años en riesgo psicosocial</t>
  </si>
  <si>
    <t>Familia con gestante adolescente en riesgo psicosocial 15 a 19 años</t>
  </si>
  <si>
    <t>Familia con adolescente con problema respiratorio crónico o no controlado</t>
  </si>
  <si>
    <t>Familia con adulto con problema respiratorio crónico o no controlado</t>
  </si>
  <si>
    <t>Familia con gestante en riesgo biomédico</t>
  </si>
  <si>
    <t>Familia con otro riesgo psicosocial</t>
  </si>
  <si>
    <t>Familia con integrante con problema de salud mental</t>
  </si>
  <si>
    <t>Familia con niños/as de 5 a 9 años con problemas y/o trastornos de salud mental</t>
  </si>
  <si>
    <t>Familia con integrante alta hospitalización precoz</t>
  </si>
  <si>
    <t>Familia con integrante con multimorbilidad cronica (excluye dependencia severa)</t>
  </si>
  <si>
    <t>Familia con niños con necesidades especiales (NANEAS)</t>
  </si>
  <si>
    <t>Familia con NNA trans femenino/masculino</t>
  </si>
  <si>
    <t>SECCIÓN A.1: VISITAS DOMICILIARIAS INTEGRALES A PERSONAS CON DEPENDENCIA SEVERA Y SUS CUIDADORES</t>
  </si>
  <si>
    <t>Primera visita</t>
  </si>
  <si>
    <t>Segunda visita</t>
  </si>
  <si>
    <t xml:space="preserve">Tercera o más visitas de seguimiento </t>
  </si>
  <si>
    <t xml:space="preserve">Elaboración plan de cuidados a personas dependientes </t>
  </si>
  <si>
    <t xml:space="preserve">Evaluación plan de cuidados a personas dependientes </t>
  </si>
  <si>
    <t>Elaboración plan de cuidados a cuidador</t>
  </si>
  <si>
    <t xml:space="preserve">Evaluación plan de cuidados a cuidador </t>
  </si>
  <si>
    <t xml:space="preserve">Evaluación Zarit cuidador </t>
  </si>
  <si>
    <t xml:space="preserve">Población multimorbilidad crónica </t>
  </si>
  <si>
    <t xml:space="preserve">Población ELEAM o institucionalizada </t>
  </si>
  <si>
    <t>A personas con dependencia severa en programa</t>
  </si>
  <si>
    <t>Familia con persona con demencia</t>
  </si>
  <si>
    <t>Familia con integrante dependiente severo en programa con enfermedad terminal</t>
  </si>
  <si>
    <t>Familia con integrante con dependencia severa (Excluye adulto mayor)</t>
  </si>
  <si>
    <t>Familia con adulto mayor dependiente severo</t>
  </si>
  <si>
    <t>SECCIÓN A.2: INGRESOS, EGRESOS Y TRASLADOS AL PROGRAMA DE ATENCION DOMICILIARIA PERSONAS CON DEPENDENCIA SEVERA</t>
  </si>
  <si>
    <t>15 - 19  años</t>
  </si>
  <si>
    <t>Alta</t>
  </si>
  <si>
    <t>Egreso</t>
  </si>
  <si>
    <t>Traslado</t>
  </si>
  <si>
    <t>SECCIÓN B: OTRAS VISITAS INTEGRALES</t>
  </si>
  <si>
    <t>Dos o Más 
Profesionales</t>
  </si>
  <si>
    <t xml:space="preserve">Un Profesional y 
un Técnico En Enfermería </t>
  </si>
  <si>
    <t>Niños, Niñas, Adolescentes Y Jóvenes Mejor Niñez</t>
  </si>
  <si>
    <t>Visita epidemiológica</t>
  </si>
  <si>
    <t>A lugar de trabajo (*)</t>
  </si>
  <si>
    <t>A colegio, salas cuna, jardín infantil (*)</t>
  </si>
  <si>
    <t>A grupo comunitario</t>
  </si>
  <si>
    <t>Visita integral de salud mental</t>
  </si>
  <si>
    <t>A domicilio (Nivel secundario)</t>
  </si>
  <si>
    <t>A lugar de trabajo</t>
  </si>
  <si>
    <t>A establecimientos educacionales</t>
  </si>
  <si>
    <t>En sector rural</t>
  </si>
  <si>
    <t>(*) Excluye visita integral de salud mental.</t>
  </si>
  <si>
    <t>SECCIÓN C:  VISITAS CON FINES DE TRATAMIENTOS Y/O PROCEDIMIENTOS EN DOMICILIO A PERSONAS CON DEPENDENCIA</t>
  </si>
  <si>
    <t>Multimorbilidad Crónica</t>
  </si>
  <si>
    <t>Población ELEAM o Institucionalizada</t>
  </si>
  <si>
    <t>A personas con dependencia leve</t>
  </si>
  <si>
    <t>A personas con dependencia moderada</t>
  </si>
  <si>
    <t>A personas con dependencia severa</t>
  </si>
  <si>
    <t>Oncológicos (Excluye cuidados paliativos)</t>
  </si>
  <si>
    <t>No oncológicos</t>
  </si>
  <si>
    <t>Atención odontológica</t>
  </si>
  <si>
    <t>Entrega fármacos/alimentos</t>
  </si>
  <si>
    <t>Atención farmacéutica</t>
  </si>
  <si>
    <t>Atención nutricional a personas con indicación de NED</t>
  </si>
  <si>
    <t>Podólogo</t>
  </si>
  <si>
    <t>Morbilidad médica</t>
  </si>
  <si>
    <t xml:space="preserve">Visitas con otros fines </t>
  </si>
  <si>
    <t>Telemedicina/teleasistencia</t>
  </si>
  <si>
    <t>Seguimiento remoto</t>
  </si>
  <si>
    <t>SECCIÓN D: RESCATE DE PACIENTES INASISTENTES</t>
  </si>
  <si>
    <t>Funcionario</t>
  </si>
  <si>
    <t xml:space="preserve">Técnico en enfermería </t>
  </si>
  <si>
    <t>(*) No incluidas como producción del establecimiento.</t>
  </si>
  <si>
    <t>SECCIÓN E: OTRAS VISITAS PROGRAMA DE ACOMPAÑAMIENTO PSICOSOCIAL EN ATENCIÓN PRIMARIA</t>
  </si>
  <si>
    <t>GRUPOS</t>
  </si>
  <si>
    <t>TOTAL VISITAS</t>
  </si>
  <si>
    <t>Establecimiento educacional</t>
  </si>
  <si>
    <t>SECCIÓN F: VISITA A ESTABLECIMIENTO EDUCACIONAL PROGRAMA DE APOYO A LA SALUD MENTAL INFANTIL (PASMI) EN ATENCIÓN PRIMARIA</t>
  </si>
  <si>
    <t>Total Visitas 5 a 9 Años</t>
  </si>
  <si>
    <t>SECCIÓN G: CONSULTAS Y CONTROLES  DE ESPECIALIDAD RESUELTAS POR VISITAS DOMICILIARIAS</t>
  </si>
  <si>
    <t>CONTROLES DE ESPECIALIDAD RESUELTOS POR VISITAS DOMICILIARIAS</t>
  </si>
  <si>
    <t>Pediatría (incluye totalidad de producción pediatrica de subespecialidades)</t>
  </si>
  <si>
    <t>Cirugía</t>
  </si>
  <si>
    <t>Otras Especialidades Adulto</t>
  </si>
  <si>
    <t>REM-31.  MEDICINA COMPLEMENTARIA Y PRÁCTICAS DE BIENESTAR DE LA SALUD</t>
  </si>
  <si>
    <t>SECCIÓN A: TIPOS DE MEDICINA COMPLEMENTARIA Y PRÁCTICAS DE BIENESTAR DE LA SALUD ENTREGADAS EN ATENCIÓN INDIVIDUAL</t>
  </si>
  <si>
    <t>TIPO DE MEDICINA COMPLEMENTARIA O PRÁCTICA DE BIENESTAR DE LA SALUD</t>
  </si>
  <si>
    <t xml:space="preserve"> 0  -  4 años</t>
  </si>
  <si>
    <t xml:space="preserve"> 5  -  9 años</t>
  </si>
  <si>
    <t xml:space="preserve"> 10 - 14  años</t>
  </si>
  <si>
    <t>Reguladas</t>
  </si>
  <si>
    <t>Acupuntura</t>
  </si>
  <si>
    <t>Homeopatía</t>
  </si>
  <si>
    <t>Naturopatía</t>
  </si>
  <si>
    <t>No reguladas</t>
  </si>
  <si>
    <t>Apiterapia</t>
  </si>
  <si>
    <t>Aurículoterapia</t>
  </si>
  <si>
    <t>Biomagnetismo</t>
  </si>
  <si>
    <t xml:space="preserve">Fitoterapia </t>
  </si>
  <si>
    <t>Masoterapia</t>
  </si>
  <si>
    <t>Medicina Antroposófica</t>
  </si>
  <si>
    <t>Quiropraxia</t>
  </si>
  <si>
    <t>Reiki</t>
  </si>
  <si>
    <t xml:space="preserve">Sanación Pránica </t>
  </si>
  <si>
    <t>Sintergética</t>
  </si>
  <si>
    <t>Terapia Floral</t>
  </si>
  <si>
    <t>Terapia Neural</t>
  </si>
  <si>
    <t xml:space="preserve">SECCIÓN B: MEDICINA COMPLEMENTARIA Y PRÁCTICAS DE BIENESTAR DE LA SALUD EN ATENCIONES INDIVIDUALES O GRUPALES, SEGÚN PROFESIONAL </t>
  </si>
  <si>
    <t xml:space="preserve">PERFIL PROFESIONAL </t>
  </si>
  <si>
    <t>NO REGULADAS</t>
  </si>
  <si>
    <t>Arte terapia</t>
  </si>
  <si>
    <t>Aurículo-terapia</t>
  </si>
  <si>
    <t>Biodanza</t>
  </si>
  <si>
    <t>Qi Gong</t>
  </si>
  <si>
    <t>Fitoterapia</t>
  </si>
  <si>
    <t>Huertos Medicinales o Alimenticio/ Medicinales</t>
  </si>
  <si>
    <t xml:space="preserve">Meditación </t>
  </si>
  <si>
    <t>Sanación Pránica</t>
  </si>
  <si>
    <t>Sonoterapia</t>
  </si>
  <si>
    <t xml:space="preserve">Tai Chi </t>
  </si>
  <si>
    <t>Yoga</t>
  </si>
  <si>
    <t>Constelaciones Familiares</t>
  </si>
  <si>
    <t>Circulos de escucha</t>
  </si>
  <si>
    <t>Musicoterapia</t>
  </si>
  <si>
    <t>Danzaterapia</t>
  </si>
  <si>
    <t>Dramaterapia</t>
  </si>
  <si>
    <t>Otras Individuales</t>
  </si>
  <si>
    <t>Otras Grupales</t>
  </si>
  <si>
    <t>Enfermera(o)</t>
  </si>
  <si>
    <t>Matrona(ón)</t>
  </si>
  <si>
    <t>Fonoaudiólogo</t>
  </si>
  <si>
    <t>Farmacéutico</t>
  </si>
  <si>
    <t>Técnico en enfermería</t>
  </si>
  <si>
    <t>Tecnólogo Médico</t>
  </si>
  <si>
    <t>Terapeuta Complementario</t>
  </si>
  <si>
    <t>SECCIÓN C: ORIGEN DE LA ATENCIÓN CON MEDICINA COMPLEMENTARIA Y PRÁCTICAS DE BIENESTAR DE LA SALUD</t>
  </si>
  <si>
    <t>ORIGEN DE LA ATENCIÓN</t>
  </si>
  <si>
    <t>Huertos Medicinales o Alimenticio / Medicinales</t>
  </si>
  <si>
    <t>Consulta Espontánea</t>
  </si>
  <si>
    <t>Derivado desde Morbilidad</t>
  </si>
  <si>
    <t>Derivado desde Especialidad</t>
  </si>
  <si>
    <t>Paciente Hospitalizado</t>
  </si>
  <si>
    <t>Programa Crónicos Cardiovascular</t>
  </si>
  <si>
    <t>Otros programas de crónicos</t>
  </si>
  <si>
    <t>Programa de Salud Mental</t>
  </si>
  <si>
    <t>Programa de Salud Oral</t>
  </si>
  <si>
    <t xml:space="preserve">Programa de Salud sexual y reproductiva </t>
  </si>
  <si>
    <t>Chile Crece Contigo/Programa Infantil</t>
  </si>
  <si>
    <t>Programa de Cáncer (QT/RT)</t>
  </si>
  <si>
    <t>Programa de Dependencia severa</t>
  </si>
  <si>
    <t>Programa de Hospitalización Domiciliaria</t>
  </si>
  <si>
    <t>Programa de Rehabilitación física</t>
  </si>
  <si>
    <t>Programa de Cuidados Paliativos y Manejo del Dolor</t>
  </si>
  <si>
    <t>Otros programas</t>
  </si>
  <si>
    <t>SECCIÓN D: TIPOS DE MEDICINA COMPLEMENTARIA Y PRÁCTICAS DE BIENESTAR DE LA SALUD ENTREGADAS EN ATENCION GRUPAL Y COMUNITARIA</t>
  </si>
  <si>
    <t>TIPO DE  MEDICINA COMPLEMENTARIA O PRÁCTICA DE BIENESTAR DE LA SALUD</t>
  </si>
  <si>
    <t xml:space="preserve">
TOTAL DE SESIONES GRUPALES</t>
  </si>
  <si>
    <t>N° DE PARTICIPANTES</t>
  </si>
  <si>
    <t>Familiares / Cuidadores de los pacientes</t>
  </si>
  <si>
    <t>Funcionarios</t>
  </si>
  <si>
    <t>10-19 años</t>
  </si>
  <si>
    <t>20-64 años</t>
  </si>
  <si>
    <t>Huertos Medicinales o Alimenticio/Medicinales</t>
  </si>
  <si>
    <t>Meditación</t>
  </si>
  <si>
    <t>Tai Chi</t>
  </si>
  <si>
    <t>Constelaciones familiares</t>
  </si>
  <si>
    <t>Círculos de Escucha</t>
  </si>
  <si>
    <t xml:space="preserve">SECCION E: ACCIONES REMOTAS DE MEDICINAS COMPLEMENTARIAS Y PRÁCTICAS DE BIENESTAR EN SALUD </t>
  </si>
  <si>
    <t>GRUPO OBJETIVO</t>
  </si>
  <si>
    <t xml:space="preserve">Familiares/Cuidadores de los pacientes </t>
  </si>
  <si>
    <t xml:space="preserve">REM-32. ACTIVIDADES DE ATENCIÓN DE SALUD REMOTA </t>
  </si>
  <si>
    <t>SECCIÓN A: SEGUIMIENTO EN ATENCIÓN PRIMARIA DE SALUD POR LLAMADA TELEFÓNICA O VIDEOLLAMADAS</t>
  </si>
  <si>
    <t xml:space="preserve"> SEXO</t>
  </si>
  <si>
    <t>Espacios amigables/ Adolescentes</t>
  </si>
  <si>
    <t xml:space="preserve"> 10 - 14 años</t>
  </si>
  <si>
    <t>Matrona/on</t>
  </si>
  <si>
    <t>SECCIÓN B: CONSULTA  ABREVIADA MEDIANTE TELESALUD</t>
  </si>
  <si>
    <t>Otros profesionales</t>
  </si>
  <si>
    <t>Menos de 15 años</t>
  </si>
  <si>
    <t>Entrega de resultados de exámenes</t>
  </si>
  <si>
    <t>Confección de recetas</t>
  </si>
  <si>
    <t>Renovación de licencias médicas</t>
  </si>
  <si>
    <t>SECCIÓN C: CONSULTA MÉDICA EN ATENCIÓN PRIMARIA DE SALUD POR LLAMADA TELEFÓNICA O VIDEOLLAMADAS</t>
  </si>
  <si>
    <t>Medicina General</t>
  </si>
  <si>
    <t>SECCIÓN D: ATENCIONES TELEFÓNICAS EN CONSULTAS Y CONTROLES</t>
  </si>
  <si>
    <t>SECCIÓN D1: ATENCIONES REMOTAS MÉDICAS EN ESPECIALIDAD</t>
  </si>
  <si>
    <t>ESPECIALIDADES Y 
SUB-ESPECIALIDADES</t>
  </si>
  <si>
    <t>ATENCIONES REMOTAS DE CONSULTAS DE ESPECIALIDAD</t>
  </si>
  <si>
    <t>NO CONTESTA</t>
  </si>
  <si>
    <t>ALTA DE CONSULTA DE ESPECIALIDAD AMBULATORIA REMOTA</t>
  </si>
  <si>
    <t>TELECONSULTAS NUEVAS DE ESPECIALIDAD SEGÚN ORIGEN</t>
  </si>
  <si>
    <t>ATENCIONES SEGÚN MODALIDAD DE CONTACTO</t>
  </si>
  <si>
    <t>Teleconsulta Abreviada  (Videollamada)/ Consulta Abreviada Telefónica Atención Remota: entrega de los resultados de exámenes o procedimiento (Confección de recetas o lectura de exámenes)</t>
  </si>
  <si>
    <t>Teleconsultorías</t>
  </si>
  <si>
    <t>Teleconsultas de especialidad resueltas por Médicos Generales</t>
  </si>
  <si>
    <t>Nuevas</t>
  </si>
  <si>
    <t>CAE/CDT/CRS</t>
  </si>
  <si>
    <t>Hospitaliza-ción</t>
  </si>
  <si>
    <t>Teleconsulta Nueva</t>
  </si>
  <si>
    <t>Teleconsulta Control</t>
  </si>
  <si>
    <t>Contacto telefónico control</t>
  </si>
  <si>
    <t>Enfermedad respiratoria pediátrica (broncopulmonar infantil)</t>
  </si>
  <si>
    <t>Enfermedad respiratoria de adulto (broncopulmonar)</t>
  </si>
  <si>
    <t>Coloproctología (cirugia digestiva baja)</t>
  </si>
  <si>
    <t>Cirugía vascular periférica</t>
  </si>
  <si>
    <t>Medicina nuclear (excluye informes)</t>
  </si>
  <si>
    <t>SECCIÓN D.2: ATENCIONES REMOTAS CONSULTAS Y CONTROLES POR OTROS PROFESIONALES EN ESPECIALIDAD (NIVEL SECUNDARIO)</t>
  </si>
  <si>
    <t>ATENCIONES REMOTAS SEGÚN MODALIDAD</t>
  </si>
  <si>
    <t>Atención Remota consulta abreviada PNM : entrega de los resultados de exámenes o procedimiento (Confección de recetas o lectura de exámenes)</t>
  </si>
  <si>
    <t>Consultorías resueltas vía remota</t>
  </si>
  <si>
    <t xml:space="preserve"> Contacto Telefónico Control</t>
  </si>
  <si>
    <t>Teleconsulta Nueva /Control</t>
  </si>
  <si>
    <t>Ginecología y otros</t>
  </si>
  <si>
    <t>Tecnólogo/a médico/a</t>
  </si>
  <si>
    <t xml:space="preserve">SECCIÓN E: ATENCIÓN ODONTOLÓGICA </t>
  </si>
  <si>
    <t>SECCIÓN E1: ATENCIÓN ODONTOLÓGICA NIVEL PRIMARIO</t>
  </si>
  <si>
    <t xml:space="preserve">ACTIVIDADES </t>
  </si>
  <si>
    <t>60 años (incluído en grupos de 20-64 años)</t>
  </si>
  <si>
    <t>Usuarios en situación de discapacidad</t>
  </si>
  <si>
    <t>Menos de 1
año</t>
  </si>
  <si>
    <t>1 
año</t>
  </si>
  <si>
    <t>2 
años</t>
  </si>
  <si>
    <t>3 
años</t>
  </si>
  <si>
    <t>4 
años</t>
  </si>
  <si>
    <t>5 
años</t>
  </si>
  <si>
    <t>6 
años</t>
  </si>
  <si>
    <t>12 
años</t>
  </si>
  <si>
    <t>Resto 
&lt;15 años</t>
  </si>
  <si>
    <t>15 - 19 
años</t>
  </si>
  <si>
    <t>20 - 64 
años</t>
  </si>
  <si>
    <t>65 y 
más años</t>
  </si>
  <si>
    <t>Seguimiento Clínico Remoto de Pacientes</t>
  </si>
  <si>
    <t>Educación, Promoción Remota en Salud Bucal</t>
  </si>
  <si>
    <t>Pauta CERO Remota</t>
  </si>
  <si>
    <t>SECCIÓN E2: ATENCIÓN ODONTOLÓGICA ESTABLECIMIENTOS HOSPITALARIOS DE BAJA, MEDIANA Y ALTA COMPLEJIDAD</t>
  </si>
  <si>
    <t>No Contesta</t>
  </si>
  <si>
    <t>Niños, niñas, adolescentes y jovenes SENAME</t>
  </si>
  <si>
    <t>Niños, niñas, adolescentes y jovenes Mejor Niñez</t>
  </si>
  <si>
    <t>12 años</t>
  </si>
  <si>
    <t>Resto &lt; 15 años</t>
  </si>
  <si>
    <t>20-64 
 años (excluye 60 años)</t>
  </si>
  <si>
    <t>Consulta nueva de especialidad odontológica (Teleconsulta)</t>
  </si>
  <si>
    <t>Control de especialidad odontológica (Teleconsulta)</t>
  </si>
  <si>
    <t xml:space="preserve">SECCION F: ACCIONES DE SALUD MENTAL REMOTAS </t>
  </si>
  <si>
    <t>SECCIÓN F1: ACCIONES REMOTAS DE SALUD MENTAL (APS Y ESPECIALIDAD)</t>
  </si>
  <si>
    <t>VIDEOLLAMADAS</t>
  </si>
  <si>
    <t>TOTAL ACCIONES</t>
  </si>
  <si>
    <t>Niños, Niñas, Adolescentes y Jóvenes Población SENAME</t>
  </si>
  <si>
    <t>Niños, Niñas, Adolescentes y Jóvenes Población Mejor Niñez</t>
  </si>
  <si>
    <t>Llamadas Telefónicas</t>
  </si>
  <si>
    <t>Videollamadas</t>
  </si>
  <si>
    <t>Mensajería de Texto</t>
  </si>
  <si>
    <t>SECCIÓN F2: CONTROLES DE SALUD MENTAL REMOTOS (APS Y ESPECIALIDAD)</t>
  </si>
  <si>
    <t>Controles de salud mental por llamadas telefónicas</t>
  </si>
  <si>
    <t>Técnico en Enfermería y en Salud Mental</t>
  </si>
  <si>
    <t xml:space="preserve">Controles de salud mental por videollamadas </t>
  </si>
  <si>
    <t xml:space="preserve">SECCION G: ACCIONES DE SEGUIMIENTO REMOTO EN EL PROGRAMA DE SALUD CARDIOVASCULAR EN APS </t>
  </si>
  <si>
    <t>TIPO DE CONTROL</t>
  </si>
  <si>
    <t>Llamadas telefónicas o Videollamadas</t>
  </si>
  <si>
    <t>Mensajes de texto</t>
  </si>
  <si>
    <t>SECCIÓN H: ACTIVIDADES DE ACOMPAÑAMIENTO REMOTO A PERSONAS MAYORES Y SUS FAMILIAS POR PARTE DEL PROGRAMA MÁS ADULTOS MAYORES AUTOVALENTES</t>
  </si>
  <si>
    <t>Grupal</t>
  </si>
  <si>
    <t>Contacto individual por mensaje electrónico</t>
  </si>
  <si>
    <t>Contacto grupal por mensaje electrónico</t>
  </si>
  <si>
    <t>SECCIÓN I: SEGUIMIENTO DE SALUD INFANTIL REMOTO</t>
  </si>
  <si>
    <t>PROFESIONALES</t>
  </si>
  <si>
    <t>ACCIONES</t>
  </si>
  <si>
    <t>TOTAL USUARIOS</t>
  </si>
  <si>
    <t>Video Llamadas</t>
  </si>
  <si>
    <t>Otro/a</t>
  </si>
  <si>
    <t>SECCIÓN J: ATENCIÓN REMOTA ADOLESCENTE</t>
  </si>
  <si>
    <t xml:space="preserve"> CONTROL DE SALUD INTEGRAL</t>
  </si>
  <si>
    <t>Epuipo de espacio Amigable</t>
  </si>
  <si>
    <t>Otro Equipo de Salud</t>
  </si>
  <si>
    <t>SECCION K: ATENCIONES REMOTAS EN MODALIDADES DE APOYO AL DESARROLLO INFANTIL (MADIS) EN APS</t>
  </si>
  <si>
    <t>TIPO DE ACCION PARA GENERAR ATENCIONES</t>
  </si>
  <si>
    <t>Telefónico</t>
  </si>
  <si>
    <t>Mensajería</t>
  </si>
  <si>
    <t>7-11 meses</t>
  </si>
  <si>
    <t>12- 17 meses</t>
  </si>
  <si>
    <t>18-23 meses</t>
  </si>
  <si>
    <t>24-47 meses</t>
  </si>
  <si>
    <t>48-59 meses</t>
  </si>
  <si>
    <t>Intervenciones de seguimiento efectivas</t>
  </si>
  <si>
    <t>Intervenciones de otro tipo</t>
  </si>
  <si>
    <t>Última sesión Término de Tratramiento</t>
  </si>
  <si>
    <t>SECCIÓN L:  EDUCACIÓN GRUPAL REMOTA SEGÚN ÁREAS TEMÁTICAS Y EDAD</t>
  </si>
  <si>
    <t>ÁREAS TEMÁTICAS DE PROMOCIÓN Y PREVENCIÓN</t>
  </si>
  <si>
    <t>TOTAL
 ACCIONES</t>
  </si>
  <si>
    <t>TIPO DE ACCIÓN PARA GENERAR ATENCIONES</t>
  </si>
  <si>
    <t>MADRE, PADRE O CUIDADOR DE:</t>
  </si>
  <si>
    <t>Videollamada grupal</t>
  </si>
  <si>
    <t>Seminario-Radio</t>
  </si>
  <si>
    <t>Plataforma Digital</t>
  </si>
  <si>
    <t>Acompañante de gestante</t>
  </si>
  <si>
    <t>Menores de 12 meses</t>
  </si>
  <si>
    <t>Niños de 12 a 23 meses</t>
  </si>
  <si>
    <t>Niños de 2 a 5 años</t>
  </si>
  <si>
    <t>Niños de 5 a 9 años</t>
  </si>
  <si>
    <t>Habilidades Parentales</t>
  </si>
  <si>
    <t>Nadie es Perfecto Remoto A</t>
  </si>
  <si>
    <t>Nadie es Perfecto Remoto B</t>
  </si>
  <si>
    <t>Nadie es Perfecto Seminario</t>
  </si>
  <si>
    <t>Nadie es perfecto PASMI</t>
  </si>
  <si>
    <t xml:space="preserve">SECCIÓN M: ACTIVIDADES PROGRAMA ELIGE VIDA SANA POR LLAMADA TELEFÓNICA </t>
  </si>
  <si>
    <t>Nº DE MENSAJES</t>
  </si>
  <si>
    <t>Nº DE PARTICIPANTES</t>
  </si>
  <si>
    <t>Menores de 1 año</t>
  </si>
  <si>
    <t>Niños 12 a 23 meses</t>
  </si>
  <si>
    <t>Menor de 2 años</t>
  </si>
  <si>
    <t>2 - 4 años</t>
  </si>
  <si>
    <t>Información de actividades físicas enviadas por teléfono</t>
  </si>
  <si>
    <t>Información de Nutrición enviada por teléfono</t>
  </si>
  <si>
    <t>Información por Psicólogos enviada por teléfono</t>
  </si>
  <si>
    <t>SECCIÓN N: ACTIVIDADES PROGRAMA ELIGE VIDA SANA POR REDES SOCIALES</t>
  </si>
  <si>
    <t>TALLER</t>
  </si>
  <si>
    <t>N° DE ARCHIVOS MULTIMEDIA</t>
  </si>
  <si>
    <t>Videos de Actividad Física subido a las Redes Sociales</t>
  </si>
  <si>
    <t>Videos de Vida Sana subido a las Redes Sociales</t>
  </si>
  <si>
    <t>SECCIÓN O: APOYO TELEFÓNICO DEL PROGRAMA DE ACOMPAÑAMIENTO PSICOSOCIAL EN APS</t>
  </si>
  <si>
    <t>RANGO ETAREO</t>
  </si>
  <si>
    <t>Acciones telefónicas realizadas (llamadas o mensajería)</t>
  </si>
  <si>
    <t xml:space="preserve">SECCIÓN P: TELECONSULTA MEDICINA ABREVIADA </t>
  </si>
  <si>
    <t xml:space="preserve">TIPO DE CONSULTA </t>
  </si>
  <si>
    <t>60 años (incluidos en grupos de 60-64 años)</t>
  </si>
  <si>
    <t>55 y más años</t>
  </si>
  <si>
    <t>EGRESOS</t>
  </si>
  <si>
    <t>POR RANGO ETARIO</t>
  </si>
  <si>
    <t>Remota</t>
  </si>
  <si>
    <t>Otros Establecimien-tos de la  Red</t>
  </si>
  <si>
    <t>Procedimientos de Fotoféresis</t>
  </si>
  <si>
    <t>Procedimientos de Depleción de Leucocitos</t>
  </si>
  <si>
    <t>Procedimientos de Depleción de Plaquetas</t>
  </si>
  <si>
    <t>Procedimientos de Depleción de Glóbulos Rojos</t>
  </si>
  <si>
    <t>Procedimientos de Recambio Plasmático</t>
  </si>
  <si>
    <t>Procedimientos de Recambio de Glóbulos Rojos</t>
  </si>
  <si>
    <t>TOTAL PACIENTES</t>
  </si>
  <si>
    <t>AFÉRESIS TERAPÉUTICA</t>
  </si>
  <si>
    <t>SECCIÓN H.2: AFÉRESIS TERAPÉUTICA (UMT - BS)</t>
  </si>
  <si>
    <t>Procedimientos para obtención de Plasma Convalesciente o hiperinmune</t>
  </si>
  <si>
    <t>Procedimientos para obtención de Progenitores Hematopoyéticos desde Médula Ósea alogénico</t>
  </si>
  <si>
    <t>Procedimientos para obtención de Progenitores Hematopoyéticos desde Médula Ósea autólogo</t>
  </si>
  <si>
    <t>Procedimientos para obtención de Progenitores Hematopoyéticos Periféricos alogénicos</t>
  </si>
  <si>
    <t>Procedimientos para obtención de Progenitores Hematopoyéticos Periféricos autólogos</t>
  </si>
  <si>
    <t>Procedimientos para obtención de Leucocitos</t>
  </si>
  <si>
    <t>Procedimientos para obtención de Plasma</t>
  </si>
  <si>
    <t>Procedimientos para obtención de Plaquetas</t>
  </si>
  <si>
    <t>Procedimientos para obtención de Glóbulos Rojos</t>
  </si>
  <si>
    <t>TOTAL DONANTES</t>
  </si>
  <si>
    <t>AFÉRESIS DE DONACIÓN</t>
  </si>
  <si>
    <t>SECCIÓN H.1: AFÉRESIS DE DONACIÓN (BS- UMT- CS)</t>
  </si>
  <si>
    <t>SECCIÓN H: AFÉRESIS</t>
  </si>
  <si>
    <t>Indeterminado</t>
  </si>
  <si>
    <t>Negativo</t>
  </si>
  <si>
    <t>Positivo</t>
  </si>
  <si>
    <t>Monoespecífico C3d</t>
  </si>
  <si>
    <t>Monoespecífico IgG</t>
  </si>
  <si>
    <t>Poliespecífico</t>
  </si>
  <si>
    <t>PRUEBA DE ANTIGLOBULINA DIRECTA</t>
  </si>
  <si>
    <t>SECCIÓN G.6: PRUEBA DE ANTIGLOBULINA DIRECTA EN PACIENTES (BS-UMT)</t>
  </si>
  <si>
    <t>TOTAL KIDD</t>
  </si>
  <si>
    <t>Jk(a-b+)</t>
  </si>
  <si>
    <t>Jk(a+b+)</t>
  </si>
  <si>
    <t>Jk(a+b-)</t>
  </si>
  <si>
    <t>KIDD</t>
  </si>
  <si>
    <t>TOTAL DUFFY</t>
  </si>
  <si>
    <t>Fy(a-b-)</t>
  </si>
  <si>
    <t>Fy(a-b+)</t>
  </si>
  <si>
    <t>Fy(a+b+)</t>
  </si>
  <si>
    <t>Fy(a+b-)</t>
  </si>
  <si>
    <t>DUFFY</t>
  </si>
  <si>
    <t>TOTAL KELL</t>
  </si>
  <si>
    <t>K+k-</t>
  </si>
  <si>
    <t>K+k+</t>
  </si>
  <si>
    <t>K-k+</t>
  </si>
  <si>
    <t>KELL</t>
  </si>
  <si>
    <t>TOTAL Rh</t>
  </si>
  <si>
    <t>CcEe</t>
  </si>
  <si>
    <t>cEe</t>
  </si>
  <si>
    <t>Cce</t>
  </si>
  <si>
    <t>ce</t>
  </si>
  <si>
    <t>DCE</t>
  </si>
  <si>
    <t>DCcE</t>
  </si>
  <si>
    <t>DCEe</t>
  </si>
  <si>
    <t>DcE</t>
  </si>
  <si>
    <t>DcEe</t>
  </si>
  <si>
    <t>Dce</t>
  </si>
  <si>
    <t>DCcEe</t>
  </si>
  <si>
    <t>DCe</t>
  </si>
  <si>
    <t>DCce</t>
  </si>
  <si>
    <t>Rh</t>
  </si>
  <si>
    <t>FENOTIPO</t>
  </si>
  <si>
    <t>SISTEMA</t>
  </si>
  <si>
    <t>SECCIÓN G.5: FENOTIPO ERITROCITARIO (CS-BS-UMT)</t>
  </si>
  <si>
    <t>Incompatible (Positivo)</t>
  </si>
  <si>
    <t>Compatible (Negativo)</t>
  </si>
  <si>
    <t>PRUEBAS CRUZADAS</t>
  </si>
  <si>
    <t>SECCIÓN G.4: PRUEBAS CRUZADAS ERITROCITARIAS (BS - UMT)</t>
  </si>
  <si>
    <t xml:space="preserve">No concluyente  </t>
  </si>
  <si>
    <r>
      <t>Di</t>
    </r>
    <r>
      <rPr>
        <vertAlign val="superscript"/>
        <sz val="8"/>
        <rFont val="Verdana"/>
        <family val="2"/>
      </rPr>
      <t>b</t>
    </r>
  </si>
  <si>
    <r>
      <t>Di</t>
    </r>
    <r>
      <rPr>
        <vertAlign val="superscript"/>
        <sz val="8"/>
        <rFont val="Verdana"/>
        <family val="2"/>
      </rPr>
      <t>a</t>
    </r>
  </si>
  <si>
    <t>DIEGO</t>
  </si>
  <si>
    <r>
      <t>Jk</t>
    </r>
    <r>
      <rPr>
        <vertAlign val="superscript"/>
        <sz val="8"/>
        <rFont val="Verdana"/>
        <family val="2"/>
      </rPr>
      <t>b</t>
    </r>
  </si>
  <si>
    <r>
      <t>Jk</t>
    </r>
    <r>
      <rPr>
        <vertAlign val="superscript"/>
        <sz val="8"/>
        <rFont val="Verdana"/>
        <family val="2"/>
      </rPr>
      <t>a</t>
    </r>
  </si>
  <si>
    <r>
      <t>Fy</t>
    </r>
    <r>
      <rPr>
        <vertAlign val="superscript"/>
        <sz val="8"/>
        <rFont val="Verdana"/>
        <family val="2"/>
      </rPr>
      <t>b</t>
    </r>
  </si>
  <si>
    <r>
      <t>Fy</t>
    </r>
    <r>
      <rPr>
        <vertAlign val="superscript"/>
        <sz val="8"/>
        <rFont val="Verdana"/>
        <family val="2"/>
      </rPr>
      <t>a</t>
    </r>
  </si>
  <si>
    <r>
      <t>Le</t>
    </r>
    <r>
      <rPr>
        <vertAlign val="superscript"/>
        <sz val="8"/>
        <rFont val="Verdana"/>
        <family val="2"/>
      </rPr>
      <t>b</t>
    </r>
  </si>
  <si>
    <r>
      <t>Le</t>
    </r>
    <r>
      <rPr>
        <vertAlign val="superscript"/>
        <sz val="8"/>
        <rFont val="Verdana"/>
        <family val="2"/>
      </rPr>
      <t>a</t>
    </r>
  </si>
  <si>
    <t>LEWIS</t>
  </si>
  <si>
    <r>
      <t>Kp</t>
    </r>
    <r>
      <rPr>
        <vertAlign val="superscript"/>
        <sz val="8"/>
        <rFont val="Verdana"/>
        <family val="2"/>
      </rPr>
      <t>a</t>
    </r>
  </si>
  <si>
    <t>k</t>
  </si>
  <si>
    <t>K</t>
  </si>
  <si>
    <r>
      <t>Lu</t>
    </r>
    <r>
      <rPr>
        <vertAlign val="superscript"/>
        <sz val="8"/>
        <rFont val="Verdana"/>
        <family val="2"/>
      </rPr>
      <t>b</t>
    </r>
  </si>
  <si>
    <r>
      <t>Lu</t>
    </r>
    <r>
      <rPr>
        <vertAlign val="superscript"/>
        <sz val="8"/>
        <rFont val="Verdana"/>
        <family val="2"/>
      </rPr>
      <t>a</t>
    </r>
  </si>
  <si>
    <t>LUTHERAN</t>
  </si>
  <si>
    <t>e</t>
  </si>
  <si>
    <t>c</t>
  </si>
  <si>
    <t>E</t>
  </si>
  <si>
    <t>C</t>
  </si>
  <si>
    <t>D</t>
  </si>
  <si>
    <t>P1</t>
  </si>
  <si>
    <t>P1PK</t>
  </si>
  <si>
    <t>s</t>
  </si>
  <si>
    <t>S</t>
  </si>
  <si>
    <t>N</t>
  </si>
  <si>
    <t>M</t>
  </si>
  <si>
    <t>MNS</t>
  </si>
  <si>
    <t>SECCIÓN G.3: IDENTIFICACIÓN DE ANTICUERPOS IRREGULARES (CS-BS-UMT)</t>
  </si>
  <si>
    <t>DETECCIÓN</t>
  </si>
  <si>
    <t>SECCIÓN:G.2 DETECCIÓN DE ANTICUERPOS IRREGULARES (CS-BS-UMT)</t>
  </si>
  <si>
    <t>Discrepante RhD</t>
  </si>
  <si>
    <t>Discrepante ABO</t>
  </si>
  <si>
    <t>AB RhD-</t>
  </si>
  <si>
    <t>AB RhD+</t>
  </si>
  <si>
    <t>B RhD-</t>
  </si>
  <si>
    <t>B RhD+</t>
  </si>
  <si>
    <t>A RhD-</t>
  </si>
  <si>
    <t>A RhD+</t>
  </si>
  <si>
    <t>O RhD-</t>
  </si>
  <si>
    <t>O RhD+</t>
  </si>
  <si>
    <t>SECCIÓN G.1: CLASIFICACIÓN SANGUÍNEA ABO-RhD (CS-BS-UMT)</t>
  </si>
  <si>
    <t>SECCIÓN G: INMUNOHEMATOLOGIA</t>
  </si>
  <si>
    <t>* Cada vez que el paciente se transfunde.</t>
  </si>
  <si>
    <t xml:space="preserve">Otras Infecciones Parasitarias post transfusional </t>
  </si>
  <si>
    <t xml:space="preserve">Malaria/Paludismo </t>
  </si>
  <si>
    <t xml:space="preserve">Transmisión de otros virus post transfusional </t>
  </si>
  <si>
    <t xml:space="preserve">Transmisión de VHB post transfusional </t>
  </si>
  <si>
    <t xml:space="preserve">Transmisión de VHC post transfusional </t>
  </si>
  <si>
    <t xml:space="preserve">Transmisión de VIH post transfusional </t>
  </si>
  <si>
    <t xml:space="preserve">Septicemia </t>
  </si>
  <si>
    <t>Formación de inhibidores</t>
  </si>
  <si>
    <t>Transmisión de priones</t>
  </si>
  <si>
    <t>Hemosiderosis transfusional</t>
  </si>
  <si>
    <t>No inmunológico</t>
  </si>
  <si>
    <t>Enfermedad injerto contra huésped postransfusional (EICHT)</t>
  </si>
  <si>
    <t>Púrpura postransfusional</t>
  </si>
  <si>
    <t>Aloinmunización frente a antígenos eritrocitarios</t>
  </si>
  <si>
    <t>Reacción hemolítica retardada</t>
  </si>
  <si>
    <t>Inmunológico</t>
  </si>
  <si>
    <t>Complicaciones retardadas</t>
  </si>
  <si>
    <t>Hemólisis no inmune</t>
  </si>
  <si>
    <t>Sobrecarga circulatoria</t>
  </si>
  <si>
    <t>Contaminación bacteriana</t>
  </si>
  <si>
    <t xml:space="preserve">Reacción Hemolítica aguda por otra causa </t>
  </si>
  <si>
    <t>Reacción Hemolítica aguda por inmunocompatibilidad ABO</t>
  </si>
  <si>
    <t>Aloinmunización con destrucción plaquetaria inmediata</t>
  </si>
  <si>
    <t>Lesión pulmonar aguda relacionada con la transfusión (TRALI)</t>
  </si>
  <si>
    <t xml:space="preserve">Anafilaxia/Hipersensibilidad </t>
  </si>
  <si>
    <t>Reacción alérgica</t>
  </si>
  <si>
    <t>Reacción febril no hemolítica</t>
  </si>
  <si>
    <t>Reacción hemolítica aguda</t>
  </si>
  <si>
    <t>Complicaciones agudas</t>
  </si>
  <si>
    <t>Plaquetas</t>
  </si>
  <si>
    <t>Plasma</t>
  </si>
  <si>
    <t>Glóbulos rojos</t>
  </si>
  <si>
    <t>ORIGEN</t>
  </si>
  <si>
    <t>TIPO COMPLICACIÓN</t>
  </si>
  <si>
    <t>SECCIÓN F: REACCIONES ADVERSAS POR ACTO* TRANSFUSIONAL  (UMT-BS)</t>
  </si>
  <si>
    <t>Despachadas</t>
  </si>
  <si>
    <t>Unidades</t>
  </si>
  <si>
    <t>SECCIÓN E: DEMANDA GLÓBULOS ROJOS PARA TRANSFUSIÓN (UMT-BS)</t>
  </si>
  <si>
    <t>Crioprecipitados</t>
  </si>
  <si>
    <t>Plasmas</t>
  </si>
  <si>
    <t>Aféresis</t>
  </si>
  <si>
    <t>Pool</t>
  </si>
  <si>
    <t>Estándar</t>
  </si>
  <si>
    <t>Filtrados</t>
  </si>
  <si>
    <t>Irradiados</t>
  </si>
  <si>
    <t>TRANSFUSIONES
 (Nº DE UNIDADES)</t>
  </si>
  <si>
    <t>SECCIÓN D.1: TRANSFUSIONES (UMT - BS )</t>
  </si>
  <si>
    <t>**Universitarios, Clínicas Privadas, Otros</t>
  </si>
  <si>
    <t>* Cualquier tipo</t>
  </si>
  <si>
    <t>Plasmas*</t>
  </si>
  <si>
    <t>Pool*</t>
  </si>
  <si>
    <t>Glóbulos rojos*</t>
  </si>
  <si>
    <t>F.F.A.A.</t>
  </si>
  <si>
    <t>Privado**</t>
  </si>
  <si>
    <t>Público</t>
  </si>
  <si>
    <t>DESCRIPCIÓN</t>
  </si>
  <si>
    <t>SECCIÓN D: COMPONENTES SANGUINEOS DISTRIBUIDOS (CS) O TRANSFERIDOS (BS Y UMT)</t>
  </si>
  <si>
    <t>A ( - )</t>
  </si>
  <si>
    <t>O ( - )</t>
  </si>
  <si>
    <t>B +</t>
  </si>
  <si>
    <t>A +</t>
  </si>
  <si>
    <t>O +</t>
  </si>
  <si>
    <t>GR</t>
  </si>
  <si>
    <t>Número días bajo Stock Óptimo</t>
  </si>
  <si>
    <t>SECCIÓN C.5: INSATISFACCIÓN STOCK ÓPTIMO (7 DÍAS) CS</t>
  </si>
  <si>
    <t>Desplasmatización</t>
  </si>
  <si>
    <t xml:space="preserve">Reducción volumen </t>
  </si>
  <si>
    <t xml:space="preserve">Reconstitu-ción para uso pediátrico (recambio) </t>
  </si>
  <si>
    <t xml:space="preserve">Irradiación </t>
  </si>
  <si>
    <t>Unidades pediátricas</t>
  </si>
  <si>
    <t>SECCIÓN C.4: COMPONENTES SANGUÍNEOS DISTRIBUÍBLES (CS)</t>
  </si>
  <si>
    <t>Filtrados posterior a producción</t>
  </si>
  <si>
    <t>SECCIÓN C.3 : COMPONENTES SANGUÍNEOS TRANSFORMACIONES (CS-BS-UMT)</t>
  </si>
  <si>
    <t>Descongelamiento sin uso</t>
  </si>
  <si>
    <t>Devoluciones por producto por no cumplir estándar</t>
  </si>
  <si>
    <t>Falla por cadena de frío</t>
  </si>
  <si>
    <t>Obsolescencia</t>
  </si>
  <si>
    <t>Globulos Rojos*</t>
  </si>
  <si>
    <t>CAUSA</t>
  </si>
  <si>
    <t>SECCIÓN C.2 .: COMPONENTES SANGUÍNEOS ELIMINADOS (UMT)</t>
  </si>
  <si>
    <t xml:space="preserve">Falla por cadena de frío en transporte  </t>
  </si>
  <si>
    <t>Falla por cadena de frío en almacenamiento</t>
  </si>
  <si>
    <t>Calificación microbiológica reactiva</t>
  </si>
  <si>
    <t>SECCIÓN C.1: COMPONENTES SANGUÍNEOS ELIMINADOS (CS-BS )</t>
  </si>
  <si>
    <t>Plasma uso no terapéutico</t>
  </si>
  <si>
    <t>Plasma fresco congelado terapéutico</t>
  </si>
  <si>
    <t>Bolsa con filtro</t>
  </si>
  <si>
    <t>Leucodepletada pool</t>
  </si>
  <si>
    <t>Leucorreducida pool</t>
  </si>
  <si>
    <t>Leucoreducidos</t>
  </si>
  <si>
    <t>Desplamatizados</t>
  </si>
  <si>
    <t>PRODUCCIÓN</t>
  </si>
  <si>
    <t>SECCIÓN C: PRODUCCIÓN DE COMPONENTES SANGUÍNEOS (CS-BS)</t>
  </si>
  <si>
    <t>No aptas</t>
  </si>
  <si>
    <t>Aptas</t>
  </si>
  <si>
    <t>UNIDADES DE SANGRE</t>
  </si>
  <si>
    <t>SECCIÓN B: INGRESO UNIDADES DE SANGRE A PRODUCCIÓN  (CS-BS)</t>
  </si>
  <si>
    <t>Otras no mencionadas</t>
  </si>
  <si>
    <t>Otras complicaciones</t>
  </si>
  <si>
    <t>Muerte</t>
  </si>
  <si>
    <t>Accidente cerebrovascular</t>
  </si>
  <si>
    <t>Ataque isquémico transitorio</t>
  </si>
  <si>
    <t>Paro cardiaco</t>
  </si>
  <si>
    <t>Infarto al miorcardio</t>
  </si>
  <si>
    <t>Síntomas agudos cardíacos</t>
  </si>
  <si>
    <t>Otras complicaciones serias a la donación de sangre</t>
  </si>
  <si>
    <t>Reacción alérgica generalizada (anafilaxia)</t>
  </si>
  <si>
    <t>Alergia local</t>
  </si>
  <si>
    <t>Infiltración</t>
  </si>
  <si>
    <t>Embolismo aéreo</t>
  </si>
  <si>
    <t>Hemólisis</t>
  </si>
  <si>
    <t>Reacción al citrato</t>
  </si>
  <si>
    <t>Complicaciones relacionadas a la aféresis</t>
  </si>
  <si>
    <t>Fuera del sitio de recolección</t>
  </si>
  <si>
    <t>En el sitio de recolección</t>
  </si>
  <si>
    <t>Sin lesión</t>
  </si>
  <si>
    <t>Con lesión</t>
  </si>
  <si>
    <t>≥ 60 segundos y/ o convulsiones o incontinencia</t>
  </si>
  <si>
    <t>&lt;60 segundos, sin complicaciones</t>
  </si>
  <si>
    <t>Con pérdida de conciencia</t>
  </si>
  <si>
    <t>Sin pérdida de conciencia</t>
  </si>
  <si>
    <t>Reacción vasovagal (RVV)</t>
  </si>
  <si>
    <t>Complicaciones con síntomas generalizados</t>
  </si>
  <si>
    <t>Pseudoaneurisma de la arteria braquial</t>
  </si>
  <si>
    <t>Síndrome compartimental</t>
  </si>
  <si>
    <t>Fístula arteriovenosa</t>
  </si>
  <si>
    <t>Trombosis venosa profunda</t>
  </si>
  <si>
    <t>Otras injurias mayores en los vasos sanguíneos</t>
  </si>
  <si>
    <t>Celulitis</t>
  </si>
  <si>
    <t>Tromboflebitis</t>
  </si>
  <si>
    <t>Inflamación o infección localizada</t>
  </si>
  <si>
    <t>Brazo doloroso</t>
  </si>
  <si>
    <t>Irritación o injuria en un nervio</t>
  </si>
  <si>
    <t>Dolor</t>
  </si>
  <si>
    <t>Sangramiento posterior</t>
  </si>
  <si>
    <t>Punción arterial</t>
  </si>
  <si>
    <t>Hematoma</t>
  </si>
  <si>
    <t>Sangre fuera de los vasos sanguíneos</t>
  </si>
  <si>
    <t>Complicaciones con síntomas locales</t>
  </si>
  <si>
    <t>Reposición</t>
  </si>
  <si>
    <t>Altruista</t>
  </si>
  <si>
    <t>SUBTIPO</t>
  </si>
  <si>
    <t>CLASIFICACIÓN</t>
  </si>
  <si>
    <t>SECCIÓN A.3: REACCIONES ADVERSAS A LA DONACIÓN (CS - UMT - BS)</t>
  </si>
  <si>
    <t>Contraindicación Permanente</t>
  </si>
  <si>
    <t>Contraindicación Transitoria</t>
  </si>
  <si>
    <t>Repetidos</t>
  </si>
  <si>
    <t>Nuevos</t>
  </si>
  <si>
    <t>Altruistas</t>
  </si>
  <si>
    <t>17 años</t>
  </si>
  <si>
    <t>DONANTES</t>
  </si>
  <si>
    <t>SECCIÓN A.2:  TIPO DE DONANTES CON CONTRAINDICACIÓN</t>
  </si>
  <si>
    <t>Total colectas móviles realizadas</t>
  </si>
  <si>
    <t>Total días atención otorgados</t>
  </si>
  <si>
    <t>Aceptados</t>
  </si>
  <si>
    <t>SECCIÓN A.1: POBLACIÓN DONANTE (CS-UMT-BS)</t>
  </si>
  <si>
    <t>REM-25.  SERVICIOS DE SANGRE</t>
  </si>
  <si>
    <t>SECCIÓN C.6: INSATISFACCION STOCK CRÍTICO (3 DÍAS) UMT</t>
  </si>
  <si>
    <t>Número días bajo Stock Crítico</t>
  </si>
  <si>
    <t>REM-A04.   CONSULTAS Y OTRAS ATENCIONES EN LA RED</t>
  </si>
  <si>
    <t xml:space="preserve">SECCIÓN A: CONSULTAS MÉDICAS </t>
  </si>
  <si>
    <t>TIPO DE CONSULTA</t>
  </si>
  <si>
    <t>IRA Alta</t>
  </si>
  <si>
    <t xml:space="preserve">Síndrome Bronquial Obstructivo </t>
  </si>
  <si>
    <t xml:space="preserve">Exacerbación Asma </t>
  </si>
  <si>
    <t xml:space="preserve">Enfermedad Pulmonar Obstructiva Crónica </t>
  </si>
  <si>
    <t xml:space="preserve">Otras respiratorias </t>
  </si>
  <si>
    <t xml:space="preserve">Obstétrica </t>
  </si>
  <si>
    <t xml:space="preserve">Ginecológica </t>
  </si>
  <si>
    <t xml:space="preserve">Ginecológica por Infertilidad </t>
  </si>
  <si>
    <t xml:space="preserve">Infección Transmisión Sexual </t>
  </si>
  <si>
    <t>VIH-SIDA</t>
  </si>
  <si>
    <t>Salud Mental</t>
  </si>
  <si>
    <t>Cardiovascular</t>
  </si>
  <si>
    <t>Otras Morbilidades</t>
  </si>
  <si>
    <t xml:space="preserve">SECCIÓN B: CONSULTAS DE PROFESIONALES NO MÉDICOS </t>
  </si>
  <si>
    <t xml:space="preserve"> </t>
  </si>
  <si>
    <t>Espacios Amigables</t>
  </si>
  <si>
    <t>Matrona/ón (Morb. Ginecológica)</t>
  </si>
  <si>
    <t>Matrona/ón (ITS)</t>
  </si>
  <si>
    <t xml:space="preserve">Matrona/ón (Infertilidad) </t>
  </si>
  <si>
    <t xml:space="preserve">Matrona/ón (Otras consultas) </t>
  </si>
  <si>
    <t xml:space="preserve">Matrona/ón (Salud sexual) </t>
  </si>
  <si>
    <t xml:space="preserve">Matrona/ón (Piso pélvico) </t>
  </si>
  <si>
    <t xml:space="preserve">Nutricionista (Otras consultas) </t>
  </si>
  <si>
    <t xml:space="preserve">Nutricionista malnutrición por exceso </t>
  </si>
  <si>
    <t xml:space="preserve">Nutricionista malnutrición por déficit </t>
  </si>
  <si>
    <t xml:space="preserve">Psicólogo/a </t>
  </si>
  <si>
    <t xml:space="preserve">Terapeuta Ocupacional </t>
  </si>
  <si>
    <t>Tecnólogo/a Médico/a  (Excluye UAPO)</t>
  </si>
  <si>
    <t xml:space="preserve">Trabajador/a Social (Excluye Salud Mental) </t>
  </si>
  <si>
    <t>Educadora de Párvulos</t>
  </si>
  <si>
    <t>SECCIÓN C: CONSULTAS ANTICONCEPCIÓN DE EMERGENCIA (Incluidas en Sección A o B, respectivamente.)</t>
  </si>
  <si>
    <t>Con entrega anticoncepción emergencia</t>
  </si>
  <si>
    <t>Sin entrega anticoncepción emergencia</t>
  </si>
  <si>
    <t>25 y más años</t>
  </si>
  <si>
    <t>SECCIÓN D: CONSULTAS EN HORARIO CONTINUADO (Incluidas en las consultas de morbilidad de sección A o B)</t>
  </si>
  <si>
    <t>TIPO JORNADA</t>
  </si>
  <si>
    <t xml:space="preserve">Horario continuado </t>
  </si>
  <si>
    <t xml:space="preserve">Otros Profesionales </t>
  </si>
  <si>
    <t xml:space="preserve">Sábado, Domingo o festivo </t>
  </si>
  <si>
    <t>SECCIÓN E: CONSULTA  ABREVIADA</t>
  </si>
  <si>
    <t>SECCIÓN F: CONSULTA ABREVIADA PROFESIONALES NO MÉDICOS PRAIS</t>
  </si>
  <si>
    <t xml:space="preserve">Trabajador/a Social </t>
  </si>
  <si>
    <t>Otro Profesional</t>
  </si>
  <si>
    <t>SECCIÓN G: ATENCIONES DE SANADORES INDÍGENA</t>
  </si>
  <si>
    <t>Pueblos No Originarios</t>
  </si>
  <si>
    <t xml:space="preserve">Atenciones por sanadores de Medicina Indígena </t>
  </si>
  <si>
    <t>SECCIÓN H: INTERVENCIÓN INDIVIDUAL DEL USUARIO EN PROGRAMA ELIGE VIDA SANA</t>
  </si>
  <si>
    <t>PRESTACIÓN</t>
  </si>
  <si>
    <t>19 años</t>
  </si>
  <si>
    <t xml:space="preserve">Profesional de la actividad física </t>
  </si>
  <si>
    <t xml:space="preserve">Evaluación </t>
  </si>
  <si>
    <t xml:space="preserve">Nutricionista </t>
  </si>
  <si>
    <t xml:space="preserve">Consulta Nutricional </t>
  </si>
  <si>
    <t xml:space="preserve">Consulta Nutricional de seguimiento </t>
  </si>
  <si>
    <t xml:space="preserve">Consulta </t>
  </si>
  <si>
    <t>SECCIÓN I: SERVICIOS FARMACÉUTICOS</t>
  </si>
  <si>
    <t>Atención abierta</t>
  </si>
  <si>
    <t>Atención cerrada</t>
  </si>
  <si>
    <t xml:space="preserve">Servicios Farmacéuticos realizados en establecimientos de salud </t>
  </si>
  <si>
    <t xml:space="preserve">Servicios Farmacéuticos realizados en domicilio </t>
  </si>
  <si>
    <t xml:space="preserve">Atención Farmacéutica </t>
  </si>
  <si>
    <t xml:space="preserve">Revisión de la medicación sin entrevista </t>
  </si>
  <si>
    <t xml:space="preserve">Revisión de la mediación con entrevista </t>
  </si>
  <si>
    <t xml:space="preserve">Conciliación farmacéutica </t>
  </si>
  <si>
    <t xml:space="preserve">Educación farmacéutica </t>
  </si>
  <si>
    <t xml:space="preserve">Seguimiento Farmacoterapéutico </t>
  </si>
  <si>
    <t xml:space="preserve">Farmacovigilancia </t>
  </si>
  <si>
    <t xml:space="preserve">Reporte reacción adversa a medicamentos </t>
  </si>
  <si>
    <t xml:space="preserve">Reporte falla de calidad </t>
  </si>
  <si>
    <t xml:space="preserve">Reporte de eventos adversos asociados a medicamentos </t>
  </si>
  <si>
    <t>SECCIÓN J: DESPACHO DE RECETAS DE PACIENTES AMBULATORIOS</t>
  </si>
  <si>
    <t>TIPO DE RECETA</t>
  </si>
  <si>
    <t>Recetas Despachadas</t>
  </si>
  <si>
    <t>Lugar de entrega</t>
  </si>
  <si>
    <t>Prescripciones</t>
  </si>
  <si>
    <t xml:space="preserve">Coordinación Territorial </t>
  </si>
  <si>
    <t>Recetas despachadas con oportunidad (Entregado el mismo día)</t>
  </si>
  <si>
    <t xml:space="preserve">Recetas despachadas a pacientes del Programa de Salud Cardiovascular </t>
  </si>
  <si>
    <t xml:space="preserve">Prescripciones a pacientes del Programa de Salud Cardiovascular </t>
  </si>
  <si>
    <t>Unidades de Urgencia/Emergencia</t>
  </si>
  <si>
    <t>DESPACHO TOTAL</t>
  </si>
  <si>
    <t>Despacho Completo</t>
  </si>
  <si>
    <t xml:space="preserve">Despacho Parcial </t>
  </si>
  <si>
    <t>En Centro de Salud</t>
  </si>
  <si>
    <t>En Domicilio</t>
  </si>
  <si>
    <t>Emitidas</t>
  </si>
  <si>
    <t>Rechazadas</t>
  </si>
  <si>
    <t>Despacho Completo y Oportuno</t>
  </si>
  <si>
    <t>Despacho
Parcial</t>
  </si>
  <si>
    <t>Crónica</t>
  </si>
  <si>
    <t>Morbilidad</t>
  </si>
  <si>
    <t>Bajo control legal</t>
  </si>
  <si>
    <t>SECCIÓN K: RONDAS POR TIPO Y PROFESIONAL</t>
  </si>
  <si>
    <t>TIPO DE RONDA</t>
  </si>
  <si>
    <t>Nº Rondas</t>
  </si>
  <si>
    <t xml:space="preserve">Total de profesionales que participaron en Rondas, según tipo de Profesional </t>
  </si>
  <si>
    <t>Compra de Servicio - Nº Traslados profesionales en Ronda</t>
  </si>
  <si>
    <t>Trabajador Social</t>
  </si>
  <si>
    <t>Químico Farmacéutico</t>
  </si>
  <si>
    <t>Aérea</t>
  </si>
  <si>
    <t>Marítima</t>
  </si>
  <si>
    <t>SECCIÓN L: CLASIFICACIÓN DE CONSULTA NUTRICIONAL POR GRUPO DE EDAD (Incluidas en sección B)</t>
  </si>
  <si>
    <t xml:space="preserve">Mal nutrición por riesgo a desnutrir/riesgo bajo peso </t>
  </si>
  <si>
    <t xml:space="preserve">Mal nutrición por riesgo obesidad sobrepeso </t>
  </si>
  <si>
    <t xml:space="preserve">Estado nutricional normal </t>
  </si>
  <si>
    <t>SECCIÓN M: CONSULTA DE LACTANCIA EN NIÑOS Y NIÑAS CONTROLADOS</t>
  </si>
  <si>
    <t xml:space="preserve"> De 0 a 29 días</t>
  </si>
  <si>
    <t>De 1 mes a 2 meses 29 días</t>
  </si>
  <si>
    <t>De 3 meses a 5 meses 29 días</t>
  </si>
  <si>
    <t>De 6 meses a 11 meses 29 días</t>
  </si>
  <si>
    <t>De 1 a 2 años</t>
  </si>
  <si>
    <t>Consulta de Lactancia</t>
  </si>
  <si>
    <t xml:space="preserve">Consulta Lactancia Materna de alerta </t>
  </si>
  <si>
    <t xml:space="preserve">Consulta de Lactancia Materna de seguimiento </t>
  </si>
  <si>
    <t xml:space="preserve">Otras consultas de Lactancia Materna </t>
  </si>
  <si>
    <t>Consejería de Lactancia</t>
  </si>
  <si>
    <t xml:space="preserve">Consejería prenatal en Lactancia Materna </t>
  </si>
  <si>
    <t xml:space="preserve">Consejería posnatal en Lactancia Materna </t>
  </si>
  <si>
    <t xml:space="preserve">Consulta de Lactancia por profesional </t>
  </si>
  <si>
    <t>SECCION N: ATENCIONES AMBULATORIAS POR  EL PROGRAMA TUBERCULOSIS</t>
  </si>
  <si>
    <t>TIPOS DE ATENCION</t>
  </si>
  <si>
    <t>Ingreso tratamiento</t>
  </si>
  <si>
    <t xml:space="preserve">Ingreso Quimioprofilaxis </t>
  </si>
  <si>
    <t>Control mensual</t>
  </si>
  <si>
    <t>Control de seguimiento</t>
  </si>
  <si>
    <t xml:space="preserve">Consultas espontáneas </t>
  </si>
  <si>
    <t>Rescate</t>
  </si>
  <si>
    <t>Control de los contactos</t>
  </si>
  <si>
    <t>Atención domiciliaria</t>
  </si>
  <si>
    <t>SECCION O: EXÁMENES BACTERIOLOGICOS PROCESADOS</t>
  </si>
  <si>
    <t>TIPO DE MUESTRA</t>
  </si>
  <si>
    <t xml:space="preserve">50-54 años </t>
  </si>
  <si>
    <t xml:space="preserve">Muestras procesadas para diagnóstico de Tuberculosis Pulmonar mediante bacteriología </t>
  </si>
  <si>
    <t>REM-A05.   INGRESOS Y EGRESOS POR CONDICIÓN Y PROBLEMAS DE SALUD</t>
  </si>
  <si>
    <t>SECCIÓN A: INGRESOS DE GESTANTES A PROGRAMA PRENATAL</t>
  </si>
  <si>
    <t>Víctima de Violencia de Género</t>
  </si>
  <si>
    <t>Ingresos por Traslado</t>
  </si>
  <si>
    <t>Ingresos con Control Precoz Extrasistema</t>
  </si>
  <si>
    <t>Gestantes Ingresadas</t>
  </si>
  <si>
    <t>Primigestas Ingresadas</t>
  </si>
  <si>
    <t>Gestantes Ingresadas antes de las 14 Semanas</t>
  </si>
  <si>
    <t>Gestantes con Embarazo no Planificado</t>
  </si>
  <si>
    <t>SECCIÓN B: INGRESO DE GESTANTES CON PATOLOGÍA DE ALTO RIESGO OBSTÉTRICO A LA UNIDAD DE ARO  (Nivel Secundario)</t>
  </si>
  <si>
    <t>Nº de Ingreso a ARO</t>
  </si>
  <si>
    <t>Nº de Gestantes Ingresadas</t>
  </si>
  <si>
    <t>Preeclampsia (PE)</t>
  </si>
  <si>
    <t>Factores de Riesgo y Condicionantes de Parto Prematuro</t>
  </si>
  <si>
    <t>VIH</t>
  </si>
  <si>
    <t>Diabetes</t>
  </si>
  <si>
    <t>Cesárea Anterior</t>
  </si>
  <si>
    <t>Malformación Congénita</t>
  </si>
  <si>
    <t>Hipotiroidismo</t>
  </si>
  <si>
    <t>Diabetes Gestacional</t>
  </si>
  <si>
    <t>Hipertensión Crónica</t>
  </si>
  <si>
    <t>Otras Patologías del Embarazo</t>
  </si>
  <si>
    <t>MÉTODOS</t>
  </si>
  <si>
    <t>Ingreso por cambio de Método Anticonceptivo</t>
  </si>
  <si>
    <t>Inicio precoz de MAC nivel secundario y terciario</t>
  </si>
  <si>
    <t>70 y más años</t>
  </si>
  <si>
    <t>TOTAL REGULACIÓN DE FERTILIDAD</t>
  </si>
  <si>
    <t>Anillo Vaginal</t>
  </si>
  <si>
    <t xml:space="preserve"> Sólo preservativo MAC                                                                                                                                                                                                                                             </t>
  </si>
  <si>
    <t>Esterilización Quirúrgica</t>
  </si>
  <si>
    <t xml:space="preserve"> Método de Regulación de Fertilidad más Preservativos</t>
  </si>
  <si>
    <t>Gestantes que reciben preservativo</t>
  </si>
  <si>
    <t>Preservativo/Practica Sexual Segura</t>
  </si>
  <si>
    <t>Lubricantes</t>
  </si>
  <si>
    <t>Condón Femenino</t>
  </si>
  <si>
    <t>Método de Regulación de Fertilidad más Preservativos</t>
  </si>
  <si>
    <t xml:space="preserve">SECCIÓN D: INGRESOS A PROGRAMA CONTROL DE CLIMATERIO </t>
  </si>
  <si>
    <t>SECCIÓN E:  INGRESOS  A CONTROL DE SALUD DE RECIÉN NACIDOS</t>
  </si>
  <si>
    <t>EDAD</t>
  </si>
  <si>
    <t>Niños</t>
  </si>
  <si>
    <t>Niñas</t>
  </si>
  <si>
    <t xml:space="preserve">Menores de 28 días </t>
  </si>
  <si>
    <t xml:space="preserve">SECCIÓN F:  INGRESOS Y EGRESOS A SALA DE ESTIMULACIÓN, SERVICIO ITINERANTE Y ATENCIÓN DOMICILIARIA </t>
  </si>
  <si>
    <t xml:space="preserve">NIÑO / A (CON) </t>
  </si>
  <si>
    <t xml:space="preserve">TOTAL    </t>
  </si>
  <si>
    <t>Atención Domiciliaria</t>
  </si>
  <si>
    <t>Resultados de La Reevaluación Post Egreso</t>
  </si>
  <si>
    <t>Motivo Egreso</t>
  </si>
  <si>
    <t>Derivación a Especialidad</t>
  </si>
  <si>
    <t>Recuperado</t>
  </si>
  <si>
    <t>No Recuperado</t>
  </si>
  <si>
    <t>Normal con Rezago</t>
  </si>
  <si>
    <t>Riesgo</t>
  </si>
  <si>
    <t>Retraso</t>
  </si>
  <si>
    <t>Normal con Riesgo Biopsicosocial</t>
  </si>
  <si>
    <t>Egresos por Segunda Vez y Resultados de la Reevaluación Post Egreso</t>
  </si>
  <si>
    <t>Resultado de Reevaluación</t>
  </si>
  <si>
    <t>NANEAS</t>
  </si>
  <si>
    <t xml:space="preserve"> 0 - 4 años</t>
  </si>
  <si>
    <t xml:space="preserve"> 5 - 9 años</t>
  </si>
  <si>
    <t xml:space="preserve"> 10 -14 años</t>
  </si>
  <si>
    <t>Total Ingresos</t>
  </si>
  <si>
    <t>Baja Complejidad</t>
  </si>
  <si>
    <t>Mediana Complejidad</t>
  </si>
  <si>
    <t>Alta Complejidad</t>
  </si>
  <si>
    <t>SECCIÓN H: INGRESOS AL PSCV</t>
  </si>
  <si>
    <t>Ingresos al PSCV</t>
  </si>
  <si>
    <t>Programa de Salud Cardiovascular</t>
  </si>
  <si>
    <t>Hipertensión Arterial</t>
  </si>
  <si>
    <t>Diabetes Mellitus</t>
  </si>
  <si>
    <t>Dislipidemia</t>
  </si>
  <si>
    <t>Antecedentes Enf. Cardiovascular (F.Ventricular-IAM)</t>
  </si>
  <si>
    <t>Antecedentes Enf. Cerebrovascular (ACV)</t>
  </si>
  <si>
    <t>Enfermedad Renal Crónica</t>
  </si>
  <si>
    <t>Protocolo HEARTS</t>
  </si>
  <si>
    <t>SECCIÓN I: EGRESOS  DEL PSCV</t>
  </si>
  <si>
    <t>CAUSAL DE EGRESO</t>
  </si>
  <si>
    <t>No cumple criterio de inclusión</t>
  </si>
  <si>
    <t>Egresos del PSCV</t>
  </si>
  <si>
    <t xml:space="preserve">SECCIÓN J: INGRESOS Y EGRESOS AL PROGRAMA DE PACIENTES CON DEPENDENCIA LEVE, MODERADA Y SEVERA </t>
  </si>
  <si>
    <t>Abandono/
Traslado</t>
  </si>
  <si>
    <t>Dependencia Leve</t>
  </si>
  <si>
    <t>Dependencia Moderada</t>
  </si>
  <si>
    <t xml:space="preserve">Dependencia Severa  </t>
  </si>
  <si>
    <t>Oncológico</t>
  </si>
  <si>
    <t>No Oncológico</t>
  </si>
  <si>
    <t>Dependencia severa con escaras</t>
  </si>
  <si>
    <t>SECCIÓN K: INGRESOS AL PROGRAMA DEL ADULTO MAYOR SEGÚN CONDICIÓN DE FUNCIONALIDAD Y DEPENDENCIA</t>
  </si>
  <si>
    <t>EMPAM</t>
  </si>
  <si>
    <t>Autovalente sin Riesgo</t>
  </si>
  <si>
    <t>Autovalente con Riesgo</t>
  </si>
  <si>
    <t>Riesgo de Dependencia</t>
  </si>
  <si>
    <t>SUBTOTAL</t>
  </si>
  <si>
    <t>BARTHEL</t>
  </si>
  <si>
    <t>Dependiente Leve</t>
  </si>
  <si>
    <t>Dependiente Moderado</t>
  </si>
  <si>
    <t>Dependiente Grave</t>
  </si>
  <si>
    <t>Dependiente Total</t>
  </si>
  <si>
    <t>SECCIÓN L: EGRESOS DEL PROGRAMA DEL ADULTO MAYOR SEGÚN CONDICIÓN DE FUNCIONALIDAD Y DEPENDENCIA</t>
  </si>
  <si>
    <t>SECCIÓN M: INGRESOS Y EGRESOS DEL  PROGRAMA MÁS ADULTOS MAYORES AUTOVALENTES</t>
  </si>
  <si>
    <t>TOTAL INGRESOS</t>
  </si>
  <si>
    <t>Completa Ciclo</t>
  </si>
  <si>
    <t>* Los pacientes de 60 a 64 años, no debe desagregarse por condición de funcionalidad, por ello sólo se registran en la primera fila (Autovalente sin riesgo).</t>
  </si>
  <si>
    <t>SECCIÓN N: INGRESOS AL PROGRAMA DE SALUD  MENTAL EN APS /ESPECIALIDAD</t>
  </si>
  <si>
    <t>MOTIVO DE INGRESO</t>
  </si>
  <si>
    <t xml:space="preserve">Madre de hijo menor de 5 años </t>
  </si>
  <si>
    <t>Niños, Niñas, Adolescentes y Jóvenes  Mejor Niñez</t>
  </si>
  <si>
    <t>TRANS Femenino/
Masculino</t>
  </si>
  <si>
    <t>INGRESOS AL PROGRAMA</t>
  </si>
  <si>
    <t>FACTORES DE RIESGO Y CONDICIONANTES DE LA SALUD MENTAL</t>
  </si>
  <si>
    <t>Violencia</t>
  </si>
  <si>
    <t>Victima</t>
  </si>
  <si>
    <t>Agresor / a</t>
  </si>
  <si>
    <t>Abuso sexual</t>
  </si>
  <si>
    <t>Suicidio</t>
  </si>
  <si>
    <t>Ideación</t>
  </si>
  <si>
    <t>Intento</t>
  </si>
  <si>
    <t xml:space="preserve">PERSONAS CON DIAGNÓSTICOS DE TRASTORNOS MENTALES 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</si>
  <si>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</si>
  <si>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</si>
  <si>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</si>
  <si>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</si>
  <si>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</si>
  <si>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</si>
  <si>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Depresión Refractaria</t>
  </si>
  <si>
    <t>Depresión Grave Con Psicosis</t>
  </si>
  <si>
    <t>Depresión con Alto Riesgo Suicida</t>
  </si>
  <si>
    <t>Trastornos Mentales y del Comportamiento Debido a Consumo Sustancias Psicotrópicas</t>
  </si>
  <si>
    <t>Consumo Perjudicial de Alcohol</t>
  </si>
  <si>
    <t>Consumo Dependiente del Alcohol</t>
  </si>
  <si>
    <t>Consumo Perjudicial de Drogas</t>
  </si>
  <si>
    <t>Consumo Dependiente de Drogas</t>
  </si>
  <si>
    <t>Consumo de Drogas y Alcohol</t>
  </si>
  <si>
    <t>Trastornos del Comportamiento y de Las Emociones de Comienzo Habitual en la Infancia y Adolescencia</t>
  </si>
  <si>
    <t>Trastorno Hipercinéticos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</si>
  <si>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</si>
  <si>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</si>
  <si>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</si>
  <si>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 xml:space="preserve">
Trastornos de Ansiedad</t>
  </si>
  <si>
    <t>Trastorno de Estrés Post Traumático</t>
  </si>
  <si>
    <t xml:space="preserve">Trastorno de Pánico  </t>
  </si>
  <si>
    <t>Fobias Sociales</t>
  </si>
  <si>
    <t>Trastornos de Ansiedad Generalizada</t>
  </si>
  <si>
    <t>Otros Trastornos de Ansiedad</t>
  </si>
  <si>
    <t xml:space="preserve">
Demencias (Incluye Alzheimer)</t>
  </si>
  <si>
    <t>Esquizofrenia</t>
  </si>
  <si>
    <t>Trastorno Adaptativo</t>
  </si>
  <si>
    <t>Trastornos de la Conducta Alimentaria</t>
  </si>
  <si>
    <t>Retraso Mental</t>
  </si>
  <si>
    <t>Trastorno de Personalidad</t>
  </si>
  <si>
    <t>Trastorno Generalizados del Desarrollo</t>
  </si>
  <si>
    <t>Autismo</t>
  </si>
  <si>
    <t>Asperger</t>
  </si>
  <si>
    <t>Síndrome de Rett</t>
  </si>
  <si>
    <t>Trastorno Desintegrativo de la Infancia</t>
  </si>
  <si>
    <t>Trastorno Generalizado del Desarrollo no Específico</t>
  </si>
  <si>
    <t>Epilepsia</t>
  </si>
  <si>
    <t>SECCIÓN O: EGRESOS DEL PROGRAMA DE SALUD  MENTAL POR ALTAS CLÍNICAS EN APS /ESPECIALIDAD</t>
  </si>
  <si>
    <t>MOTIVO DE EGRESO</t>
  </si>
  <si>
    <t>TRANS Masculino/
Femenino</t>
  </si>
  <si>
    <t>Traslado o Derivación</t>
  </si>
  <si>
    <t>EGRESOS DEL PROGRAMA</t>
  </si>
  <si>
    <t>Depresión Grave con Psicosis</t>
  </si>
  <si>
    <t>Trastornos del Comportamiento y de las Emociones de Comienzo Habitual en la Infancia y Adolescencia</t>
  </si>
  <si>
    <t>SECCIÓN P:  PROGRAMA DE REHABILITACIÓN (PERSONAS CON TRASTORNOS PSIQUIÁTRICOS)</t>
  </si>
  <si>
    <t>TIPO DE PROGRAMA</t>
  </si>
  <si>
    <t>RUBRO</t>
  </si>
  <si>
    <t xml:space="preserve">
Programa de Rehabilitación Tipo II</t>
  </si>
  <si>
    <t>SECCIÓN Q: INGRESOS Y EGRESOS A PROGRAMA INFECCIÓN POR TRANSMISIÓN SEXUAL (Uso de establecimientos que realizan atención de ITS)</t>
  </si>
  <si>
    <t>PATOLOGÍAS</t>
  </si>
  <si>
    <t>Por alta</t>
  </si>
  <si>
    <t>Por abandono</t>
  </si>
  <si>
    <t>TOTAL DE INGRESOS</t>
  </si>
  <si>
    <t>Sífilis</t>
  </si>
  <si>
    <t>Gonorrea</t>
  </si>
  <si>
    <t>Condiloma</t>
  </si>
  <si>
    <t>Herpes</t>
  </si>
  <si>
    <t>Chlamydias</t>
  </si>
  <si>
    <t>Uretritis no Gonocócica</t>
  </si>
  <si>
    <t>Linfogranuloma</t>
  </si>
  <si>
    <t>Chancroide</t>
  </si>
  <si>
    <t>Otras ITS</t>
  </si>
  <si>
    <t>No Gestantes</t>
  </si>
  <si>
    <t>SECCIÓN R: INGRESOS Y EGRESOS DEL PROGRAMA DE VIH/SIDA (Uso exclusivo Centros de Atención VIH-SIDA)</t>
  </si>
  <si>
    <t xml:space="preserve">Ingresos al programa </t>
  </si>
  <si>
    <t>Reingresos por abandono</t>
  </si>
  <si>
    <t>Total egresos</t>
  </si>
  <si>
    <t>Egresos por Fallecimiento (Incluido en Total Egresos)</t>
  </si>
  <si>
    <t>Egresos por Alta Hijo VIH (-) de Madre VIH (+)Incluido en Total Egresos</t>
  </si>
  <si>
    <t>Evaluación Movilidad Programa</t>
  </si>
  <si>
    <t>Abandono Controles</t>
  </si>
  <si>
    <t>Abandono Tratamiento</t>
  </si>
  <si>
    <t>Abandono de la Atención</t>
  </si>
  <si>
    <t>Egresos por Traslado</t>
  </si>
  <si>
    <t>SECCIÓN S: INGRESOS Y EGRESOS POR COMERCIO SEXUAL (Uso exclusivo de Unidades Control Comercio Sexual)</t>
  </si>
  <si>
    <t>Inasistentes</t>
  </si>
  <si>
    <t>RIESGO</t>
  </si>
  <si>
    <t>REALIZADO POR</t>
  </si>
  <si>
    <t>Realizado en domicilio</t>
  </si>
  <si>
    <t>Dupla (Médico + Profesional no médico)</t>
  </si>
  <si>
    <t>Profesional No Médico</t>
  </si>
  <si>
    <t>Ingreso Integral</t>
  </si>
  <si>
    <t>Riesgo Leve (G1)</t>
  </si>
  <si>
    <t>Riesgo Moderado (G2)</t>
  </si>
  <si>
    <t>Riesgo Alto (G3)</t>
  </si>
  <si>
    <t>Plan de Cuidado Elaborado</t>
  </si>
  <si>
    <t>Gestión de casos</t>
  </si>
  <si>
    <t>Ingreso Riesgo Alto (G3)</t>
  </si>
  <si>
    <t>Ingreso Riesgo Moderado (G2)</t>
  </si>
  <si>
    <t>Egreso Riesgo Alto (G3)</t>
  </si>
  <si>
    <t>Egreso Riesgo Moderado (G2)</t>
  </si>
  <si>
    <t>SECCIÓN V: ACREDITACIÓN PRAIS</t>
  </si>
  <si>
    <t>SECCIÓN V.1: ATENCIÓN PARA ACREDITACIÓN PRAIS</t>
  </si>
  <si>
    <t>Psicológo/a</t>
  </si>
  <si>
    <t>Trabajador/a Social y Psicológo/a</t>
  </si>
  <si>
    <t>SECCIÓN V.2: ACREDITACIÓN PRAIS SEGÚN LEY, NORMATIVA Y CALIDAD DE ACREDITACIÓN</t>
  </si>
  <si>
    <t>CALIDAD DE LA ACREDITACIÓN DEL MES QUE REPORTA</t>
  </si>
  <si>
    <t>Art. 7° Ley 19.980</t>
  </si>
  <si>
    <t>Norma Complementaria (N°88)</t>
  </si>
  <si>
    <t xml:space="preserve">Sin ningún tipo de información </t>
  </si>
  <si>
    <t>Ley 19.123, ley 19.980, ley 20.405 (DD Y EP)</t>
  </si>
  <si>
    <t>Ley 19.992, ley 20.405 (Prisión política y tortura)</t>
  </si>
  <si>
    <t>Ley 19.965</t>
  </si>
  <si>
    <t>Trabajador DDHH</t>
  </si>
  <si>
    <t>Ingresado antes 30/08/2003</t>
  </si>
  <si>
    <t>Ex prisión política</t>
  </si>
  <si>
    <t>Exilio</t>
  </si>
  <si>
    <t>Relegación</t>
  </si>
  <si>
    <t>Clandestinidad</t>
  </si>
  <si>
    <t>Exoneración Política</t>
  </si>
  <si>
    <t>Ex preso político</t>
  </si>
  <si>
    <t>Índice</t>
  </si>
  <si>
    <t>Afectado Directo</t>
  </si>
  <si>
    <t>Beneficiario</t>
  </si>
  <si>
    <t>Sin Registro de Calidad de la Acreditación</t>
  </si>
  <si>
    <t>Sin Ningún Tipo de Información</t>
  </si>
  <si>
    <t xml:space="preserve">REM-07.  ATENCIÓN  DE ESPECIALIDADES </t>
  </si>
  <si>
    <t>ESPECIALIDADES   Y  SUB-ESPECIALIDADES</t>
  </si>
  <si>
    <t>CONSULTAS NUEVAS SEGÚN ORIGEN</t>
  </si>
  <si>
    <t>Consultas de Especialidades resueltas por Médico General</t>
  </si>
  <si>
    <t>Por Sexo</t>
  </si>
  <si>
    <t xml:space="preserve">CAE/CDT/CRS/Hospitalización </t>
  </si>
  <si>
    <t xml:space="preserve">Urgencia </t>
  </si>
  <si>
    <t>Enfermedad Respiratoria Pediátrica (Broncopulmonar Infantil)</t>
  </si>
  <si>
    <t>Enfermedad Respiratoria de Adulto (Broncopulmonar)</t>
  </si>
  <si>
    <t>Cardiología Pediátrica</t>
  </si>
  <si>
    <t>Cardiología Adulto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</si>
  <si>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</si>
  <si>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</si>
  <si>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</si>
  <si>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</si>
  <si>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</si>
  <si>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</si>
  <si>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 Adulto</t>
  </si>
  <si>
    <t>Nefrología Pediátrica</t>
  </si>
  <si>
    <t>Nefrología Adulto</t>
  </si>
  <si>
    <t>Nutriólogo Pediátrico</t>
  </si>
  <si>
    <t>Nutriólogo Adulto</t>
  </si>
  <si>
    <t>Reumatología Pediátrica</t>
  </si>
  <si>
    <t>Reumatología Adulto</t>
  </si>
  <si>
    <t>Infectología Pediátrica</t>
  </si>
  <si>
    <t>Infectología Adulto</t>
  </si>
  <si>
    <t>Medicina Física y Rehabilitación Pediátrica (Fisiatría Pediátrica)</t>
  </si>
  <si>
    <t>Medicina Física y Rehabilitación Adulto (Fisiatría Adulto)</t>
  </si>
  <si>
    <t>Neurología Adulto</t>
  </si>
  <si>
    <t>Oncología Médica</t>
  </si>
  <si>
    <t>Psiquiatría Pediátrica y de La Adolescencia</t>
  </si>
  <si>
    <t>Psiquiatría Adulto</t>
  </si>
  <si>
    <t>Cirugía General Adulto</t>
  </si>
  <si>
    <t>Cirugía Digestiva (Alta)</t>
  </si>
  <si>
    <t>Cirugía Plástica y Reparadora Pediátrica</t>
  </si>
  <si>
    <t>Cirugía Plástica y Reparadora Adulto</t>
  </si>
  <si>
    <t>Coloproctología (Cirugía Digestiva Baja)</t>
  </si>
  <si>
    <t>Ginecología Pediátrica y de la Adolescencia</t>
  </si>
  <si>
    <t>Ginecología Adulto</t>
  </si>
  <si>
    <t>Traumatología y Ortopedia Pediátrica</t>
  </si>
  <si>
    <t>Traumatología y Ortopedia Adulto</t>
  </si>
  <si>
    <t>Urología Pediátrica</t>
  </si>
  <si>
    <t>Urología Adulto</t>
  </si>
  <si>
    <t>Medicina Familiar del Niño</t>
  </si>
  <si>
    <t>Medicina Familiar</t>
  </si>
  <si>
    <t>Medicina Familiar Adulto</t>
  </si>
  <si>
    <t>Medicina Nuclear (Excluye Informes)</t>
  </si>
  <si>
    <t>Radioterapia Oncológica</t>
  </si>
  <si>
    <t>SECCIÓN A.1: ATRIBUTOS DE LAS ATENCIONES DE ESPECIALIDAD</t>
  </si>
  <si>
    <t>Interconsultas pertinentes según Criterio Clínico</t>
  </si>
  <si>
    <t>Consultas pertinentes según tiempo establecido en Box</t>
  </si>
  <si>
    <t>Consultas  pertinentes según Criterio Clínico en Box</t>
  </si>
  <si>
    <t>Contrarreferencia inicial o retorno</t>
  </si>
  <si>
    <t>Contrarreferencia al alta</t>
  </si>
  <si>
    <t>Alta de Consulta de Especialidad Ambulatoria</t>
  </si>
  <si>
    <t>Inasistente a consulta médica (NSP)</t>
  </si>
  <si>
    <t>CONSULTA ABREVIADA (Confección de recetas o lectura de exámenes)</t>
  </si>
  <si>
    <t>Atención Especialista en Sala</t>
  </si>
  <si>
    <t>Consultas realizadas en APS e informadas (contenidas en sección A)</t>
  </si>
  <si>
    <t>Compra de Servicios (No incluidas en total de atenciones)</t>
  </si>
  <si>
    <t>Consultas Médicas por Operativos (no incluidas en produccion)</t>
  </si>
  <si>
    <t>Total Interconsultas generadas en APS para derivación Especialidad</t>
  </si>
  <si>
    <t xml:space="preserve">Consultorías de Médicos Especialistas otorgadas </t>
  </si>
  <si>
    <t xml:space="preserve">Nuevas </t>
  </si>
  <si>
    <t>Contratados por el Establecimiento o Dirección del Servicio</t>
  </si>
  <si>
    <t>Especialistas de Hospitales</t>
  </si>
  <si>
    <t>Red Pública</t>
  </si>
  <si>
    <t>Privados</t>
  </si>
  <si>
    <t>Nº Consultorías</t>
  </si>
  <si>
    <t>Nº de casos revisados por el equipo</t>
  </si>
  <si>
    <t>Nº de casos atendidos</t>
  </si>
  <si>
    <t>Psiquiatría Pediátrica y de la Adolescencia</t>
  </si>
  <si>
    <t>SECCIÓN B: ATENCIONES MEDICAS POR PROGRAMAS Y POLICLÍNICOS  (INCLUIDAS EN SECCION A)</t>
  </si>
  <si>
    <t>ATENCIONES</t>
  </si>
  <si>
    <t>80  años y mas</t>
  </si>
  <si>
    <t>Trans Masculino</t>
  </si>
  <si>
    <t>Trans Femenino</t>
  </si>
  <si>
    <t>Arritmias</t>
  </si>
  <si>
    <t>Cirugía de Mamas</t>
  </si>
  <si>
    <t>Alto Riesgo Obstétrico</t>
  </si>
  <si>
    <t>Atención Obstétrica por Ley IVE</t>
  </si>
  <si>
    <t>Tratamiento Anticoagulante</t>
  </si>
  <si>
    <t>Cuidados Paliativos</t>
  </si>
  <si>
    <t>Patología Cervical</t>
  </si>
  <si>
    <t>Patología de Mamas</t>
  </si>
  <si>
    <t>Adolescencia</t>
  </si>
  <si>
    <t>Naneas</t>
  </si>
  <si>
    <t>ITS</t>
  </si>
  <si>
    <t>VIH/SIDA</t>
  </si>
  <si>
    <t>Medicinal Ocupacional (Salud del Personal)</t>
  </si>
  <si>
    <t>Unidad Trauma Ocular</t>
  </si>
  <si>
    <t>SECCIÓN C: CONSULTAS Y CONTROLES POR OTROS PROFESIONALES EN ESPECIALIDAD (NIVEL SECUNDARIO)</t>
  </si>
  <si>
    <t>ARO por Ley IVE</t>
  </si>
  <si>
    <t xml:space="preserve">Ginecología y otros </t>
  </si>
  <si>
    <t xml:space="preserve">Infertilidad </t>
  </si>
  <si>
    <t>Tecnólogo/a Médico/a</t>
  </si>
  <si>
    <t>SECCIÓN D: CONSULTAS INFECCIÓN TRANSMISIÓN SEXUAL (ITS) Y CONTROLES DE SALUD SEXUAL EN EL NIVEL SECUNDARIO (Incluidas en Sección C)</t>
  </si>
  <si>
    <t>Niños, Niñas, Adolescentes SENAME</t>
  </si>
  <si>
    <t>Consultas Infección Transmisión Sexual  (ITS) (excluir VIH/SIDA)</t>
  </si>
  <si>
    <t>Consultas VIH/SIDA</t>
  </si>
  <si>
    <t>Control VIH Con TAR</t>
  </si>
  <si>
    <t>Control VIH Sin TAR</t>
  </si>
  <si>
    <t>Controles de Salud a Personas que Ejercen Comercio Sexual</t>
  </si>
  <si>
    <t>SECCIÓN E: ACTIVIDADES DE PROFESIONAL DE ENLACE  EN EL NIVEL SECUNDARIO Y TERCIARIO SEGUN RIESGO (ECICEP)</t>
  </si>
  <si>
    <t>Profesional de Enlace</t>
  </si>
  <si>
    <t xml:space="preserve">Procedencia de la Derivación </t>
  </si>
  <si>
    <t>Egreso de Atención de Enlace</t>
  </si>
  <si>
    <t xml:space="preserve">Tipo de Atención </t>
  </si>
  <si>
    <t xml:space="preserve"> Presencial </t>
  </si>
  <si>
    <t>Ingreso a Atención de PDE</t>
  </si>
  <si>
    <t>Seguimiento de PDE</t>
  </si>
  <si>
    <t>Continuidad en la Gestión (PDE-APS)</t>
  </si>
  <si>
    <t>Actividades de Gestión de PDE</t>
  </si>
  <si>
    <t>Inasistente a Atención de PDE (NSP)</t>
  </si>
  <si>
    <t>Atenciones realizadas durante otras consultas</t>
  </si>
  <si>
    <t>Ingresos A Medicina Complementaria</t>
  </si>
  <si>
    <t>Familiares / Cuidadores de los Pacientes</t>
  </si>
  <si>
    <t>Sala de Estimulación</t>
  </si>
  <si>
    <t>Servicio Itinerante en Centro de Salud</t>
  </si>
  <si>
    <t>0-11 meses</t>
  </si>
  <si>
    <t>12-23 meses</t>
  </si>
  <si>
    <t>24- 59 meses</t>
  </si>
  <si>
    <t>24-59 meses</t>
  </si>
  <si>
    <t>Servicio Itinerante</t>
  </si>
  <si>
    <t>Sala de estimulación</t>
  </si>
  <si>
    <t>REM-27.  EDUCACIÓN PARA LA SALUD</t>
  </si>
  <si>
    <t>SECCIÓN A: PERSONAS QUE INGRESAN A EDUCACIÓN GRUPAL SEGÚN ÁREAS TEMÁTICAS Y EDAD</t>
  </si>
  <si>
    <t>ÁREAS TEMÁTICAS DE PREVENCIÓN</t>
  </si>
  <si>
    <t>Madre, Padre o Cuidador de:</t>
  </si>
  <si>
    <t>Familias en Riesgo</t>
  </si>
  <si>
    <t>Nivel Secundario</t>
  </si>
  <si>
    <t>Nivel Terciario</t>
  </si>
  <si>
    <t>Educación en grupo</t>
  </si>
  <si>
    <t xml:space="preserve">Estimulación desarrollo psicomotor </t>
  </si>
  <si>
    <t>Nutrición</t>
  </si>
  <si>
    <t>Riesgo de malnutrición por exceso</t>
  </si>
  <si>
    <t>Malnutrición por exceso</t>
  </si>
  <si>
    <t>Malnutrición de déficit</t>
  </si>
  <si>
    <t>Sin riesgo de malnutrición</t>
  </si>
  <si>
    <t>Prevención de IRA - ERA</t>
  </si>
  <si>
    <t>Prevención de accidentes</t>
  </si>
  <si>
    <t>Salud buco-dental</t>
  </si>
  <si>
    <t>Prevención violencia de género</t>
  </si>
  <si>
    <t>Salud Sexual y reproductiva</t>
  </si>
  <si>
    <t>Talleres de climaterio</t>
  </si>
  <si>
    <t>Educación prenatal (Nutrición-lactancia-crianza-autocuidado-preparación parto y otros)</t>
  </si>
  <si>
    <t>Visita guiada a la maternidad</t>
  </si>
  <si>
    <t>Promoción de salud mental</t>
  </si>
  <si>
    <t>Promoción del desarrollo infantil temprano</t>
  </si>
  <si>
    <t>Del lenguaje</t>
  </si>
  <si>
    <t>Motor</t>
  </si>
  <si>
    <t>Habilidades parentales</t>
  </si>
  <si>
    <t>Nadie es perfecto</t>
  </si>
  <si>
    <t>Familias fuertes</t>
  </si>
  <si>
    <t>Apoyo madre a madre</t>
  </si>
  <si>
    <t>Prevención de salud mental</t>
  </si>
  <si>
    <t>Prevención suicidio</t>
  </si>
  <si>
    <t>Prevención trastorno mental</t>
  </si>
  <si>
    <t>Prevención alcohol y drogas</t>
  </si>
  <si>
    <t>Antitabáquica (excluye REM 23)</t>
  </si>
  <si>
    <t>Prevención de la transmisión vertical de VIH-Sífilis</t>
  </si>
  <si>
    <t>Otras áreas temáticas</t>
  </si>
  <si>
    <t>Educación especial en adulto mayor</t>
  </si>
  <si>
    <t>Estimulación de memoria</t>
  </si>
  <si>
    <t>Prevención de caídas</t>
  </si>
  <si>
    <t>Estimulación de actividad física</t>
  </si>
  <si>
    <t>Auto cuidado</t>
  </si>
  <si>
    <t>Otras temáticas</t>
  </si>
  <si>
    <t>Uso racional de medicamentos</t>
  </si>
  <si>
    <t>Resistencia antimicrobianos</t>
  </si>
  <si>
    <t>SECCIÓN B: ACTIVIDADES DE EDUCACIÓN PARA LA SALUD SEGÚN PERSONAL QUE LAS REALIZA (SESIONES)</t>
  </si>
  <si>
    <t>Un profesional</t>
  </si>
  <si>
    <t xml:space="preserve">Dos o más profesionales </t>
  </si>
  <si>
    <t xml:space="preserve">Un profesional y un Técnico en Enfermería </t>
  </si>
  <si>
    <t xml:space="preserve">Facilitador/a Intercultural Pueblos Originarios </t>
  </si>
  <si>
    <t>Salud sexual y reproductiva</t>
  </si>
  <si>
    <t>SECCIÓN C: EDUCACIÓN GRUPAL A GESTANTES DE ALTO RIESGO OBSTÉTRICO (Nivel Secundario)</t>
  </si>
  <si>
    <t>Total de sesiones</t>
  </si>
  <si>
    <t>Preparación para el parto</t>
  </si>
  <si>
    <t>Taller de educación prenatal</t>
  </si>
  <si>
    <t>SECCIÓN D: TALLERES PROGRAMA "MÁS A.M AUTOVALENTES"</t>
  </si>
  <si>
    <t>Nº de sesiones</t>
  </si>
  <si>
    <t>Nº de Participantes</t>
  </si>
  <si>
    <t>Estimulación de funciones motoras y prevención de caídas</t>
  </si>
  <si>
    <t>Estimulación de funciones congnitivas</t>
  </si>
  <si>
    <t>Autocuidado y estilos de vida saludables</t>
  </si>
  <si>
    <t>SECCIÓN E: TALLERES PROGRAMA ELIGE VIDA SANA</t>
  </si>
  <si>
    <t>Madre, padre o cuidador de:</t>
  </si>
  <si>
    <t>Círculo de actividad física</t>
  </si>
  <si>
    <t>Círculo de vida sana</t>
  </si>
  <si>
    <t>Actividades masivas</t>
  </si>
  <si>
    <t>SECCIÓN F: INTERVENCIONES POR PATRÓN DE CONSUMO DE ALCOHOL, TABACO Y OTRAS DROGAS</t>
  </si>
  <si>
    <t>TIPO DE INTERVENCIÓN</t>
  </si>
  <si>
    <t>Nº de intervenciones</t>
  </si>
  <si>
    <t>25-44 años</t>
  </si>
  <si>
    <t>Intervención Mínima
(Bajo riesgo)</t>
  </si>
  <si>
    <t>Alcohol</t>
  </si>
  <si>
    <t>Tabaco</t>
  </si>
  <si>
    <t>Drogas</t>
  </si>
  <si>
    <t>Intervención breve o motivacional
(Riesgo)</t>
  </si>
  <si>
    <t>Intervención referida asistida
(Perjudicial o dependencia)</t>
  </si>
  <si>
    <t>SECCIÓN G: PERSONAS QUE INGRESAN A TALLERES PARA PADRES DEL PROGRAMA DE APOYO A LA SALUD MENTAL INFANTIL (PASMI)</t>
  </si>
  <si>
    <t>Concepto</t>
  </si>
  <si>
    <t>Total de Padres, Madres o Cuidadores de 5 a 9 años</t>
  </si>
  <si>
    <t>Total de talleres</t>
  </si>
  <si>
    <t>Taller Nadie es Perfecto (PASMI)</t>
  </si>
  <si>
    <t>SECCIÓN H: ORGANIZACIONES SOCIALES DE LA RED DEL PROGRAMA MÁS ADULTOS MAYORES AUTOVALENTES</t>
  </si>
  <si>
    <t>POR TIPO DE ORGANIZACIÓN</t>
  </si>
  <si>
    <t>N° Total de Organizaciones</t>
  </si>
  <si>
    <t>Clubes de Adultos Mayores</t>
  </si>
  <si>
    <t>Centros de Madres</t>
  </si>
  <si>
    <t>Clubes Deportivos</t>
  </si>
  <si>
    <t>Uniones Comunales de Adultos Mayores</t>
  </si>
  <si>
    <t>Junta de Vecinos</t>
  </si>
  <si>
    <t>Organizaciones Informales</t>
  </si>
  <si>
    <t>Otras organizaciones Formales</t>
  </si>
  <si>
    <t>Organizaciones ingresadas al programa de estimilación funcional del programa más adultos mayores autovalentes</t>
  </si>
  <si>
    <t>Organizaciones con lideres comunitarios capcitados por el programa más adultos mayores autovalentes</t>
  </si>
  <si>
    <t>SECCIÓN I: SERVICIOS DE LA RED DEL PROGRAMA MÁS ADULTOS MAYORES AUTOVALENTES</t>
  </si>
  <si>
    <t>N° Total de Servicios</t>
  </si>
  <si>
    <t>POR TIPO DE SERVICIO</t>
  </si>
  <si>
    <t xml:space="preserve">Unidad Municipal de Personas Mayores </t>
  </si>
  <si>
    <t>Unidad Municipal de Atención Social</t>
  </si>
  <si>
    <t>Unidad Municipal de Deportes</t>
  </si>
  <si>
    <t>Unidad Municipal Turismo</t>
  </si>
  <si>
    <t>Unidad Municipal Educación</t>
  </si>
  <si>
    <t>Biblioteca Municipal</t>
  </si>
  <si>
    <t>Unidad Cultural Municipal</t>
  </si>
  <si>
    <t>Otras Unidades Municipales</t>
  </si>
  <si>
    <t>Escuelas o Colegios</t>
  </si>
  <si>
    <t>Universidades</t>
  </si>
  <si>
    <t>Otras Unidades externas al Municipio</t>
  </si>
  <si>
    <t>Servicios Locales con oferta programática para personas mayores (total o parcial)</t>
  </si>
  <si>
    <t>Servicios locales con planes intersectoriales para el fomento del autocuidado y estimulación funcional del desarrollo junto al Programa Más Adultos Mayores Autovalentes</t>
  </si>
  <si>
    <t xml:space="preserve">SECCIÓN J: TALLERES GRUPALES  DE LACTANCIA MATERNA EN ATENCIÓN PRIMARIA </t>
  </si>
  <si>
    <t>Nº de talleres</t>
  </si>
  <si>
    <t>Número de participantes de Talleres de Lactancia Materna en Atención Primaria a Menores de un año</t>
  </si>
  <si>
    <t>SECCIÓN K: INTERVENCIONES POSTERIOR AL TAMIZAJE DE SALUD MENTAL</t>
  </si>
  <si>
    <t>0-4 años</t>
  </si>
  <si>
    <t>70-79 años</t>
  </si>
  <si>
    <t>Consejería en contexto de tamizaje</t>
  </si>
  <si>
    <t>Nº DE M-CHAT-R/F</t>
  </si>
  <si>
    <t>Nº de Cuestionario PSC-17</t>
  </si>
  <si>
    <t>Nº de Cuestionario PSC-Y-17</t>
  </si>
  <si>
    <t>N° de Cuestionario PHQ-9 modificado para Adolescentes</t>
  </si>
  <si>
    <t xml:space="preserve">N° de Cuestionario PHQ-9 para Adultos </t>
  </si>
  <si>
    <t>N° de Escala CAPE-P15</t>
  </si>
  <si>
    <t xml:space="preserve">N° de escala de Columbia </t>
  </si>
  <si>
    <t>N° de Escala de Depresión Geriatríca de YESAVAGE GDS-15</t>
  </si>
  <si>
    <t>Referencia asistida en contexto de tamizaje</t>
  </si>
  <si>
    <t>SECCIÓN L: ACTIVIDADES DE EDUCACIÓN PARA LA SALUD SEGÚN PERSONAL QUE LAS REALIZA (SESIONES) (PRAIS) (Contenidas en Sección B)</t>
  </si>
  <si>
    <t>SECCIÓN M: EDUCACIÓN PARA PROGRAMA DE SALUD CARDIOVASCULAR</t>
  </si>
  <si>
    <t>TIPO DE EDUCACIÓN</t>
  </si>
  <si>
    <t>PROFESIONAL/OTROS</t>
  </si>
  <si>
    <t>POR RANGO ETARIO Y SEXO</t>
  </si>
  <si>
    <t>Individual</t>
  </si>
  <si>
    <t>Podóloga/o Clínico</t>
  </si>
  <si>
    <t>Taller grupal</t>
  </si>
  <si>
    <t>Equipo multidisciplinario</t>
  </si>
  <si>
    <t>REM-A01.   CONTROLES DE SALUD</t>
  </si>
  <si>
    <t>SECCIÓN A: CONTROLES DE SALUD SEXUAL Y REPRODUCTIVA</t>
  </si>
  <si>
    <t>Sexo</t>
  </si>
  <si>
    <t>Control con pareja, familiar u otro</t>
  </si>
  <si>
    <t>Control de diada con presencia del padre</t>
  </si>
  <si>
    <t>Pre-Concepcional</t>
  </si>
  <si>
    <t>Prenatal</t>
  </si>
  <si>
    <t>Post Aborto</t>
  </si>
  <si>
    <t xml:space="preserve">Puérpera con recién nacido hasta 10 días de vida </t>
  </si>
  <si>
    <t xml:space="preserve">Puérpera con recién nacido entre 11 y 28 días </t>
  </si>
  <si>
    <t xml:space="preserve">Recién nacido hasta 10 días de vida </t>
  </si>
  <si>
    <t xml:space="preserve">Recién nacido entre 11 y 28 días </t>
  </si>
  <si>
    <t>Ginecológico</t>
  </si>
  <si>
    <t>Climaterio</t>
  </si>
  <si>
    <t>Regulación de Fecundidad</t>
  </si>
  <si>
    <t>SECCIÓN B: CONTROLES DE SALUD SEGÚN CICLO VITAL</t>
  </si>
  <si>
    <t>Control con Presencia del Padre</t>
  </si>
  <si>
    <t xml:space="preserve"> 5 meses</t>
  </si>
  <si>
    <t xml:space="preserve"> 7  -  11 meses</t>
  </si>
  <si>
    <t>18  - 23  meses</t>
  </si>
  <si>
    <t>24  - 47  meses</t>
  </si>
  <si>
    <t>48  - 59  meses</t>
  </si>
  <si>
    <t>60  - 71  meses</t>
  </si>
  <si>
    <t>1 año a 3 años 11 meses 29 días</t>
  </si>
  <si>
    <t xml:space="preserve">De salud </t>
  </si>
  <si>
    <t>SECCIÓN C: CONTROLES SEGÚN PROBLEMA DE SALUD</t>
  </si>
  <si>
    <t>De Salud Cardiovascular</t>
  </si>
  <si>
    <t xml:space="preserve">Seguimiento Autovalente con riesgo </t>
  </si>
  <si>
    <t xml:space="preserve">Otros Profesionales debidamente capacitados </t>
  </si>
  <si>
    <t xml:space="preserve">Seguimiento riesgo dependencia </t>
  </si>
  <si>
    <t xml:space="preserve">De Infección Transmisión Sexual </t>
  </si>
  <si>
    <t xml:space="preserve">Otros problemas de salud </t>
  </si>
  <si>
    <t xml:space="preserve">Niños con necesidades especiales </t>
  </si>
  <si>
    <t>SECCIÓN D: CONTROL DE SALUD INTEGRAL DE ADOLESCENTES (incluidos en sección B)</t>
  </si>
  <si>
    <t>LUGAR DEL CONTROL, SEGÚN EDAD</t>
  </si>
  <si>
    <t>En Espacio Amigable</t>
  </si>
  <si>
    <t xml:space="preserve">En otros espacios del Establecimiento de Salud </t>
  </si>
  <si>
    <t xml:space="preserve">En Establecimientos Educacionales </t>
  </si>
  <si>
    <t xml:space="preserve">En otros lugares fuera del Establecimiento de Salud </t>
  </si>
  <si>
    <t>SECCIÓN E: CONTROLES INDIVIDUALES DE SALUD EN ESTABLECIMIENTOS EDUCACIONALES</t>
  </si>
  <si>
    <t>CURSO</t>
  </si>
  <si>
    <t>Kínder</t>
  </si>
  <si>
    <t xml:space="preserve">Primero básico </t>
  </si>
  <si>
    <t>Segundo básico</t>
  </si>
  <si>
    <t>Tercero básico</t>
  </si>
  <si>
    <t>Cuarto básico</t>
  </si>
  <si>
    <t>SECCIÓN F: CONTROLES INTEGRALES DE PERSONAS CON CONDICIONES CRÓNICAS (incluidos en Secciones B y C)</t>
  </si>
  <si>
    <t>Control integral con riesgo leve (G1)</t>
  </si>
  <si>
    <t>Control integral con riesgo moderado (G2)</t>
  </si>
  <si>
    <t>Control integral con riesgo alto (G3)</t>
  </si>
  <si>
    <t>Seguimiento a distancia con riesgo leve (G1)</t>
  </si>
  <si>
    <t>Seguimiento a distancia con riesgo moderado (G2)</t>
  </si>
  <si>
    <t>Seguimiento a distancia con riesgo alto (G3)</t>
  </si>
  <si>
    <t>REM-A02.   EXAMEN DE MEDICINA PREVENTIVA EN MAYORES DE 15 AÑOS</t>
  </si>
  <si>
    <t>SECCIÓN A: EMP REALIZADO POR PROFESIONAL</t>
  </si>
  <si>
    <t>Otro profesional (capacitados en EMP Y EMPAM)</t>
  </si>
  <si>
    <t>SECCIÓN B: EMP SEGÚN RESULTADO DEL ESTADO NUTRICIONAL</t>
  </si>
  <si>
    <t>Normal</t>
  </si>
  <si>
    <t>Bajo Peso</t>
  </si>
  <si>
    <t>Sobrepeso</t>
  </si>
  <si>
    <t>Obesos</t>
  </si>
  <si>
    <t>SECCIÓN C: RESULTADOS DE EMP SEGÚN ESTADO DE SALUD</t>
  </si>
  <si>
    <t>Presión arterial elevada (= &gt;140/90 mmHg)</t>
  </si>
  <si>
    <t>SECCIÓN D: RESULTADOS DE EMP SEGÚN ESTADO DE SALUD (EXÁMENES DE LABORATORIO)</t>
  </si>
  <si>
    <t>Glicemia alterada (= &gt; a 100 mg/dl)</t>
  </si>
  <si>
    <t>Colesterol elevado (= &gt; 200 mg/dl)</t>
  </si>
  <si>
    <t xml:space="preserve">REM-A03.   APLICACIÓN Y RESULTADOS DE ESCALAS DE EVALUACIÓN </t>
  </si>
  <si>
    <t>SECCIÓN A: APLICACIÓN DE INSTRUMENTO Y RESULTADO EN EL NIÑO (A)</t>
  </si>
  <si>
    <t>SECCIÓN A.1: APLICACIÓN Y RESULTADOS DE PAUTA BREVE</t>
  </si>
  <si>
    <t>EVALUACIONES POR EDAD DEL NIÑO</t>
  </si>
  <si>
    <t xml:space="preserve"> 7 - 11 meses</t>
  </si>
  <si>
    <t>12 - 17 meses</t>
  </si>
  <si>
    <t>18 - 24 meses</t>
  </si>
  <si>
    <t xml:space="preserve">Aplicación Pauta Breve </t>
  </si>
  <si>
    <t>Resultados</t>
  </si>
  <si>
    <t>Alterado</t>
  </si>
  <si>
    <t>SECCIÓN A.2: RESULTADOS DE LA APLICACIÓN DE ESCALA DE EVALUACIÓN DEL DESARROLLO PSICOMOTOR</t>
  </si>
  <si>
    <t>RESULTADO</t>
  </si>
  <si>
    <t>Menor 7 meses</t>
  </si>
  <si>
    <t>7 - 11 meses</t>
  </si>
  <si>
    <t>18 - 23 meses</t>
  </si>
  <si>
    <t>24 - 47 meses</t>
  </si>
  <si>
    <t>48 - 59 meses</t>
  </si>
  <si>
    <t xml:space="preserve">Aplicación test de Desarrollo Psicomotor </t>
  </si>
  <si>
    <t xml:space="preserve">Primera Evaluación </t>
  </si>
  <si>
    <t>Reevaluación</t>
  </si>
  <si>
    <t>Normal (desde normal con rezago)</t>
  </si>
  <si>
    <t>Normal (desde riesgo)</t>
  </si>
  <si>
    <t>Normal (desde retraso)</t>
  </si>
  <si>
    <t>Normal Rezago (desde riesgo)</t>
  </si>
  <si>
    <t>Normal con Rezago (desde retraso)</t>
  </si>
  <si>
    <t>Riesgo (desde retraso)</t>
  </si>
  <si>
    <t>Normal con Rezago (desde normal con rezago)</t>
  </si>
  <si>
    <t>Riesgo (desde riesgo)</t>
  </si>
  <si>
    <t>Riesgo (desde normal con rezago)</t>
  </si>
  <si>
    <t>Retraso (desde retraso)</t>
  </si>
  <si>
    <t>Retraso (desde riesgo)</t>
  </si>
  <si>
    <t>Retraso (desde normal con rezago)</t>
  </si>
  <si>
    <t>Derivados a Especialidad</t>
  </si>
  <si>
    <t>Traslado de Establecimiento</t>
  </si>
  <si>
    <t>SECCIÓN A.3: NIÑOS Y NIÑAS CON REZAGO, DÉFICIT O RIESGO BIOPSICOSOCIAL  DERIVADOS A ALGUNA MODALIDAD DE ESTIMULACIÓN EN LA PRIMERA EVALUACIÓN</t>
  </si>
  <si>
    <t>NIÑO / A</t>
  </si>
  <si>
    <t>SECCIÓN A.4: RESULTADOS DE LA APLICACIÓN DE PROTOCOLO NEUROSENSORIAL</t>
  </si>
  <si>
    <t>RESULTADOS</t>
  </si>
  <si>
    <t>Aplicación de Protocolo Neurosensorial (1-2 meses)</t>
  </si>
  <si>
    <t>Anormal</t>
  </si>
  <si>
    <t>Muy Anormal</t>
  </si>
  <si>
    <t>SECCIÓN A.5:  LACTANCIA EN  NIÑOS Y NIÑAS CONTROLADOS</t>
  </si>
  <si>
    <t>TIPO DE ALIMENTACIÓN</t>
  </si>
  <si>
    <t xml:space="preserve">Según Control Programático </t>
  </si>
  <si>
    <t>Diada hasta 10 días de vida</t>
  </si>
  <si>
    <t>Diada entre 11 y 28 días de vida</t>
  </si>
  <si>
    <t>Del 1° mes</t>
  </si>
  <si>
    <t>Del 3° mes</t>
  </si>
  <si>
    <t>Del 6° mes</t>
  </si>
  <si>
    <t>Del 12° mes</t>
  </si>
  <si>
    <t>Del 24° mes</t>
  </si>
  <si>
    <t>Lactancia Materna exclusiva</t>
  </si>
  <si>
    <t>Lactancia Materna / Formula Láctea</t>
  </si>
  <si>
    <t>Formula Láctea</t>
  </si>
  <si>
    <t xml:space="preserve">Lactancia Materna más alimentación complementaria </t>
  </si>
  <si>
    <t xml:space="preserve">Lactancia Materna/ Fórmula Láctea/alimentación complementaria </t>
  </si>
  <si>
    <t xml:space="preserve">Fórmula Láctea Alimentación complementaria </t>
  </si>
  <si>
    <t xml:space="preserve">Número de niños y niñas controlados </t>
  </si>
  <si>
    <t>SECCIÓN A.6:  RESULTADOS RADIOGRAFÍA DE PELVIS (CADERA)</t>
  </si>
  <si>
    <t>Inmadura</t>
  </si>
  <si>
    <t>SECCION B: EVALUACIÓN, APLICACIÓN Y RESULTADOS DE ESCALAS EN  LA MUJER</t>
  </si>
  <si>
    <t>SECCIÓN B.1: EVALUACIÓN DEL ESTADO NUTRICIONAL A MUJERES CONTROLADAS AL OCTAVO MES POST PARTO</t>
  </si>
  <si>
    <t>ESTADO NUTRICIONAL</t>
  </si>
  <si>
    <t>Obesa</t>
  </si>
  <si>
    <t>Bajo peso</t>
  </si>
  <si>
    <t>SECCIÓN B.2: APLICACIÓN DE ESCALA SEGÚN EVALUACIÓN DE RIESGO PSICOSOCIAL ABREVIADA A GESTANTES</t>
  </si>
  <si>
    <t xml:space="preserve">Total de Aplicaciones </t>
  </si>
  <si>
    <t>Derivadas a equipo de cabecera</t>
  </si>
  <si>
    <t xml:space="preserve">Evaluación al ingreso </t>
  </si>
  <si>
    <t xml:space="preserve">Evaluación al tercer trimestre </t>
  </si>
  <si>
    <t>SECCIÓN B.3: APLICACIÓN DE ESCALA DE EDIMBURGO A GESTANTES Y MUJERES POST PARTO</t>
  </si>
  <si>
    <t>Total de Aplicaciones</t>
  </si>
  <si>
    <t>Resultados  
10 o más ptos. O resultado distinto de 0 en preg 10. (puérperas)</t>
  </si>
  <si>
    <t>Resultados  
13 o más ptos. O resultado distinto de 0 en preg 10. (gestantes)</t>
  </si>
  <si>
    <t xml:space="preserve">Total de casos alterados derivados a salud mental </t>
  </si>
  <si>
    <t>Evaluación a Gestantes</t>
  </si>
  <si>
    <t>Primera evaluación (2º control prenatal)</t>
  </si>
  <si>
    <t>Reevaluación (con puntaje elevado en la primera evaluación)</t>
  </si>
  <si>
    <t>Evaluación a mujeres post parto o síntomas de depresión</t>
  </si>
  <si>
    <t>A los 2 meses</t>
  </si>
  <si>
    <t>A los 6 meses</t>
  </si>
  <si>
    <t>SECCIÓN C: RESULTADOS DE LA EVALUACIÓN DEL ESTADO NUTRICIONAL DEL ADOLESCENTE CON CONTROL SALUD INTEGRAL</t>
  </si>
  <si>
    <t>Obesos severos</t>
  </si>
  <si>
    <t>SECCIÓN D: OTRAS EVALUACIONES, APLICACIONES Y RESULTADOS DE ESCALAS EN TODAS LAS EDADES</t>
  </si>
  <si>
    <t>SECCIÓN D.1: APLICACIÓN DE TAMIZAJE PARA EVALUAR EL NIVEL DE RIESGO DE CONSUMO DE  ALCOHOL, TABACO Y OTRAS DROGAS</t>
  </si>
  <si>
    <t xml:space="preserve">TOTAL              </t>
  </si>
  <si>
    <t>Nº de Audit (EMP/EMPAM)</t>
  </si>
  <si>
    <t xml:space="preserve">Nº de Audit aplicado </t>
  </si>
  <si>
    <t>Nº de Assist (EMP/EMPAM)</t>
  </si>
  <si>
    <t xml:space="preserve">N° de Assist aplicado </t>
  </si>
  <si>
    <t xml:space="preserve">N° de Craff en control de Salud Integral del Adolescente </t>
  </si>
  <si>
    <t xml:space="preserve">N° de Craff aplicado </t>
  </si>
  <si>
    <t xml:space="preserve">Resultados de evaluación </t>
  </si>
  <si>
    <t>Bajo riesgo</t>
  </si>
  <si>
    <t xml:space="preserve">Consumo riesgoso/intermedio </t>
  </si>
  <si>
    <t xml:space="preserve">Posible consumo perjudicial o dependencia </t>
  </si>
  <si>
    <t>SECCIÓN D.2: RESULTADOS DE LA APLICACIÓN DE INSTRUMENTO DE VALORACIÓN DE DESEMPEÑO EN COMUNIDAD (IVADEC-CIF)</t>
  </si>
  <si>
    <t>6 -11 meses</t>
  </si>
  <si>
    <t>12 - 23 meses</t>
  </si>
  <si>
    <t>Origen físico</t>
  </si>
  <si>
    <t>Sin Discapacidad</t>
  </si>
  <si>
    <t>Discapacidad Leve</t>
  </si>
  <si>
    <t>Discapacidad Moderada</t>
  </si>
  <si>
    <t>Discapacidad Severa</t>
  </si>
  <si>
    <t>Discapacidad Profunda</t>
  </si>
  <si>
    <t>Origen sensorial visual</t>
  </si>
  <si>
    <t>Origen sensorial auditivo</t>
  </si>
  <si>
    <t xml:space="preserve">Origen mental psíquico </t>
  </si>
  <si>
    <t xml:space="preserve">Origen mental intelectual </t>
  </si>
  <si>
    <t xml:space="preserve">Origen múltiple </t>
  </si>
  <si>
    <t>TOTAL DE EVALUACIONES</t>
  </si>
  <si>
    <t>Evaluación ingreso</t>
  </si>
  <si>
    <t>Evaluación egreso</t>
  </si>
  <si>
    <t>SECCION D.3: APLICACIÓN Y RESULTADO DE PAUTA DE EVALUACIÓN Y SALUD MENTAL</t>
  </si>
  <si>
    <t>Evaluación al ingreso</t>
  </si>
  <si>
    <t>Bajo</t>
  </si>
  <si>
    <t>Medio</t>
  </si>
  <si>
    <t>Alto</t>
  </si>
  <si>
    <t>Evaluación al egreso</t>
  </si>
  <si>
    <t>SECCIÓN D.4: RESULTADO DE APLICACIÓN DE CONDICIÓN DE FUNCIONALIDAD AL EGRESO PROGRAMA "MÁS ADULTOS MAYORES AUTOVALENTES"</t>
  </si>
  <si>
    <t>Timed up and Go</t>
  </si>
  <si>
    <t>Mejora</t>
  </si>
  <si>
    <t xml:space="preserve">Mantiene </t>
  </si>
  <si>
    <t>Disminuye</t>
  </si>
  <si>
    <t>Cuestionario</t>
  </si>
  <si>
    <t>SECCIÓN D.5: VARIACIÓN  DE RESULTADO DE APLICACIÓN DEL ÍNDICE DE BARTHEL ENTRE EL INGRESO Y EGRESO HOSPITALARIO</t>
  </si>
  <si>
    <t>ÍNDICE DE BARTHEL</t>
  </si>
  <si>
    <t>90 y mas años</t>
  </si>
  <si>
    <t xml:space="preserve">Mejora puntuación índice de Barthel </t>
  </si>
  <si>
    <t xml:space="preserve">Mantiene puntuación índice de Barthel </t>
  </si>
  <si>
    <t xml:space="preserve">Disminuye puntuación índice de Barthel </t>
  </si>
  <si>
    <t>*** El resultado que se consigna es la comparación del índice de Barthel aplicado al Egreso de la Hospitalización</t>
  </si>
  <si>
    <t>SECCIÓN D.6: APLICACIÓN DE ESCALA ZARIT ABREVIADO EN CUIDADORES</t>
  </si>
  <si>
    <t>ESCALA DE SOBRECARGA DEL CUIDADOR "ZARIT ABREVIADO"</t>
  </si>
  <si>
    <t>65 o más años</t>
  </si>
  <si>
    <t xml:space="preserve">Cuidador/a paciente con dependencia severa con sobrecarga intensa </t>
  </si>
  <si>
    <t xml:space="preserve">Cuidador/a paciente con dependencia severa sin sobrecarga intensa </t>
  </si>
  <si>
    <t>Total cuidadores evaluados</t>
  </si>
  <si>
    <t>SECCIÓN D.7: APLICACIÓN Y RESULTADOS DE PAUTA DE EVALUACIÓN CON ENFOQUE DE RIESGO ODONTOLÓGICO (CERO)</t>
  </si>
  <si>
    <t xml:space="preserve">PAUTA CERO </t>
  </si>
  <si>
    <t>&lt;1 año</t>
  </si>
  <si>
    <t xml:space="preserve">3 años </t>
  </si>
  <si>
    <t>8 años</t>
  </si>
  <si>
    <t>9 años</t>
  </si>
  <si>
    <t>Ambos sexos</t>
  </si>
  <si>
    <t xml:space="preserve">Evaluación de riesgo </t>
  </si>
  <si>
    <t>Alto riesgo</t>
  </si>
  <si>
    <t>SECCION E: APLICACIÓN DE PAUTA DETECCIÓN DE FACTORES DE RIESGO BIOPSICOSOCIAL INFANTIL</t>
  </si>
  <si>
    <t>EVALUACIÓN</t>
  </si>
  <si>
    <t>Derivación</t>
  </si>
  <si>
    <t>24- 48 meses</t>
  </si>
  <si>
    <t>Derivadas a equipos de cabecera</t>
  </si>
  <si>
    <t>Derivada a MADI  0 a  4 años</t>
  </si>
  <si>
    <t>Derivado a Salud Mental 5 a 9 años</t>
  </si>
  <si>
    <t>Total de Aplicaciones Escala de Riesgo Biopsicosocial en Control de Salud Infantil</t>
  </si>
  <si>
    <t>Con riesgo</t>
  </si>
  <si>
    <t>Sin riesgo</t>
  </si>
  <si>
    <t xml:space="preserve">SECCIÓN F: TAMIZAJE TRASTORNO ESPECTRO AUTISTA  (MCHAT-RF) </t>
  </si>
  <si>
    <t>16 - 30 meses</t>
  </si>
  <si>
    <t>Niños/as con Control a los 18 meses</t>
  </si>
  <si>
    <t>Niños/as con alteración de área Lenguaje y/o Social en Control de los 18 meses</t>
  </si>
  <si>
    <t>Niños/as con sospecha del Espectro Autista en otros controles o consultas.</t>
  </si>
  <si>
    <t>Resultado M-CHAT R/F 1° parte</t>
  </si>
  <si>
    <t>Riego Bajo</t>
  </si>
  <si>
    <t>Riesgo medio</t>
  </si>
  <si>
    <t>Riego Alto</t>
  </si>
  <si>
    <t>Riesgo Alto con derivación a especialista</t>
  </si>
  <si>
    <t>Resultado M-CHAT R/F 2° Parte</t>
  </si>
  <si>
    <t>No requiere derivación</t>
  </si>
  <si>
    <t>Requiere derivación</t>
  </si>
  <si>
    <t>SECCIÓN G: APLICACIÓN ESCALA MRS EN MUJERES EN EDAD DE CLIMATERIO</t>
  </si>
  <si>
    <t xml:space="preserve">
TOTAL DE APLICACIONES SEGÚN AREA DE AFECTACIÓN 
</t>
  </si>
  <si>
    <t xml:space="preserve">Momento y condiciones de  aplicación </t>
  </si>
  <si>
    <t xml:space="preserve">Ingreso </t>
  </si>
  <si>
    <t>MRS Control</t>
  </si>
  <si>
    <t>Control sin THM</t>
  </si>
  <si>
    <t>Control con THM</t>
  </si>
  <si>
    <t>Total aplicaciones</t>
  </si>
  <si>
    <t xml:space="preserve">Total MRS alto </t>
  </si>
  <si>
    <t xml:space="preserve">Afectación predominio somático </t>
  </si>
  <si>
    <t xml:space="preserve">Afectación predominio psicológico </t>
  </si>
  <si>
    <t xml:space="preserve">Afectación predominio urogenital </t>
  </si>
  <si>
    <t>SECCIÓN H: APLICACIÓN DE TAMIZAJE PARA EVALUAR RIESGO DE TRASTORNOS O PROBLEMAS DE SALUD MENTAL EN APS</t>
  </si>
  <si>
    <t>Nº de cuestionario PSC-17</t>
  </si>
  <si>
    <t>Nº de cuestionario PSC-y-17</t>
  </si>
  <si>
    <t xml:space="preserve">N° de cuestionario PHQ-9 modificado para adolescentes </t>
  </si>
  <si>
    <t xml:space="preserve">N° de cuestionario PHQ-9 para adultos </t>
  </si>
  <si>
    <t>N° de escala CAPE-P15</t>
  </si>
  <si>
    <t xml:space="preserve">Escala de Columbia </t>
  </si>
  <si>
    <t>SECCIÓN I: APLICACIÓN Y RESULTADO DE PAUTA EVALUACIÓN PROGRAMA ACOMPAÑAMIENTO PSICOSOCIAL EN APS</t>
  </si>
  <si>
    <t xml:space="preserve">Bajo </t>
  </si>
  <si>
    <t>SECCIÓN J: ATENCIONES REALIZADAS POR PROFESIONALES EN EL PROCESO DE EVALUACIÓN INTEGRAL DE DAÑO (PRAIS)</t>
  </si>
  <si>
    <t>ORIGEN DE SOLICITUD</t>
  </si>
  <si>
    <t>En consulta de ingreso a equipo PRAIS</t>
  </si>
  <si>
    <t xml:space="preserve">Demanda de usuario </t>
  </si>
  <si>
    <t xml:space="preserve">Solicitud de Tribunal </t>
  </si>
  <si>
    <r>
      <rPr>
        <b/>
        <sz val="8"/>
        <rFont val="Verdana"/>
        <family val="2"/>
      </rPr>
      <t xml:space="preserve">Primera sesión </t>
    </r>
    <r>
      <rPr>
        <sz val="8"/>
        <rFont val="Verdana"/>
        <family val="2"/>
      </rPr>
      <t xml:space="preserve">
(Usuarios atendidos por profesional)</t>
    </r>
  </si>
  <si>
    <t>Total sesión</t>
  </si>
  <si>
    <r>
      <rPr>
        <b/>
        <sz val="8"/>
        <rFont val="Verdana"/>
        <family val="2"/>
      </rPr>
      <t xml:space="preserve">Segunda sesión </t>
    </r>
    <r>
      <rPr>
        <sz val="8"/>
        <rFont val="Verdana"/>
        <family val="2"/>
      </rPr>
      <t xml:space="preserve">
(Profesionales que realizan 2 de 4 evaluaciones, las que pueden ser; Social, Psicológica, Médica y/o Psiquiátrica)</t>
    </r>
  </si>
  <si>
    <t>Médico/a General</t>
  </si>
  <si>
    <t xml:space="preserve">Médico/a Psiquiatra </t>
  </si>
  <si>
    <t xml:space="preserve">Médico/a especialidad-subespecialidad </t>
  </si>
  <si>
    <t>Otro profesional</t>
  </si>
  <si>
    <r>
      <rPr>
        <b/>
        <sz val="8"/>
        <rFont val="Verdana"/>
        <family val="2"/>
      </rPr>
      <t>Tercera sesión</t>
    </r>
    <r>
      <rPr>
        <sz val="8"/>
        <rFont val="Verdana"/>
        <family val="2"/>
      </rPr>
      <t xml:space="preserve">
(Profesionales que realizan las 2 evaluaciones restantes, respecto a las realizadas en la 3° sesión, pudiendo ser; Social, Psicológica, Médica y/o Psiquiátrica)</t>
    </r>
  </si>
  <si>
    <r>
      <rPr>
        <b/>
        <sz val="8"/>
        <rFont val="Verdana"/>
        <family val="2"/>
      </rPr>
      <t xml:space="preserve">Cuarta sesión </t>
    </r>
    <r>
      <rPr>
        <sz val="8"/>
        <rFont val="Verdana"/>
        <family val="2"/>
      </rPr>
      <t xml:space="preserve">
(Profesional participante en redacción de informe por cada caso) </t>
    </r>
  </si>
  <si>
    <r>
      <rPr>
        <b/>
        <sz val="8"/>
        <rFont val="Verdana"/>
        <family val="2"/>
      </rPr>
      <t xml:space="preserve">Quinta sesión </t>
    </r>
    <r>
      <rPr>
        <sz val="8"/>
        <rFont val="Verdana"/>
        <family val="2"/>
      </rPr>
      <t xml:space="preserve">
(Profesional participante en entrega de informe por cada caso) </t>
    </r>
  </si>
  <si>
    <r>
      <rPr>
        <b/>
        <sz val="8"/>
        <rFont val="Verdana"/>
        <family val="2"/>
      </rPr>
      <t xml:space="preserve">Sexta sesión </t>
    </r>
    <r>
      <rPr>
        <sz val="8"/>
        <rFont val="Verdana"/>
        <family val="2"/>
      </rPr>
      <t xml:space="preserve">
(Profesional que realiza acompañamiento, representación jurídica y/o testificación en tribunal por cada caso)</t>
    </r>
  </si>
  <si>
    <t>TOTAL DE ATENCIONES</t>
  </si>
  <si>
    <t>SECCION K: ATENCIONES EN MODALIDADES DE APOYO AL DESARROLLO INFANTIL (MADIS) EN APS</t>
  </si>
  <si>
    <t>Actividad</t>
  </si>
  <si>
    <t xml:space="preserve">Ambos Sexos </t>
  </si>
  <si>
    <t xml:space="preserve">REM-A11.  EXÁMENES DE PESQUISA DE ENFERMEDADES TRASMISIBLES </t>
  </si>
  <si>
    <t>SECCION A: EXÁMENES DE SÍFILIS</t>
  </si>
  <si>
    <t>SECCIÓN A.1: EXAMEN VDRL POR GRUPO DE USUARIOS (USO EXCLUSIVO DE ESTABLECIMIENTOS CON LABORATORIO QUE PROCESAN)</t>
  </si>
  <si>
    <t>GRUPO DE PESQUISA</t>
  </si>
  <si>
    <t>POR SEXO (Procesados)</t>
  </si>
  <si>
    <t>Procesados</t>
  </si>
  <si>
    <t>Reactivos</t>
  </si>
  <si>
    <t>Gestantes primer trimestre embarazo</t>
  </si>
  <si>
    <t>Gestantes segundo trimestre embarazo</t>
  </si>
  <si>
    <t>Gestantes tercer trimestre embarazo</t>
  </si>
  <si>
    <t>Gestantes trimestre embarazo ignorado</t>
  </si>
  <si>
    <t>Gestantes en seguimiento por diagnóstico sífilis</t>
  </si>
  <si>
    <t>Pareja de gestante con serología reactiva</t>
  </si>
  <si>
    <t>Mujeres que ingresan a maternidad por parto</t>
  </si>
  <si>
    <t>Mujeres que ingresan por aborto</t>
  </si>
  <si>
    <t>Mujeres en control ginecológico</t>
  </si>
  <si>
    <t>Recién nacido y lactante para detección de sífilis congénita</t>
  </si>
  <si>
    <t>Personas en control por comercio sexual</t>
  </si>
  <si>
    <t>Personas en control fecundidad</t>
  </si>
  <si>
    <t>Consultantes por ITS</t>
  </si>
  <si>
    <t>Personas EMP/EMPAM</t>
  </si>
  <si>
    <t>Donantes de sangre</t>
  </si>
  <si>
    <t>Donantes de órganos y/o tejidos</t>
  </si>
  <si>
    <t>Pacientes en diálisis</t>
  </si>
  <si>
    <t>Víctima de violencia sexual</t>
  </si>
  <si>
    <t>SECCIÓN A.2: EXAMEN VDRL POR GRUPO DE USUARIOS (USO EXCLUSIVO DE ESTABLECIMIENTOS QUE COMPRAN SERVICIO)</t>
  </si>
  <si>
    <t>SECCIÓN A.3: EXAMEN RPR POR GRUPO DE USUARIOS (USO EXCLUSIVO DE ESTABLECIMIENTOS CON LABORATORIO QUE PROCESAN)</t>
  </si>
  <si>
    <t>SECCIÓN A.4: EXAMEN RPR POR GRUPO DE USUARIOS (USO EXCLUSIVO DE ESTABLECIMIENTOS QUE COMPRAN SERVICIO)</t>
  </si>
  <si>
    <t>SECCIÓN A.5: EXAMEN MHA-TP POR GRUPO DE USUARIOS (USO EXCLUSIVO DE ESTABLECIMIENTOS CON LABORATORIO QUE PROCESAN)</t>
  </si>
  <si>
    <t>SECCIÓN A.6: EXAMEN MHA-TP POR GRUPO DE USUARIOS (USO EXCLUSIVO DE ESTABLECIMIENTOS QUE COMPRAN SERVICIO)</t>
  </si>
  <si>
    <t>SECCIÓN B.1: EXÁMENES SEGÚN GRUPOS DE USUARIOS POR CONDICIÓN DE HEPATITIS B, HEPATITIS C, CHAGAS, HTLV 1 Y SIFILIS (USO EXCLUSIVO DE ESTABLECIMIENTOS CON LABORATORIO QUE PROCESAN)</t>
  </si>
  <si>
    <t>GRUPO DE USUARIOS</t>
  </si>
  <si>
    <t>HEPATITIS  B</t>
  </si>
  <si>
    <t>HEPATITIS  C</t>
  </si>
  <si>
    <t>CHAGAS</t>
  </si>
  <si>
    <t>HTLV1</t>
  </si>
  <si>
    <t>Confirmados</t>
  </si>
  <si>
    <t>Usuarios</t>
  </si>
  <si>
    <t>Altruista nuevo</t>
  </si>
  <si>
    <t>Altruista repetido</t>
  </si>
  <si>
    <t>Familiar o Reposición</t>
  </si>
  <si>
    <t>Donantes de organos y/o tejidos</t>
  </si>
  <si>
    <t>SECCIÓN B.2: EXÁMENES SEGÚN GRUPOS DE USUARIOS POR CONDICIÓN DE HEPATITIS B, HEPATITIS C, CHAGAS, HTLV 1 Y SIFILIS (USO EXCLUSIVO DE ESTABLECIMIENTOS QUE COMPRAN SERVICIO)</t>
  </si>
  <si>
    <t>SECCIÓN C.1: EXÁMENES  DE  VIH POR GRUPOS DE USUARIOS (USO EXCLUSIVO DE ESTABLECIMIENTOS CON LABORATORIO QUE PROCESAN)</t>
  </si>
  <si>
    <t>POR SEXO</t>
  </si>
  <si>
    <t>14-18 años</t>
  </si>
  <si>
    <t xml:space="preserve"> 65 y más años</t>
  </si>
  <si>
    <t>Confirmados positivos por ISP</t>
  </si>
  <si>
    <t>Gestantes primer examen</t>
  </si>
  <si>
    <t>Gestantes segundo examen</t>
  </si>
  <si>
    <t>Mujer en trabajo de pre parto o parto</t>
  </si>
  <si>
    <t>Por consulta ITS</t>
  </si>
  <si>
    <t>Personas en control de regulación fecundidad, ginecológico, climaterio</t>
  </si>
  <si>
    <t>Personas en control de salud según ciclo vital</t>
  </si>
  <si>
    <t>Persona en control por TBC</t>
  </si>
  <si>
    <t>Pareja serodiscordante</t>
  </si>
  <si>
    <t>Pareja de gestante VIH positivo</t>
  </si>
  <si>
    <t>Personal de salud expuesto a accidente cortopunzante</t>
  </si>
  <si>
    <t>Pacientes fuente de accidente cortopunzante</t>
  </si>
  <si>
    <t>Persona en control por Hepatitis B</t>
  </si>
  <si>
    <t>Persona en control por Hepatitis C</t>
  </si>
  <si>
    <t>Consultantes por morbilidad</t>
  </si>
  <si>
    <t>Por consulta espontánea</t>
  </si>
  <si>
    <t>SECCIÓN C.2: EXÁMENES  DE  VIH POR GRUPOS DE USUARIOS (USO EXCLUSIVO DE ESTABLECIMIENTOS QUE COMPRAN SERVICIO)</t>
  </si>
  <si>
    <t xml:space="preserve">SECCIÓN D: EXÁMENES DE GONORREA POR GRUPOS DE USUARIOS </t>
  </si>
  <si>
    <t>POR SEXO
(Procesados)</t>
  </si>
  <si>
    <t>Comercio sexual</t>
  </si>
  <si>
    <t>Personas VIH (+)</t>
  </si>
  <si>
    <t xml:space="preserve">SECCIÓN E: EXÁMENES DE CHLAMYIDIA TRACHOMATIS POR GRUPOS DE USUARIOS </t>
  </si>
  <si>
    <t>SECCIÓN F: EXÁMENES  DE  VIH POR TECNICA VISUAL/RAPIDA Y GRUPOS DE USUARIOS (USO EXCLUSIVO DE ESTABLECIMIENTOS NO LABORATORIOS)</t>
  </si>
  <si>
    <t>GRUPOS DE USUARIOS POR INSTANCIA</t>
  </si>
  <si>
    <t>65 y Mas años</t>
  </si>
  <si>
    <t>Interior establecimiento salud (intramuro)</t>
  </si>
  <si>
    <t>Mujer en trabajo de preparto o parto</t>
  </si>
  <si>
    <t xml:space="preserve">Personas EMP/EMPAM </t>
  </si>
  <si>
    <t>Persona en control por hepatitis B</t>
  </si>
  <si>
    <t>Persona en control por hepatitis C</t>
  </si>
  <si>
    <t>Exterior establecimiento de salud (extramuro)</t>
  </si>
  <si>
    <t>Centros penitenciarios</t>
  </si>
  <si>
    <t>Centros SENAME</t>
  </si>
  <si>
    <t>Centros educacionales</t>
  </si>
  <si>
    <t xml:space="preserve">Otros </t>
  </si>
  <si>
    <t xml:space="preserve">GRUPO DE EDAD </t>
  </si>
  <si>
    <t>Gestantes con examen de Chagas solicitado</t>
  </si>
  <si>
    <t>Gestantes con examen de Chagas informado</t>
  </si>
  <si>
    <t>Gestantes con examen de Chagas confirmado</t>
  </si>
  <si>
    <t>Gestantes que ingresan a maternidad sin examen de enfermedad de Chagas</t>
  </si>
  <si>
    <t>Mujeres en Control Preconcepcional</t>
  </si>
  <si>
    <t xml:space="preserve">SECCIÓN H: DIAGNÓSTICO TRANSMISIÓN VERTICAL MADRE HIJO/A CON ENFERMEDAD DE CHAGAS </t>
  </si>
  <si>
    <t xml:space="preserve"> CONDICIÓN</t>
  </si>
  <si>
    <t>Menos de 1 mes</t>
  </si>
  <si>
    <t>7 meses</t>
  </si>
  <si>
    <t>8 meses</t>
  </si>
  <si>
    <t>9 meses</t>
  </si>
  <si>
    <t>10 meses</t>
  </si>
  <si>
    <t>11 meses</t>
  </si>
  <si>
    <t>12 meses</t>
  </si>
  <si>
    <t>13 meses</t>
  </si>
  <si>
    <t>14 meses</t>
  </si>
  <si>
    <t>15 meses</t>
  </si>
  <si>
    <t xml:space="preserve">Hijos/as de Madre con Enfermedad de Chagas nacidos en el periodo </t>
  </si>
  <si>
    <t>Hijos/as de Madre con Enfermedad de Chagas con diagnóstico directo realizado</t>
  </si>
  <si>
    <t xml:space="preserve">Hijos/as de Madre con Enfermedad de Chagas con diagnóstico finalizado e informado (1° muestra) </t>
  </si>
  <si>
    <t xml:space="preserve">Hijos/as de Madre con Enfermedad de Chagas con diagnóstico finalizado e informado (2° muestra) </t>
  </si>
  <si>
    <t xml:space="preserve">Hijos/as de Madre con enfermedad de Chagas con diagnóstico finalizado e informado (3° muestra) </t>
  </si>
  <si>
    <t>SECCION I: TRATAMIENTOS FAMACOLÓGICOS</t>
  </si>
  <si>
    <t>1-4 años</t>
  </si>
  <si>
    <t>Personas con enfermedad de Chagas que ingresan a tratamiento farmacológico en el periodo (nifurtimox)</t>
  </si>
  <si>
    <t>Personas con enfermedad de Chagas que suspenden o rechazan tratamiento farmacológico en el periodo (nifurtimox)</t>
  </si>
  <si>
    <t>Personas con enfermedad de Chagas que finalizan tratamiento farmacológico en el periodo (nifurtimox)</t>
  </si>
  <si>
    <t>Personas con enfermedad de Chagas que ingresan a tratamiento farmacológico en el periodo (benznidazol)</t>
  </si>
  <si>
    <t>Personas con enfermedad de Chagas que suspenden o rechazan tratamiento farmacológico en el periodo (benznidazol)</t>
  </si>
  <si>
    <t>Personas con enfermedad de Chagas que finalizan tratamiento farmacológico en el periodo (benznidazol)</t>
  </si>
  <si>
    <t>SECCION J: DONANTES CONFIRMADOS ENFERMERDAD DE CHAGAS</t>
  </si>
  <si>
    <t>Donantes confirmados con enfermedad de Chagas en el periodo</t>
  </si>
  <si>
    <t>Donantes confirmados e  informados de su condición serologica para enfermedad de Chagas</t>
  </si>
  <si>
    <t>SECCIÓN K: SEGUIMIENTO DE CASOS</t>
  </si>
  <si>
    <t>Control de las personas con Chagas crónico en Atencion Primaria de Salud</t>
  </si>
  <si>
    <t>Estudio de  contactos familiares de un caso por Infección por T cruzi</t>
  </si>
  <si>
    <t>Casos contactos familiares confirmados por Infección por T cruzi</t>
  </si>
  <si>
    <t>REM-A11a. TRANSMISIÓN VERTICAL MATERNO INFANTIL</t>
  </si>
  <si>
    <t>SECCION A: TRATAMIENTO DE SÍFILIS EN GESTANTES</t>
  </si>
  <si>
    <t>Gestantes con 1° test no treponémico reactivo en este embarazo con  penicilina administrada en Atención Primaria</t>
  </si>
  <si>
    <t xml:space="preserve">Gestantes con 1° test no treponémico reactivo </t>
  </si>
  <si>
    <t>Gestantes con 1° test no treponémico reactivo en este embarazo  con penicilina administrada en especialidades</t>
  </si>
  <si>
    <t>Gestantes con 1° test no treponémico reactivo en este embarazo</t>
  </si>
  <si>
    <t>Gestantes con 1° test no treponemico reactivo en este embarazo con  penicilina administrada al parto</t>
  </si>
  <si>
    <t>SECCIÓN B: NIÑOS Y NIÑAS EXPUESTOS A LA SÍFILIS TRATADOS AL NACER</t>
  </si>
  <si>
    <t>Recién nacidos/as expuestos a sífilis (hijos de mujer con serología reactiva para sífilis al parto no tratada o inadecuadamente tratada), que reciben tratamiento para sífilis congénita al nacer</t>
  </si>
  <si>
    <t>Recién nacidos/as expuestos a sífilis (hijos de mujer con serología reactiva para sífilis al parto  no tratada o inadecuadamente tratada)</t>
  </si>
  <si>
    <t>SECCIÓN C: ABORTOS Y DEFUNCIONES FETALES ATRIBUIDAS A SÍFILIS SEGÚN EDAD GESTACIONAL</t>
  </si>
  <si>
    <t xml:space="preserve">Mujeres con serología reactiva para sífilis con aborto menor o igual a 19+6 semanas o menor a 500 grs </t>
  </si>
  <si>
    <t xml:space="preserve">Mujeres con aborto menor o igual a 19+6 semanas o menor a 500 grs </t>
  </si>
  <si>
    <t xml:space="preserve">Mujeres con serología reactiva para sífilis con aborto entre las 20 y las 21+6 semanas o mayor a 500 grs </t>
  </si>
  <si>
    <t xml:space="preserve">Mujeres con aborto entre las 20 y las 21+6 semanas o mayor a 500 grs </t>
  </si>
  <si>
    <t xml:space="preserve">Mujeres con serología reactiva para sífilis con mortinato mayor o igual a 22 semanas </t>
  </si>
  <si>
    <t xml:space="preserve">Mujeres con mortinato mayor o igual a 22 semanas </t>
  </si>
  <si>
    <t>SECCION D: APLICACIÓN DE PROFILAXIS OCULAR PARA GONORREA EN RECIÉN NACIDOS</t>
  </si>
  <si>
    <t>Recién Nacidos  vivos que reciben profilaxis ocular para gonorrea al nacer</t>
  </si>
  <si>
    <t xml:space="preserve">Recién nacidos vivos </t>
  </si>
  <si>
    <t>SECCIÓN E: MUJERES VIH QUE RECIBE PROTOCOLO PREVENCIÓN TRANSMISIÓN VERTICAL AL PARTO (PTV)</t>
  </si>
  <si>
    <r>
      <t xml:space="preserve">Mujeres VIH (+) </t>
    </r>
    <r>
      <rPr>
        <b/>
        <sz val="8"/>
        <rFont val="Verdana"/>
        <family val="2"/>
      </rPr>
      <t xml:space="preserve">confirmada </t>
    </r>
    <r>
      <rPr>
        <sz val="8"/>
        <rFont val="Verdana"/>
        <family val="2"/>
      </rPr>
      <t>por ISP que recibieron protocolo PTV completo al parto</t>
    </r>
  </si>
  <si>
    <r>
      <t xml:space="preserve">Mujeres VIH (+) </t>
    </r>
    <r>
      <rPr>
        <b/>
        <sz val="8"/>
        <rFont val="Verdana"/>
        <family val="2"/>
      </rPr>
      <t>confirmada</t>
    </r>
    <r>
      <rPr>
        <sz val="8"/>
        <rFont val="Verdana"/>
        <family val="2"/>
      </rPr>
      <t xml:space="preserve"> por ISP que recibieron protocolo PTV incompleto al parto</t>
    </r>
  </si>
  <si>
    <r>
      <t xml:space="preserve">Mujeres VIH (+) </t>
    </r>
    <r>
      <rPr>
        <b/>
        <sz val="8"/>
        <rFont val="Verdana"/>
        <family val="2"/>
      </rPr>
      <t>confirmada</t>
    </r>
    <r>
      <rPr>
        <sz val="8"/>
        <rFont val="Verdana"/>
        <family val="2"/>
      </rPr>
      <t xml:space="preserve"> por ISP que no recibieron protocolo PTV al parto</t>
    </r>
  </si>
  <si>
    <r>
      <t xml:space="preserve">Mujeres VIH (+) </t>
    </r>
    <r>
      <rPr>
        <b/>
        <sz val="8"/>
        <rFont val="Verdana"/>
        <family val="2"/>
      </rPr>
      <t>confirmada</t>
    </r>
    <r>
      <rPr>
        <sz val="8"/>
        <rFont val="Verdana"/>
        <family val="2"/>
      </rPr>
      <t xml:space="preserve"> por ISP atendidas por parto </t>
    </r>
  </si>
  <si>
    <r>
      <t xml:space="preserve">Mujeres con serología VIH (+) </t>
    </r>
    <r>
      <rPr>
        <b/>
        <sz val="8"/>
        <rFont val="Verdana"/>
        <family val="2"/>
      </rPr>
      <t>no confirmada</t>
    </r>
    <r>
      <rPr>
        <sz val="8"/>
        <rFont val="Verdana"/>
        <family val="2"/>
      </rPr>
      <t xml:space="preserve"> por ISP que recibieron protocolo PTV completo al parto</t>
    </r>
  </si>
  <si>
    <r>
      <t xml:space="preserve">Mujeres con serología VIH (+) </t>
    </r>
    <r>
      <rPr>
        <b/>
        <sz val="8"/>
        <rFont val="Verdana"/>
        <family val="2"/>
      </rPr>
      <t>no confirmada</t>
    </r>
    <r>
      <rPr>
        <sz val="8"/>
        <rFont val="Verdana"/>
        <family val="2"/>
      </rPr>
      <t xml:space="preserve"> por ISP que recibieron protocolo PTV incompleto al parto</t>
    </r>
  </si>
  <si>
    <r>
      <t xml:space="preserve">Mujeres con serología VIH (+) </t>
    </r>
    <r>
      <rPr>
        <b/>
        <sz val="8"/>
        <rFont val="Verdana"/>
        <family val="2"/>
      </rPr>
      <t>no confirmada</t>
    </r>
    <r>
      <rPr>
        <sz val="8"/>
        <rFont val="Verdana"/>
        <family val="2"/>
      </rPr>
      <t xml:space="preserve"> por ISP que No recibieron protocolo PTV al parto</t>
    </r>
  </si>
  <si>
    <r>
      <t xml:space="preserve">Mujeres con serología VIH (+) </t>
    </r>
    <r>
      <rPr>
        <b/>
        <sz val="8"/>
        <rFont val="Verdana"/>
        <family val="2"/>
      </rPr>
      <t>no confirmada</t>
    </r>
    <r>
      <rPr>
        <sz val="8"/>
        <rFont val="Verdana"/>
        <family val="2"/>
      </rPr>
      <t xml:space="preserve"> por ISP atendidas por parto  </t>
    </r>
  </si>
  <si>
    <t>SECCIÓN F: RECIÉN NACIDOS EXPUESTOS AL VIH QUE RECIBE PROTOCOLO DE TRANSMISIÓN VERTICAL</t>
  </si>
  <si>
    <t xml:space="preserve">Recién nacidos vivos hijos de mujer VIH (+) confirmada por ISP que iniciaron profilaxis para VIH durante las primeras 12 hrs. de vida </t>
  </si>
  <si>
    <t>Recién nacidos vivos hijos de mujer VIH (+) confirmada por ISP</t>
  </si>
  <si>
    <t xml:space="preserve">Recién nacidos vivos hijos de mujer con serología VIH (+) no confirmada por ISP que iniciaron profilaxis para VIH durante las primeras 12 hrs. de vida </t>
  </si>
  <si>
    <t>Recién nacidos vivos hijos de mujer con serología VIH (+) no confirmada por ISP</t>
  </si>
  <si>
    <t>SECCIÓN G: RECIÉN NACIDOS EXPUESTOS AL VIH QUE RECIBEN LECHE MATERNIZADA AL ALTA</t>
  </si>
  <si>
    <t>Recién nacidos vivos hijos de mujer VIH (+) confirmada por ISP que recibieron leche maternizada al alta (para ser consumida en su casa)</t>
  </si>
  <si>
    <t>Recien nacidos vivos hijos de mujer con serología VIH (+) no confirmada por el ISP  que recibieron leche maternizada al alta (para ser consumida en su casa)</t>
  </si>
  <si>
    <t>Recien nacidos vivos hijos de mujer con serología VIH (+) no confirmada por el ISP</t>
  </si>
  <si>
    <t>Gestantes estudiadas para EGB en APS</t>
  </si>
  <si>
    <t xml:space="preserve">Gestantes estudiadas en APS con examen EGB (+) </t>
  </si>
  <si>
    <t>Gestantes estudiadas para EGB en Especialidades</t>
  </si>
  <si>
    <t xml:space="preserve">Gestantes estudiadas en Especialidades con examen EGB (+) </t>
  </si>
  <si>
    <t>Gestantes estudiadas para EGB en nivel hospitalario</t>
  </si>
  <si>
    <t xml:space="preserve">Gestantes estudiadas en nivel hospitalario con examen EGB (+) </t>
  </si>
  <si>
    <t xml:space="preserve">Gestantes con solicitud de estudio serológico para Hepatitis B </t>
  </si>
  <si>
    <t xml:space="preserve">Gestantes con estudio serológico positivo confirmado para Hepatitis B </t>
  </si>
  <si>
    <t xml:space="preserve">Gestantes con Hepatitis B positivo derivada con especialista (Gastroenterólogo, hepatólogo u otro) </t>
  </si>
  <si>
    <t>Gestantes con Hepatitis B positivo derivada con especialista (Gastroenterólogo, hepatólogo u otro)</t>
  </si>
  <si>
    <t>SECCION J: PROFILAXIS DE TRANSMISIÓN VERTICAL APLICADA AL RECIEN NACIDO, HIJO DE MADRE HEPATITIS B POSITIVA</t>
  </si>
  <si>
    <t>Recién nacidos hijos de madre Hepatitis B positiva, nacidos en el periodo</t>
  </si>
  <si>
    <t>Recién nacidos hijos de madre Hepatitis B positiva que recibieron profilaxis completa, según la normativa vigente</t>
  </si>
  <si>
    <t>SECCION K: SEGUIMIENTO DE NIÑOS Y NIÑAS AL AÑO DE VIDA</t>
  </si>
  <si>
    <t>Niños/as hijos de madre Hepatitis B positiva evaluados al año de vida</t>
  </si>
  <si>
    <t>Niños/as hijos de madre Hepatitis B positiva, evaluados al año de vida, confirmado positivo de transmisión vertical para Hepatitis B</t>
  </si>
  <si>
    <t>REM-19a.   ACTIVIDADES DE PROMOCIÓN Y PREVENCIÓN DE LA SALUD</t>
  </si>
  <si>
    <t>SECCIÓN A: CONSEJERÍAS</t>
  </si>
  <si>
    <t>SECCIÓN A.1: CONSEJERÍAS INDIVIDUALES</t>
  </si>
  <si>
    <t>ACTIVIDADES Y ÁREAS TEMÁTICAS</t>
  </si>
  <si>
    <t>Espacios Amigables/ adolescentes</t>
  </si>
  <si>
    <t xml:space="preserve">15-19 años </t>
  </si>
  <si>
    <t>70-74 años</t>
  </si>
  <si>
    <t>75- 79 años</t>
  </si>
  <si>
    <t>Actividad física y alimentación saludable</t>
  </si>
  <si>
    <t>Psicólogo /a</t>
  </si>
  <si>
    <t>Terapeuta ocupacional</t>
  </si>
  <si>
    <t>Facilitador/a intercultural</t>
  </si>
  <si>
    <t>Consumo de drogas</t>
  </si>
  <si>
    <t>Salud sexual y reproductiva con o sin entrega de preservativos</t>
  </si>
  <si>
    <t>Regulación de fertilidad con o sin entrega de preservativos</t>
  </si>
  <si>
    <t>Prevención VIH e infección de transmisión sexual (ITS) con o sin entrega de preservativos</t>
  </si>
  <si>
    <t>Psicóloga /o</t>
  </si>
  <si>
    <t>Prevención de la transmisión vertical del VIH (embarazadas) con o sin entrega de preservativos</t>
  </si>
  <si>
    <t>Médico/a previo examen VIH</t>
  </si>
  <si>
    <t>Médico/a post test</t>
  </si>
  <si>
    <t>Matrón /na post test</t>
  </si>
  <si>
    <t>Desarrollo infantil integral</t>
  </si>
  <si>
    <t>SECCIÓN A.2: CONSEJERÍAS INDIVIDUALES POR VIH (NO INCLUIDAS EN LA SECCIÓN A.1)</t>
  </si>
  <si>
    <t>CONSEJERÍAS</t>
  </si>
  <si>
    <t>ÁREA O NIVEL</t>
  </si>
  <si>
    <t>Orientación e información previa al examen VIH</t>
  </si>
  <si>
    <t>Atención de donantes de sangre total y aféresis</t>
  </si>
  <si>
    <t>En CDT - CRS</t>
  </si>
  <si>
    <t>En APS</t>
  </si>
  <si>
    <t>En APS - espacios amigables</t>
  </si>
  <si>
    <t>En otras instancias</t>
  </si>
  <si>
    <t>Consejerías post test VIH</t>
  </si>
  <si>
    <t>SECCIÓN A.3: CONSEJERÍAS FAMILIARES</t>
  </si>
  <si>
    <t>Temas prioridad</t>
  </si>
  <si>
    <t>FAMILIA</t>
  </si>
  <si>
    <t>Con riesgo psicosocial</t>
  </si>
  <si>
    <t>Con integrante de patología crónica</t>
  </si>
  <si>
    <t>Con integrante con problema de salud mental</t>
  </si>
  <si>
    <t>Con adulto mayor dependiente</t>
  </si>
  <si>
    <t>Con adulto mayor con demencia</t>
  </si>
  <si>
    <t>Con integrante con enfermedad terminal</t>
  </si>
  <si>
    <t>Con integrante dependiente severo</t>
  </si>
  <si>
    <t>Otras áreas de intervención</t>
  </si>
  <si>
    <t>Con adolescente VIH (+)</t>
  </si>
  <si>
    <t>SECCIÓN A.4: CONSEJERÍAS INDIVIDUALES  CON ENTREGA DE PRESERVATIVOS (INCLUIDAS EN SECCIÓN A.1)</t>
  </si>
  <si>
    <t>14 a 18 años</t>
  </si>
  <si>
    <t xml:space="preserve">Consejería con entrega de preservativos </t>
  </si>
  <si>
    <t>Condones masculinos</t>
  </si>
  <si>
    <t>Condones femeninos</t>
  </si>
  <si>
    <t>Ambos tipos de condones</t>
  </si>
  <si>
    <t>SECCIÓN B: ACTIVIDADES DE PROMOCIÓN</t>
  </si>
  <si>
    <t>SECCIÓN B.1: ACTIVIDADES DE PROMOCIÓN SEGÚN ESTRATEGIAS Y CONDICIONANTES ABORDADAS Y NÚMERO DE PARTICIPANTES</t>
  </si>
  <si>
    <t>ESTRATEGIA, ESPACIOS O LÍNEAS DE ACCIÓN</t>
  </si>
  <si>
    <t>CONDICIONANTES ABORDADAS</t>
  </si>
  <si>
    <t xml:space="preserve"> Determinantes Sociales de La Salud Abordadas - Chile Crece Contigo</t>
  </si>
  <si>
    <t>Total Participantes</t>
  </si>
  <si>
    <t>Actividad física</t>
  </si>
  <si>
    <t xml:space="preserve">Alimentación </t>
  </si>
  <si>
    <t>Ambiente libre de humo de tabaco</t>
  </si>
  <si>
    <t>Factores protectores psicosociales</t>
  </si>
  <si>
    <t>Factores protectores ambientales</t>
  </si>
  <si>
    <t>Derechos humanos</t>
  </si>
  <si>
    <t>Salud sexual y prevención de VIH/SIDA e ITS</t>
  </si>
  <si>
    <t xml:space="preserve">Eventos  masivos </t>
  </si>
  <si>
    <t>Comunas, comunidades</t>
  </si>
  <si>
    <t>Espacios amigables en APS</t>
  </si>
  <si>
    <t>Lugares de trabajo</t>
  </si>
  <si>
    <t>Establecimientos educación</t>
  </si>
  <si>
    <t>Reuniones de planificación participativa</t>
  </si>
  <si>
    <t>Jornadas y  seminarios</t>
  </si>
  <si>
    <t xml:space="preserve">Educación grupal </t>
  </si>
  <si>
    <t>SECCIÓN B.2: TALLERES GRUPALES DE VIDA SANA SEGÚN TIPO, POR ESPACIOS DE ACCIÓN</t>
  </si>
  <si>
    <t>ESPACIOS DE ACCIÓN</t>
  </si>
  <si>
    <t>Autoestima y Autocuidado</t>
  </si>
  <si>
    <t>Mente Sana y Cuerpo Sano</t>
  </si>
  <si>
    <t>Comunicación</t>
  </si>
  <si>
    <t>Yo Me Cuido</t>
  </si>
  <si>
    <t>Control del Tabaco</t>
  </si>
  <si>
    <t>Otros Tipo de Talleres</t>
  </si>
  <si>
    <t>SECCIÓN B.3: ACTIVIDADES DE GESTIÓN SEGÚN TIPO, POR ESPACIOS DE ACCIÓN</t>
  </si>
  <si>
    <t>Total Actividades</t>
  </si>
  <si>
    <t xml:space="preserve">Reuniones de Gestión </t>
  </si>
  <si>
    <t>Reuniones Masivas de Gestión</t>
  </si>
  <si>
    <t>Acciones de Comunicación y Difusión</t>
  </si>
  <si>
    <t>Preparación Actividades Educativas</t>
  </si>
  <si>
    <t>Entrevistas</t>
  </si>
  <si>
    <t>Investigación y Capacitación de RRHH</t>
  </si>
  <si>
    <t>Oficina intercultural</t>
  </si>
  <si>
    <t xml:space="preserve">SECCIÓN B.4: TALLERES GRUPALES SEGÚN TEMÁTICA Y NUMERO DE PARTICIPANTES EN PROGRAMA ESPACIOS AMIGABLES </t>
  </si>
  <si>
    <t>Total Talleres en Actividad Física</t>
  </si>
  <si>
    <t xml:space="preserve">Total Talleres en Alimentación </t>
  </si>
  <si>
    <t>Total Talleres en Libre de Humo del Tabaco</t>
  </si>
  <si>
    <t xml:space="preserve">Total Talleres en Factores Protectores Psicosociales </t>
  </si>
  <si>
    <t>Total Talleres en Prevención Consumo de Alcohol y Otras Drogas</t>
  </si>
  <si>
    <t>Total Talleres en Salud Sexual y Prevención de VIH/SIDA e ITS</t>
  </si>
  <si>
    <t>Total Talleres en Otros Tipos de Talleres</t>
  </si>
  <si>
    <t>Espacios Comunitarios</t>
  </si>
  <si>
    <t>Establecimientos Educacionales</t>
  </si>
  <si>
    <t>Centros de Salud</t>
  </si>
  <si>
    <t>SECCIÓN C: TRABAJO CON AGRUPACIONES DE USUARIOS, COMUNIDAD Y DERECHOS HUMANOS (PRAIS) (CONTENIDAS EN SECCIÓN B.1)</t>
  </si>
  <si>
    <t xml:space="preserve">ESTRATEGIA, ESPACIOS  O LÍNEAS DE ACCIÓN </t>
  </si>
  <si>
    <t xml:space="preserve">Total Participantes </t>
  </si>
  <si>
    <t>SECCIÓN D: TRABAJO INTERSECTORIAL PRAIS (CONTENIDAS EN REM A06, SECCIÓN C.1)</t>
  </si>
  <si>
    <t>Trabajo intersectorial</t>
  </si>
  <si>
    <t>Trabajo con organizaciones comunitarias de base</t>
  </si>
  <si>
    <t>Trabajo con organizaciones de usuarios y familiares</t>
  </si>
  <si>
    <t>Colaboración con grupo de autoayuda</t>
  </si>
  <si>
    <t>Reuniones con instituciones del intersector acompañamiento psicosocial</t>
  </si>
  <si>
    <t>Reuniones con organizaciones comunitarias acompañamiento psicosocial</t>
  </si>
  <si>
    <t>REM-A19b.  ACTIVIDADES DE PARTICIPACIÓN SOCIAL</t>
  </si>
  <si>
    <t>SECCIÓN A: ATENCIÓN OFICINAS DE INFORMACIONES (SISTEMA INTEGRAL DE ATENCIÓN A USUARIOS)</t>
  </si>
  <si>
    <t>TIPO DE ATENCION</t>
  </si>
  <si>
    <t>Nº DE ATENCIONES EN EL MES</t>
  </si>
  <si>
    <t>Reclamos Respondidos Fuera de Plazos Legales</t>
  </si>
  <si>
    <t>Reclamos Pendientes</t>
  </si>
  <si>
    <t>Reclamos generados en el mes</t>
  </si>
  <si>
    <t>Reclamos generados en el mes anterior</t>
  </si>
  <si>
    <t>Respuestas pendientes dentro del plazo legal</t>
  </si>
  <si>
    <t>Respuestas pendientes fuera del plazo legal</t>
  </si>
  <si>
    <t xml:space="preserve"> Masculino</t>
  </si>
  <si>
    <t xml:space="preserve"> Femenino</t>
  </si>
  <si>
    <t xml:space="preserve">TOTAL DE RECLAMOS </t>
  </si>
  <si>
    <t>Trato</t>
  </si>
  <si>
    <t>Competencia técnica</t>
  </si>
  <si>
    <t>Información</t>
  </si>
  <si>
    <t>Procedimientos administrativos</t>
  </si>
  <si>
    <t>Probidad administrativa</t>
  </si>
  <si>
    <t>Incumplimiento Garantías Explícitas en Salud (GES)</t>
  </si>
  <si>
    <t>Incumplimiento de garantías Ley Ricarte Soto</t>
  </si>
  <si>
    <t>Incumplimiento de garantías FOFAR</t>
  </si>
  <si>
    <t>Sugerencias</t>
  </si>
  <si>
    <t>Felicitaciones</t>
  </si>
  <si>
    <t>Solicitudes</t>
  </si>
  <si>
    <t>Solicitudes Ley 20.285 (Ley de Transparencia)</t>
  </si>
  <si>
    <t>SECCIÓN B: ACTIVIDADES POR ESTRATEGIA/LÍNEA DE ACCIÓN O ESPACIO / INSTANCIA DE PARTICIPACIÓN SOCIAL</t>
  </si>
  <si>
    <t>TIPO DE ACTIVIDADES</t>
  </si>
  <si>
    <t xml:space="preserve">ESPACIOS/INSTANCIAS </t>
  </si>
  <si>
    <t>ESTRATEGIAS/LÍNEAS DE ACCIÓN</t>
  </si>
  <si>
    <t>PARTICIPANTES</t>
  </si>
  <si>
    <t>Consultas Ciudadanas</t>
  </si>
  <si>
    <t>Consejo de la Sociedad Civil, Consultivos, de Desarrollo y comités locales</t>
  </si>
  <si>
    <t xml:space="preserve"> Consejos consultivos de Adolescentes y Jóvenes</t>
  </si>
  <si>
    <t>Otras instancias de Participación Juvenil</t>
  </si>
  <si>
    <t>Cuentas públicas participativas</t>
  </si>
  <si>
    <t>Presupuestos participativos</t>
  </si>
  <si>
    <t>Estrategias de satisfacción usuaria</t>
  </si>
  <si>
    <t>Administración y gestión</t>
  </si>
  <si>
    <t>Reuniones intrasector</t>
  </si>
  <si>
    <t>Reuniones intersector</t>
  </si>
  <si>
    <t>Actividades de monitoreo</t>
  </si>
  <si>
    <t>Asesoría técnica</t>
  </si>
  <si>
    <t>Jornadas de intercambio de experiencias</t>
  </si>
  <si>
    <t>Actividades de difusión y comunicación</t>
  </si>
  <si>
    <t>Educación y capacitación comunitaria</t>
  </si>
  <si>
    <t>Eventos masivos (asambleas, cabildos, otros)</t>
  </si>
  <si>
    <t>Actividades a pueblos indígenas</t>
  </si>
  <si>
    <t>Actividades de participación social por Técnico en Enfermería</t>
  </si>
  <si>
    <t>REM-A24.   ATENCIÓN OBSTÉTRICA Y DEL RECIÉN NACIDO</t>
  </si>
  <si>
    <t>SECCIÓN A: INFORMACIÓN GENERAL DE PARTOS</t>
  </si>
  <si>
    <t>CARACTERISTICAS DEL PARTO</t>
  </si>
  <si>
    <t>PARTOS SEGÚN EDAD DE LA MADRE</t>
  </si>
  <si>
    <t>PARTOS PREMATUROS (CONSIDERAR SOBRE 22 SEMANAS)</t>
  </si>
  <si>
    <t>Uso de oxitocina profiláctica</t>
  </si>
  <si>
    <t>ANESTESIA Y/O ANALGESIA DEL PARTO (MEDIDAS FARMACOLÓGICAS Y NO FARMACOLÓGICAS)</t>
  </si>
  <si>
    <t>CONTACTO INMEDIATO PIEL A PIEL &gt;30 MINUTOS</t>
  </si>
  <si>
    <t>Lactancia materna en los primeros  60 minutos de vida  (RN con peso de 2.500 grs. o más)</t>
  </si>
  <si>
    <t>Atención con pertinencia cultural</t>
  </si>
  <si>
    <t>&lt; 15 años</t>
  </si>
  <si>
    <t>≥35 años</t>
  </si>
  <si>
    <t>Partos prematuros menos de 24 semanas</t>
  </si>
  <si>
    <t>Partos prematuros de 24 a 28 semanas</t>
  </si>
  <si>
    <t>Partos prematuros de 29 a 32 semanas</t>
  </si>
  <si>
    <t>Partos prematuros de 33 a 36 semanas</t>
  </si>
  <si>
    <t>Anestesia Neuroaxial</t>
  </si>
  <si>
    <t>Óxido nitroso</t>
  </si>
  <si>
    <t>Analgesia endovenosa</t>
  </si>
  <si>
    <t>General</t>
  </si>
  <si>
    <t>Local</t>
  </si>
  <si>
    <t>Medidas no farmacológicas</t>
  </si>
  <si>
    <t>Con la Madre</t>
  </si>
  <si>
    <t>Con el padre o acompañante significativo</t>
  </si>
  <si>
    <t xml:space="preserve">RN peso menor o igual a 2.499 grs. </t>
  </si>
  <si>
    <t>RN con peso de 2.500 grs. o más</t>
  </si>
  <si>
    <t>TOTAL PARTOS</t>
  </si>
  <si>
    <t>Vaginal</t>
  </si>
  <si>
    <t>Instrumental</t>
  </si>
  <si>
    <t>Cesárea Electiva</t>
  </si>
  <si>
    <t>Cesárea Urgencia</t>
  </si>
  <si>
    <t>Parto prehospitalario (en establecimientos salud o ambulancias)</t>
  </si>
  <si>
    <t>Partos fuera de la red de salud</t>
  </si>
  <si>
    <t xml:space="preserve">Entrega de placenta a solicitud </t>
  </si>
  <si>
    <t>Embarazo no controlado</t>
  </si>
  <si>
    <t>Parto en domicilio</t>
  </si>
  <si>
    <t>Con atención profesional</t>
  </si>
  <si>
    <t>Sin atención profesional</t>
  </si>
  <si>
    <t>SECCION A.1: PARTOS VAGINALES *</t>
  </si>
  <si>
    <t>CARACTERÍSTICAS DEL MODELO DE ATENCIÓN</t>
  </si>
  <si>
    <t>&lt;28 semanas</t>
  </si>
  <si>
    <t>38 semanas y más</t>
  </si>
  <si>
    <t>Espontáneo</t>
  </si>
  <si>
    <t>Inducidos</t>
  </si>
  <si>
    <t>Mecánica</t>
  </si>
  <si>
    <t>Farmacológica</t>
  </si>
  <si>
    <t>Conducción oxitócica</t>
  </si>
  <si>
    <t>Libertad de movimiento</t>
  </si>
  <si>
    <t>Régimen hídrico amplio</t>
  </si>
  <si>
    <t>Posición al momento del expulsivo</t>
  </si>
  <si>
    <t>Litotomía</t>
  </si>
  <si>
    <t>Otras posiciones</t>
  </si>
  <si>
    <t>Episiotomía</t>
  </si>
  <si>
    <t>Acompañamiento</t>
  </si>
  <si>
    <t>Durante el trabajo de parto</t>
  </si>
  <si>
    <t>Sólo en el expulsivo</t>
  </si>
  <si>
    <t>(*) Partos de Término y Pre-Término</t>
  </si>
  <si>
    <t>SECCION A.2: CESÁREAS (RESPONSABILIDAD DEL MÉDICO JEFE DEL SERVICIO DE OBSTETRICIA)</t>
  </si>
  <si>
    <t>CLASIFICACIÓN SEGÚN MODELO DE ROBSON</t>
  </si>
  <si>
    <t>Programada</t>
  </si>
  <si>
    <t>Grupo 1: Nulíparas, embarazo único, cefálica, ≥37 semanas en trabajo de parto espontáneo</t>
  </si>
  <si>
    <t xml:space="preserve">Grupo 2: Nulíparas, embarazo único, cefálica, ≥37 semanas, cesárea programada o con inducción de trabajo de parto. </t>
  </si>
  <si>
    <t xml:space="preserve">Total cesáreas grupo 2 </t>
  </si>
  <si>
    <t>Por requerimiento materno</t>
  </si>
  <si>
    <t>Grupo 3: Multípara, sin cesárea previa, embarazo único, cefálica, ≥37 semanas en trabajo de parto espontáneo</t>
  </si>
  <si>
    <t xml:space="preserve">Grupo 4: Multípara, sin cesárea previa, embarazo único, cefálica, ≥37 semanas, cesárea programada o con inducción de trabajo de parto. </t>
  </si>
  <si>
    <t xml:space="preserve">Grupo 5: multíparas con al menos 1 cesárea previa, embarazo unico, cefálica, ≥37 semanas. </t>
  </si>
  <si>
    <t>5.1: con 1 cesárea previa</t>
  </si>
  <si>
    <t>5.2: 2 o más cesareas previas</t>
  </si>
  <si>
    <t>Grupo 6: Nulíparas, embarazo único, podálica.</t>
  </si>
  <si>
    <t xml:space="preserve">Grupo 7: Multíparas, embarazo único, podálica, con 1 o más cesáreas previas. </t>
  </si>
  <si>
    <t xml:space="preserve">Grupo 8: Todas las mujeres con embarazo múltiple, incluidas las que tienen 1 o más cesáreas previas. </t>
  </si>
  <si>
    <t xml:space="preserve">Grupo 9: Embarazo único, transverso y oblicuo, incluidas las que tienen una o mas cesáreas previas. </t>
  </si>
  <si>
    <t xml:space="preserve">Grupo 10: Todas las mujeres con embarazo único, cefálica, &lt;37 semanas, incluidas las que tienen 1 o más cesáreas. </t>
  </si>
  <si>
    <t>Acompañamiento durante la cesárea</t>
  </si>
  <si>
    <t>SECCION A.3: COMPLICACIONES</t>
  </si>
  <si>
    <t>TIPO DE COMPLICACIÓN</t>
  </si>
  <si>
    <t>Atención institucional</t>
  </si>
  <si>
    <t>Hemorragia post parto</t>
  </si>
  <si>
    <t>Inercia</t>
  </si>
  <si>
    <t>Restos</t>
  </si>
  <si>
    <t>Trauma</t>
  </si>
  <si>
    <t>Desgarros III y IV</t>
  </si>
  <si>
    <t>Alteraciones de la coagulación</t>
  </si>
  <si>
    <t>Preeclampsia severa</t>
  </si>
  <si>
    <t>Sepsis o infección sistémica grave</t>
  </si>
  <si>
    <t>Manejo quirúrgico de la inercia uterina</t>
  </si>
  <si>
    <t>Histerectomía obstétrica</t>
  </si>
  <si>
    <t>Transfusión</t>
  </si>
  <si>
    <t>SECCIÓN B: INTERRUPCIÓN VOLUNTARIA DEL EMBARAZO</t>
  </si>
  <si>
    <t>CAUSALES</t>
  </si>
  <si>
    <t>ABORTOS</t>
  </si>
  <si>
    <t>PARTOS</t>
  </si>
  <si>
    <t>Beneficiarias</t>
  </si>
  <si>
    <t>Menor de 14 años</t>
  </si>
  <si>
    <t>50 y más años</t>
  </si>
  <si>
    <t>Hasta 12 semanas y cero días</t>
  </si>
  <si>
    <t>12 semanas y un día hasta 14 semanas y cero días</t>
  </si>
  <si>
    <t>de 14 hasta 21 semanas y 6 días</t>
  </si>
  <si>
    <t>Partos vaginales inducidos</t>
  </si>
  <si>
    <t>Cesáreas</t>
  </si>
  <si>
    <t xml:space="preserve">Causal N° 1: Mujer embarazada con riesgo vital </t>
  </si>
  <si>
    <t>Causal N° 2: Inviabilidad fetal de carácter letal</t>
  </si>
  <si>
    <t>Causal N° 3: Por violación</t>
  </si>
  <si>
    <t>SECCIÓN C: MÉTODO ANTICONCEPTIVO AL ALTA</t>
  </si>
  <si>
    <t>MÉTODO ANTICONCEPTIVO</t>
  </si>
  <si>
    <t>Intracesárea</t>
  </si>
  <si>
    <t>Post IVE</t>
  </si>
  <si>
    <t>DIU con Cobre</t>
  </si>
  <si>
    <t>DIU con Levonorgestrel</t>
  </si>
  <si>
    <t>Anillo de Progestágeno</t>
  </si>
  <si>
    <t>Métodos de barrera</t>
  </si>
  <si>
    <t>Esterilización quirúrgica</t>
  </si>
  <si>
    <t>Alta sin método anticonceptivo</t>
  </si>
  <si>
    <t>TOTAL ALTAS</t>
  </si>
  <si>
    <t>SECCIÓN D: INFORMACIÓN DE RECIÉN NACIDOS</t>
  </si>
  <si>
    <t>SECCIÓN D.1: INFORMACIÓN GENERAL DE RECIÉN NACIDOS VIVOS</t>
  </si>
  <si>
    <t>PESO AL NACER (EN GRAMOS)</t>
  </si>
  <si>
    <t>Anomalía Congénita</t>
  </si>
  <si>
    <t>Menos de 500</t>
  </si>
  <si>
    <t>500 a 999</t>
  </si>
  <si>
    <t>1.000 a 
1.499</t>
  </si>
  <si>
    <t>1.500 a 
1.999</t>
  </si>
  <si>
    <t>2.000 a 
2.499</t>
  </si>
  <si>
    <t>2.500 a 
2.999</t>
  </si>
  <si>
    <t>3.000 a 
3.999</t>
  </si>
  <si>
    <t>4.000 y 
más</t>
  </si>
  <si>
    <t>Nacidos vivos</t>
  </si>
  <si>
    <t>SECCIÓN D.2: ATENCION INMEDIATA DEL RECIEN NACIDO</t>
  </si>
  <si>
    <t>PROFILAXIS</t>
  </si>
  <si>
    <t>TIPO DE PARTO</t>
  </si>
  <si>
    <t xml:space="preserve">APGAR  </t>
  </si>
  <si>
    <t xml:space="preserve">Reanimación Básica </t>
  </si>
  <si>
    <t xml:space="preserve">Reanimación Avanzada </t>
  </si>
  <si>
    <t>EHI                Grado II y III</t>
  </si>
  <si>
    <t>Hepatitis B</t>
  </si>
  <si>
    <t>Ocular</t>
  </si>
  <si>
    <t>Parto Vaginal</t>
  </si>
  <si>
    <t>Parto Instrumental</t>
  </si>
  <si>
    <t>Cesárea</t>
  </si>
  <si>
    <t>Parto extrahospitalario</t>
  </si>
  <si>
    <t xml:space="preserve">Apgar menor o igual a 3 al minuto </t>
  </si>
  <si>
    <t xml:space="preserve">Apgar menor o igual a 6 a los 5 minutos </t>
  </si>
  <si>
    <t xml:space="preserve">SECCIÓN D.3: NACIDOS  FALLECIDOS </t>
  </si>
  <si>
    <t>Anomalía congénita</t>
  </si>
  <si>
    <t>ACOMPAÑAMIENTO INTEGRAL DUELO PERINATAL</t>
  </si>
  <si>
    <t>Atención en Sala Diferenciada</t>
  </si>
  <si>
    <t>Entrega de recuerdos de maternidad/
paternidad</t>
  </si>
  <si>
    <t>Con acompañamiento psicosocial</t>
  </si>
  <si>
    <t xml:space="preserve">Padre o familiar significativo </t>
  </si>
  <si>
    <t>Abortos</t>
  </si>
  <si>
    <t>Mortinatos</t>
  </si>
  <si>
    <t>Mortineonatos</t>
  </si>
  <si>
    <t>SECCIÓN E: EGRESOS DE MATERNIDAD Y NEONATOLOGÍA, SEGÚN LACTANCIA MATERNA EXCLUSIVA</t>
  </si>
  <si>
    <t>Maternidad</t>
  </si>
  <si>
    <t xml:space="preserve">Egresados con lactancia materna exclusiva </t>
  </si>
  <si>
    <t>Egresados que mantuvieron lactancia materna exclusiva durante la hospitalización y  al alta *</t>
  </si>
  <si>
    <t xml:space="preserve">Egresados con madres serología positiva (VIH) </t>
  </si>
  <si>
    <t>Egresados con madres serología positiva (HLTV-1)</t>
  </si>
  <si>
    <t>Egresados con madres acogidas a la Ley 21.155 (Derecho a no amamantar)</t>
  </si>
  <si>
    <t>Total de Egresos</t>
  </si>
  <si>
    <t>* Contenidos en egresos con lactancia materna exclusiva</t>
  </si>
  <si>
    <t>SECCIÓN F: CONSULTA DE LACTANCIA MATERNA EN SERVICIOS GINECO-OBSTÉTRICOS</t>
  </si>
  <si>
    <t>Consulta de lactancia</t>
  </si>
  <si>
    <t xml:space="preserve">Consulta de Lactancia Materna durante la hospitalización </t>
  </si>
  <si>
    <t xml:space="preserve">Consulta de Lactancia Materna posterior al alta </t>
  </si>
  <si>
    <t>Consulta de lactancia por profesional</t>
  </si>
  <si>
    <t>SECCIÓN G: TALLERES GRUPALES DE LACTANCIA MATERNA</t>
  </si>
  <si>
    <t>Número de Talleres de Lactancia Materna realizada en Maternidades</t>
  </si>
  <si>
    <t>Número de Participantes de Talleres de Lactancia Materna realizada en Maternidades</t>
  </si>
  <si>
    <t xml:space="preserve">SECCIÓN H:  TAMIZAJES DEL RECIÉN NACIDO </t>
  </si>
  <si>
    <t>SECCION H.1: TAMIZAJE METABOLICO</t>
  </si>
  <si>
    <t>EXÁMENES</t>
  </si>
  <si>
    <t>PROGRAMA FENILQUETONURIA (PKU) E HIPOTIROIDISMO CONGÉNITO (HC)</t>
  </si>
  <si>
    <t>FIBROSIS QUÍSTICA</t>
  </si>
  <si>
    <t>Primeras Muestras</t>
  </si>
  <si>
    <t>Exámenes de 2a punción</t>
  </si>
  <si>
    <t>2a muestra en &lt;36 semanas</t>
  </si>
  <si>
    <t>Exámenes alterados</t>
  </si>
  <si>
    <t>RN tamizados según piloto</t>
  </si>
  <si>
    <t>Recién nacidos tamizados</t>
  </si>
  <si>
    <t>SECCIÓN H.2:  TAMIZAJE AUDITIVO</t>
  </si>
  <si>
    <t>RECIEN NACIDOS VIVOS TAMIZADOS</t>
  </si>
  <si>
    <t>Tamizaje</t>
  </si>
  <si>
    <t>Re-tamizaje</t>
  </si>
  <si>
    <t>Total de recién nacidos tamizados</t>
  </si>
  <si>
    <t>Recién nacidos vivos que pasan</t>
  </si>
  <si>
    <t>Recién nacidos que refieren</t>
  </si>
  <si>
    <t>EXÁMENES REALIZADOS</t>
  </si>
  <si>
    <t>EOA</t>
  </si>
  <si>
    <t>PEATa</t>
  </si>
  <si>
    <t>Servicio otorrinolaringología (realizado antes de los 6 meses de vida)</t>
  </si>
  <si>
    <t>REM-28. REHABILITACIÓN INTEGRAL</t>
  </si>
  <si>
    <t xml:space="preserve">SECCIÓN A:  ATENCIONES DE REHABILITACIÓN NIVEL PRIMARIO  </t>
  </si>
  <si>
    <t xml:space="preserve">SECCIÓN A.1: INGRESOS Y EGRESOS  A ATENCIONES DE REHABILITACIÓN EN EL NIVEL PRIMARIO </t>
  </si>
  <si>
    <t>TIPO DE INGRESO</t>
  </si>
  <si>
    <t>Personas con discapacidad (con RND)</t>
  </si>
  <si>
    <t xml:space="preserve">Rehabilitación NNA </t>
  </si>
  <si>
    <t>Rehabilitación Base Comunitaria (RBC)</t>
  </si>
  <si>
    <t>Rehabilitación Integral(RI)</t>
  </si>
  <si>
    <t>Rehabilitación Rural (RR)</t>
  </si>
  <si>
    <t>Ingresos con Plan de Tratamiento Integral (PTI)</t>
  </si>
  <si>
    <t>Ingresos con Plan de Tratamiento Integral (PTI) con objetivos para el trabajo</t>
  </si>
  <si>
    <t>Ingresos de usuarios con cuidador</t>
  </si>
  <si>
    <t>Ingresos con PTI cuidador</t>
  </si>
  <si>
    <t>Egresos por alta</t>
  </si>
  <si>
    <t>Egresos por fallecimiento</t>
  </si>
  <si>
    <t>Egresos por otras causas</t>
  </si>
  <si>
    <t>Egresos con PTI cuidador</t>
  </si>
  <si>
    <t>SECCIÓN A.2: INGRESOS POR CONDICIÓN DE SALUD</t>
  </si>
  <si>
    <t>CONDICIÓN DE SALUD</t>
  </si>
  <si>
    <t>Rehabilitación NNA</t>
  </si>
  <si>
    <t>Total ingreso (Nº de personas)</t>
  </si>
  <si>
    <t>Condición física</t>
  </si>
  <si>
    <t>Dolor cervical agudo</t>
  </si>
  <si>
    <t>Dolor lumbar agudo</t>
  </si>
  <si>
    <t>Hombro doloroso agudo</t>
  </si>
  <si>
    <t>Otro dolor músculo-esquelético agudo</t>
  </si>
  <si>
    <t>Artrosis de rodilla y cadera</t>
  </si>
  <si>
    <t>Artritis reumatoidea</t>
  </si>
  <si>
    <t>Otro dolor músculo-esquelético crónico</t>
  </si>
  <si>
    <t>Ataque cerebro vascular (ACV)</t>
  </si>
  <si>
    <t>Traumatismo encéfalo craneano (TEC)</t>
  </si>
  <si>
    <t>Lesión medular</t>
  </si>
  <si>
    <t>Enfermedad de Parkinson</t>
  </si>
  <si>
    <t>Enfermedades Neuromusculares</t>
  </si>
  <si>
    <t>Alteraciones en el desarrollo psicomotor</t>
  </si>
  <si>
    <t>Disrafias espinales</t>
  </si>
  <si>
    <t>Trastorno Espectro Autista</t>
  </si>
  <si>
    <t>Amputación</t>
  </si>
  <si>
    <t>Quemados</t>
  </si>
  <si>
    <t>COVID-19</t>
  </si>
  <si>
    <t>Condición sensorial visual</t>
  </si>
  <si>
    <t>Condición sensorial auditivo</t>
  </si>
  <si>
    <t>SECCIÓN A.3: EVALUACIÓN INICIAL</t>
  </si>
  <si>
    <t xml:space="preserve">Presencial (Establecimiento) </t>
  </si>
  <si>
    <t>Domiciliaria</t>
  </si>
  <si>
    <t>SECCIÓN A.4: EVALUACIÓN INTERMEDIA</t>
  </si>
  <si>
    <t>MODALIDAD DE REHABILITACIÓN</t>
  </si>
  <si>
    <t>Rehabilitación Integral (RI)</t>
  </si>
  <si>
    <t>Presencial (Establecimiento)</t>
  </si>
  <si>
    <t>A distancia</t>
  </si>
  <si>
    <t>SECCIÓN A.5: SESIONES DE REHABILITACIÓN</t>
  </si>
  <si>
    <t>SECCIÓN A.6: PROCEDIMIENTOS Y ACTIVIDADES</t>
  </si>
  <si>
    <t xml:space="preserve">TIPO </t>
  </si>
  <si>
    <t>Total Rehabilitacion Base Comunitaria</t>
  </si>
  <si>
    <t>Total Rehabilitación Integral</t>
  </si>
  <si>
    <t xml:space="preserve">Total Rehabilitacion  Rural </t>
  </si>
  <si>
    <t>Fisioterapia</t>
  </si>
  <si>
    <t>Ejercicios terapéuticos</t>
  </si>
  <si>
    <t>Intervención en actividades de la vida diaria, básicas, instrumentales y avanzadas.</t>
  </si>
  <si>
    <t>Habilitación y rehabilitación educacional</t>
  </si>
  <si>
    <t>Actividades terapéuticas</t>
  </si>
  <si>
    <t>Integración sensorial</t>
  </si>
  <si>
    <t>Adaptación del hogar</t>
  </si>
  <si>
    <t>Confección órtesis y/o adaptaciones</t>
  </si>
  <si>
    <t>Reparación de órtesis y/o adaptaciones</t>
  </si>
  <si>
    <t>Habilitación y rehabilitación socio-laboral</t>
  </si>
  <si>
    <t>Estimulación cognitiva</t>
  </si>
  <si>
    <t>Rehabilitación de la voz, habla y/o lenguaje</t>
  </si>
  <si>
    <t>Rehabilitación de la deglución</t>
  </si>
  <si>
    <t>Rehabilitación vestibular</t>
  </si>
  <si>
    <t>Educación persona usuario/a, cuidador/a y/o familiares</t>
  </si>
  <si>
    <t>Atención psicoterapéutica</t>
  </si>
  <si>
    <t>SECCIÓN A.7: CONSEJERÍA INDIVIDUAL AGENDADA</t>
  </si>
  <si>
    <t>SECCIÓN A.8: CONSEJERÍA FAMILIAR AGENDADA</t>
  </si>
  <si>
    <t xml:space="preserve">SECCIÓN A.9: INTERVENCIONES TERAPÉUTICAS GRUPALES </t>
  </si>
  <si>
    <t>ÁREA TEMÁTICA DE PREVENCIÓN Y TRATAMIENTO</t>
  </si>
  <si>
    <t>Número de personas</t>
  </si>
  <si>
    <t>Número de sesiones</t>
  </si>
  <si>
    <t xml:space="preserve">SECCIÓN A.10: PERSONAS QUE LOGRAN PARTICIPACIÓN EN COMUNIDAD </t>
  </si>
  <si>
    <t>COMPONENTE (Nº PERSONAS)</t>
  </si>
  <si>
    <t>Educativa</t>
  </si>
  <si>
    <t>Comunitario</t>
  </si>
  <si>
    <t>Trabajo con objetivos de habilitación y rehabilitación</t>
  </si>
  <si>
    <t>Trabajo sin objetivos de habilitación y rehabilitación</t>
  </si>
  <si>
    <t>Dueña/o de casa</t>
  </si>
  <si>
    <t>SECCIÓN A.11: ACTIVIDADES Y PARTICIPACIÓN</t>
  </si>
  <si>
    <t>MODALIDADES DE INTERVENCIÓN</t>
  </si>
  <si>
    <t>Totales Rehabilitación Infantil</t>
  </si>
  <si>
    <t>Totales Rehabilitación Base Comunitaria (RBC)</t>
  </si>
  <si>
    <t>Totales Rehabilitación Integral  (RI)</t>
  </si>
  <si>
    <t>Totales Rehabilitación Rural (RR)</t>
  </si>
  <si>
    <t xml:space="preserve"> Actividades </t>
  </si>
  <si>
    <t xml:space="preserve">Participantes </t>
  </si>
  <si>
    <t>Diagnóstico o planificación participativa</t>
  </si>
  <si>
    <t>Organizaciones asociadas a discapacidad</t>
  </si>
  <si>
    <t>Organizaciones comunitarias</t>
  </si>
  <si>
    <t>Comunidad educativa</t>
  </si>
  <si>
    <t>Actividades de promoción de la salud</t>
  </si>
  <si>
    <t>Empleadores y compañeros de trabajo</t>
  </si>
  <si>
    <t>Red de apoyo</t>
  </si>
  <si>
    <t>Cuidadores</t>
  </si>
  <si>
    <t>Actividades para fortalecer los conocimientos y destrezas personales</t>
  </si>
  <si>
    <t>Profesionales de la salud</t>
  </si>
  <si>
    <t>Monitores</t>
  </si>
  <si>
    <t>Asesorías a grupos comunitarios</t>
  </si>
  <si>
    <t>SECCIÓN B: NIVEL HOSPITALARIO</t>
  </si>
  <si>
    <t>SECCIÓN B.1: INGRESOS Y EGRESOS  A REHABILITACIÓN INTEGRAL</t>
  </si>
  <si>
    <t>INGRESOS</t>
  </si>
  <si>
    <t>TIPO ATENCIÓN</t>
  </si>
  <si>
    <t>Abierta</t>
  </si>
  <si>
    <t>Cerrado</t>
  </si>
  <si>
    <t>UPC</t>
  </si>
  <si>
    <t>Cuidados Medios y Básicos</t>
  </si>
  <si>
    <t>Total ingresos (Nº de personas)</t>
  </si>
  <si>
    <t>Ingresos con plan de tratamiento integral (PTI)</t>
  </si>
  <si>
    <t>Neuromusculares agudas</t>
  </si>
  <si>
    <t>Neuromusculares crónicas</t>
  </si>
  <si>
    <t>Otras neurológicas</t>
  </si>
  <si>
    <t>Trastornos del Neurodesarrollo</t>
  </si>
  <si>
    <t>Parálisis cerebral</t>
  </si>
  <si>
    <t>Recién nacido de alto riesgo</t>
  </si>
  <si>
    <t>Síndrome POST-UCI</t>
  </si>
  <si>
    <t>Enfermedades respiratorias</t>
  </si>
  <si>
    <t>Enfermedades cardíacas</t>
  </si>
  <si>
    <t>Dolor musculoesquelético crónico</t>
  </si>
  <si>
    <t>Otras reumatológicas</t>
  </si>
  <si>
    <t>Traumatológicos</t>
  </si>
  <si>
    <t>Otros pre y post quirúrgicos</t>
  </si>
  <si>
    <t>Oncológicos</t>
  </si>
  <si>
    <t>Genitourinarias</t>
  </si>
  <si>
    <t>Sensoriales auditivos</t>
  </si>
  <si>
    <t>Sensoriales visuales</t>
  </si>
  <si>
    <t>Trastorno espectro autista</t>
  </si>
  <si>
    <t>Egresos ACV referido a APS</t>
  </si>
  <si>
    <t>SECCIÓN B.2: EVALUACIÓN INICIAL</t>
  </si>
  <si>
    <t>Cerrada</t>
  </si>
  <si>
    <t xml:space="preserve">Presencial </t>
  </si>
  <si>
    <t>A Distancia</t>
  </si>
  <si>
    <t xml:space="preserve">Domiciliaria </t>
  </si>
  <si>
    <t>Fonoadiólogo/a</t>
  </si>
  <si>
    <t>Ortoprotesista</t>
  </si>
  <si>
    <t>SECCIÓN B.3: EVALUACIÓN INTERMEDIA</t>
  </si>
  <si>
    <t>SECCIÓN B.4: SESIONES DE REHABILITACIÓN</t>
  </si>
  <si>
    <t>SECCIÓN B.5: DERIVACIONES Y CONTINUIDAD EN LOS CUIDADOS</t>
  </si>
  <si>
    <t>DERIVACIÓN</t>
  </si>
  <si>
    <t>A otro hospital (hospitalizado)</t>
  </si>
  <si>
    <t>A nivel secundario (ambulatorio)</t>
  </si>
  <si>
    <t>A nivel primario</t>
  </si>
  <si>
    <t>Institución con convenio</t>
  </si>
  <si>
    <t>SECCIÓN B.6: PROCEDIMIENTOS Y ACTIVIDADES</t>
  </si>
  <si>
    <t>Tratamiento compresivo</t>
  </si>
  <si>
    <t>Confección de órtesis y/o adaptaciones</t>
  </si>
  <si>
    <t>Confección de prótesis</t>
  </si>
  <si>
    <t>Reparación de prótesis</t>
  </si>
  <si>
    <t>Educación a usuario/a, cuidador/a y/o familiar</t>
  </si>
  <si>
    <t>Orientación y movilidad</t>
  </si>
  <si>
    <t>Estimulación sensorial</t>
  </si>
  <si>
    <t>Terapia respiratoria y funcional pulmonar</t>
  </si>
  <si>
    <t>Rehabilitación auditiva individual</t>
  </si>
  <si>
    <t>Rehabilitación auditiva grupal</t>
  </si>
  <si>
    <t>SECCIÓN C: AYUDAS TÉCNICAS DE SALUD, NIVEL APS Y HOSPITALARIO</t>
  </si>
  <si>
    <t>SECCIÓN C.1: NÚMERO DE PERSONAS QUE RECIBEN AYUDAS TÉCNICAS</t>
  </si>
  <si>
    <t>AYUDAS TÉCNICAS</t>
  </si>
  <si>
    <t>Número de evaluaciones de ayudas técnicas</t>
  </si>
  <si>
    <t>Número de personas con ayuda técnica entregada</t>
  </si>
  <si>
    <t>Número de entrenamiento de ayudas técnicas</t>
  </si>
  <si>
    <t>SECCIÓN C.2: NÚMERO DE  AYUDAS TÉCNICAS ENTREGADAS POR TIPO</t>
  </si>
  <si>
    <t>TOTAL DE AYUDAS TÉCNICAS ENTREGADAS</t>
  </si>
  <si>
    <t>Sillas de ruedas estándar</t>
  </si>
  <si>
    <t>Silla de ruedas neurológicas</t>
  </si>
  <si>
    <t>Cojín anti escaras</t>
  </si>
  <si>
    <t>Colchón anti escaras</t>
  </si>
  <si>
    <t>Bastones</t>
  </si>
  <si>
    <t>Andadores</t>
  </si>
  <si>
    <t>Sitting</t>
  </si>
  <si>
    <t>Órtesis de columna vertebral</t>
  </si>
  <si>
    <t>Órtesis miembro inferior</t>
  </si>
  <si>
    <t>Órtesis miembro superior</t>
  </si>
  <si>
    <t>Cojines y respaldos para la estabilización y posicionamiento del cuerpo</t>
  </si>
  <si>
    <t>Ayudas técnicas para actividades de alimentación, vestuario e higiene personal</t>
  </si>
  <si>
    <t>Sistema compresivo</t>
  </si>
  <si>
    <t>Prótesis extremidad inferior transtibial</t>
  </si>
  <si>
    <t>Prótesis extremidad inferior transfemoral</t>
  </si>
  <si>
    <t>Otras prótesis extremidad inferior</t>
  </si>
  <si>
    <t>Prótesis extremidad superior</t>
  </si>
  <si>
    <t>Audífonos</t>
  </si>
  <si>
    <t>Lentes</t>
  </si>
  <si>
    <t>Plantilla ortopédica</t>
  </si>
  <si>
    <t>Bota o botín de descarga</t>
  </si>
  <si>
    <t>Zapato ortopédico</t>
  </si>
  <si>
    <t>Baño portátil</t>
  </si>
  <si>
    <t>Tecnologías de la Comunicación Aumentativa y Alternativas</t>
  </si>
  <si>
    <t>Equipo ventilador mecánico no invasivo</t>
  </si>
  <si>
    <t>Aspirador de secreciones</t>
  </si>
  <si>
    <t>SECCIÓN C.3: AYUDAS TÉCNICAS POR CONDICIÓN DE SALUD</t>
  </si>
  <si>
    <t>TOTAL AYUDA TÉCNICA POR CONDICIÓN DE SALUD</t>
  </si>
  <si>
    <t xml:space="preserve"> RANGO ETARIO</t>
  </si>
  <si>
    <t>Esclerosis lateral amiotrófica</t>
  </si>
  <si>
    <t>Diabetes mellitus</t>
  </si>
  <si>
    <t>Sensorial auditivo</t>
  </si>
  <si>
    <t>Sensorial visual</t>
  </si>
  <si>
    <t>Persona mayor frágil</t>
  </si>
  <si>
    <t>Otras condiciones de salud</t>
  </si>
  <si>
    <t>REM-29.  PROGRAMA DE IMÁGENES DIAGNÓSTICAS Y/O RESOLUTIVIDAD EN ATENCIÓN PRIMARIA</t>
  </si>
  <si>
    <t>SECCIÓN A: PROGRAMA DE RESOLUTIVIDAD ATENCIÓN PRIMARIA DE SALUD</t>
  </si>
  <si>
    <t>CONSULTAS</t>
  </si>
  <si>
    <t>&lt;15 años</t>
  </si>
  <si>
    <t>Total interconsultas generadas en APS para resolución por especialidad oftalmología (UAPO y canasta integral)</t>
  </si>
  <si>
    <t>Total interconsultas generadas en APS para resolución por especialidad otorrinolaringología (UAPORRINO y canasta integral)</t>
  </si>
  <si>
    <t>Modalidad</t>
  </si>
  <si>
    <t>Presencial</t>
  </si>
  <si>
    <t>Remoto</t>
  </si>
  <si>
    <t>Consultas médicas de especialidades</t>
  </si>
  <si>
    <t>Oftalmología/UAPO</t>
  </si>
  <si>
    <t>Otorrinolaringología/UAPORRINO</t>
  </si>
  <si>
    <t>Canasta integral oftalmológica</t>
  </si>
  <si>
    <t>Canasta integral de otorrinolaringología</t>
  </si>
  <si>
    <t>Consultas otros profesionales</t>
  </si>
  <si>
    <t>Tecnólogo/a médico/a consulta por vicio de refracción</t>
  </si>
  <si>
    <t>Tecnólogo/a médico/a (oftalmología) otras consultas</t>
  </si>
  <si>
    <t>Tecnólogo/a médico/a o fonoaudiólogo/a por hipoacusia (UAPORRINO)</t>
  </si>
  <si>
    <t>Tecnólogo/a médico/a o fonoaudiólogo/a consultas (UAPORRINO)</t>
  </si>
  <si>
    <t>Consulta de calificación de urgencia por tecnólogo médico (UAPO)</t>
  </si>
  <si>
    <t>Ingresos y egresos Glaucoma UAPO</t>
  </si>
  <si>
    <t>Ingresos glaucoma UAPO</t>
  </si>
  <si>
    <t>Egresos glaucoma UAPO</t>
  </si>
  <si>
    <t>Glaucoma (por médico/a) (incluidas dentro de consultas de oftalmología)</t>
  </si>
  <si>
    <t>Controles de glaucoma UAPO</t>
  </si>
  <si>
    <t>Consulta nueva glaucoma UAPO</t>
  </si>
  <si>
    <t xml:space="preserve">SECCIÓN B: PROCEDIMIENTOS DE IMÁGENES DIAGNOSTICAS Y PROGRAMA DE RESOLUTIVIDAD EN APS  </t>
  </si>
  <si>
    <t>TIPO DE EXAMEN Y PROCEDIMIENTO DIAGNÓSTICO</t>
  </si>
  <si>
    <t>&lt; 35 años</t>
  </si>
  <si>
    <t>Compra al sistema</t>
  </si>
  <si>
    <t>Compra extrasistema</t>
  </si>
  <si>
    <t>Mamografía</t>
  </si>
  <si>
    <t>Informadas</t>
  </si>
  <si>
    <t>Con BIRADS 1 o 2</t>
  </si>
  <si>
    <t>Con BIRADS  3</t>
  </si>
  <si>
    <t>Con BIRADS  4, 5 o 6</t>
  </si>
  <si>
    <t>Sin informe BIRADS</t>
  </si>
  <si>
    <t>Proyección complementaria</t>
  </si>
  <si>
    <t>Ecotomografía mamaria</t>
  </si>
  <si>
    <t>Con informe de sospecha de malignidad</t>
  </si>
  <si>
    <t>Ecotomografía abdominal</t>
  </si>
  <si>
    <t>Con resultado litiasis biliar</t>
  </si>
  <si>
    <t>Ecografía transvaginal o rectal (excluye climaterio)</t>
  </si>
  <si>
    <t>Con informe de sospecha de patología maligna</t>
  </si>
  <si>
    <t>Endoscopia digestiva alta</t>
  </si>
  <si>
    <t>Toma de biopsia</t>
  </si>
  <si>
    <t>Test de ureasa solicitadas</t>
  </si>
  <si>
    <t>Test de ureasa positivas (+) H. Pylori</t>
  </si>
  <si>
    <t>Procedimientos cutáneos quirúrgicos de baja complejidad</t>
  </si>
  <si>
    <t>Realizadas</t>
  </si>
  <si>
    <t>Biopsias de cirugía menor enviadas a anatomia patológica</t>
  </si>
  <si>
    <t>Nº biopsias de cirugía menor con informe de sospecha de malignidad</t>
  </si>
  <si>
    <t>Radiografía de tórax por sospecha de neumonía y sospecha de otra patología respiratoria crónica</t>
  </si>
  <si>
    <t>Antero posterior (frontal)</t>
  </si>
  <si>
    <t>Antero posterior y lateral</t>
  </si>
  <si>
    <t>Radiografía de caderas 3-6 meses (Screening)</t>
  </si>
  <si>
    <t>SECCIÓN C: PROCEDIMIENTOS APOYO CLÍNICO Y TERAPÉUTICO</t>
  </si>
  <si>
    <t xml:space="preserve">ESPECIALIDAD </t>
  </si>
  <si>
    <t>Médico especialista</t>
  </si>
  <si>
    <t>Tecnólogo médico, fonoaudiólogo o terapeuta ocupacional</t>
  </si>
  <si>
    <t>Cuantificación de lagrimación (Test de Schimer), uno o ambos ojos</t>
  </si>
  <si>
    <t>Curva de tensión aplanática (por cada día), c/ojo</t>
  </si>
  <si>
    <t>Disploscopia cuantitativa, ambos ojos</t>
  </si>
  <si>
    <t>Exploración sensoriomotora: Estabrismo, estudio completo, ambos ojos</t>
  </si>
  <si>
    <t>Retinografía ambos ojos pacientes sin diabetes mellitus</t>
  </si>
  <si>
    <t>Tonometría aplánica c/ojo</t>
  </si>
  <si>
    <t>Tratamiento ortóptico y/o pleóptico (por sesión), ambos ojos</t>
  </si>
  <si>
    <t>Exploración vitreorretinal, pacientes sin diabetes mellitus</t>
  </si>
  <si>
    <t>Cuerpo extraño conjuntival y/o corneal</t>
  </si>
  <si>
    <t>Campimetría computarizada, c/ojo (en UAPO)</t>
  </si>
  <si>
    <t>Tomografía coherente óptica, c/ojo</t>
  </si>
  <si>
    <t>Agudeza visual aislada cada ojo</t>
  </si>
  <si>
    <t>Paquimetría</t>
  </si>
  <si>
    <t>Autorefractomía</t>
  </si>
  <si>
    <t>Lensometría</t>
  </si>
  <si>
    <t>Extracción cuerpo extraño ojo (conjuntival y/o corneal)</t>
  </si>
  <si>
    <t>Hemoglucotest previo a consulta vicio de refracción en paciente diabético</t>
  </si>
  <si>
    <t>Autorefracción bajo ciclopejía</t>
  </si>
  <si>
    <t>Irrigación de la vía lagrimal</t>
  </si>
  <si>
    <t>Prueba de provocación oscuridad más pronación</t>
  </si>
  <si>
    <t>Audimetrías (realizadas)</t>
  </si>
  <si>
    <t>Impedanciometría</t>
  </si>
  <si>
    <t>Emisiones otoacústicas</t>
  </si>
  <si>
    <t>Examen funcional VIII par</t>
  </si>
  <si>
    <t>Otros procedimientos (Lavados de oídos u otros)</t>
  </si>
  <si>
    <t>Calibración control prueba de audífonos</t>
  </si>
  <si>
    <t>Procedimiento V-HIT</t>
  </si>
  <si>
    <t>PEATC</t>
  </si>
  <si>
    <t>Maniobras de reposición de partículas</t>
  </si>
  <si>
    <t>Nasofibroscopia adulto/niño</t>
  </si>
  <si>
    <t>Prueba de función tubaria</t>
  </si>
  <si>
    <t>VEMP (Potenciales evocados miogénicos vestibulares)</t>
  </si>
  <si>
    <t>Toma de impresión de molde auditivo</t>
  </si>
  <si>
    <t>Rinomanometría</t>
  </si>
  <si>
    <t>SECCIÓN D: ENTREGA DE AYUDAS TÉCNICAS</t>
  </si>
  <si>
    <t>&lt; 65 Años</t>
  </si>
  <si>
    <t>Lentes (Entregados)</t>
  </si>
  <si>
    <t>Audífonos (Entregados)</t>
  </si>
  <si>
    <t>SECCIÓN E: INTERVENCIONES QUIRÚRGICAS MENORES QUE SE REALIZAN EN UAPO</t>
  </si>
  <si>
    <t>INTERVENCIONES QUIRÚRGICAS</t>
  </si>
  <si>
    <t>Intubación lagrimal</t>
  </si>
  <si>
    <t>Plastía de puntos lagrimales</t>
  </si>
  <si>
    <t>Absceso, vaciamiento y/o drenaje de</t>
  </si>
  <si>
    <t>Absceso, Trat. Quir. Párpado o ceja</t>
  </si>
  <si>
    <t>Biopsia de párpado y/o anexos (proc.aut)</t>
  </si>
  <si>
    <t>Blefarorrafia con blefarotomía posterior</t>
  </si>
  <si>
    <t>Cantoplastía</t>
  </si>
  <si>
    <t>Chalazión y otro tumores benignos</t>
  </si>
  <si>
    <t>Xantelasma, Trat. Quir</t>
  </si>
  <si>
    <t>Herida o dehiscencia de sutura de párpado, reparación</t>
  </si>
  <si>
    <t>Sutura de herida o dehiscencia de la conjuntiva</t>
  </si>
  <si>
    <t>Pterigión y/o pseudopterigión o su recidiva, extirpación</t>
  </si>
  <si>
    <t>Extirpación de tumor benigno de la conjuntiva</t>
  </si>
  <si>
    <t>Crioterapia y recesión conjuntival</t>
  </si>
  <si>
    <t>Extracción quir. De cuerpo extraño en córnea y/o esclera</t>
  </si>
  <si>
    <t>Iridotomía</t>
  </si>
  <si>
    <t>Trabeculopatía o iridoplastía</t>
  </si>
  <si>
    <t>SECCION F: FONDOS DE OJO CONTROL DIABETES MELLITUS</t>
  </si>
  <si>
    <t>PROCEDIMIENTOS</t>
  </si>
  <si>
    <t>Informe por médico licitado</t>
  </si>
  <si>
    <t>Informada por médico HD</t>
  </si>
  <si>
    <t>Exploración vitreorretinal, ambos ojos (Fondo de ojo)</t>
  </si>
  <si>
    <t>Sin alteración</t>
  </si>
  <si>
    <t>Alterados</t>
  </si>
  <si>
    <t>Retinografía, ambos ojos (Fondo de ojo)</t>
  </si>
  <si>
    <t>Imágenes capturadas</t>
  </si>
  <si>
    <t>Subidas a plataforma de tamizaje a Hospital Digital</t>
  </si>
  <si>
    <t>Informes recibidos sin alteración</t>
  </si>
  <si>
    <t>Informes recibidos con sospecha de alteración</t>
  </si>
  <si>
    <t>Subidas a plataforma de teleinforme local (No centralizada)</t>
  </si>
  <si>
    <t>Entrega resultados Fondo de ojo al usuario</t>
  </si>
  <si>
    <t>SECCION G: ACTIVIDADES DE REHABILITACION EN UAPORRINO</t>
  </si>
  <si>
    <t xml:space="preserve"> TOTAL ACTIVIDADES</t>
  </si>
  <si>
    <t>Número sesiones totales realizadas</t>
  </si>
  <si>
    <t>Número beneficiarios</t>
  </si>
  <si>
    <t>Sesiones rehabilitación auditiva individual</t>
  </si>
  <si>
    <t>Sesiones rehabilitación auditiva grupal</t>
  </si>
  <si>
    <t>Evaluación adherencia</t>
  </si>
  <si>
    <t>Seguimiento adherencia</t>
  </si>
  <si>
    <t>Sesiones rehabilitación vestibular</t>
  </si>
  <si>
    <t>Sesiones rehabilitación deglución</t>
  </si>
  <si>
    <t>SECCION H: CANASTA INTEGRAL DERMATOLOGIA</t>
  </si>
  <si>
    <t>CANASTA INTEGRAL</t>
  </si>
  <si>
    <t>Hospital Digital</t>
  </si>
  <si>
    <t>Otra</t>
  </si>
  <si>
    <t>Teleinterconsultas solicitadas</t>
  </si>
  <si>
    <t>Teleinterconsultas respondidas</t>
  </si>
  <si>
    <t>Información entregada a usuario</t>
  </si>
  <si>
    <t>SECCIÓN I : ATENCION INTEGRAL EN CLIMATERIO</t>
  </si>
  <si>
    <t>Compra de servicios</t>
  </si>
  <si>
    <t>45 - 64 años</t>
  </si>
  <si>
    <t>Consulta médica ginecológica en climaterio</t>
  </si>
  <si>
    <t>Hormona foliculoestimulante en sangre</t>
  </si>
  <si>
    <t>Ecografía transvaginal o rectal</t>
  </si>
  <si>
    <t>REM-30: ATENCIONES POR TELEMEDICINA EN LA RED ASISTENCIAL</t>
  </si>
  <si>
    <t>SECCIÓN A: TELEINTERCONSULTA DE ESPECIALIDAD (ATENCION REALIZADA DE MEDICO A MEDICO)</t>
  </si>
  <si>
    <t>Especialidades</t>
  </si>
  <si>
    <t>Teleinterconsulta médica de especialidad ambulatoria nueva</t>
  </si>
  <si>
    <t>Teleinterconsulta médica de especialidad ambulatoria control</t>
  </si>
  <si>
    <t xml:space="preserve">TOTAL TELEINTERCONSULTAS  MEDICAS AMBULATORIAS DE ESPECIALIDAD </t>
  </si>
  <si>
    <t>Teleinterconsulta medicina de especialidad realizadas a pacientes hospitalizados</t>
  </si>
  <si>
    <t>Teleinterconsultas solicitadas desde APS o Nivel Secundario para ser resueltas por otro establecimiento</t>
  </si>
  <si>
    <t>20 y mas años</t>
  </si>
  <si>
    <t>Enfermedad respiratoria pediátrica (Brocopulmonar infantil)</t>
  </si>
  <si>
    <t>Coloproctología (Cirugía digestiva baja)</t>
  </si>
  <si>
    <t>Cirugía vascular periferica</t>
  </si>
  <si>
    <t>Medicina intensiva</t>
  </si>
  <si>
    <t>SECCIÓN B : TELEINTERCONSULTA  MÉDICA EN ESTABLECIMIENTOS DE ATENCIÓN SECUNDARIA DE URGENCIA (ATENCIÓN MEDICO A MÉDICO)</t>
  </si>
  <si>
    <t>Tipo de teleinterconsulta de urgencia</t>
  </si>
  <si>
    <t>Teleinterconsulta médica de urgencia en hospitales de alta y mediana complejidad</t>
  </si>
  <si>
    <t xml:space="preserve">Institucional </t>
  </si>
  <si>
    <t>Consulta urgencia otros</t>
  </si>
  <si>
    <t>Accidente cerebro vascular (ACV)</t>
  </si>
  <si>
    <t>SECCIÓN C : TELEINFORMES  EN ESTABLECIMIENTOS DE ATENCIÓN PRIMARIA, SECUNDARIA Y TERCIARIA</t>
  </si>
  <si>
    <t>Teleinformes realizados</t>
  </si>
  <si>
    <t>Establecimientos del Nivel Primario de salud</t>
  </si>
  <si>
    <t>Establecimientos de Nivel Secundario y Terciario</t>
  </si>
  <si>
    <t>Total teleinformes realizados</t>
  </si>
  <si>
    <t>Teleinformes realizados por Inteligencia Artificial</t>
  </si>
  <si>
    <t xml:space="preserve">Teleinformes realizados por Médico Especialista </t>
  </si>
  <si>
    <t>TOTAL EMISIONES DE INFORMES</t>
  </si>
  <si>
    <t>Nº de informes Ecografías obstétricas</t>
  </si>
  <si>
    <t>Nº de informes Electrocardiograma</t>
  </si>
  <si>
    <t>Nº de informes Electroencefalograma</t>
  </si>
  <si>
    <t>Nº de informes Espirometrías</t>
  </si>
  <si>
    <t>Nº de informes Fondo de ojo (excluye resolutividad)</t>
  </si>
  <si>
    <t>Nº de informes Holter de presión arterial</t>
  </si>
  <si>
    <t>Nº de informes Test de esfuerzo</t>
  </si>
  <si>
    <t>Nº de informes radiografías simples</t>
  </si>
  <si>
    <t>Nº de informes radiografías dentales</t>
  </si>
  <si>
    <t>Nº de informes de Tomografía axial computarizada</t>
  </si>
  <si>
    <t>Nº de informes de Resonancia magnética nuclear</t>
  </si>
  <si>
    <t>Nº de informes Ecografías abdominal</t>
  </si>
  <si>
    <t>N° de mamografía</t>
  </si>
  <si>
    <r>
      <t>SECCIÓN D: TELEINTERCONSULTA ODONTOLÓGICA</t>
    </r>
    <r>
      <rPr>
        <b/>
        <i/>
        <sz val="11"/>
        <rFont val="Verdana"/>
        <family val="2"/>
      </rPr>
      <t xml:space="preserve"> </t>
    </r>
  </si>
  <si>
    <t>Especialidades odontológicas</t>
  </si>
  <si>
    <t>Teleinterconsulta de especialidad odontológica ambulatoria nueva</t>
  </si>
  <si>
    <t>Teleinterconsulta de especialidad odontológica ambulatoria control</t>
  </si>
  <si>
    <r>
      <t>TOTAL TELEINTERCONSULTAS AMBULATORIAS DE ESPECIALIDAD ODONTOLÓGICA</t>
    </r>
    <r>
      <rPr>
        <strike/>
        <sz val="8"/>
        <rFont val="Verdana"/>
        <family val="2"/>
      </rPr>
      <t xml:space="preserve"> </t>
    </r>
  </si>
  <si>
    <t>Solicitud de teleinterconsulta de especialidad odontológica</t>
  </si>
  <si>
    <t>Cirugía bucal</t>
  </si>
  <si>
    <t>Cirugía y traumatología maxilofacial</t>
  </si>
  <si>
    <t>Endodoncia</t>
  </si>
  <si>
    <t>Odontopediatría</t>
  </si>
  <si>
    <t>Ortodoncia y ortopedia dento maxilofacial</t>
  </si>
  <si>
    <t>Periodoncia</t>
  </si>
  <si>
    <t>Rehabilitación: Prótesis fija</t>
  </si>
  <si>
    <t>Rehabilitación: Prótesis removible</t>
  </si>
  <si>
    <t>Implantología buco maxilofacial</t>
  </si>
  <si>
    <t>Patología oral</t>
  </si>
  <si>
    <t>Trastornos temporomandibulares y dolor orofacial</t>
  </si>
  <si>
    <t>SECCIÓN E: TELEPROCEDIMIENTOS EN ATENCIÓN SECUNDARIA Y TERCIARIA</t>
  </si>
  <si>
    <t>Teleprocedimientos</t>
  </si>
  <si>
    <t>Teleprocedimientos solicitados desde Nivel Secundario y Terciario y resueltos por otro establecimiento</t>
  </si>
  <si>
    <t>Ecocardiograma</t>
  </si>
  <si>
    <t>Trombolisis de urgencia infarto cerebral (ACV)</t>
  </si>
  <si>
    <t>Trombolisis intracoronaria (IAM)</t>
  </si>
  <si>
    <t>Ecografía gineco-obstétrica</t>
  </si>
  <si>
    <t xml:space="preserve">SECCIÓN F: TELECOMITÉ DE ESPECIALIDAD </t>
  </si>
  <si>
    <t>Telecomité realizados</t>
  </si>
  <si>
    <t>Total Nº de casos revisados</t>
  </si>
  <si>
    <t>Telecomité solicitados desde Nivel Secundario y Terciario y resueltos por otro establecimiento</t>
  </si>
  <si>
    <t>Telecomité de especialidad</t>
  </si>
  <si>
    <t>Cuidados paliativos oncológicos</t>
  </si>
  <si>
    <t>Cuidados paliativos no oncológicos universales</t>
  </si>
  <si>
    <t>Unidad de paciente crítico</t>
  </si>
  <si>
    <t xml:space="preserve">SECCIÓN G: TELEINTERCONSULTA MEDICINA ABREVIADA </t>
  </si>
  <si>
    <t>Tipo de consulta</t>
  </si>
  <si>
    <t>ESTE REM SOLO ES LLENADO POR HOSPITAL DIGITAL, NIVEL CENTRAL</t>
  </si>
  <si>
    <t xml:space="preserve">SECCION A: ATENCIONES POR TELEMEDICINA DE ESPECIALIDAD MEDICA </t>
  </si>
  <si>
    <t>SECCION A1: TELEINTERCONSULTA DE ESPECIALIDAD MEDICA POR HOSPITAL DIGITAL</t>
  </si>
  <si>
    <t xml:space="preserve">ESPECIALIDADES  </t>
  </si>
  <si>
    <t>TOTAL TELEINTERCONSULTAS MÉDICAS DE ESPECIALIDAD REALIZADAS  POR HOSPITAL DIGITAL</t>
  </si>
  <si>
    <t>TELEINTERCONSULTA MEDICA DE ESPECIALIDAD AMBULATORIA NUEVA</t>
  </si>
  <si>
    <t xml:space="preserve">TELEINTERCONSULTA MEDICA  DE ESPECIALIDAD AMBULATORIA CONTROL </t>
  </si>
  <si>
    <t>TELEINTERCONSULTAS  SOLICITADAS DESDE APS O NIVEL SECUNDARIO PARA SER RESUELTAS POR HOSPITAL DIGITAL</t>
  </si>
  <si>
    <t>Reumatología</t>
  </si>
  <si>
    <t>Endocrinología</t>
  </si>
  <si>
    <t>Genética</t>
  </si>
  <si>
    <t>Neurología</t>
  </si>
  <si>
    <t>SECCION A2: TELECONSULTA DE ESPECIALIDAD MEDICA  POR HOSPITAL DIGITAL</t>
  </si>
  <si>
    <t>TOTAL TELECONSULTAS DE ESPECIALIDAD REALIZADAS  POR HOSPITAL DIGITAL</t>
  </si>
  <si>
    <t>TELECONSULTA DE ESPECIALIDAD CONSULTA NUEVA</t>
  </si>
  <si>
    <t xml:space="preserve">TELECONSULTA DE ESPECIALIDAD CONTROL </t>
  </si>
  <si>
    <t>TELECONSULTAS SOLICITADAS PARA SER RESUELTAS POR HOSPITAL DIGITAL</t>
  </si>
  <si>
    <t>Enfermedades Metabólicas</t>
  </si>
  <si>
    <t>SECCIÓN B : TELEINFORMES EN ESTABLECIMIENTOS DE ATENCIÓN PRIMARIA, SECUNDARIA Y TERCIARIA</t>
  </si>
  <si>
    <t xml:space="preserve">TELEINFORMES </t>
  </si>
  <si>
    <t xml:space="preserve"> TOTAL TELEINFORMES REALIZADOS </t>
  </si>
  <si>
    <t xml:space="preserve">ESTABLECIMIENTOS DE NIVEL PRIMARIO DE SALUD </t>
  </si>
  <si>
    <r>
      <t xml:space="preserve"> </t>
    </r>
    <r>
      <rPr>
        <sz val="8"/>
        <rFont val="Verdana"/>
        <family val="2"/>
      </rPr>
      <t>(ESTABLECIMIENTOS DE NIVEL SECUNDARIO Y TERCIARIO)</t>
    </r>
  </si>
  <si>
    <t>TOTAL TELEINFORMES REALIZADOS POR INTELIGENCIA ARTIFICIAL</t>
  </si>
  <si>
    <t xml:space="preserve">TOTAL TELEINFORMES REALIZADOS POR ESPECIALISTA </t>
  </si>
  <si>
    <t>TELEINFORMES SOLICITADOS DESDE APS, NIVEL SECUNDARIO  O TERCIARIO</t>
  </si>
  <si>
    <t>N° de Teleinformes Fondo de Ojo</t>
  </si>
  <si>
    <t>N° de Teleinformes de Tomografía Axial Computarizada</t>
  </si>
  <si>
    <t>N° de Teleinformes de Resonancia Magnética</t>
  </si>
  <si>
    <t>N° de Teleinformes Mamografías</t>
  </si>
  <si>
    <t>SECCION C: TELEINTERCONSULTA DE ESPECIALIDADES ODONTOLOGICAS POR HOSPITAL DIGITAL</t>
  </si>
  <si>
    <t>ESPECIALIDADES ODONTOLOGICAS</t>
  </si>
  <si>
    <t xml:space="preserve">TOTAL TELEINTERCONSULTAS DE ESPECIALIDADES ODONTOLÓGICAS </t>
  </si>
  <si>
    <t>TELEINTERCONSULTA DE ESPECIALIDADES ODONTOLÓGICAS AMBULATORIA NUEVA</t>
  </si>
  <si>
    <t xml:space="preserve">TELEINTERCONSULTA DE ESPECIALIDADES ODONTOLÓGICAS AMBULATORIA CONTROL </t>
  </si>
  <si>
    <t>TELEINTERCONSULTAS  SOLICITADAS PARA SER RESUELTAS POR HOSPITAL DIGITAL</t>
  </si>
  <si>
    <t>Trastornos Temporomandibulares y Dolor Orofacial</t>
  </si>
  <si>
    <t>Ortodoncia</t>
  </si>
  <si>
    <t>Patología Oral</t>
  </si>
  <si>
    <t>SECCIÓN D: ATENCIONES DE TELEMEDICINA REALIZADAS POR OTROS PROFESIONALES</t>
  </si>
  <si>
    <t xml:space="preserve">SECCION D1: TELEINTERCONSULTA OTROS PROFESIONALES DE LA SALUD REALIZADA POR HOSPITAL DIGITAL </t>
  </si>
  <si>
    <t xml:space="preserve">TELEINTERCONSULTA </t>
  </si>
  <si>
    <t xml:space="preserve">TOTAL DE TELEINTERCONSULTAS DE OTROS PROFESIONALES DE LA SALUD </t>
  </si>
  <si>
    <t xml:space="preserve">TELEINTERCONSULTA NUEVA DE OTROS PROFESIONALES DE LA SALUD </t>
  </si>
  <si>
    <t xml:space="preserve">TELEINTERCONSULTA CONTROL DE OTROS PROFESIONALES DE LA SALUD </t>
  </si>
  <si>
    <t>TELEINTERCONSULTAS SOLICITADAS DESDE APS O NIVEL SECUNDARIO PARA SER RESUELTAS POR HOSPITAL DIGITAL</t>
  </si>
  <si>
    <t>Químico Farmacéutica/o</t>
  </si>
  <si>
    <t>Psicóloga/o</t>
  </si>
  <si>
    <t>Nutricionista/o</t>
  </si>
  <si>
    <t xml:space="preserve">SECCION D2: TELECONSULTA OTROS PROFESIONALES DE LA SALUD  REALIZADA POR HOSPITAL DIGITAL </t>
  </si>
  <si>
    <t>TELECONSULTA</t>
  </si>
  <si>
    <t xml:space="preserve">TOTAL DE TELECONSULTAS DE OTROS PROFESIONALES DE LA SALUD </t>
  </si>
  <si>
    <t xml:space="preserve"> TELECONSULTA NUEVA DE OTROS PROFESIONALES DE LA  SALUD </t>
  </si>
  <si>
    <t xml:space="preserve"> TELECONSULTA CONTROL DE OTROS PROFESIONALES DE LA  SALUD  </t>
  </si>
  <si>
    <t>TELECONSULTAS SOLICITADAS DESDE APS O NIVEL SECUNDARIO PARA SER RESUELTAS POR HOSPITAL DIGITAL</t>
  </si>
  <si>
    <t xml:space="preserve">SECCION E: TELEMEDICINA EN ESTRATEGIAS DE MEDICINA GENERAL </t>
  </si>
  <si>
    <t xml:space="preserve">TELEMEDICINA POR PROFESIONAL DE SALUD AMBULATORIA  </t>
  </si>
  <si>
    <t>TELEMEDICINA SOLICITADAS PARA SER RESUELTAS POR MEDICOS GENERALES DE HOSPITAL DIGITAL</t>
  </si>
  <si>
    <t>Medicina General Hospital Digital Rural</t>
  </si>
  <si>
    <t>Medicina General en otras Instancias</t>
  </si>
  <si>
    <t xml:space="preserve">SECCION F: ESTRATEGIAS SALUD MENTAL </t>
  </si>
  <si>
    <t xml:space="preserve">SECCIÓN F1: ESTRATEGIA SALUD MENTAL POBLACION GENERAL </t>
  </si>
  <si>
    <t xml:space="preserve">ESTRATEGIAS DE SALUD A POBLACIÓN GENERAL </t>
  </si>
  <si>
    <t>ATENCIONES DE SALUD MENTAL A POBLACIÓN GENERAL</t>
  </si>
  <si>
    <t xml:space="preserve">Atenciones Diferenciadas por Vía de Realización </t>
  </si>
  <si>
    <t xml:space="preserve">Usuarios sin Antecedentes </t>
  </si>
  <si>
    <t>Sin información Edad</t>
  </si>
  <si>
    <t>Sin información Sexo</t>
  </si>
  <si>
    <t>Atención por llamada telefónica</t>
  </si>
  <si>
    <t>Atención por Videollamada</t>
  </si>
  <si>
    <t>Ingresos PASMET</t>
  </si>
  <si>
    <t xml:space="preserve">SECCION F2: ESTRATEGIA SALUD MENTAL EN FUNCIONARIOS DE LA SALUD </t>
  </si>
  <si>
    <t>ESTRATEGIAS DE SALUD A FUNCIONARIOS</t>
  </si>
  <si>
    <t>ATENCIONES DE SALUD MENTAL FUNCIONARIOS</t>
  </si>
  <si>
    <t xml:space="preserve">Atenciones Diferenciadas por Vía de Realización  </t>
  </si>
  <si>
    <t xml:space="preserve">SECCION F3: ALTA PROGRAMA DE ACOMPAÑAMIENTO EN SALUD MENTAL POR TELEMEDICINA A POBLACIÓN GENERAL (PASMET) </t>
  </si>
  <si>
    <t>TIPO DE ALTA PASMET</t>
  </si>
  <si>
    <t>ATENCIÓN  PSICOLOGICA A POBLACIÓN GENERAL</t>
  </si>
  <si>
    <t xml:space="preserve">Alta Terapéutica </t>
  </si>
  <si>
    <t>SECCION F4: ALTA PROGRAMA DE ACOMPAÑAMIENTO EN SALUD MENTAL POR TELEMEDICINA A FUNCIONARIOS (PASMET)</t>
  </si>
  <si>
    <t xml:space="preserve">ATENCIÓN PSICOLÓGICA A FUNCIONARIOS </t>
  </si>
  <si>
    <t>SECCION G: TELECOMITÉ</t>
  </si>
  <si>
    <t>TELECOMITE</t>
  </si>
  <si>
    <t xml:space="preserve">USUARIOS EVALUADOS POR TELECOMITÉ </t>
  </si>
  <si>
    <t>TOTAL USUARIOS SOLICITADOS A PRESENTAR EN TELECOMITÉ</t>
  </si>
  <si>
    <t>Telecomité Oncológico Central</t>
  </si>
  <si>
    <t>Telecomité Oncológico de Apoyo Central</t>
  </si>
  <si>
    <t>Telecomité de Cuidados Paliativos</t>
  </si>
  <si>
    <t>Telecomité UPC</t>
  </si>
  <si>
    <t>SECCION H: ORIENTACIÓN TELEFÓNICA EN SALUD</t>
  </si>
  <si>
    <t xml:space="preserve">ORIENTACIÓN TELEFÓNICA EN SALUD </t>
  </si>
  <si>
    <t>ORIENTACIÓN EN SALUD</t>
  </si>
  <si>
    <t xml:space="preserve">Sin Información </t>
  </si>
  <si>
    <t>Orientación Clínica por Profesional no Médico</t>
  </si>
  <si>
    <t>Orientación Administrativa</t>
  </si>
  <si>
    <t>Orientación Médica</t>
  </si>
  <si>
    <t>SECCIÓN C: INGRESOS A PROGRAMA DE REGULACIÓN DE FERTILIDAD Y SALUD SEXUAL</t>
  </si>
  <si>
    <t>SECCIÓN C1: EGRESOS DE PROGRAMA DE REGULACIÓN DE FERTILIDAD Y SALUD SEXUAL</t>
  </si>
  <si>
    <t>6 - 9 años</t>
  </si>
  <si>
    <t>3 - 4 años</t>
  </si>
  <si>
    <t>6 - 11 meses</t>
  </si>
  <si>
    <t>12 - 24 meses</t>
  </si>
  <si>
    <t xml:space="preserve">TOTAL          </t>
  </si>
  <si>
    <t>Acciones en domicilio</t>
  </si>
  <si>
    <t>20-59 años</t>
  </si>
  <si>
    <t>60 y más años</t>
  </si>
  <si>
    <t>SECCIÓN K.1: ACTIVIDADES DE COORDINACION EN SITUACIONES DE EMERGENCIA Y DESASTRE</t>
  </si>
  <si>
    <t xml:space="preserve">
Nº Reuniones / Sesiones</t>
  </si>
  <si>
    <t>Nº Instituciones, Organizaciones que participan</t>
  </si>
  <si>
    <t>Trabajo Sectorial</t>
  </si>
  <si>
    <t>Actividades Comunitarias</t>
  </si>
  <si>
    <t>SECCIÓN T: INGRESOS Y EGRESOS PROGRAMA DE ACOMPAÑAMIENTO PSICOSOCIAL EN ATENCIÓN PRIMARIA</t>
  </si>
  <si>
    <t>SECCIÓN U: INGRESOS  INTEGRALES DE PERSONAS CON CONDICIONES CRÓNICAS EN ATENCIÓN PRIMARIA</t>
  </si>
  <si>
    <t xml:space="preserve">Hospitaliza-ción </t>
  </si>
  <si>
    <t>25 - 64 años</t>
  </si>
  <si>
    <t>70 - 79 años</t>
  </si>
  <si>
    <t>80 - 84 años</t>
  </si>
  <si>
    <t>85 - 89 años</t>
  </si>
  <si>
    <t xml:space="preserve">5 - 9 años </t>
  </si>
  <si>
    <t>Sala Estimulación</t>
  </si>
  <si>
    <t>15 - 64 años</t>
  </si>
  <si>
    <t>1 - 4 años</t>
  </si>
  <si>
    <t>5 - 9  años</t>
  </si>
  <si>
    <t>15 - 18 años</t>
  </si>
  <si>
    <t>10 - 19 años</t>
  </si>
  <si>
    <t>28 - 37 semanas</t>
  </si>
  <si>
    <t>14 - 19 años</t>
  </si>
  <si>
    <t>Niños 12 - 23 meses</t>
  </si>
  <si>
    <t>35 - 49 años</t>
  </si>
  <si>
    <t>0 - 14 años</t>
  </si>
  <si>
    <t>Medico interconsultor (vía de resolución)</t>
  </si>
  <si>
    <t>24 - 35 meses</t>
  </si>
  <si>
    <t>36 - 41 meses</t>
  </si>
  <si>
    <t>42 - 47 meses</t>
  </si>
  <si>
    <t>60 - 71 meses</t>
  </si>
  <si>
    <t>6 - 9 años 11 meses</t>
  </si>
  <si>
    <t>10 - 14 AÑOS</t>
  </si>
  <si>
    <t>15 - 19 AÑOS</t>
  </si>
  <si>
    <t>5 - 9 AÑOS</t>
  </si>
  <si>
    <t>Aumento</t>
  </si>
  <si>
    <t>Mantención</t>
  </si>
  <si>
    <t>Disminución</t>
  </si>
  <si>
    <t>Rescate Telefónico</t>
  </si>
  <si>
    <t>65 - 79 años</t>
  </si>
  <si>
    <t xml:space="preserve">10 - 14 años </t>
  </si>
  <si>
    <t>Menos de 18 años</t>
  </si>
  <si>
    <t>0-5 años</t>
  </si>
  <si>
    <t>2 a 6 Horas</t>
  </si>
  <si>
    <t>Menos de 12 Horas</t>
  </si>
  <si>
    <t>12 - 24 Horas</t>
  </si>
  <si>
    <t>SECCIÓN E: PACIENTES CON INDICACIÓN DE OBSERVACIÓN EN SAR Y SAPU</t>
  </si>
  <si>
    <t>Después de 72 horas</t>
  </si>
  <si>
    <t>Menos 
de 20 años</t>
  </si>
  <si>
    <t xml:space="preserve">Menos de 1 año </t>
  </si>
  <si>
    <t>*No incluidos en REM A26 sección D.</t>
  </si>
  <si>
    <t>Nº informes</t>
  </si>
  <si>
    <t>Menos de 10 años</t>
  </si>
  <si>
    <t>Menos de 7 meses</t>
  </si>
  <si>
    <t>Menos de 2 años</t>
  </si>
  <si>
    <t>** Para la desagregación por funcionalidad se contabiliza desde 65 y mas años. Sólo para el cálculo del total de los ingresos se contabiliza el rango de 60 - 64 años.</t>
  </si>
  <si>
    <t>Usuarios Acreditados por Profesional/es que atiende/n (Individual o en dupla)</t>
  </si>
  <si>
    <t>Cumplimien-to de tratamiento</t>
  </si>
  <si>
    <t>Menos
de 15 años</t>
  </si>
  <si>
    <t>Acciones en albergue/
Espacio comunitario</t>
  </si>
  <si>
    <t>Niños de 2 - 5 años</t>
  </si>
  <si>
    <t>Niños de 6 - 9 años</t>
  </si>
  <si>
    <t>Niños de 10 - 14 años</t>
  </si>
  <si>
    <r>
      <rPr>
        <b/>
        <sz val="11"/>
        <rFont val="Verdana"/>
        <family val="2"/>
      </rPr>
      <t>*</t>
    </r>
    <r>
      <rPr>
        <b/>
        <sz val="12"/>
        <rFont val="Verdana"/>
        <family val="2"/>
      </rPr>
      <t xml:space="preserve"> </t>
    </r>
    <r>
      <rPr>
        <b/>
        <sz val="8"/>
        <rFont val="Verdana"/>
        <family val="2"/>
      </rPr>
      <t>Las</t>
    </r>
    <r>
      <rPr>
        <b/>
        <sz val="12"/>
        <rFont val="Verdana"/>
        <family val="2"/>
      </rPr>
      <t xml:space="preserve"> </t>
    </r>
    <r>
      <rPr>
        <b/>
        <sz val="8"/>
        <rFont val="Verdana"/>
        <family val="2"/>
      </rPr>
      <t>horas informadas en cirugía menores y procedimientos, deben estar contenidas en las horas ocupadas, en quirófanos para cirugía mayor.</t>
    </r>
  </si>
  <si>
    <t>CIRUGIAS MENORES Y PROCEDIMIENTOS *</t>
  </si>
  <si>
    <t>Consultante ITS ambulatorio (Nivel 1º y 2º)</t>
  </si>
  <si>
    <t>Consultante ITS hospitalario (nivel 3º y Urgencia)</t>
  </si>
  <si>
    <t>Consultante ITS hospitalario (Nivel 3º y Urgencia)</t>
  </si>
  <si>
    <t>Menos de 6 meses</t>
  </si>
  <si>
    <t>Menos de 12 meses</t>
  </si>
  <si>
    <t>18 - 19 años</t>
  </si>
  <si>
    <t>TRATAMIENTO DE SÍFILIS EN GESTANTES EN ATENCIÓN PRIMARIA</t>
  </si>
  <si>
    <t>TRATAMIENTO DE SÍFILIS EN GESTANTES EN ESPECIALIDADES</t>
  </si>
  <si>
    <t>TRATAMIENTO SÍFILIS EN GESTANTES AL MOMENTO DEL PARTO</t>
  </si>
  <si>
    <t>GESTANTES EVALUADAS PARA HEPATITIS B EN ATENCIÓN PRIMARIA</t>
  </si>
  <si>
    <t>GESTANTES ESTUDIADAS PARA ESTREPTOCOCCUS GRUPO B (EGB) EN APS</t>
  </si>
  <si>
    <t>GESTANTES ESTUDIADAS PARA ESTREPTOCOCCUS GRUPO B (EGB) EN ESPECIALIDADES</t>
  </si>
  <si>
    <t>GESTANTES ESTUDIADAS PARA ESTREPTOCOCCUS GRUPO B (EGB) EN NIVEL HOSPITALARIO</t>
  </si>
  <si>
    <t>GESTANTES CON PROFILAXIS PARA ESTREPTOCOCCUS GRUPO B (EGB) AL PARTO</t>
  </si>
  <si>
    <t>GESTANTES EVALUADAS PARA HEPATITIS B EN ESPECIALIDADES</t>
  </si>
  <si>
    <t>GESTANTES EVALUADAS PARA HEPATITIS B EN PARTOS</t>
  </si>
  <si>
    <t>Nº Reuniones / Sesiones</t>
  </si>
  <si>
    <t>Nº Instituciones,  Organizaciones  Participantes</t>
  </si>
  <si>
    <t>TOTAL TALLERES</t>
  </si>
  <si>
    <t>Total Hombres</t>
  </si>
  <si>
    <t>Total Mujeres</t>
  </si>
  <si>
    <t>Mesas: Territoriales, Diálogos ciudadanos, Mesa salud intercultural</t>
  </si>
  <si>
    <t>Planificación local participativa (Diagnósticos, programación y evaluación)</t>
  </si>
  <si>
    <t>Tiempo de espera (En sala de espera)</t>
  </si>
  <si>
    <t>Tiempo de espera, por consulta especialidad (Por lista de espera)</t>
  </si>
  <si>
    <t>Tiempo de espera, por procedimiento (Lista de espera)</t>
  </si>
  <si>
    <t>Tiempo de espera , por cirugía (Lista de espera)</t>
  </si>
  <si>
    <t xml:space="preserve">Tipo de estrategia </t>
  </si>
  <si>
    <t xml:space="preserve">Tipo de Estrategia </t>
  </si>
  <si>
    <t xml:space="preserve">Modalidad de Rehabilitación  </t>
  </si>
  <si>
    <t>Modalidad de rehabilitación</t>
  </si>
  <si>
    <t>Laboral</t>
  </si>
  <si>
    <t xml:space="preserve">Modalidad de Rehabilitación </t>
  </si>
  <si>
    <t>Número de Talleres de Lactancia Materna realizada en Atención Primaria a menores de un año</t>
  </si>
  <si>
    <t>Cirugía Mayor Ambulatoria</t>
  </si>
  <si>
    <t>Coronariografía</t>
  </si>
  <si>
    <t>REM</t>
  </si>
  <si>
    <t>Nº ERRORES</t>
  </si>
  <si>
    <t>REM
SIN DATOS</t>
  </si>
  <si>
    <t>HOJA NOMBRE</t>
  </si>
  <si>
    <t>REM A01</t>
  </si>
  <si>
    <t>REM A02</t>
  </si>
  <si>
    <t>REM A03</t>
  </si>
  <si>
    <t>REM A04</t>
  </si>
  <si>
    <t>REM A05</t>
  </si>
  <si>
    <t>REM A06</t>
  </si>
  <si>
    <t>REM A07</t>
  </si>
  <si>
    <t>REM A08</t>
  </si>
  <si>
    <t>REM A09</t>
  </si>
  <si>
    <t>REM A11</t>
  </si>
  <si>
    <t>REM A11a</t>
  </si>
  <si>
    <t>REM A19a</t>
  </si>
  <si>
    <t>REM A19b</t>
  </si>
  <si>
    <t>REM A21</t>
  </si>
  <si>
    <t>REM A23</t>
  </si>
  <si>
    <t>REM A24</t>
  </si>
  <si>
    <t>REM A25</t>
  </si>
  <si>
    <t>REM A26</t>
  </si>
  <si>
    <t>REM A27</t>
  </si>
  <si>
    <t>REM A28</t>
  </si>
  <si>
    <t>REM A29</t>
  </si>
  <si>
    <t>REM A30</t>
  </si>
  <si>
    <t>REM A30AR</t>
  </si>
  <si>
    <t>REM A31</t>
  </si>
  <si>
    <t>REM A32</t>
  </si>
  <si>
    <t>REM A33</t>
  </si>
  <si>
    <t>DATOS DEL ESTABLECIMIENTO</t>
  </si>
  <si>
    <t>CÓDIGOS</t>
  </si>
  <si>
    <t>NOMBRE DE COMUNA</t>
  </si>
  <si>
    <t>NOMBRE ESTABLECIMIENTO/ESTRATEGIA</t>
  </si>
  <si>
    <t>MES:</t>
  </si>
  <si>
    <t>AÑO:</t>
  </si>
  <si>
    <t>ENERO</t>
  </si>
  <si>
    <t>FEBRERO</t>
  </si>
  <si>
    <t>MARZO</t>
  </si>
  <si>
    <t>ABRIL</t>
  </si>
  <si>
    <t>MINSAL - DEIS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</si>
  <si>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</si>
  <si>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</si>
  <si>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</si>
  <si>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</si>
  <si>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</si>
  <si>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</si>
  <si>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</si>
  <si>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</si>
  <si>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Director/a Servicio de Salud o Director/a Establecimiento</t>
  </si>
  <si>
    <t>Jefe/a de Estadísticas</t>
  </si>
  <si>
    <t>Otras Áreas</t>
  </si>
  <si>
    <t>Con BIRADS 0</t>
  </si>
  <si>
    <t>SECCIÓN I:  CONSULTAS, INGRESOS Y EGRESOS EN ESPECIALIDADES ODONTOLÓGICAS REALIZADOS EN NIVEL PRIMARIO Y SECUNDARIO DE SALUD</t>
  </si>
  <si>
    <t>N° de escala de depresión geriátrica de Yesavage GDS-15</t>
  </si>
  <si>
    <t>Menor 1 año</t>
  </si>
  <si>
    <t>CRITERIOS DE EGRESO SEGÚN TIPO DE ALIMENTACIÓN</t>
  </si>
  <si>
    <t>SECCIÓN A : CONSULTAS MÉDICAS DE ESPECIALIDAD</t>
  </si>
  <si>
    <t>NUMERO DE ERRORES Y COMPLETITUD DE REM SERIE A</t>
  </si>
  <si>
    <t>SECCIÓN F1: TAMIZAJE TRASTORNO ESPECTRO AUTISTA  (31 A 59 MESES)</t>
  </si>
  <si>
    <t>31-59 meses</t>
  </si>
  <si>
    <t xml:space="preserve">Niños/as evaluados en Control de Salud Integral </t>
  </si>
  <si>
    <t>Niños/as con sospecha del Espectro Autista en otros controles o consultas</t>
  </si>
  <si>
    <t xml:space="preserve">Derivación </t>
  </si>
  <si>
    <t>Si</t>
  </si>
  <si>
    <t>No</t>
  </si>
  <si>
    <t>Sospecha de TEA según pauta de señales de alerta</t>
  </si>
  <si>
    <t>Sí</t>
  </si>
  <si>
    <t>SERVICIO DE SALUD</t>
  </si>
  <si>
    <t>Prescripciones despachadas</t>
  </si>
  <si>
    <t>Recetas despachadas</t>
  </si>
  <si>
    <t>Macros</t>
  </si>
  <si>
    <t>CREA UNA COPIA  DEL ARCHIVO  (TRANFORMA HOJAS A VALORES)</t>
  </si>
  <si>
    <t>De turno</t>
  </si>
  <si>
    <t>Consultor de llamada</t>
  </si>
  <si>
    <t>Cantidad</t>
  </si>
  <si>
    <t>Menos de 4 años</t>
  </si>
  <si>
    <t>Contraseña para copia del archivo :DEIS</t>
  </si>
  <si>
    <t>SECCIÓN G: INGRESO DE NIÑOS, NIÑAS Y ADOLESCENTES CON NECESIDADES ESPECIALES  A CONTROL DE SALUD EN APS</t>
  </si>
  <si>
    <t>SECCIÓN F.1: REINGRESOS Y EGRESOS POR SEGUNDA VEZ A SALA DE ESTIMULACIÓN, SERVICIO ITINERANTE Y ATENCIÓN DOMICILIARIA</t>
  </si>
  <si>
    <t xml:space="preserve">SECCIÓN H: GESTANTES ESTUDIADAS PARA ESTREPTOCOCCUS GRUPO B (EGB) </t>
  </si>
  <si>
    <t>SECCIÓN I: GESTANTES EVALUADAS PARA HEPATITIS B</t>
  </si>
  <si>
    <t>Gestantes con profilaxis para  EGB (+) al parto</t>
  </si>
  <si>
    <t>SECCION H.3: TAMIZAJE CARDIOPATÍAS CONGÉNITAS</t>
  </si>
  <si>
    <t xml:space="preserve">Recién  Nacidos referidos a Cardiología </t>
  </si>
  <si>
    <t>Recien Nacidos Tamizados</t>
  </si>
  <si>
    <t>ESTADO DE SALUD</t>
  </si>
  <si>
    <t>Unidad de Apoyo Logístico</t>
  </si>
  <si>
    <t>Niños, Niñas, Adolescentes Y Jóvenes Población SENAME</t>
  </si>
  <si>
    <t>SERIE A</t>
  </si>
  <si>
    <t>ANTICUERPO</t>
  </si>
  <si>
    <t>N° de Niños/as Visitados 5 a 9 Años</t>
  </si>
  <si>
    <t>D.I.U. T con Cobre</t>
  </si>
  <si>
    <t>D.I.U. con Levonorgestrel</t>
  </si>
  <si>
    <t>Respuestas del Mes Dentro de Plazos Legales (15 días Hábiles)</t>
  </si>
  <si>
    <t>SECCIÓN G: SCREENING ENFERMEDAD DE CHAGAS PARA EMBARAZADAS, PUERPERAS Y MUJERES EN EDAD FÉRTIL</t>
  </si>
  <si>
    <t>ESPECIALIDADES Y SUB-ESPECIALIDADES</t>
  </si>
  <si>
    <t>Familia con niño de 0 a 12 meses con score de riesgo moderado de morir por neumonía</t>
  </si>
  <si>
    <t>Familia con niño de 0 a 12 meses con score de riesgo grave de morir por neumonía</t>
  </si>
  <si>
    <t xml:space="preserve">Gestión de casos </t>
  </si>
  <si>
    <t>Planificación Intervención educativa</t>
  </si>
  <si>
    <t>Diagnóstico participativo</t>
  </si>
  <si>
    <r>
      <t>REM-A30 AR</t>
    </r>
    <r>
      <rPr>
        <b/>
        <sz val="12"/>
        <color theme="1"/>
        <rFont val="Verdana"/>
        <family val="2"/>
      </rPr>
      <t>:</t>
    </r>
    <r>
      <rPr>
        <b/>
        <sz val="12"/>
        <rFont val="Verdana"/>
        <family val="2"/>
      </rPr>
      <t xml:space="preserve"> ATENCIÓN Y ORIENTACIÓN DE SALUD A DISTANCIA (HD)</t>
    </r>
  </si>
  <si>
    <t>Total de Establecimientos Educacionales</t>
  </si>
  <si>
    <t>Total casos gestionados</t>
  </si>
  <si>
    <t xml:space="preserve">Casos pesquisados con riesgo </t>
  </si>
  <si>
    <t>Número de problemáticas intervenidas</t>
  </si>
  <si>
    <t>Intervenciones educativas finalizadas</t>
  </si>
  <si>
    <t>Cirugía Mayor Ambulatoria Electiva/Urgencia</t>
  </si>
  <si>
    <t>Cirugía Mayor No Ambulatoria Electiva/Urgencia</t>
  </si>
  <si>
    <t>Víctima de violencia de género</t>
  </si>
  <si>
    <t>Cumplimiento de tratamiento</t>
  </si>
  <si>
    <t>Espacios Amigables/ Adolescente</t>
  </si>
  <si>
    <t>Programa de Acompañamiento Psicosocial en APS</t>
  </si>
  <si>
    <t>CONSULTAS Y CONTROLES MÉDICOS</t>
  </si>
  <si>
    <t>CDT/CAE/CRS/Hospitalizado</t>
  </si>
  <si>
    <t>Niños, Niñas, Adolescentes Y Jóvenes SENAME</t>
  </si>
  <si>
    <t>Trastornos de Ansiedad</t>
  </si>
  <si>
    <t>Aumento de funcionalidad familiar (4 puntos o más)</t>
  </si>
  <si>
    <t xml:space="preserve">Derivación efectiva </t>
  </si>
  <si>
    <t>Cumple con el 70% de los objetivos del plan de acompañamiento</t>
  </si>
  <si>
    <t>Egreso por alta clínica del Prog de Salud Mental</t>
  </si>
  <si>
    <t>Versión 1.1: Marzo 2024</t>
  </si>
  <si>
    <t xml:space="preserve"> Total de atenciones niños(as) en modalidades de apoyo</t>
  </si>
  <si>
    <t>Atenciones individuales de seguimiento a niñas/os categorizados NORMAL CON REZAGO</t>
  </si>
  <si>
    <t>Atenciones grupales de seguimiento a niñas/os categorizados NORMAL CON REZAGO</t>
  </si>
  <si>
    <t>Atenciones individuales de seguimiento a niñas/os categorizados con RIESGO</t>
  </si>
  <si>
    <t>Atenciones grupales de seguimiento a niñas/os categorizados con RIESGO</t>
  </si>
  <si>
    <t>Atenciones individuales de seguimiento a niñas/os categorizados con RETRASO</t>
  </si>
  <si>
    <t>Atenciones grupales de seguimiento a niñas/os categorizados con RETRASO</t>
  </si>
  <si>
    <t>Atenciones individuales de seguimiento a niñas/os categorizados NORMAL CON RIESGO BIOPSICOSOCIAL</t>
  </si>
  <si>
    <t>Atenciones grupales de seguimiento a niñas/os categorizados NORMAL CON RIESGO BIOPSICOSOCIAL</t>
  </si>
  <si>
    <t xml:space="preserve">SECCIÓN B: CATEGORIZACIÓN DE PACIENTES, PREVIA A LA ATENCIÓN MÉDICA Y ODONTOLÓGICA (Establecimientos Alta, Mediana, Baja Complejidad, SAR, SUR y SAPU) </t>
  </si>
  <si>
    <t>Educación individual con instrucción de técnica de cepillado</t>
  </si>
  <si>
    <t>Matrona/ón previo examen VIH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</si>
</sst>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#,##0_ ;\-#,##0\ "/>
    <numFmt numFmtId="166" formatCode="_-* #,##0.00_-;\-* #,##0.00_-;_-* &quot;-&quot;??_-;_-@_-"/>
  </numFmts>
  <fonts count="71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name val="Comic Sans MS"/>
      <family val="4"/>
    </font>
    <font>
      <sz val="9"/>
      <name val="Calibri"/>
      <family val="2"/>
      <scheme val="minor"/>
    </font>
    <font>
      <sz val="8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name val="Verdana"/>
      <family val="2"/>
    </font>
    <font>
      <b/>
      <sz val="8"/>
      <color indexed="8"/>
      <name val="Verdana"/>
      <family val="2"/>
    </font>
    <font>
      <sz val="10"/>
      <name val="Verdana"/>
      <family val="2"/>
    </font>
    <font>
      <b/>
      <sz val="16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sz val="12"/>
      <name val="Verdana"/>
      <family val="2"/>
    </font>
    <font>
      <sz val="10"/>
      <color rgb="FFFF0000"/>
      <name val="Verdana"/>
      <family val="2"/>
    </font>
    <font>
      <sz val="16"/>
      <name val="Verdana"/>
      <family val="2"/>
    </font>
    <font>
      <b/>
      <sz val="11"/>
      <color rgb="FFFF0000"/>
      <name val="Verdana"/>
      <family val="2"/>
    </font>
    <font>
      <sz val="9"/>
      <name val="Calibri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0"/>
      <color rgb="FFFF0000"/>
      <name val="Arial"/>
      <family val="2"/>
    </font>
    <font>
      <b/>
      <sz val="9"/>
      <name val="Calibri"/>
      <family val="2"/>
      <scheme val="minor"/>
    </font>
    <font>
      <b/>
      <sz val="9"/>
      <name val="Arial"/>
      <family val="2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Verdana"/>
      <family val="2"/>
    </font>
    <font>
      <sz val="10"/>
      <color theme="1"/>
      <name val="Verdana"/>
      <family val="2"/>
    </font>
    <font>
      <b/>
      <i/>
      <sz val="11"/>
      <name val="Verdana"/>
      <family val="2"/>
    </font>
    <font>
      <strike/>
      <sz val="8"/>
      <name val="Verdana"/>
      <family val="2"/>
    </font>
    <font>
      <b/>
      <sz val="12"/>
      <color rgb="FFFF0000"/>
      <name val="Verdana"/>
      <family val="2"/>
    </font>
    <font>
      <sz val="12"/>
      <color indexed="60"/>
      <name val="Verdana"/>
      <family val="2"/>
    </font>
    <font>
      <b/>
      <sz val="8"/>
      <color indexed="10"/>
      <name val="Verdana"/>
      <family val="2"/>
    </font>
    <font>
      <b/>
      <sz val="28"/>
      <name val="Verdana"/>
      <family val="2"/>
    </font>
    <font>
      <sz val="28"/>
      <name val="Verdana"/>
      <family val="2"/>
    </font>
    <font>
      <sz val="72"/>
      <color indexed="22"/>
      <name val="Verdan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8"/>
      <name val="Verdana"/>
      <family val="2"/>
    </font>
    <font>
      <b/>
      <sz val="10"/>
      <color theme="1"/>
      <name val="Verdana"/>
      <family val="2"/>
    </font>
    <font>
      <b/>
      <sz val="10"/>
      <color indexed="10"/>
      <name val="Verdana"/>
      <family val="2"/>
    </font>
    <font>
      <sz val="12"/>
      <color rgb="FF000000"/>
      <name val="Calibri"/>
      <family val="2"/>
    </font>
    <font>
      <sz val="7"/>
      <name val="Verdana"/>
      <family val="2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999999"/>
      </patternFill>
    </fill>
    <fill>
      <patternFill patternType="solid">
        <fgColor rgb="FFB4C6E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  <b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48118533890809E-2"/>
        <bgColor indexed="64"/>
      </patternFill>
    </fill>
  </fills>
  <borders count="145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rgb="FFB2B2B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hair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/>
      <top/>
      <bottom style="thin">
        <color auto="1"/>
      </bottom>
      <diagonal/>
    </border>
    <border>
      <left/>
      <right style="hair">
        <color indexed="9"/>
      </right>
      <top/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/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auto="1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double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double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auto="1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indexed="9"/>
      </right>
      <top/>
      <bottom/>
      <diagonal/>
    </border>
    <border>
      <left style="hair">
        <color indexed="9"/>
      </left>
      <right/>
      <top/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9"/>
      </left>
      <right/>
      <top style="hair">
        <color indexed="9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/>
      <right style="thin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22"/>
      </right>
      <top/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3F3F3F"/>
      </bottom>
      <diagonal/>
    </border>
    <border>
      <left/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thin">
        <color indexed="64"/>
      </left>
      <right style="hair">
        <color indexed="64"/>
      </right>
      <top/>
      <bottom style="hair">
        <color rgb="FF3F3F3F"/>
      </bottom>
      <diagonal/>
    </border>
    <border>
      <left style="hair">
        <color indexed="64"/>
      </left>
      <right style="thin">
        <color indexed="64"/>
      </right>
      <top/>
      <bottom style="hair">
        <color rgb="FF3F3F3F"/>
      </bottom>
      <diagonal/>
    </border>
    <border>
      <left/>
      <right style="hair">
        <color indexed="64"/>
      </right>
      <top/>
      <bottom style="hair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rgb="FF3F3F3F"/>
      </bottom>
      <diagonal/>
    </border>
    <border>
      <left/>
      <right style="thin">
        <color indexed="64"/>
      </right>
      <top style="hair">
        <color indexed="64"/>
      </top>
      <bottom style="hair">
        <color rgb="FF3F3F3F"/>
      </bottom>
      <diagonal/>
    </border>
    <border>
      <left/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rgb="FF3F3F3F"/>
      </right>
      <top/>
      <bottom style="hair">
        <color rgb="FF3F3F3F"/>
      </bottom>
      <diagonal/>
    </border>
    <border>
      <left style="thin">
        <color indexed="64"/>
      </left>
      <right style="hair">
        <color rgb="FF3F3F3F"/>
      </right>
      <top style="hair">
        <color indexed="64"/>
      </top>
      <bottom style="hair">
        <color indexed="64"/>
      </bottom>
      <diagonal/>
    </border>
    <border>
      <left style="hair">
        <color rgb="FF3F3F3F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3F3F3F"/>
      </top>
      <bottom style="hair">
        <color rgb="FF3F3F3F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 style="double">
        <color auto="1"/>
      </right>
      <top/>
      <bottom style="thin">
        <color indexed="22"/>
      </bottom>
      <diagonal/>
    </border>
    <border>
      <left style="thin">
        <color indexed="64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/>
      <right style="double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double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/>
      <right style="double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double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double">
        <color auto="1"/>
      </right>
      <top/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</borders>
  <cellStyleXfs count="39">
    <xf numFmtId="0" fontId="0" fillId="0" borderId="0"/>
    <xf numFmtId="0" fontId="9" fillId="2" borderId="1" applyNumberFormat="0" applyFont="0" applyAlignment="0" applyProtection="0"/>
    <xf numFmtId="0" fontId="10" fillId="0" borderId="0"/>
    <xf numFmtId="0" fontId="10" fillId="9" borderId="64" applyNumberFormat="0" applyFont="0" applyAlignment="0" applyProtection="0"/>
    <xf numFmtId="9" fontId="11" fillId="0" borderId="0" applyFont="0" applyFill="0" applyBorder="0" applyAlignment="0" applyProtection="0"/>
    <xf numFmtId="0" fontId="10" fillId="9" borderId="83" applyNumberFormat="0" applyFont="0" applyAlignment="0" applyProtection="0"/>
    <xf numFmtId="0" fontId="21" fillId="0" borderId="0"/>
    <xf numFmtId="0" fontId="10" fillId="0" borderId="0"/>
    <xf numFmtId="164" fontId="10" fillId="0" borderId="0" applyFont="0" applyFill="0" applyBorder="0" applyAlignment="0" applyProtection="0"/>
    <xf numFmtId="0" fontId="24" fillId="14" borderId="0" applyNumberFormat="0" applyBorder="0" applyAlignment="0" applyProtection="0"/>
    <xf numFmtId="0" fontId="25" fillId="15" borderId="240" applyNumberFormat="0" applyAlignment="0" applyProtection="0"/>
    <xf numFmtId="0" fontId="10" fillId="9" borderId="425" applyNumberFormat="0" applyFont="0" applyAlignment="0" applyProtection="0"/>
    <xf numFmtId="0" fontId="10" fillId="9" borderId="429" applyNumberFormat="0" applyFont="0" applyAlignment="0" applyProtection="0"/>
    <xf numFmtId="0" fontId="10" fillId="9" borderId="42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10" fillId="0" borderId="0"/>
    <xf numFmtId="0" fontId="28" fillId="0" borderId="0" applyFont="0" applyBorder="0" applyAlignment="0" applyProtection="0"/>
    <xf numFmtId="166" fontId="10" fillId="0" borderId="0" applyFont="0" applyFill="0" applyBorder="0" applyAlignment="0" applyProtection="0"/>
    <xf numFmtId="0" fontId="29" fillId="0" borderId="0"/>
    <xf numFmtId="0" fontId="10" fillId="9" borderId="469" applyNumberFormat="0" applyFont="0" applyAlignment="0" applyProtection="0"/>
    <xf numFmtId="0" fontId="28" fillId="0" borderId="0" applyFont="0" applyBorder="0" applyAlignment="0" applyProtection="0"/>
    <xf numFmtId="0" fontId="10" fillId="9" borderId="482" applyNumberFormat="0" applyFont="0" applyAlignment="0" applyProtection="0"/>
    <xf numFmtId="0" fontId="10" fillId="9" borderId="504" applyNumberFormat="0" applyFont="0" applyAlignment="0" applyProtection="0"/>
    <xf numFmtId="164" fontId="11" fillId="0" borderId="0" applyFont="0" applyFill="0" applyBorder="0" applyAlignment="0" applyProtection="0"/>
    <xf numFmtId="0" fontId="10" fillId="9" borderId="523" applyNumberFormat="0" applyFont="0" applyAlignment="0" applyProtection="0"/>
    <xf numFmtId="0" fontId="10" fillId="9" borderId="523" applyNumberFormat="0" applyFont="0" applyAlignment="0" applyProtection="0"/>
    <xf numFmtId="0" fontId="10" fillId="9" borderId="543" applyNumberFormat="0" applyFont="0" applyAlignment="0" applyProtection="0"/>
    <xf numFmtId="0" fontId="23" fillId="0" borderId="0"/>
    <xf numFmtId="166" fontId="10" fillId="0" borderId="0" applyFont="0" applyFill="0" applyBorder="0" applyAlignment="0" applyProtection="0"/>
    <xf numFmtId="0" fontId="10" fillId="9" borderId="730" applyNumberFormat="0" applyFont="0" applyAlignment="0" applyProtection="0"/>
    <xf numFmtId="0" fontId="10" fillId="9" borderId="926" applyNumberFormat="0" applyFont="0" applyAlignment="0" applyProtection="0"/>
    <xf numFmtId="0" fontId="11" fillId="38" borderId="0" applyNumberFormat="0" applyBorder="0" applyAlignment="0" applyProtection="0"/>
    <xf numFmtId="0" fontId="23" fillId="0" borderId="0"/>
    <xf numFmtId="0" fontId="28" fillId="0" borderId="0" applyFont="0" applyBorder="0" applyAlignment="0" applyProtection="0"/>
    <xf numFmtId="0" fontId="10" fillId="47" borderId="1169" applyNumberFormat="0">
      <protection locked="0"/>
    </xf>
    <xf numFmtId="0" fontId="10" fillId="47" borderId="1170" applyBorder="0">
      <protection locked="0"/>
    </xf>
    <xf numFmtId="0" fontId="10" fillId="9" borderId="1258" applyNumberFormat="0" applyFont="0" applyAlignment="0" applyProtection="0"/>
  </cellStyleXfs>
  <cellXfs count="8752">
    <xf numFmtId="0" fontId="0" fillId="0" borderId="0" xfId="0"/>
    <xf numFmtId="1" fontId="3" fillId="0" borderId="10" xfId="0" applyNumberFormat="1" applyFont="1" applyBorder="1" applyAlignment="1">
      <alignment wrapText="1"/>
    </xf>
    <xf numFmtId="1" fontId="3" fillId="0" borderId="12" xfId="0" applyNumberFormat="1" applyFont="1" applyBorder="1" applyAlignment="1">
      <alignment wrapText="1"/>
    </xf>
    <xf numFmtId="1" fontId="3" fillId="4" borderId="14" xfId="0" applyNumberFormat="1" applyFont="1" applyFill="1" applyBorder="1" applyProtection="1">
      <protection locked="0"/>
    </xf>
    <xf numFmtId="1" fontId="3" fillId="4" borderId="15" xfId="0" applyNumberFormat="1" applyFont="1" applyFill="1" applyBorder="1" applyProtection="1">
      <protection locked="0"/>
    </xf>
    <xf numFmtId="1" fontId="3" fillId="4" borderId="17" xfId="0" applyNumberFormat="1" applyFont="1" applyFill="1" applyBorder="1" applyProtection="1">
      <protection locked="0"/>
    </xf>
    <xf numFmtId="1" fontId="3" fillId="4" borderId="18" xfId="0" applyNumberFormat="1" applyFont="1" applyFill="1" applyBorder="1" applyProtection="1">
      <protection locked="0"/>
    </xf>
    <xf numFmtId="1" fontId="2" fillId="3" borderId="0" xfId="0" applyNumberFormat="1" applyFont="1" applyFill="1"/>
    <xf numFmtId="1" fontId="3" fillId="4" borderId="10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1" fontId="3" fillId="4" borderId="24" xfId="0" applyNumberFormat="1" applyFont="1" applyFill="1" applyBorder="1" applyProtection="1">
      <protection locked="0"/>
    </xf>
    <xf numFmtId="1" fontId="3" fillId="4" borderId="25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0" borderId="12" xfId="0" applyNumberFormat="1" applyFont="1" applyBorder="1"/>
    <xf numFmtId="1" fontId="2" fillId="0" borderId="0" xfId="0" applyNumberFormat="1" applyFont="1"/>
    <xf numFmtId="1" fontId="6" fillId="0" borderId="0" xfId="0" applyNumberFormat="1" applyFont="1"/>
    <xf numFmtId="1" fontId="6" fillId="5" borderId="0" xfId="0" applyNumberFormat="1" applyFont="1" applyFill="1"/>
    <xf numFmtId="0" fontId="7" fillId="0" borderId="0" xfId="0" applyFont="1"/>
    <xf numFmtId="1" fontId="3" fillId="3" borderId="0" xfId="0" applyNumberFormat="1" applyFont="1" applyFill="1"/>
    <xf numFmtId="1" fontId="6" fillId="3" borderId="0" xfId="0" applyNumberFormat="1" applyFont="1" applyFill="1"/>
    <xf numFmtId="1" fontId="8" fillId="3" borderId="0" xfId="0" applyNumberFormat="1" applyFont="1" applyFill="1"/>
    <xf numFmtId="1" fontId="3" fillId="4" borderId="27" xfId="0" applyNumberFormat="1" applyFont="1" applyFill="1" applyBorder="1" applyProtection="1">
      <protection locked="0"/>
    </xf>
    <xf numFmtId="1" fontId="3" fillId="4" borderId="11" xfId="0" applyNumberFormat="1" applyFont="1" applyFill="1" applyBorder="1" applyProtection="1">
      <protection locked="0"/>
    </xf>
    <xf numFmtId="1" fontId="3" fillId="4" borderId="40" xfId="0" applyNumberFormat="1" applyFont="1" applyFill="1" applyBorder="1" applyProtection="1">
      <protection locked="0"/>
    </xf>
    <xf numFmtId="1" fontId="3" fillId="4" borderId="41" xfId="0" applyNumberFormat="1" applyFont="1" applyFill="1" applyBorder="1" applyProtection="1">
      <protection locked="0"/>
    </xf>
    <xf numFmtId="1" fontId="3" fillId="4" borderId="42" xfId="0" applyNumberFormat="1" applyFont="1" applyFill="1" applyBorder="1" applyProtection="1">
      <protection locked="0"/>
    </xf>
    <xf numFmtId="1" fontId="3" fillId="4" borderId="46" xfId="0" applyNumberFormat="1" applyFont="1" applyFill="1" applyBorder="1" applyProtection="1">
      <protection locked="0"/>
    </xf>
    <xf numFmtId="1" fontId="3" fillId="4" borderId="33" xfId="0" applyNumberFormat="1" applyFont="1" applyFill="1" applyBorder="1" applyProtection="1">
      <protection locked="0"/>
    </xf>
    <xf numFmtId="1" fontId="3" fillId="0" borderId="15" xfId="0" applyNumberFormat="1" applyFont="1" applyBorder="1"/>
    <xf numFmtId="1" fontId="3" fillId="4" borderId="47" xfId="0" applyNumberFormat="1" applyFont="1" applyFill="1" applyBorder="1" applyProtection="1">
      <protection locked="0"/>
    </xf>
    <xf numFmtId="1" fontId="3" fillId="4" borderId="13" xfId="0" applyNumberFormat="1" applyFont="1" applyFill="1" applyBorder="1" applyProtection="1">
      <protection locked="0"/>
    </xf>
    <xf numFmtId="1" fontId="3" fillId="0" borderId="10" xfId="0" applyNumberFormat="1" applyFont="1" applyBorder="1" applyAlignment="1">
      <alignment horizontal="right"/>
    </xf>
    <xf numFmtId="1" fontId="3" fillId="0" borderId="25" xfId="0" applyNumberFormat="1" applyFont="1" applyBorder="1" applyAlignment="1">
      <alignment horizontal="right"/>
    </xf>
    <xf numFmtId="1" fontId="3" fillId="0" borderId="22" xfId="0" applyNumberFormat="1" applyFont="1" applyBorder="1" applyAlignment="1">
      <alignment horizontal="right"/>
    </xf>
    <xf numFmtId="1" fontId="3" fillId="7" borderId="10" xfId="0" applyNumberFormat="1" applyFont="1" applyFill="1" applyBorder="1"/>
    <xf numFmtId="1" fontId="3" fillId="7" borderId="14" xfId="0" applyNumberFormat="1" applyFont="1" applyFill="1" applyBorder="1"/>
    <xf numFmtId="1" fontId="3" fillId="7" borderId="12" xfId="0" applyNumberFormat="1" applyFont="1" applyFill="1" applyBorder="1"/>
    <xf numFmtId="1" fontId="3" fillId="0" borderId="12" xfId="0" applyNumberFormat="1" applyFont="1" applyBorder="1" applyAlignment="1">
      <alignment horizontal="right"/>
    </xf>
    <xf numFmtId="1" fontId="3" fillId="0" borderId="13" xfId="0" applyNumberFormat="1" applyFont="1" applyBorder="1" applyAlignment="1">
      <alignment wrapText="1"/>
    </xf>
    <xf numFmtId="1" fontId="3" fillId="0" borderId="14" xfId="0" applyNumberFormat="1" applyFont="1" applyBorder="1" applyAlignment="1">
      <alignment horizontal="right" wrapText="1"/>
    </xf>
    <xf numFmtId="1" fontId="3" fillId="0" borderId="15" xfId="0" applyNumberFormat="1" applyFont="1" applyBorder="1" applyAlignment="1">
      <alignment horizontal="right" wrapText="1"/>
    </xf>
    <xf numFmtId="1" fontId="3" fillId="7" borderId="11" xfId="0" applyNumberFormat="1" applyFont="1" applyFill="1" applyBorder="1"/>
    <xf numFmtId="1" fontId="2" fillId="5" borderId="0" xfId="0" applyNumberFormat="1" applyFont="1" applyFill="1"/>
    <xf numFmtId="1" fontId="3" fillId="0" borderId="31" xfId="0" applyNumberFormat="1" applyFont="1" applyBorder="1" applyAlignment="1">
      <alignment horizontal="right" wrapText="1"/>
    </xf>
    <xf numFmtId="1" fontId="3" fillId="0" borderId="58" xfId="0" applyNumberFormat="1" applyFont="1" applyBorder="1" applyAlignment="1">
      <alignment horizontal="center" vertical="center" wrapText="1"/>
    </xf>
    <xf numFmtId="1" fontId="3" fillId="5" borderId="10" xfId="0" applyNumberFormat="1" applyFont="1" applyFill="1" applyBorder="1" applyAlignment="1">
      <alignment horizontal="right"/>
    </xf>
    <xf numFmtId="1" fontId="3" fillId="0" borderId="23" xfId="0" applyNumberFormat="1" applyFont="1" applyBorder="1" applyAlignment="1">
      <alignment horizontal="right" wrapText="1"/>
    </xf>
    <xf numFmtId="1" fontId="3" fillId="0" borderId="24" xfId="0" applyNumberFormat="1" applyFont="1" applyBorder="1" applyAlignment="1">
      <alignment horizontal="right" wrapText="1"/>
    </xf>
    <xf numFmtId="1" fontId="3" fillId="4" borderId="70" xfId="0" applyNumberFormat="1" applyFont="1" applyFill="1" applyBorder="1" applyProtection="1">
      <protection locked="0"/>
    </xf>
    <xf numFmtId="1" fontId="2" fillId="0" borderId="0" xfId="0" applyNumberFormat="1" applyFont="1" applyAlignment="1">
      <alignment horizontal="left"/>
    </xf>
    <xf numFmtId="1" fontId="2" fillId="3" borderId="0" xfId="0" applyNumberFormat="1" applyFont="1" applyFill="1" applyAlignment="1">
      <alignment wrapText="1"/>
    </xf>
    <xf numFmtId="1" fontId="3" fillId="0" borderId="13" xfId="0" applyNumberFormat="1" applyFont="1" applyBorder="1" applyAlignment="1">
      <alignment horizontal="right" vertical="center" wrapText="1"/>
    </xf>
    <xf numFmtId="1" fontId="3" fillId="0" borderId="27" xfId="0" applyNumberFormat="1" applyFont="1" applyBorder="1"/>
    <xf numFmtId="1" fontId="2" fillId="3" borderId="0" xfId="0" applyNumberFormat="1" applyFont="1" applyFill="1" applyAlignment="1">
      <alignment horizontal="left"/>
    </xf>
    <xf numFmtId="1" fontId="3" fillId="0" borderId="31" xfId="0" applyNumberFormat="1" applyFont="1" applyBorder="1" applyAlignment="1">
      <alignment horizontal="left" vertical="center" wrapText="1"/>
    </xf>
    <xf numFmtId="1" fontId="3" fillId="0" borderId="13" xfId="0" applyNumberFormat="1" applyFont="1" applyBorder="1" applyAlignment="1">
      <alignment horizontal="left" vertical="center" wrapText="1"/>
    </xf>
    <xf numFmtId="1" fontId="6" fillId="3" borderId="0" xfId="0" applyNumberFormat="1" applyFont="1" applyFill="1" applyProtection="1">
      <protection hidden="1"/>
    </xf>
    <xf numFmtId="1" fontId="6" fillId="5" borderId="0" xfId="0" applyNumberFormat="1" applyFont="1" applyFill="1" applyProtection="1">
      <protection hidden="1"/>
    </xf>
    <xf numFmtId="1" fontId="3" fillId="0" borderId="13" xfId="0" applyNumberFormat="1" applyFont="1" applyBorder="1" applyAlignment="1" applyProtection="1">
      <alignment horizontal="left" vertical="center" wrapText="1"/>
      <protection hidden="1"/>
    </xf>
    <xf numFmtId="1" fontId="3" fillId="4" borderId="12" xfId="0" applyNumberFormat="1" applyFont="1" applyFill="1" applyBorder="1" applyAlignment="1" applyProtection="1">
      <alignment wrapText="1"/>
      <protection locked="0"/>
    </xf>
    <xf numFmtId="1" fontId="3" fillId="0" borderId="13" xfId="0" applyNumberFormat="1" applyFont="1" applyBorder="1" applyAlignment="1" applyProtection="1">
      <alignment vertical="center" wrapText="1"/>
      <protection hidden="1"/>
    </xf>
    <xf numFmtId="1" fontId="3" fillId="0" borderId="31" xfId="0" applyNumberFormat="1" applyFont="1" applyBorder="1" applyAlignment="1" applyProtection="1">
      <alignment vertical="center" wrapText="1"/>
      <protection hidden="1"/>
    </xf>
    <xf numFmtId="1" fontId="3" fillId="4" borderId="10" xfId="0" applyNumberFormat="1" applyFont="1" applyFill="1" applyBorder="1" applyAlignment="1" applyProtection="1">
      <alignment horizontal="right"/>
      <protection locked="0"/>
    </xf>
    <xf numFmtId="1" fontId="3" fillId="4" borderId="13" xfId="0" applyNumberFormat="1" applyFont="1" applyFill="1" applyBorder="1" applyAlignment="1" applyProtection="1">
      <alignment horizontal="right" wrapText="1"/>
      <protection locked="0"/>
    </xf>
    <xf numFmtId="1" fontId="3" fillId="4" borderId="14" xfId="0" applyNumberFormat="1" applyFont="1" applyFill="1" applyBorder="1" applyAlignment="1" applyProtection="1">
      <alignment horizontal="right"/>
      <protection locked="0"/>
    </xf>
    <xf numFmtId="1" fontId="3" fillId="4" borderId="12" xfId="0" applyNumberFormat="1" applyFont="1" applyFill="1" applyBorder="1" applyAlignment="1" applyProtection="1">
      <alignment horizontal="right"/>
      <protection locked="0"/>
    </xf>
    <xf numFmtId="1" fontId="3" fillId="0" borderId="3" xfId="0" applyNumberFormat="1" applyFont="1" applyBorder="1" applyAlignment="1">
      <alignment horizontal="left" vertical="center" wrapText="1"/>
    </xf>
    <xf numFmtId="1" fontId="3" fillId="4" borderId="52" xfId="0" applyNumberFormat="1" applyFont="1" applyFill="1" applyBorder="1" applyAlignment="1" applyProtection="1">
      <alignment horizontal="right"/>
      <protection locked="0"/>
    </xf>
    <xf numFmtId="1" fontId="3" fillId="4" borderId="20" xfId="0" applyNumberFormat="1" applyFont="1" applyFill="1" applyBorder="1" applyAlignment="1" applyProtection="1">
      <alignment horizontal="right"/>
      <protection locked="0"/>
    </xf>
    <xf numFmtId="1" fontId="3" fillId="4" borderId="22" xfId="0" applyNumberFormat="1" applyFont="1" applyFill="1" applyBorder="1" applyAlignment="1" applyProtection="1">
      <alignment horizontal="right"/>
      <protection locked="0"/>
    </xf>
    <xf numFmtId="1" fontId="3" fillId="0" borderId="33" xfId="0" applyNumberFormat="1" applyFont="1" applyBorder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3" fillId="3" borderId="70" xfId="0" applyNumberFormat="1" applyFont="1" applyFill="1" applyBorder="1"/>
    <xf numFmtId="1" fontId="3" fillId="3" borderId="11" xfId="0" applyNumberFormat="1" applyFont="1" applyFill="1" applyBorder="1"/>
    <xf numFmtId="1" fontId="2" fillId="3" borderId="73" xfId="0" applyNumberFormat="1" applyFont="1" applyFill="1" applyBorder="1"/>
    <xf numFmtId="0" fontId="14" fillId="0" borderId="13" xfId="0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6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horizontal="right" wrapText="1"/>
    </xf>
    <xf numFmtId="1" fontId="5" fillId="0" borderId="5" xfId="0" applyNumberFormat="1" applyFont="1" applyBorder="1" applyAlignment="1">
      <alignment horizontal="right" wrapText="1"/>
    </xf>
    <xf numFmtId="1" fontId="5" fillId="0" borderId="10" xfId="0" applyNumberFormat="1" applyFont="1" applyBorder="1" applyAlignment="1">
      <alignment horizontal="right"/>
    </xf>
    <xf numFmtId="1" fontId="5" fillId="4" borderId="4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1" fontId="5" fillId="4" borderId="8" xfId="0" applyNumberFormat="1" applyFont="1" applyFill="1" applyBorder="1" applyProtection="1">
      <protection locked="0"/>
    </xf>
    <xf numFmtId="1" fontId="5" fillId="4" borderId="9" xfId="0" applyNumberFormat="1" applyFont="1" applyFill="1" applyBorder="1" applyProtection="1">
      <protection locked="0"/>
    </xf>
    <xf numFmtId="1" fontId="5" fillId="4" borderId="7" xfId="0" applyNumberFormat="1" applyFont="1" applyFill="1" applyBorder="1" applyProtection="1">
      <protection locked="0"/>
    </xf>
    <xf numFmtId="1" fontId="5" fillId="0" borderId="23" xfId="0" applyNumberFormat="1" applyFont="1" applyBorder="1" applyAlignment="1">
      <alignment horizontal="right" wrapText="1"/>
    </xf>
    <xf numFmtId="1" fontId="5" fillId="0" borderId="24" xfId="0" applyNumberFormat="1" applyFont="1" applyBorder="1" applyAlignment="1">
      <alignment horizontal="right" wrapText="1"/>
    </xf>
    <xf numFmtId="1" fontId="5" fillId="0" borderId="25" xfId="0" applyNumberFormat="1" applyFont="1" applyBorder="1" applyAlignment="1">
      <alignment horizontal="right"/>
    </xf>
    <xf numFmtId="1" fontId="5" fillId="4" borderId="23" xfId="0" applyNumberFormat="1" applyFont="1" applyFill="1" applyBorder="1" applyProtection="1">
      <protection locked="0"/>
    </xf>
    <xf numFmtId="1" fontId="5" fillId="4" borderId="25" xfId="0" applyNumberFormat="1" applyFont="1" applyFill="1" applyBorder="1" applyProtection="1">
      <protection locked="0"/>
    </xf>
    <xf numFmtId="1" fontId="5" fillId="4" borderId="42" xfId="0" applyNumberFormat="1" applyFont="1" applyFill="1" applyBorder="1" applyProtection="1">
      <protection locked="0"/>
    </xf>
    <xf numFmtId="1" fontId="5" fillId="4" borderId="70" xfId="0" applyNumberFormat="1" applyFont="1" applyFill="1" applyBorder="1" applyProtection="1">
      <protection locked="0"/>
    </xf>
    <xf numFmtId="1" fontId="5" fillId="4" borderId="40" xfId="0" applyNumberFormat="1" applyFont="1" applyFill="1" applyBorder="1" applyProtection="1">
      <protection locked="0"/>
    </xf>
    <xf numFmtId="1" fontId="5" fillId="0" borderId="15" xfId="0" applyNumberFormat="1" applyFont="1" applyBorder="1" applyAlignment="1">
      <alignment horizontal="right" wrapText="1"/>
    </xf>
    <xf numFmtId="1" fontId="5" fillId="0" borderId="68" xfId="0" applyNumberFormat="1" applyFont="1" applyBorder="1"/>
    <xf numFmtId="1" fontId="5" fillId="0" borderId="71" xfId="0" applyNumberFormat="1" applyFont="1" applyBorder="1" applyAlignment="1">
      <alignment horizontal="right" wrapText="1"/>
    </xf>
    <xf numFmtId="1" fontId="5" fillId="0" borderId="77" xfId="0" applyNumberFormat="1" applyFont="1" applyBorder="1" applyAlignment="1">
      <alignment horizontal="right"/>
    </xf>
    <xf numFmtId="1" fontId="5" fillId="4" borderId="77" xfId="0" applyNumberFormat="1" applyFont="1" applyFill="1" applyBorder="1" applyProtection="1">
      <protection locked="0"/>
    </xf>
    <xf numFmtId="1" fontId="5" fillId="4" borderId="72" xfId="0" applyNumberFormat="1" applyFont="1" applyFill="1" applyBorder="1" applyProtection="1">
      <protection locked="0"/>
    </xf>
    <xf numFmtId="1" fontId="16" fillId="3" borderId="0" xfId="0" applyNumberFormat="1" applyFont="1" applyFill="1"/>
    <xf numFmtId="1" fontId="5" fillId="3" borderId="0" xfId="0" applyNumberFormat="1" applyFont="1" applyFill="1"/>
    <xf numFmtId="1" fontId="19" fillId="3" borderId="0" xfId="0" applyNumberFormat="1" applyFont="1" applyFill="1"/>
    <xf numFmtId="1" fontId="19" fillId="3" borderId="0" xfId="0" applyNumberFormat="1" applyFont="1" applyFill="1" applyProtection="1">
      <protection locked="0"/>
    </xf>
    <xf numFmtId="1" fontId="5" fillId="4" borderId="22" xfId="0" applyNumberFormat="1" applyFont="1" applyFill="1" applyBorder="1" applyProtection="1">
      <protection locked="0"/>
    </xf>
    <xf numFmtId="1" fontId="5" fillId="4" borderId="20" xfId="0" applyNumberFormat="1" applyFont="1" applyFill="1" applyBorder="1" applyProtection="1">
      <protection locked="0"/>
    </xf>
    <xf numFmtId="1" fontId="5" fillId="4" borderId="39" xfId="0" applyNumberFormat="1" applyFont="1" applyFill="1" applyBorder="1" applyProtection="1">
      <protection locked="0"/>
    </xf>
    <xf numFmtId="1" fontId="5" fillId="4" borderId="21" xfId="0" applyNumberFormat="1" applyFont="1" applyFill="1" applyBorder="1" applyProtection="1">
      <protection locked="0"/>
    </xf>
    <xf numFmtId="1" fontId="5" fillId="4" borderId="5" xfId="0" applyNumberFormat="1" applyFont="1" applyFill="1" applyBorder="1" applyProtection="1">
      <protection locked="0"/>
    </xf>
    <xf numFmtId="1" fontId="5" fillId="4" borderId="28" xfId="0" applyNumberFormat="1" applyFont="1" applyFill="1" applyBorder="1" applyProtection="1">
      <protection locked="0"/>
    </xf>
    <xf numFmtId="1" fontId="5" fillId="7" borderId="8" xfId="0" applyNumberFormat="1" applyFont="1" applyFill="1" applyBorder="1"/>
    <xf numFmtId="1" fontId="5" fillId="0" borderId="0" xfId="0" applyNumberFormat="1" applyFont="1"/>
    <xf numFmtId="1" fontId="5" fillId="4" borderId="59" xfId="0" applyNumberFormat="1" applyFont="1" applyFill="1" applyBorder="1" applyProtection="1">
      <protection locked="0"/>
    </xf>
    <xf numFmtId="1" fontId="5" fillId="4" borderId="14" xfId="0" applyNumberFormat="1" applyFont="1" applyFill="1" applyBorder="1" applyProtection="1">
      <protection locked="0"/>
    </xf>
    <xf numFmtId="1" fontId="5" fillId="4" borderId="15" xfId="0" applyNumberFormat="1" applyFont="1" applyFill="1" applyBorder="1" applyProtection="1">
      <protection locked="0"/>
    </xf>
    <xf numFmtId="1" fontId="5" fillId="4" borderId="18" xfId="0" applyNumberFormat="1" applyFont="1" applyFill="1" applyBorder="1" applyProtection="1">
      <protection locked="0"/>
    </xf>
    <xf numFmtId="1" fontId="5" fillId="4" borderId="12" xfId="0" applyNumberFormat="1" applyFont="1" applyFill="1" applyBorder="1" applyProtection="1">
      <protection locked="0"/>
    </xf>
    <xf numFmtId="1" fontId="5" fillId="4" borderId="11" xfId="0" applyNumberFormat="1" applyFont="1" applyFill="1" applyBorder="1" applyProtection="1">
      <protection locked="0"/>
    </xf>
    <xf numFmtId="1" fontId="5" fillId="0" borderId="11" xfId="0" applyNumberFormat="1" applyFont="1" applyBorder="1"/>
    <xf numFmtId="1" fontId="5" fillId="0" borderId="14" xfId="0" applyNumberFormat="1" applyFont="1" applyBorder="1"/>
    <xf numFmtId="1" fontId="5" fillId="4" borderId="27" xfId="0" applyNumberFormat="1" applyFont="1" applyFill="1" applyBorder="1" applyProtection="1">
      <protection locked="0"/>
    </xf>
    <xf numFmtId="1" fontId="15" fillId="0" borderId="0" xfId="0" applyNumberFormat="1" applyFont="1"/>
    <xf numFmtId="1" fontId="15" fillId="3" borderId="0" xfId="0" applyNumberFormat="1" applyFont="1" applyFill="1"/>
    <xf numFmtId="1" fontId="16" fillId="3" borderId="0" xfId="0" applyNumberFormat="1" applyFont="1" applyFill="1" applyAlignment="1">
      <alignment vertical="center"/>
    </xf>
    <xf numFmtId="1" fontId="5" fillId="4" borderId="30" xfId="0" applyNumberFormat="1" applyFont="1" applyFill="1" applyBorder="1" applyProtection="1">
      <protection locked="0"/>
    </xf>
    <xf numFmtId="1" fontId="5" fillId="4" borderId="52" xfId="0" applyNumberFormat="1" applyFont="1" applyFill="1" applyBorder="1" applyProtection="1">
      <protection locked="0"/>
    </xf>
    <xf numFmtId="1" fontId="5" fillId="4" borderId="24" xfId="0" applyNumberFormat="1" applyFont="1" applyFill="1" applyBorder="1" applyProtection="1">
      <protection locked="0"/>
    </xf>
    <xf numFmtId="1" fontId="5" fillId="4" borderId="86" xfId="0" applyNumberFormat="1" applyFont="1" applyFill="1" applyBorder="1" applyProtection="1">
      <protection locked="0"/>
    </xf>
    <xf numFmtId="1" fontId="5" fillId="4" borderId="41" xfId="0" applyNumberFormat="1" applyFont="1" applyFill="1" applyBorder="1" applyProtection="1">
      <protection locked="0"/>
    </xf>
    <xf numFmtId="1" fontId="5" fillId="4" borderId="6" xfId="0" applyNumberFormat="1" applyFont="1" applyFill="1" applyBorder="1" applyProtection="1">
      <protection locked="0"/>
    </xf>
    <xf numFmtId="1" fontId="5" fillId="4" borderId="61" xfId="0" applyNumberFormat="1" applyFont="1" applyFill="1" applyBorder="1" applyProtection="1">
      <protection locked="0"/>
    </xf>
    <xf numFmtId="1" fontId="5" fillId="4" borderId="29" xfId="0" applyNumberFormat="1" applyFont="1" applyFill="1" applyBorder="1" applyProtection="1">
      <protection locked="0"/>
    </xf>
    <xf numFmtId="1" fontId="5" fillId="4" borderId="87" xfId="0" applyNumberFormat="1" applyFont="1" applyFill="1" applyBorder="1" applyProtection="1">
      <protection locked="0"/>
    </xf>
    <xf numFmtId="1" fontId="5" fillId="4" borderId="32" xfId="0" applyNumberFormat="1" applyFont="1" applyFill="1" applyBorder="1" applyProtection="1">
      <protection locked="0"/>
    </xf>
    <xf numFmtId="1" fontId="5" fillId="4" borderId="55" xfId="0" applyNumberFormat="1" applyFont="1" applyFill="1" applyBorder="1" applyProtection="1">
      <protection locked="0"/>
    </xf>
    <xf numFmtId="1" fontId="5" fillId="4" borderId="3" xfId="0" applyNumberFormat="1" applyFont="1" applyFill="1" applyBorder="1" applyProtection="1">
      <protection locked="0"/>
    </xf>
    <xf numFmtId="1" fontId="5" fillId="4" borderId="16" xfId="0" applyNumberFormat="1" applyFont="1" applyFill="1" applyBorder="1" applyProtection="1">
      <protection locked="0"/>
    </xf>
    <xf numFmtId="1" fontId="5" fillId="4" borderId="57" xfId="0" applyNumberFormat="1" applyFont="1" applyFill="1" applyBorder="1" applyProtection="1">
      <protection locked="0"/>
    </xf>
    <xf numFmtId="1" fontId="5" fillId="0" borderId="78" xfId="0" applyNumberFormat="1" applyFont="1" applyBorder="1"/>
    <xf numFmtId="1" fontId="16" fillId="5" borderId="0" xfId="0" applyNumberFormat="1" applyFont="1" applyFill="1"/>
    <xf numFmtId="1" fontId="5" fillId="0" borderId="3" xfId="0" applyNumberFormat="1" applyFont="1" applyBorder="1"/>
    <xf numFmtId="1" fontId="5" fillId="0" borderId="10" xfId="0" applyNumberFormat="1" applyFont="1" applyBorder="1"/>
    <xf numFmtId="1" fontId="5" fillId="0" borderId="22" xfId="0" applyNumberFormat="1" applyFont="1" applyBorder="1"/>
    <xf numFmtId="1" fontId="5" fillId="4" borderId="85" xfId="0" applyNumberFormat="1" applyFont="1" applyFill="1" applyBorder="1" applyProtection="1">
      <protection locked="0"/>
    </xf>
    <xf numFmtId="1" fontId="5" fillId="0" borderId="20" xfId="0" applyNumberFormat="1" applyFont="1" applyBorder="1" applyAlignment="1">
      <alignment horizontal="right" wrapText="1"/>
    </xf>
    <xf numFmtId="1" fontId="5" fillId="0" borderId="8" xfId="0" applyNumberFormat="1" applyFont="1" applyBorder="1" applyAlignment="1">
      <alignment horizontal="right"/>
    </xf>
    <xf numFmtId="1" fontId="5" fillId="7" borderId="22" xfId="0" applyNumberFormat="1" applyFont="1" applyFill="1" applyBorder="1"/>
    <xf numFmtId="1" fontId="5" fillId="4" borderId="31" xfId="0" applyNumberFormat="1" applyFont="1" applyFill="1" applyBorder="1" applyProtection="1">
      <protection locked="0"/>
    </xf>
    <xf numFmtId="1" fontId="5" fillId="0" borderId="5" xfId="0" applyNumberFormat="1" applyFont="1" applyBorder="1" applyAlignment="1">
      <alignment horizontal="right"/>
    </xf>
    <xf numFmtId="1" fontId="5" fillId="0" borderId="13" xfId="0" applyNumberFormat="1" applyFont="1" applyBorder="1"/>
    <xf numFmtId="1" fontId="5" fillId="7" borderId="14" xfId="0" applyNumberFormat="1" applyFont="1" applyFill="1" applyBorder="1"/>
    <xf numFmtId="1" fontId="5" fillId="7" borderId="12" xfId="0" applyNumberFormat="1" applyFont="1" applyFill="1" applyBorder="1"/>
    <xf numFmtId="1" fontId="5" fillId="4" borderId="13" xfId="0" applyNumberFormat="1" applyFont="1" applyFill="1" applyBorder="1" applyProtection="1">
      <protection locked="0"/>
    </xf>
    <xf numFmtId="1" fontId="5" fillId="0" borderId="22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1" fontId="5" fillId="0" borderId="23" xfId="0" applyNumberFormat="1" applyFont="1" applyBorder="1" applyAlignment="1">
      <alignment horizontal="right"/>
    </xf>
    <xf numFmtId="1" fontId="5" fillId="0" borderId="24" xfId="0" applyNumberFormat="1" applyFont="1" applyBorder="1" applyAlignment="1">
      <alignment horizontal="right"/>
    </xf>
    <xf numFmtId="1" fontId="5" fillId="4" borderId="33" xfId="0" applyNumberFormat="1" applyFont="1" applyFill="1" applyBorder="1" applyProtection="1">
      <protection locked="0"/>
    </xf>
    <xf numFmtId="1" fontId="5" fillId="0" borderId="14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4" borderId="17" xfId="0" applyNumberFormat="1" applyFont="1" applyFill="1" applyBorder="1" applyProtection="1">
      <protection locked="0"/>
    </xf>
    <xf numFmtId="1" fontId="16" fillId="0" borderId="0" xfId="0" applyNumberFormat="1" applyFont="1"/>
    <xf numFmtId="1" fontId="5" fillId="0" borderId="0" xfId="0" applyNumberFormat="1" applyFont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 wrapText="1"/>
    </xf>
    <xf numFmtId="1" fontId="15" fillId="5" borderId="73" xfId="0" applyNumberFormat="1" applyFont="1" applyFill="1" applyBorder="1"/>
    <xf numFmtId="1" fontId="5" fillId="0" borderId="92" xfId="0" applyNumberFormat="1" applyFont="1" applyBorder="1"/>
    <xf numFmtId="1" fontId="5" fillId="0" borderId="51" xfId="0" applyNumberFormat="1" applyFont="1" applyBorder="1" applyAlignment="1">
      <alignment horizontal="left" vertical="center" wrapText="1"/>
    </xf>
    <xf numFmtId="1" fontId="5" fillId="0" borderId="78" xfId="0" applyNumberFormat="1" applyFont="1" applyBorder="1" applyAlignment="1">
      <alignment horizontal="left" vertical="center" wrapText="1"/>
    </xf>
    <xf numFmtId="0" fontId="3" fillId="0" borderId="0" xfId="0" applyFont="1"/>
    <xf numFmtId="1" fontId="5" fillId="0" borderId="94" xfId="0" applyNumberFormat="1" applyFont="1" applyBorder="1" applyAlignment="1">
      <alignment horizontal="center" vertical="center"/>
    </xf>
    <xf numFmtId="1" fontId="5" fillId="0" borderId="90" xfId="0" applyNumberFormat="1" applyFont="1" applyBorder="1" applyAlignment="1">
      <alignment horizontal="center" vertical="center" wrapText="1"/>
    </xf>
    <xf numFmtId="1" fontId="5" fillId="0" borderId="95" xfId="0" applyNumberFormat="1" applyFont="1" applyBorder="1" applyAlignment="1">
      <alignment horizontal="center" vertical="center" wrapText="1"/>
    </xf>
    <xf numFmtId="1" fontId="5" fillId="0" borderId="96" xfId="0" applyNumberFormat="1" applyFont="1" applyBorder="1" applyAlignment="1">
      <alignment horizontal="center" vertical="center" wrapText="1"/>
    </xf>
    <xf numFmtId="1" fontId="5" fillId="0" borderId="97" xfId="0" applyNumberFormat="1" applyFont="1" applyBorder="1" applyAlignment="1">
      <alignment horizontal="center" vertical="center" wrapText="1"/>
    </xf>
    <xf numFmtId="1" fontId="5" fillId="0" borderId="97" xfId="0" applyNumberFormat="1" applyFont="1" applyBorder="1" applyAlignment="1">
      <alignment horizontal="center" vertical="center"/>
    </xf>
    <xf numFmtId="1" fontId="5" fillId="0" borderId="99" xfId="0" applyNumberFormat="1" applyFont="1" applyBorder="1" applyAlignment="1">
      <alignment horizontal="center" vertical="center" wrapText="1"/>
    </xf>
    <xf numFmtId="1" fontId="5" fillId="0" borderId="100" xfId="0" applyNumberFormat="1" applyFont="1" applyBorder="1" applyAlignment="1">
      <alignment horizontal="center" vertical="center" wrapText="1"/>
    </xf>
    <xf numFmtId="1" fontId="5" fillId="0" borderId="91" xfId="0" applyNumberFormat="1" applyFont="1" applyBorder="1" applyAlignment="1">
      <alignment horizontal="center" vertical="center" wrapText="1"/>
    </xf>
    <xf numFmtId="1" fontId="3" fillId="0" borderId="92" xfId="0" applyNumberFormat="1" applyFont="1" applyBorder="1" applyAlignment="1">
      <alignment horizontal="left" vertical="center"/>
    </xf>
    <xf numFmtId="1" fontId="5" fillId="0" borderId="102" xfId="0" applyNumberFormat="1" applyFont="1" applyBorder="1" applyAlignment="1">
      <alignment horizontal="right"/>
    </xf>
    <xf numFmtId="1" fontId="5" fillId="0" borderId="103" xfId="0" applyNumberFormat="1" applyFont="1" applyBorder="1" applyAlignment="1">
      <alignment horizontal="right"/>
    </xf>
    <xf numFmtId="1" fontId="5" fillId="0" borderId="104" xfId="0" applyNumberFormat="1" applyFont="1" applyBorder="1" applyAlignment="1">
      <alignment horizontal="right"/>
    </xf>
    <xf numFmtId="1" fontId="5" fillId="4" borderId="105" xfId="0" applyNumberFormat="1" applyFont="1" applyFill="1" applyBorder="1" applyProtection="1">
      <protection locked="0"/>
    </xf>
    <xf numFmtId="1" fontId="5" fillId="4" borderId="104" xfId="0" applyNumberFormat="1" applyFont="1" applyFill="1" applyBorder="1" applyProtection="1">
      <protection locked="0"/>
    </xf>
    <xf numFmtId="1" fontId="5" fillId="4" borderId="102" xfId="0" applyNumberFormat="1" applyFont="1" applyFill="1" applyBorder="1" applyProtection="1">
      <protection locked="0"/>
    </xf>
    <xf numFmtId="1" fontId="5" fillId="4" borderId="106" xfId="0" applyNumberFormat="1" applyFont="1" applyFill="1" applyBorder="1" applyProtection="1">
      <protection locked="0"/>
    </xf>
    <xf numFmtId="1" fontId="5" fillId="4" borderId="92" xfId="0" applyNumberFormat="1" applyFont="1" applyFill="1" applyBorder="1" applyProtection="1">
      <protection locked="0"/>
    </xf>
    <xf numFmtId="1" fontId="5" fillId="0" borderId="61" xfId="0" applyNumberFormat="1" applyFont="1" applyBorder="1" applyAlignment="1">
      <alignment horizontal="right" wrapText="1"/>
    </xf>
    <xf numFmtId="1" fontId="5" fillId="0" borderId="29" xfId="0" applyNumberFormat="1" applyFont="1" applyBorder="1" applyAlignment="1">
      <alignment horizontal="right" wrapText="1"/>
    </xf>
    <xf numFmtId="1" fontId="5" fillId="0" borderId="107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left" vertical="center"/>
    </xf>
    <xf numFmtId="1" fontId="5" fillId="7" borderId="28" xfId="0" applyNumberFormat="1" applyFont="1" applyFill="1" applyBorder="1"/>
    <xf numFmtId="1" fontId="5" fillId="7" borderId="10" xfId="0" applyNumberFormat="1" applyFont="1" applyFill="1" applyBorder="1"/>
    <xf numFmtId="1" fontId="3" fillId="0" borderId="57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right"/>
    </xf>
    <xf numFmtId="1" fontId="5" fillId="7" borderId="27" xfId="0" applyNumberFormat="1" applyFont="1" applyFill="1" applyBorder="1"/>
    <xf numFmtId="1" fontId="15" fillId="3" borderId="73" xfId="0" applyNumberFormat="1" applyFont="1" applyFill="1" applyBorder="1"/>
    <xf numFmtId="1" fontId="5" fillId="0" borderId="108" xfId="0" applyNumberFormat="1" applyFont="1" applyBorder="1" applyAlignment="1">
      <alignment horizontal="center" vertical="center"/>
    </xf>
    <xf numFmtId="1" fontId="5" fillId="0" borderId="109" xfId="0" applyNumberFormat="1" applyFont="1" applyBorder="1" applyAlignment="1">
      <alignment horizontal="center" vertical="center"/>
    </xf>
    <xf numFmtId="1" fontId="5" fillId="0" borderId="108" xfId="0" applyNumberFormat="1" applyFont="1" applyBorder="1" applyAlignment="1">
      <alignment horizontal="center" vertical="center" wrapText="1"/>
    </xf>
    <xf numFmtId="1" fontId="5" fillId="0" borderId="92" xfId="0" applyNumberFormat="1" applyFont="1" applyBorder="1" applyAlignment="1">
      <alignment horizontal="left" vertical="center" wrapText="1"/>
    </xf>
    <xf numFmtId="1" fontId="5" fillId="0" borderId="31" xfId="0" applyNumberFormat="1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left" vertical="center" wrapText="1"/>
    </xf>
    <xf numFmtId="1" fontId="5" fillId="0" borderId="33" xfId="0" applyNumberFormat="1" applyFont="1" applyBorder="1" applyAlignment="1">
      <alignment horizontal="left" vertical="center" wrapText="1"/>
    </xf>
    <xf numFmtId="1" fontId="5" fillId="0" borderId="41" xfId="0" applyNumberFormat="1" applyFont="1" applyBorder="1" applyAlignment="1">
      <alignment horizontal="right" wrapText="1"/>
    </xf>
    <xf numFmtId="1" fontId="5" fillId="0" borderId="13" xfId="0" applyNumberFormat="1" applyFont="1" applyBorder="1" applyAlignment="1">
      <alignment horizontal="left" vertical="center" wrapText="1"/>
    </xf>
    <xf numFmtId="1" fontId="5" fillId="0" borderId="27" xfId="0" applyNumberFormat="1" applyFont="1" applyBorder="1" applyAlignment="1">
      <alignment horizontal="right" wrapText="1"/>
    </xf>
    <xf numFmtId="1" fontId="5" fillId="4" borderId="84" xfId="0" applyNumberFormat="1" applyFont="1" applyFill="1" applyBorder="1" applyProtection="1">
      <protection locked="0"/>
    </xf>
    <xf numFmtId="1" fontId="15" fillId="5" borderId="0" xfId="0" applyNumberFormat="1" applyFont="1" applyFill="1"/>
    <xf numFmtId="1" fontId="5" fillId="6" borderId="12" xfId="0" applyNumberFormat="1" applyFont="1" applyFill="1" applyBorder="1"/>
    <xf numFmtId="1" fontId="5" fillId="0" borderId="102" xfId="0" applyNumberFormat="1" applyFont="1" applyBorder="1" applyAlignment="1">
      <alignment horizontal="right" wrapText="1"/>
    </xf>
    <xf numFmtId="1" fontId="5" fillId="0" borderId="103" xfId="0" applyNumberFormat="1" applyFont="1" applyBorder="1" applyAlignment="1">
      <alignment horizontal="right" wrapText="1"/>
    </xf>
    <xf numFmtId="1" fontId="5" fillId="0" borderId="106" xfId="0" applyNumberFormat="1" applyFont="1" applyBorder="1" applyAlignment="1">
      <alignment horizontal="right"/>
    </xf>
    <xf numFmtId="1" fontId="5" fillId="4" borderId="110" xfId="0" applyNumberFormat="1" applyFont="1" applyFill="1" applyBorder="1" applyProtection="1">
      <protection locked="0"/>
    </xf>
    <xf numFmtId="1" fontId="5" fillId="12" borderId="3" xfId="0" applyNumberFormat="1" applyFont="1" applyFill="1" applyBorder="1"/>
    <xf numFmtId="1" fontId="5" fillId="0" borderId="14" xfId="0" applyNumberFormat="1" applyFont="1" applyBorder="1" applyAlignment="1">
      <alignment horizontal="right" wrapText="1"/>
    </xf>
    <xf numFmtId="1" fontId="5" fillId="12" borderId="13" xfId="0" applyNumberFormat="1" applyFont="1" applyFill="1" applyBorder="1"/>
    <xf numFmtId="1" fontId="5" fillId="0" borderId="111" xfId="0" applyNumberFormat="1" applyFont="1" applyBorder="1" applyAlignment="1">
      <alignment horizontal="center" vertical="center" wrapText="1"/>
    </xf>
    <xf numFmtId="1" fontId="5" fillId="0" borderId="110" xfId="0" applyNumberFormat="1" applyFont="1" applyBorder="1" applyAlignment="1">
      <alignment horizontal="center" vertical="center" wrapText="1"/>
    </xf>
    <xf numFmtId="1" fontId="5" fillId="4" borderId="112" xfId="0" applyNumberFormat="1" applyFont="1" applyFill="1" applyBorder="1" applyProtection="1">
      <protection locked="0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70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7" borderId="15" xfId="0" applyNumberFormat="1" applyFont="1" applyFill="1" applyBorder="1"/>
    <xf numFmtId="1" fontId="5" fillId="0" borderId="97" xfId="0" applyNumberFormat="1" applyFont="1" applyBorder="1" applyAlignment="1">
      <alignment horizontal="right"/>
    </xf>
    <xf numFmtId="1" fontId="5" fillId="0" borderId="115" xfId="0" applyNumberFormat="1" applyFont="1" applyBorder="1" applyAlignment="1">
      <alignment horizontal="center" vertical="center" wrapText="1"/>
    </xf>
    <xf numFmtId="1" fontId="5" fillId="0" borderId="110" xfId="0" applyNumberFormat="1" applyFont="1" applyBorder="1" applyAlignment="1">
      <alignment vertical="center" wrapText="1"/>
    </xf>
    <xf numFmtId="1" fontId="5" fillId="3" borderId="92" xfId="0" applyNumberFormat="1" applyFont="1" applyFill="1" applyBorder="1"/>
    <xf numFmtId="1" fontId="5" fillId="3" borderId="3" xfId="0" applyNumberFormat="1" applyFont="1" applyFill="1" applyBorder="1"/>
    <xf numFmtId="1" fontId="5" fillId="0" borderId="56" xfId="0" applyNumberFormat="1" applyFont="1" applyBorder="1" applyAlignment="1">
      <alignment vertical="center" wrapText="1"/>
    </xf>
    <xf numFmtId="1" fontId="5" fillId="0" borderId="115" xfId="0" applyNumberFormat="1" applyFont="1" applyBorder="1"/>
    <xf numFmtId="1" fontId="5" fillId="4" borderId="102" xfId="0" applyNumberFormat="1" applyFont="1" applyFill="1" applyBorder="1" applyAlignment="1" applyProtection="1">
      <alignment horizontal="right"/>
      <protection locked="0"/>
    </xf>
    <xf numFmtId="1" fontId="5" fillId="4" borderId="105" xfId="0" applyNumberFormat="1" applyFont="1" applyFill="1" applyBorder="1" applyAlignment="1" applyProtection="1">
      <alignment horizontal="right"/>
      <protection locked="0"/>
    </xf>
    <xf numFmtId="1" fontId="5" fillId="4" borderId="104" xfId="0" applyNumberFormat="1" applyFont="1" applyFill="1" applyBorder="1" applyAlignment="1" applyProtection="1">
      <alignment horizontal="right"/>
      <protection locked="0"/>
    </xf>
    <xf numFmtId="1" fontId="5" fillId="4" borderId="92" xfId="0" applyNumberFormat="1" applyFont="1" applyFill="1" applyBorder="1" applyAlignment="1" applyProtection="1">
      <alignment horizontal="right"/>
      <protection locked="0"/>
    </xf>
    <xf numFmtId="1" fontId="5" fillId="4" borderId="4" xfId="0" applyNumberFormat="1" applyFont="1" applyFill="1" applyBorder="1" applyAlignment="1" applyProtection="1">
      <alignment horizontal="right" wrapText="1"/>
      <protection locked="0"/>
    </xf>
    <xf numFmtId="1" fontId="5" fillId="4" borderId="10" xfId="0" applyNumberFormat="1" applyFont="1" applyFill="1" applyBorder="1" applyAlignment="1" applyProtection="1">
      <alignment horizontal="right" wrapText="1"/>
      <protection locked="0"/>
    </xf>
    <xf numFmtId="1" fontId="5" fillId="4" borderId="28" xfId="0" applyNumberFormat="1" applyFont="1" applyFill="1" applyBorder="1" applyAlignment="1" applyProtection="1">
      <alignment horizontal="right" wrapText="1"/>
      <protection locked="0"/>
    </xf>
    <xf numFmtId="1" fontId="5" fillId="4" borderId="52" xfId="0" applyNumberFormat="1" applyFont="1" applyFill="1" applyBorder="1" applyAlignment="1" applyProtection="1">
      <alignment horizontal="right" wrapText="1"/>
      <protection locked="0"/>
    </xf>
    <xf numFmtId="1" fontId="5" fillId="4" borderId="8" xfId="0" applyNumberFormat="1" applyFont="1" applyFill="1" applyBorder="1" applyAlignment="1" applyProtection="1">
      <alignment horizontal="right" wrapText="1"/>
      <protection locked="0"/>
    </xf>
    <xf numFmtId="1" fontId="5" fillId="4" borderId="6" xfId="0" applyNumberFormat="1" applyFont="1" applyFill="1" applyBorder="1" applyAlignment="1" applyProtection="1">
      <alignment horizontal="right" wrapText="1"/>
      <protection locked="0"/>
    </xf>
    <xf numFmtId="1" fontId="5" fillId="4" borderId="9" xfId="0" applyNumberFormat="1" applyFont="1" applyFill="1" applyBorder="1" applyAlignment="1" applyProtection="1">
      <alignment horizontal="right" wrapText="1"/>
      <protection locked="0"/>
    </xf>
    <xf numFmtId="1" fontId="5" fillId="4" borderId="3" xfId="0" applyNumberFormat="1" applyFont="1" applyFill="1" applyBorder="1" applyAlignment="1" applyProtection="1">
      <alignment horizontal="right" wrapText="1"/>
      <protection locked="0"/>
    </xf>
    <xf numFmtId="1" fontId="5" fillId="0" borderId="22" xfId="0" applyNumberFormat="1" applyFont="1" applyBorder="1" applyAlignment="1">
      <alignment horizontal="right" wrapText="1"/>
    </xf>
    <xf numFmtId="1" fontId="5" fillId="4" borderId="61" xfId="0" applyNumberFormat="1" applyFont="1" applyFill="1" applyBorder="1" applyAlignment="1" applyProtection="1">
      <alignment horizontal="right" wrapText="1"/>
      <protection locked="0"/>
    </xf>
    <xf numFmtId="1" fontId="5" fillId="0" borderId="2" xfId="0" applyNumberFormat="1" applyFont="1" applyBorder="1" applyAlignment="1">
      <alignment horizontal="right" wrapText="1"/>
    </xf>
    <xf numFmtId="1" fontId="5" fillId="4" borderId="23" xfId="0" applyNumberFormat="1" applyFont="1" applyFill="1" applyBorder="1" applyAlignment="1" applyProtection="1">
      <alignment horizontal="right" wrapText="1"/>
      <protection locked="0"/>
    </xf>
    <xf numFmtId="1" fontId="5" fillId="4" borderId="2" xfId="0" applyNumberFormat="1" applyFont="1" applyFill="1" applyBorder="1" applyAlignment="1" applyProtection="1">
      <alignment horizontal="right" wrapText="1"/>
      <protection locked="0"/>
    </xf>
    <xf numFmtId="1" fontId="5" fillId="4" borderId="30" xfId="0" applyNumberFormat="1" applyFont="1" applyFill="1" applyBorder="1" applyAlignment="1" applyProtection="1">
      <alignment horizontal="right" wrapText="1"/>
      <protection locked="0"/>
    </xf>
    <xf numFmtId="1" fontId="5" fillId="4" borderId="0" xfId="0" applyNumberFormat="1" applyFont="1" applyFill="1" applyAlignment="1" applyProtection="1">
      <alignment horizontal="right" wrapText="1"/>
      <protection locked="0"/>
    </xf>
    <xf numFmtId="1" fontId="5" fillId="4" borderId="107" xfId="0" applyNumberFormat="1" applyFont="1" applyFill="1" applyBorder="1" applyAlignment="1" applyProtection="1">
      <alignment horizontal="right" wrapText="1"/>
      <protection locked="0"/>
    </xf>
    <xf numFmtId="1" fontId="5" fillId="4" borderId="87" xfId="0" applyNumberFormat="1" applyFont="1" applyFill="1" applyBorder="1" applyAlignment="1" applyProtection="1">
      <alignment horizontal="right" wrapText="1"/>
      <protection locked="0"/>
    </xf>
    <xf numFmtId="1" fontId="5" fillId="4" borderId="56" xfId="0" applyNumberFormat="1" applyFont="1" applyFill="1" applyBorder="1" applyAlignment="1" applyProtection="1">
      <alignment horizontal="right" wrapText="1"/>
      <protection locked="0"/>
    </xf>
    <xf numFmtId="1" fontId="5" fillId="4" borderId="51" xfId="0" applyNumberFormat="1" applyFont="1" applyFill="1" applyBorder="1" applyAlignment="1" applyProtection="1">
      <alignment horizontal="right" wrapText="1"/>
      <protection locked="0"/>
    </xf>
    <xf numFmtId="1" fontId="5" fillId="6" borderId="51" xfId="0" applyNumberFormat="1" applyFont="1" applyFill="1" applyBorder="1" applyAlignment="1">
      <alignment horizontal="right" wrapText="1"/>
    </xf>
    <xf numFmtId="1" fontId="5" fillId="0" borderId="52" xfId="0" applyNumberFormat="1" applyFont="1" applyBorder="1" applyAlignment="1">
      <alignment horizontal="right" wrapText="1"/>
    </xf>
    <xf numFmtId="1" fontId="5" fillId="6" borderId="3" xfId="0" applyNumberFormat="1" applyFont="1" applyFill="1" applyBorder="1" applyAlignment="1">
      <alignment horizontal="right" wrapText="1"/>
    </xf>
    <xf numFmtId="1" fontId="5" fillId="0" borderId="12" xfId="0" applyNumberFormat="1" applyFont="1" applyBorder="1" applyAlignment="1">
      <alignment horizontal="right" wrapText="1"/>
    </xf>
    <xf numFmtId="1" fontId="5" fillId="4" borderId="85" xfId="0" applyNumberFormat="1" applyFont="1" applyFill="1" applyBorder="1" applyAlignment="1" applyProtection="1">
      <alignment horizontal="right" wrapText="1"/>
      <protection locked="0"/>
    </xf>
    <xf numFmtId="1" fontId="5" fillId="4" borderId="77" xfId="0" applyNumberFormat="1" applyFont="1" applyFill="1" applyBorder="1" applyAlignment="1" applyProtection="1">
      <alignment horizontal="right" wrapText="1"/>
      <protection locked="0"/>
    </xf>
    <xf numFmtId="1" fontId="5" fillId="4" borderId="84" xfId="0" applyNumberFormat="1" applyFont="1" applyFill="1" applyBorder="1" applyAlignment="1" applyProtection="1">
      <alignment horizontal="right" wrapText="1"/>
      <protection locked="0"/>
    </xf>
    <xf numFmtId="1" fontId="5" fillId="4" borderId="73" xfId="0" applyNumberFormat="1" applyFont="1" applyFill="1" applyBorder="1" applyAlignment="1" applyProtection="1">
      <alignment horizontal="right" wrapText="1"/>
      <protection locked="0"/>
    </xf>
    <xf numFmtId="1" fontId="5" fillId="4" borderId="72" xfId="0" applyNumberFormat="1" applyFont="1" applyFill="1" applyBorder="1" applyAlignment="1" applyProtection="1">
      <alignment horizontal="right" wrapText="1"/>
      <protection locked="0"/>
    </xf>
    <xf numFmtId="1" fontId="5" fillId="4" borderId="117" xfId="0" applyNumberFormat="1" applyFont="1" applyFill="1" applyBorder="1" applyAlignment="1" applyProtection="1">
      <alignment horizontal="right" wrapText="1"/>
      <protection locked="0"/>
    </xf>
    <xf numFmtId="1" fontId="5" fillId="4" borderId="79" xfId="0" applyNumberFormat="1" applyFont="1" applyFill="1" applyBorder="1" applyAlignment="1" applyProtection="1">
      <alignment horizontal="right" wrapText="1"/>
      <protection locked="0"/>
    </xf>
    <xf numFmtId="1" fontId="5" fillId="4" borderId="78" xfId="0" applyNumberFormat="1" applyFont="1" applyFill="1" applyBorder="1" applyAlignment="1" applyProtection="1">
      <alignment horizontal="right" wrapText="1"/>
      <protection locked="0"/>
    </xf>
    <xf numFmtId="1" fontId="5" fillId="6" borderId="78" xfId="0" applyNumberFormat="1" applyFont="1" applyFill="1" applyBorder="1" applyAlignment="1">
      <alignment horizontal="right" wrapText="1"/>
    </xf>
    <xf numFmtId="1" fontId="5" fillId="0" borderId="11" xfId="0" applyNumberFormat="1" applyFont="1" applyBorder="1" applyAlignment="1">
      <alignment vertical="center"/>
    </xf>
    <xf numFmtId="1" fontId="5" fillId="0" borderId="94" xfId="0" applyNumberFormat="1" applyFont="1" applyBorder="1" applyAlignment="1">
      <alignment horizontal="left" vertical="center" wrapText="1"/>
    </xf>
    <xf numFmtId="1" fontId="5" fillId="0" borderId="92" xfId="0" applyNumberFormat="1" applyFont="1" applyBorder="1" applyAlignment="1">
      <alignment horizontal="center" vertical="center" wrapText="1"/>
    </xf>
    <xf numFmtId="1" fontId="5" fillId="4" borderId="92" xfId="0" applyNumberFormat="1" applyFont="1" applyFill="1" applyBorder="1" applyAlignment="1" applyProtection="1">
      <alignment horizontal="right" wrapText="1"/>
      <protection locked="0"/>
    </xf>
    <xf numFmtId="1" fontId="5" fillId="0" borderId="3" xfId="0" applyNumberFormat="1" applyFont="1" applyBorder="1" applyAlignment="1">
      <alignment horizontal="center" vertical="center" wrapText="1"/>
    </xf>
    <xf numFmtId="1" fontId="5" fillId="4" borderId="13" xfId="0" applyNumberFormat="1" applyFont="1" applyFill="1" applyBorder="1" applyAlignment="1" applyProtection="1">
      <alignment horizontal="right" wrapText="1"/>
      <protection locked="0"/>
    </xf>
    <xf numFmtId="1" fontId="5" fillId="0" borderId="21" xfId="0" applyNumberFormat="1" applyFont="1" applyBorder="1" applyAlignment="1">
      <alignment horizontal="right" wrapText="1"/>
    </xf>
    <xf numFmtId="1" fontId="5" fillId="4" borderId="20" xfId="0" applyNumberFormat="1" applyFont="1" applyFill="1" applyBorder="1" applyAlignment="1" applyProtection="1">
      <alignment horizontal="right"/>
      <protection locked="0"/>
    </xf>
    <xf numFmtId="1" fontId="5" fillId="4" borderId="39" xfId="0" applyNumberFormat="1" applyFont="1" applyFill="1" applyBorder="1" applyAlignment="1" applyProtection="1">
      <alignment horizontal="right"/>
      <protection locked="0"/>
    </xf>
    <xf numFmtId="1" fontId="5" fillId="4" borderId="32" xfId="0" applyNumberFormat="1" applyFont="1" applyFill="1" applyBorder="1" applyAlignment="1" applyProtection="1">
      <alignment horizontal="right"/>
      <protection locked="0"/>
    </xf>
    <xf numFmtId="1" fontId="5" fillId="4" borderId="65" xfId="0" applyNumberFormat="1" applyFont="1" applyFill="1" applyBorder="1" applyAlignment="1" applyProtection="1">
      <alignment horizontal="right"/>
      <protection locked="0"/>
    </xf>
    <xf numFmtId="1" fontId="5" fillId="4" borderId="22" xfId="0" applyNumberFormat="1" applyFont="1" applyFill="1" applyBorder="1" applyAlignment="1" applyProtection="1">
      <alignment horizontal="right"/>
      <protection locked="0"/>
    </xf>
    <xf numFmtId="1" fontId="5" fillId="4" borderId="4" xfId="0" applyNumberFormat="1" applyFont="1" applyFill="1" applyBorder="1" applyAlignment="1" applyProtection="1">
      <alignment horizontal="right"/>
      <protection locked="0"/>
    </xf>
    <xf numFmtId="1" fontId="5" fillId="4" borderId="8" xfId="0" applyNumberFormat="1" applyFont="1" applyFill="1" applyBorder="1" applyAlignment="1" applyProtection="1">
      <alignment horizontal="right"/>
      <protection locked="0"/>
    </xf>
    <xf numFmtId="1" fontId="5" fillId="4" borderId="28" xfId="0" applyNumberFormat="1" applyFont="1" applyFill="1" applyBorder="1" applyAlignment="1" applyProtection="1">
      <alignment horizontal="right"/>
      <protection locked="0"/>
    </xf>
    <xf numFmtId="1" fontId="5" fillId="4" borderId="6" xfId="0" applyNumberFormat="1" applyFont="1" applyFill="1" applyBorder="1" applyAlignment="1" applyProtection="1">
      <alignment horizontal="right"/>
      <protection locked="0"/>
    </xf>
    <xf numFmtId="1" fontId="5" fillId="4" borderId="10" xfId="0" applyNumberFormat="1" applyFont="1" applyFill="1" applyBorder="1" applyAlignment="1" applyProtection="1">
      <alignment horizontal="right"/>
      <protection locked="0"/>
    </xf>
    <xf numFmtId="1" fontId="5" fillId="4" borderId="14" xfId="0" applyNumberFormat="1" applyFont="1" applyFill="1" applyBorder="1" applyAlignment="1" applyProtection="1">
      <alignment horizontal="right"/>
      <protection locked="0"/>
    </xf>
    <xf numFmtId="1" fontId="5" fillId="4" borderId="18" xfId="0" applyNumberFormat="1" applyFont="1" applyFill="1" applyBorder="1" applyAlignment="1" applyProtection="1">
      <alignment horizontal="right"/>
      <protection locked="0"/>
    </xf>
    <xf numFmtId="1" fontId="5" fillId="4" borderId="27" xfId="0" applyNumberFormat="1" applyFont="1" applyFill="1" applyBorder="1" applyAlignment="1" applyProtection="1">
      <alignment horizontal="right"/>
      <protection locked="0"/>
    </xf>
    <xf numFmtId="1" fontId="5" fillId="4" borderId="16" xfId="0" applyNumberFormat="1" applyFont="1" applyFill="1" applyBorder="1" applyAlignment="1" applyProtection="1">
      <alignment horizontal="right"/>
      <protection locked="0"/>
    </xf>
    <xf numFmtId="1" fontId="5" fillId="4" borderId="12" xfId="0" applyNumberFormat="1" applyFont="1" applyFill="1" applyBorder="1" applyAlignment="1" applyProtection="1">
      <alignment horizontal="right"/>
      <protection locked="0"/>
    </xf>
    <xf numFmtId="1" fontId="15" fillId="0" borderId="119" xfId="0" applyNumberFormat="1" applyFont="1" applyBorder="1"/>
    <xf numFmtId="1" fontId="16" fillId="0" borderId="119" xfId="0" applyNumberFormat="1" applyFont="1" applyBorder="1"/>
    <xf numFmtId="1" fontId="16" fillId="0" borderId="120" xfId="0" applyNumberFormat="1" applyFont="1" applyBorder="1"/>
    <xf numFmtId="1" fontId="16" fillId="0" borderId="118" xfId="0" applyNumberFormat="1" applyFont="1" applyBorder="1"/>
    <xf numFmtId="1" fontId="5" fillId="0" borderId="113" xfId="0" applyNumberFormat="1" applyFont="1" applyBorder="1" applyAlignment="1">
      <alignment horizontal="center" vertical="center" wrapText="1"/>
    </xf>
    <xf numFmtId="1" fontId="5" fillId="0" borderId="114" xfId="0" applyNumberFormat="1" applyFont="1" applyBorder="1" applyAlignment="1">
      <alignment horizontal="center" vertical="center" wrapText="1"/>
    </xf>
    <xf numFmtId="1" fontId="5" fillId="0" borderId="110" xfId="0" applyNumberFormat="1" applyFont="1" applyBorder="1" applyAlignment="1">
      <alignment horizontal="right" wrapText="1"/>
    </xf>
    <xf numFmtId="1" fontId="5" fillId="4" borderId="112" xfId="0" applyNumberFormat="1" applyFont="1" applyFill="1" applyBorder="1" applyAlignment="1" applyProtection="1">
      <alignment horizontal="right"/>
      <protection locked="0"/>
    </xf>
    <xf numFmtId="1" fontId="5" fillId="4" borderId="106" xfId="0" applyNumberFormat="1" applyFont="1" applyFill="1" applyBorder="1" applyAlignment="1" applyProtection="1">
      <alignment horizontal="right"/>
      <protection locked="0"/>
    </xf>
    <xf numFmtId="1" fontId="5" fillId="0" borderId="79" xfId="0" applyNumberFormat="1" applyFont="1" applyBorder="1" applyAlignment="1">
      <alignment horizontal="right"/>
    </xf>
    <xf numFmtId="1" fontId="5" fillId="4" borderId="84" xfId="0" applyNumberFormat="1" applyFont="1" applyFill="1" applyBorder="1" applyAlignment="1" applyProtection="1">
      <alignment horizontal="right"/>
      <protection locked="0"/>
    </xf>
    <xf numFmtId="1" fontId="5" fillId="4" borderId="117" xfId="0" applyNumberFormat="1" applyFont="1" applyFill="1" applyBorder="1" applyAlignment="1" applyProtection="1">
      <alignment horizontal="right"/>
      <protection locked="0"/>
    </xf>
    <xf numFmtId="1" fontId="5" fillId="4" borderId="85" xfId="0" applyNumberFormat="1" applyFont="1" applyFill="1" applyBorder="1" applyAlignment="1" applyProtection="1">
      <alignment horizontal="right"/>
      <protection locked="0"/>
    </xf>
    <xf numFmtId="1" fontId="5" fillId="4" borderId="72" xfId="0" applyNumberFormat="1" applyFont="1" applyFill="1" applyBorder="1" applyAlignment="1" applyProtection="1">
      <alignment horizontal="right"/>
      <protection locked="0"/>
    </xf>
    <xf numFmtId="1" fontId="5" fillId="4" borderId="75" xfId="0" applyNumberFormat="1" applyFont="1" applyFill="1" applyBorder="1" applyAlignment="1" applyProtection="1">
      <alignment horizontal="right"/>
      <protection locked="0"/>
    </xf>
    <xf numFmtId="1" fontId="5" fillId="5" borderId="110" xfId="0" applyNumberFormat="1" applyFont="1" applyFill="1" applyBorder="1" applyAlignment="1">
      <alignment vertical="center" wrapText="1"/>
    </xf>
    <xf numFmtId="1" fontId="5" fillId="7" borderId="92" xfId="0" applyNumberFormat="1" applyFont="1" applyFill="1" applyBorder="1" applyAlignment="1">
      <alignment horizontal="right"/>
    </xf>
    <xf numFmtId="1" fontId="5" fillId="7" borderId="106" xfId="0" applyNumberFormat="1" applyFont="1" applyFill="1" applyBorder="1" applyAlignment="1">
      <alignment horizontal="right"/>
    </xf>
    <xf numFmtId="1" fontId="5" fillId="4" borderId="116" xfId="0" applyNumberFormat="1" applyFont="1" applyFill="1" applyBorder="1" applyAlignment="1" applyProtection="1">
      <alignment horizontal="right"/>
      <protection locked="0"/>
    </xf>
    <xf numFmtId="1" fontId="5" fillId="4" borderId="124" xfId="0" applyNumberFormat="1" applyFont="1" applyFill="1" applyBorder="1" applyAlignment="1" applyProtection="1">
      <alignment horizontal="right"/>
      <protection locked="0"/>
    </xf>
    <xf numFmtId="1" fontId="5" fillId="4" borderId="125" xfId="0" applyNumberFormat="1" applyFont="1" applyFill="1" applyBorder="1" applyAlignment="1" applyProtection="1">
      <alignment horizontal="right"/>
      <protection locked="0"/>
    </xf>
    <xf numFmtId="1" fontId="5" fillId="5" borderId="79" xfId="0" applyNumberFormat="1" applyFont="1" applyFill="1" applyBorder="1" applyAlignment="1">
      <alignment vertical="center"/>
    </xf>
    <xf numFmtId="1" fontId="5" fillId="7" borderId="78" xfId="0" applyNumberFormat="1" applyFont="1" applyFill="1" applyBorder="1" applyAlignment="1">
      <alignment horizontal="right"/>
    </xf>
    <xf numFmtId="1" fontId="5" fillId="7" borderId="75" xfId="0" applyNumberFormat="1" applyFont="1" applyFill="1" applyBorder="1" applyAlignment="1">
      <alignment horizontal="right"/>
    </xf>
    <xf numFmtId="1" fontId="5" fillId="4" borderId="78" xfId="0" applyNumberFormat="1" applyFont="1" applyFill="1" applyBorder="1" applyAlignment="1" applyProtection="1">
      <alignment horizontal="right"/>
      <protection locked="0"/>
    </xf>
    <xf numFmtId="1" fontId="5" fillId="4" borderId="79" xfId="0" applyNumberFormat="1" applyFont="1" applyFill="1" applyBorder="1" applyAlignment="1" applyProtection="1">
      <alignment horizontal="right"/>
      <protection locked="0"/>
    </xf>
    <xf numFmtId="1" fontId="5" fillId="4" borderId="81" xfId="0" applyNumberFormat="1" applyFont="1" applyFill="1" applyBorder="1" applyAlignment="1" applyProtection="1">
      <alignment horizontal="right"/>
      <protection locked="0"/>
    </xf>
    <xf numFmtId="1" fontId="5" fillId="4" borderId="126" xfId="0" applyNumberFormat="1" applyFont="1" applyFill="1" applyBorder="1" applyAlignment="1" applyProtection="1">
      <alignment horizontal="right"/>
      <protection locked="0"/>
    </xf>
    <xf numFmtId="1" fontId="5" fillId="0" borderId="92" xfId="0" applyNumberFormat="1" applyFont="1" applyBorder="1" applyAlignment="1">
      <alignment horizontal="left" wrapText="1"/>
    </xf>
    <xf numFmtId="1" fontId="5" fillId="4" borderId="103" xfId="0" applyNumberFormat="1" applyFont="1" applyFill="1" applyBorder="1" applyProtection="1">
      <protection locked="0"/>
    </xf>
    <xf numFmtId="1" fontId="5" fillId="4" borderId="128" xfId="0" applyNumberFormat="1" applyFont="1" applyFill="1" applyBorder="1" applyProtection="1">
      <protection locked="0"/>
    </xf>
    <xf numFmtId="1" fontId="5" fillId="0" borderId="13" xfId="0" applyNumberFormat="1" applyFont="1" applyBorder="1" applyAlignment="1">
      <alignment horizontal="left" wrapText="1"/>
    </xf>
    <xf numFmtId="1" fontId="5" fillId="0" borderId="92" xfId="0" applyNumberFormat="1" applyFont="1" applyBorder="1" applyAlignment="1">
      <alignment wrapText="1"/>
    </xf>
    <xf numFmtId="1" fontId="5" fillId="0" borderId="31" xfId="0" applyNumberFormat="1" applyFont="1" applyBorder="1" applyAlignment="1">
      <alignment wrapText="1"/>
    </xf>
    <xf numFmtId="1" fontId="5" fillId="0" borderId="3" xfId="0" applyNumberFormat="1" applyFont="1" applyBorder="1" applyAlignment="1">
      <alignment horizontal="left" wrapText="1"/>
    </xf>
    <xf numFmtId="1" fontId="5" fillId="0" borderId="33" xfId="0" applyNumberFormat="1" applyFont="1" applyBorder="1" applyAlignment="1">
      <alignment horizontal="left" wrapText="1"/>
    </xf>
    <xf numFmtId="1" fontId="5" fillId="0" borderId="33" xfId="0" applyNumberFormat="1" applyFont="1" applyBorder="1" applyAlignment="1">
      <alignment wrapText="1"/>
    </xf>
    <xf numFmtId="1" fontId="5" fillId="0" borderId="115" xfId="0" applyNumberFormat="1" applyFont="1" applyBorder="1" applyAlignment="1">
      <alignment horizontal="center"/>
    </xf>
    <xf numFmtId="1" fontId="5" fillId="4" borderId="115" xfId="0" applyNumberFormat="1" applyFont="1" applyFill="1" applyBorder="1" applyProtection="1">
      <protection locked="0"/>
    </xf>
    <xf numFmtId="1" fontId="5" fillId="0" borderId="110" xfId="0" applyNumberFormat="1" applyFont="1" applyBorder="1"/>
    <xf numFmtId="1" fontId="5" fillId="4" borderId="75" xfId="0" applyNumberFormat="1" applyFont="1" applyFill="1" applyBorder="1" applyProtection="1">
      <protection locked="0"/>
    </xf>
    <xf numFmtId="1" fontId="5" fillId="4" borderId="78" xfId="0" applyNumberFormat="1" applyFont="1" applyFill="1" applyBorder="1" applyProtection="1">
      <protection locked="0"/>
    </xf>
    <xf numFmtId="1" fontId="5" fillId="4" borderId="51" xfId="0" applyNumberFormat="1" applyFont="1" applyFill="1" applyBorder="1" applyProtection="1">
      <protection locked="0"/>
    </xf>
    <xf numFmtId="1" fontId="5" fillId="4" borderId="108" xfId="0" applyNumberFormat="1" applyFont="1" applyFill="1" applyBorder="1" applyProtection="1">
      <protection locked="0"/>
    </xf>
    <xf numFmtId="1" fontId="5" fillId="4" borderId="111" xfId="0" applyNumberFormat="1" applyFont="1" applyFill="1" applyBorder="1" applyProtection="1">
      <protection locked="0"/>
    </xf>
    <xf numFmtId="1" fontId="5" fillId="0" borderId="110" xfId="0" applyNumberFormat="1" applyFont="1" applyBorder="1" applyAlignment="1">
      <alignment vertical="center"/>
    </xf>
    <xf numFmtId="1" fontId="5" fillId="3" borderId="110" xfId="0" applyNumberFormat="1" applyFont="1" applyFill="1" applyBorder="1" applyAlignment="1">
      <alignment vertical="center" wrapText="1"/>
    </xf>
    <xf numFmtId="1" fontId="5" fillId="3" borderId="94" xfId="0" applyNumberFormat="1" applyFont="1" applyFill="1" applyBorder="1" applyAlignment="1">
      <alignment horizontal="right" wrapText="1"/>
    </xf>
    <xf numFmtId="1" fontId="5" fillId="3" borderId="91" xfId="0" applyNumberFormat="1" applyFont="1" applyFill="1" applyBorder="1" applyAlignment="1">
      <alignment horizontal="right"/>
    </xf>
    <xf numFmtId="1" fontId="5" fillId="3" borderId="106" xfId="0" applyNumberFormat="1" applyFont="1" applyFill="1" applyBorder="1" applyAlignment="1">
      <alignment horizontal="right"/>
    </xf>
    <xf numFmtId="1" fontId="5" fillId="7" borderId="132" xfId="0" applyNumberFormat="1" applyFont="1" applyFill="1" applyBorder="1" applyAlignment="1">
      <alignment horizontal="right"/>
    </xf>
    <xf numFmtId="1" fontId="5" fillId="7" borderId="22" xfId="0" applyNumberFormat="1" applyFont="1" applyFill="1" applyBorder="1" applyAlignment="1">
      <alignment horizontal="right"/>
    </xf>
    <xf numFmtId="1" fontId="5" fillId="7" borderId="65" xfId="0" applyNumberFormat="1" applyFont="1" applyFill="1" applyBorder="1" applyAlignment="1">
      <alignment horizontal="right"/>
    </xf>
    <xf numFmtId="1" fontId="5" fillId="7" borderId="133" xfId="0" applyNumberFormat="1" applyFont="1" applyFill="1" applyBorder="1" applyAlignment="1">
      <alignment horizontal="right"/>
    </xf>
    <xf numFmtId="1" fontId="5" fillId="9" borderId="134" xfId="3" applyNumberFormat="1" applyFont="1" applyBorder="1" applyAlignment="1" applyProtection="1">
      <alignment horizontal="right"/>
      <protection locked="0"/>
    </xf>
    <xf numFmtId="1" fontId="5" fillId="9" borderId="135" xfId="3" applyNumberFormat="1" applyFont="1" applyBorder="1" applyAlignment="1" applyProtection="1">
      <alignment horizontal="right"/>
      <protection locked="0"/>
    </xf>
    <xf numFmtId="1" fontId="5" fillId="9" borderId="136" xfId="3" applyNumberFormat="1" applyFont="1" applyBorder="1" applyAlignment="1" applyProtection="1">
      <alignment horizontal="right"/>
      <protection locked="0"/>
    </xf>
    <xf numFmtId="1" fontId="5" fillId="9" borderId="137" xfId="3" applyNumberFormat="1" applyFont="1" applyBorder="1" applyAlignment="1" applyProtection="1">
      <alignment horizontal="right"/>
      <protection locked="0"/>
    </xf>
    <xf numFmtId="1" fontId="5" fillId="3" borderId="56" xfId="0" applyNumberFormat="1" applyFont="1" applyFill="1" applyBorder="1" applyAlignment="1">
      <alignment vertical="center" wrapText="1"/>
    </xf>
    <xf numFmtId="1" fontId="5" fillId="3" borderId="33" xfId="0" applyNumberFormat="1" applyFont="1" applyFill="1" applyBorder="1" applyAlignment="1">
      <alignment horizontal="right" wrapText="1"/>
    </xf>
    <xf numFmtId="1" fontId="5" fillId="3" borderId="41" xfId="0" applyNumberFormat="1" applyFont="1" applyFill="1" applyBorder="1" applyAlignment="1">
      <alignment horizontal="right"/>
    </xf>
    <xf numFmtId="1" fontId="5" fillId="3" borderId="10" xfId="0" applyNumberFormat="1" applyFont="1" applyFill="1" applyBorder="1" applyAlignment="1">
      <alignment horizontal="right"/>
    </xf>
    <xf numFmtId="1" fontId="5" fillId="9" borderId="138" xfId="3" applyNumberFormat="1" applyFont="1" applyBorder="1" applyAlignment="1" applyProtection="1">
      <alignment horizontal="right"/>
      <protection locked="0"/>
    </xf>
    <xf numFmtId="1" fontId="5" fillId="9" borderId="139" xfId="3" applyNumberFormat="1" applyFont="1" applyBorder="1" applyAlignment="1" applyProtection="1">
      <alignment horizontal="right"/>
      <protection locked="0"/>
    </xf>
    <xf numFmtId="1" fontId="5" fillId="9" borderId="140" xfId="3" applyNumberFormat="1" applyFont="1" applyBorder="1" applyAlignment="1" applyProtection="1">
      <alignment horizontal="right"/>
      <protection locked="0"/>
    </xf>
    <xf numFmtId="1" fontId="5" fillId="9" borderId="141" xfId="3" applyNumberFormat="1" applyFont="1" applyBorder="1" applyAlignment="1" applyProtection="1">
      <alignment horizontal="right"/>
      <protection locked="0"/>
    </xf>
    <xf numFmtId="1" fontId="5" fillId="3" borderId="70" xfId="0" applyNumberFormat="1" applyFont="1" applyFill="1" applyBorder="1" applyAlignment="1">
      <alignment vertical="center" wrapText="1"/>
    </xf>
    <xf numFmtId="1" fontId="5" fillId="3" borderId="11" xfId="0" applyNumberFormat="1" applyFont="1" applyFill="1" applyBorder="1" applyAlignment="1">
      <alignment vertical="center" wrapText="1"/>
    </xf>
    <xf numFmtId="1" fontId="5" fillId="3" borderId="13" xfId="0" applyNumberFormat="1" applyFont="1" applyFill="1" applyBorder="1" applyAlignment="1">
      <alignment horizontal="right" wrapText="1"/>
    </xf>
    <xf numFmtId="1" fontId="5" fillId="3" borderId="27" xfId="0" applyNumberFormat="1" applyFont="1" applyFill="1" applyBorder="1" applyAlignment="1">
      <alignment horizontal="right"/>
    </xf>
    <xf numFmtId="1" fontId="5" fillId="3" borderId="75" xfId="0" applyNumberFormat="1" applyFont="1" applyFill="1" applyBorder="1" applyAlignment="1">
      <alignment horizontal="right"/>
    </xf>
    <xf numFmtId="1" fontId="5" fillId="9" borderId="142" xfId="3" applyNumberFormat="1" applyFont="1" applyBorder="1" applyAlignment="1" applyProtection="1">
      <alignment horizontal="right"/>
      <protection locked="0"/>
    </xf>
    <xf numFmtId="1" fontId="5" fillId="9" borderId="143" xfId="3" applyNumberFormat="1" applyFont="1" applyBorder="1" applyAlignment="1" applyProtection="1">
      <alignment horizontal="right"/>
      <protection locked="0"/>
    </xf>
    <xf numFmtId="1" fontId="5" fillId="9" borderId="144" xfId="3" applyNumberFormat="1" applyFont="1" applyBorder="1" applyAlignment="1" applyProtection="1">
      <alignment horizontal="right"/>
      <protection locked="0"/>
    </xf>
    <xf numFmtId="1" fontId="5" fillId="9" borderId="145" xfId="3" applyNumberFormat="1" applyFont="1" applyBorder="1" applyAlignment="1" applyProtection="1">
      <alignment horizontal="right"/>
      <protection locked="0"/>
    </xf>
    <xf numFmtId="1" fontId="5" fillId="0" borderId="115" xfId="0" applyNumberFormat="1" applyFont="1" applyBorder="1" applyAlignment="1">
      <alignment horizontal="center" vertical="center"/>
    </xf>
    <xf numFmtId="1" fontId="5" fillId="3" borderId="115" xfId="0" applyNumberFormat="1" applyFont="1" applyFill="1" applyBorder="1" applyAlignment="1">
      <alignment horizontal="center" vertical="center"/>
    </xf>
    <xf numFmtId="1" fontId="5" fillId="0" borderId="150" xfId="0" applyNumberFormat="1" applyFont="1" applyBorder="1" applyAlignment="1">
      <alignment horizontal="left" vertical="center" wrapText="1"/>
    </xf>
    <xf numFmtId="1" fontId="5" fillId="0" borderId="151" xfId="0" applyNumberFormat="1" applyFont="1" applyBorder="1" applyAlignment="1">
      <alignment horizontal="right" wrapText="1"/>
    </xf>
    <xf numFmtId="1" fontId="5" fillId="0" borderId="152" xfId="0" applyNumberFormat="1" applyFont="1" applyBorder="1" applyAlignment="1">
      <alignment horizontal="right"/>
    </xf>
    <xf numFmtId="1" fontId="5" fillId="0" borderId="153" xfId="0" applyNumberFormat="1" applyFont="1" applyBorder="1"/>
    <xf numFmtId="1" fontId="5" fillId="4" borderId="151" xfId="0" applyNumberFormat="1" applyFont="1" applyFill="1" applyBorder="1" applyAlignment="1" applyProtection="1">
      <alignment horizontal="right"/>
      <protection locked="0"/>
    </xf>
    <xf numFmtId="1" fontId="5" fillId="4" borderId="152" xfId="0" applyNumberFormat="1" applyFont="1" applyFill="1" applyBorder="1" applyAlignment="1" applyProtection="1">
      <alignment horizontal="right"/>
      <protection locked="0"/>
    </xf>
    <xf numFmtId="1" fontId="5" fillId="4" borderId="154" xfId="0" applyNumberFormat="1" applyFont="1" applyFill="1" applyBorder="1" applyAlignment="1" applyProtection="1">
      <alignment horizontal="right"/>
      <protection locked="0"/>
    </xf>
    <xf numFmtId="1" fontId="5" fillId="4" borderId="155" xfId="0" applyNumberFormat="1" applyFont="1" applyFill="1" applyBorder="1" applyAlignment="1" applyProtection="1">
      <alignment horizontal="right"/>
      <protection locked="0"/>
    </xf>
    <xf numFmtId="1" fontId="5" fillId="4" borderId="150" xfId="0" applyNumberFormat="1" applyFont="1" applyFill="1" applyBorder="1" applyAlignment="1" applyProtection="1">
      <alignment horizontal="right"/>
      <protection locked="0"/>
    </xf>
    <xf numFmtId="1" fontId="5" fillId="4" borderId="156" xfId="0" applyNumberFormat="1" applyFont="1" applyFill="1" applyBorder="1" applyAlignment="1" applyProtection="1">
      <alignment horizontal="right"/>
      <protection locked="0"/>
    </xf>
    <xf numFmtId="1" fontId="5" fillId="4" borderId="157" xfId="0" applyNumberFormat="1" applyFont="1" applyFill="1" applyBorder="1" applyAlignment="1" applyProtection="1">
      <alignment horizontal="right"/>
      <protection locked="0"/>
    </xf>
    <xf numFmtId="1" fontId="5" fillId="4" borderId="158" xfId="0" applyNumberFormat="1" applyFont="1" applyFill="1" applyBorder="1" applyAlignment="1" applyProtection="1">
      <alignment horizontal="right"/>
      <protection locked="0"/>
    </xf>
    <xf numFmtId="1" fontId="5" fillId="0" borderId="18" xfId="0" applyNumberFormat="1" applyFont="1" applyBorder="1"/>
    <xf numFmtId="1" fontId="5" fillId="4" borderId="15" xfId="0" applyNumberFormat="1" applyFont="1" applyFill="1" applyBorder="1" applyAlignment="1" applyProtection="1">
      <alignment horizontal="right"/>
      <protection locked="0"/>
    </xf>
    <xf numFmtId="1" fontId="5" fillId="4" borderId="17" xfId="0" applyNumberFormat="1" applyFont="1" applyFill="1" applyBorder="1" applyAlignment="1" applyProtection="1">
      <alignment horizontal="right"/>
      <protection locked="0"/>
    </xf>
    <xf numFmtId="1" fontId="5" fillId="4" borderId="57" xfId="0" applyNumberFormat="1" applyFont="1" applyFill="1" applyBorder="1" applyAlignment="1" applyProtection="1">
      <alignment horizontal="right"/>
      <protection locked="0"/>
    </xf>
    <xf numFmtId="1" fontId="5" fillId="4" borderId="13" xfId="0" applyNumberFormat="1" applyFont="1" applyFill="1" applyBorder="1" applyAlignment="1" applyProtection="1">
      <alignment horizontal="right"/>
      <protection locked="0"/>
    </xf>
    <xf numFmtId="1" fontId="5" fillId="4" borderId="38" xfId="0" applyNumberFormat="1" applyFont="1" applyFill="1" applyBorder="1" applyAlignment="1" applyProtection="1">
      <alignment horizontal="right"/>
      <protection locked="0"/>
    </xf>
    <xf numFmtId="1" fontId="15" fillId="3" borderId="96" xfId="0" applyNumberFormat="1" applyFont="1" applyFill="1" applyBorder="1"/>
    <xf numFmtId="1" fontId="5" fillId="0" borderId="150" xfId="0" applyNumberFormat="1" applyFont="1" applyBorder="1" applyAlignment="1">
      <alignment horizontal="right" vertical="center" wrapText="1"/>
    </xf>
    <xf numFmtId="1" fontId="5" fillId="0" borderId="13" xfId="0" applyNumberFormat="1" applyFont="1" applyBorder="1" applyAlignment="1">
      <alignment horizontal="right" vertical="center" wrapText="1"/>
    </xf>
    <xf numFmtId="1" fontId="5" fillId="4" borderId="90" xfId="0" applyNumberFormat="1" applyFont="1" applyFill="1" applyBorder="1" applyAlignment="1" applyProtection="1">
      <alignment horizontal="right"/>
      <protection locked="0"/>
    </xf>
    <xf numFmtId="1" fontId="5" fillId="6" borderId="13" xfId="0" applyNumberFormat="1" applyFont="1" applyFill="1" applyBorder="1" applyAlignment="1">
      <alignment horizontal="right"/>
    </xf>
    <xf numFmtId="1" fontId="5" fillId="0" borderId="146" xfId="0" applyNumberFormat="1" applyFont="1" applyBorder="1" applyAlignment="1">
      <alignment horizontal="right"/>
    </xf>
    <xf numFmtId="1" fontId="5" fillId="0" borderId="147" xfId="0" applyNumberFormat="1" applyFont="1" applyBorder="1" applyAlignment="1">
      <alignment horizontal="right"/>
    </xf>
    <xf numFmtId="1" fontId="5" fillId="4" borderId="146" xfId="0" applyNumberFormat="1" applyFont="1" applyFill="1" applyBorder="1" applyAlignment="1" applyProtection="1">
      <alignment horizontal="right"/>
      <protection locked="0"/>
    </xf>
    <xf numFmtId="1" fontId="5" fillId="4" borderId="148" xfId="0" applyNumberFormat="1" applyFont="1" applyFill="1" applyBorder="1" applyAlignment="1" applyProtection="1">
      <alignment horizontal="right"/>
      <protection locked="0"/>
    </xf>
    <xf numFmtId="1" fontId="5" fillId="4" borderId="97" xfId="0" applyNumberFormat="1" applyFont="1" applyFill="1" applyBorder="1" applyAlignment="1" applyProtection="1">
      <alignment horizontal="right"/>
      <protection locked="0"/>
    </xf>
    <xf numFmtId="1" fontId="5" fillId="4" borderId="98" xfId="0" applyNumberFormat="1" applyFont="1" applyFill="1" applyBorder="1" applyAlignment="1" applyProtection="1">
      <alignment horizontal="right"/>
      <protection locked="0"/>
    </xf>
    <xf numFmtId="1" fontId="15" fillId="5" borderId="96" xfId="0" applyNumberFormat="1" applyFont="1" applyFill="1" applyBorder="1"/>
    <xf numFmtId="1" fontId="16" fillId="0" borderId="159" xfId="0" applyNumberFormat="1" applyFont="1" applyBorder="1"/>
    <xf numFmtId="1" fontId="16" fillId="0" borderId="34" xfId="0" applyNumberFormat="1" applyFont="1" applyBorder="1"/>
    <xf numFmtId="1" fontId="16" fillId="0" borderId="160" xfId="0" applyNumberFormat="1" applyFont="1" applyBorder="1"/>
    <xf numFmtId="1" fontId="5" fillId="7" borderId="152" xfId="0" applyNumberFormat="1" applyFont="1" applyFill="1" applyBorder="1"/>
    <xf numFmtId="1" fontId="5" fillId="7" borderId="153" xfId="0" applyNumberFormat="1" applyFont="1" applyFill="1" applyBorder="1"/>
    <xf numFmtId="1" fontId="5" fillId="0" borderId="150" xfId="0" applyNumberFormat="1" applyFont="1" applyBorder="1" applyAlignment="1">
      <alignment horizontal="right"/>
    </xf>
    <xf numFmtId="1" fontId="5" fillId="4" borderId="48" xfId="0" applyNumberFormat="1" applyFont="1" applyFill="1" applyBorder="1" applyAlignment="1" applyProtection="1">
      <alignment horizontal="right"/>
      <protection locked="0"/>
    </xf>
    <xf numFmtId="1" fontId="5" fillId="4" borderId="50" xfId="0" applyNumberFormat="1" applyFont="1" applyFill="1" applyBorder="1" applyAlignment="1" applyProtection="1">
      <alignment horizontal="right"/>
      <protection locked="0"/>
    </xf>
    <xf numFmtId="1" fontId="5" fillId="0" borderId="3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/>
    </xf>
    <xf numFmtId="1" fontId="5" fillId="4" borderId="37" xfId="0" applyNumberFormat="1" applyFont="1" applyFill="1" applyBorder="1" applyAlignment="1" applyProtection="1">
      <alignment horizontal="right"/>
      <protection locked="0"/>
    </xf>
    <xf numFmtId="1" fontId="5" fillId="4" borderId="44" xfId="0" applyNumberFormat="1" applyFont="1" applyFill="1" applyBorder="1" applyAlignment="1" applyProtection="1">
      <alignment horizontal="right"/>
      <protection locked="0"/>
    </xf>
    <xf numFmtId="1" fontId="5" fillId="4" borderId="23" xfId="0" applyNumberFormat="1" applyFont="1" applyFill="1" applyBorder="1" applyAlignment="1" applyProtection="1">
      <alignment horizontal="right"/>
      <protection locked="0"/>
    </xf>
    <xf numFmtId="1" fontId="5" fillId="4" borderId="25" xfId="0" applyNumberFormat="1" applyFont="1" applyFill="1" applyBorder="1" applyAlignment="1" applyProtection="1">
      <alignment horizontal="right"/>
      <protection locked="0"/>
    </xf>
    <xf numFmtId="1" fontId="5" fillId="4" borderId="42" xfId="0" applyNumberFormat="1" applyFont="1" applyFill="1" applyBorder="1" applyAlignment="1" applyProtection="1">
      <alignment horizontal="right"/>
      <protection locked="0"/>
    </xf>
    <xf numFmtId="1" fontId="5" fillId="4" borderId="45" xfId="0" applyNumberFormat="1" applyFont="1" applyFill="1" applyBorder="1" applyAlignment="1" applyProtection="1">
      <alignment horizontal="right"/>
      <protection locked="0"/>
    </xf>
    <xf numFmtId="1" fontId="5" fillId="4" borderId="41" xfId="0" applyNumberFormat="1" applyFont="1" applyFill="1" applyBorder="1" applyAlignment="1" applyProtection="1">
      <alignment horizontal="right"/>
      <protection locked="0"/>
    </xf>
    <xf numFmtId="1" fontId="5" fillId="4" borderId="46" xfId="0" applyNumberFormat="1" applyFont="1" applyFill="1" applyBorder="1" applyAlignment="1" applyProtection="1">
      <alignment horizontal="right"/>
      <protection locked="0"/>
    </xf>
    <xf numFmtId="1" fontId="5" fillId="0" borderId="78" xfId="0" applyNumberFormat="1" applyFont="1" applyBorder="1" applyAlignment="1">
      <alignment horizontal="right" vertical="center" wrapText="1"/>
    </xf>
    <xf numFmtId="1" fontId="5" fillId="0" borderId="78" xfId="0" applyNumberFormat="1" applyFont="1" applyBorder="1" applyAlignment="1">
      <alignment horizontal="right"/>
    </xf>
    <xf numFmtId="1" fontId="5" fillId="4" borderId="47" xfId="0" applyNumberFormat="1" applyFont="1" applyFill="1" applyBorder="1" applyAlignment="1" applyProtection="1">
      <alignment horizontal="right"/>
      <protection locked="0"/>
    </xf>
    <xf numFmtId="1" fontId="17" fillId="3" borderId="0" xfId="0" applyNumberFormat="1" applyFont="1" applyFill="1"/>
    <xf numFmtId="1" fontId="19" fillId="5" borderId="0" xfId="0" applyNumberFormat="1" applyFont="1" applyFill="1" applyProtection="1">
      <protection locked="0"/>
    </xf>
    <xf numFmtId="1" fontId="5" fillId="3" borderId="146" xfId="0" applyNumberFormat="1" applyFont="1" applyFill="1" applyBorder="1" applyAlignment="1">
      <alignment horizontal="center" vertical="center" wrapText="1"/>
    </xf>
    <xf numFmtId="1" fontId="5" fillId="3" borderId="147" xfId="0" applyNumberFormat="1" applyFont="1" applyFill="1" applyBorder="1" applyAlignment="1">
      <alignment horizontal="center" vertical="center" wrapText="1"/>
    </xf>
    <xf numFmtId="1" fontId="5" fillId="3" borderId="97" xfId="0" applyNumberFormat="1" applyFont="1" applyFill="1" applyBorder="1" applyAlignment="1">
      <alignment horizontal="center" vertical="center" wrapText="1"/>
    </xf>
    <xf numFmtId="1" fontId="5" fillId="3" borderId="98" xfId="0" applyNumberFormat="1" applyFont="1" applyFill="1" applyBorder="1" applyAlignment="1">
      <alignment horizontal="center" vertical="center" wrapText="1"/>
    </xf>
    <xf numFmtId="1" fontId="5" fillId="3" borderId="148" xfId="0" applyNumberFormat="1" applyFont="1" applyFill="1" applyBorder="1" applyAlignment="1">
      <alignment horizontal="center" vertical="center" wrapText="1"/>
    </xf>
    <xf numFmtId="1" fontId="15" fillId="5" borderId="73" xfId="6" applyNumberFormat="1" applyFont="1" applyFill="1" applyBorder="1"/>
    <xf numFmtId="1" fontId="5" fillId="3" borderId="31" xfId="0" applyNumberFormat="1" applyFont="1" applyFill="1" applyBorder="1" applyAlignment="1">
      <alignment horizontal="left" vertical="center"/>
    </xf>
    <xf numFmtId="1" fontId="5" fillId="3" borderId="3" xfId="0" applyNumberFormat="1" applyFont="1" applyFill="1" applyBorder="1" applyAlignment="1">
      <alignment horizontal="left" vertical="center"/>
    </xf>
    <xf numFmtId="1" fontId="5" fillId="5" borderId="3" xfId="0" applyNumberFormat="1" applyFont="1" applyFill="1" applyBorder="1" applyAlignment="1">
      <alignment horizontal="left" vertical="center"/>
    </xf>
    <xf numFmtId="1" fontId="5" fillId="3" borderId="13" xfId="6" applyNumberFormat="1" applyFont="1" applyFill="1" applyBorder="1" applyAlignment="1">
      <alignment horizontal="left" vertical="center"/>
    </xf>
    <xf numFmtId="1" fontId="17" fillId="3" borderId="0" xfId="6" applyNumberFormat="1" applyFont="1" applyFill="1" applyAlignment="1">
      <alignment horizontal="left" vertical="center"/>
    </xf>
    <xf numFmtId="1" fontId="5" fillId="0" borderId="89" xfId="6" applyNumberFormat="1" applyFont="1" applyBorder="1" applyAlignment="1">
      <alignment horizontal="center" vertical="center" wrapText="1"/>
    </xf>
    <xf numFmtId="1" fontId="5" fillId="0" borderId="94" xfId="6" applyNumberFormat="1" applyFont="1" applyBorder="1" applyAlignment="1">
      <alignment horizontal="center" vertical="center" wrapText="1"/>
    </xf>
    <xf numFmtId="1" fontId="5" fillId="0" borderId="99" xfId="6" applyNumberFormat="1" applyFont="1" applyBorder="1" applyAlignment="1">
      <alignment horizontal="center" vertical="center" wrapText="1"/>
    </xf>
    <xf numFmtId="1" fontId="5" fillId="0" borderId="100" xfId="6" applyNumberFormat="1" applyFont="1" applyBorder="1" applyAlignment="1">
      <alignment horizontal="center" vertical="center" wrapText="1"/>
    </xf>
    <xf numFmtId="1" fontId="5" fillId="0" borderId="101" xfId="6" applyNumberFormat="1" applyFont="1" applyBorder="1" applyAlignment="1">
      <alignment horizontal="center" vertical="center" wrapText="1"/>
    </xf>
    <xf numFmtId="1" fontId="5" fillId="0" borderId="189" xfId="6" applyNumberFormat="1" applyFont="1" applyBorder="1"/>
    <xf numFmtId="1" fontId="5" fillId="0" borderId="150" xfId="6" applyNumberFormat="1" applyFont="1" applyBorder="1"/>
    <xf numFmtId="1" fontId="5" fillId="4" borderId="151" xfId="6" applyNumberFormat="1" applyFont="1" applyFill="1" applyBorder="1" applyProtection="1">
      <protection locked="0"/>
    </xf>
    <xf numFmtId="1" fontId="5" fillId="4" borderId="152" xfId="6" applyNumberFormat="1" applyFont="1" applyFill="1" applyBorder="1" applyProtection="1">
      <protection locked="0"/>
    </xf>
    <xf numFmtId="1" fontId="5" fillId="4" borderId="153" xfId="6" applyNumberFormat="1" applyFont="1" applyFill="1" applyBorder="1" applyProtection="1">
      <protection locked="0"/>
    </xf>
    <xf numFmtId="1" fontId="5" fillId="0" borderId="190" xfId="6" applyNumberFormat="1" applyFont="1" applyBorder="1"/>
    <xf numFmtId="1" fontId="5" fillId="0" borderId="191" xfId="6" applyNumberFormat="1" applyFont="1" applyBorder="1"/>
    <xf numFmtId="1" fontId="5" fillId="4" borderId="192" xfId="6" applyNumberFormat="1" applyFont="1" applyFill="1" applyBorder="1" applyProtection="1">
      <protection locked="0"/>
    </xf>
    <xf numFmtId="1" fontId="5" fillId="4" borderId="193" xfId="6" applyNumberFormat="1" applyFont="1" applyFill="1" applyBorder="1" applyProtection="1">
      <protection locked="0"/>
    </xf>
    <xf numFmtId="1" fontId="5" fillId="4" borderId="194" xfId="6" applyNumberFormat="1" applyFont="1" applyFill="1" applyBorder="1" applyProtection="1">
      <protection locked="0"/>
    </xf>
    <xf numFmtId="1" fontId="5" fillId="0" borderId="79" xfId="6" applyNumberFormat="1" applyFont="1" applyBorder="1"/>
    <xf numFmtId="1" fontId="5" fillId="0" borderId="13" xfId="6" applyNumberFormat="1" applyFont="1" applyBorder="1"/>
    <xf numFmtId="1" fontId="5" fillId="4" borderId="85" xfId="6" applyNumberFormat="1" applyFont="1" applyFill="1" applyBorder="1" applyProtection="1">
      <protection locked="0"/>
    </xf>
    <xf numFmtId="1" fontId="5" fillId="4" borderId="195" xfId="6" applyNumberFormat="1" applyFont="1" applyFill="1" applyBorder="1" applyProtection="1">
      <protection locked="0"/>
    </xf>
    <xf numFmtId="1" fontId="5" fillId="4" borderId="196" xfId="6" applyNumberFormat="1" applyFont="1" applyFill="1" applyBorder="1" applyProtection="1">
      <protection locked="0"/>
    </xf>
    <xf numFmtId="1" fontId="15" fillId="0" borderId="0" xfId="6" applyNumberFormat="1" applyFont="1"/>
    <xf numFmtId="1" fontId="15" fillId="0" borderId="0" xfId="6" applyNumberFormat="1" applyFont="1" applyAlignment="1">
      <alignment horizontal="center"/>
    </xf>
    <xf numFmtId="1" fontId="16" fillId="0" borderId="188" xfId="6" applyNumberFormat="1" applyFont="1" applyBorder="1" applyProtection="1">
      <protection hidden="1"/>
    </xf>
    <xf numFmtId="1" fontId="5" fillId="0" borderId="67" xfId="6" applyNumberFormat="1" applyFont="1" applyBorder="1" applyAlignment="1">
      <alignment horizontal="center" vertical="center" wrapText="1"/>
    </xf>
    <xf numFmtId="1" fontId="5" fillId="0" borderId="115" xfId="6" applyNumberFormat="1" applyFont="1" applyBorder="1" applyAlignment="1">
      <alignment horizontal="center" vertical="center" wrapText="1"/>
    </xf>
    <xf numFmtId="1" fontId="5" fillId="0" borderId="68" xfId="6" applyNumberFormat="1" applyFont="1" applyBorder="1" applyAlignment="1">
      <alignment horizontal="center" vertical="center" wrapText="1"/>
    </xf>
    <xf numFmtId="1" fontId="5" fillId="0" borderId="59" xfId="6" applyNumberFormat="1" applyFont="1" applyBorder="1"/>
    <xf numFmtId="1" fontId="5" fillId="0" borderId="11" xfId="6" applyNumberFormat="1" applyFont="1" applyBorder="1" applyAlignment="1">
      <alignment horizontal="left"/>
    </xf>
    <xf numFmtId="1" fontId="5" fillId="0" borderId="11" xfId="6" applyNumberFormat="1" applyFont="1" applyBorder="1"/>
    <xf numFmtId="1" fontId="5" fillId="0" borderId="56" xfId="6" applyNumberFormat="1" applyFont="1" applyBorder="1" applyAlignment="1">
      <alignment horizontal="left"/>
    </xf>
    <xf numFmtId="1" fontId="5" fillId="0" borderId="74" xfId="6" applyNumberFormat="1" applyFont="1" applyBorder="1"/>
    <xf numFmtId="1" fontId="5" fillId="0" borderId="204" xfId="6" applyNumberFormat="1" applyFont="1" applyBorder="1" applyAlignment="1">
      <alignment horizontal="right"/>
    </xf>
    <xf numFmtId="1" fontId="16" fillId="0" borderId="0" xfId="6" applyNumberFormat="1" applyFont="1"/>
    <xf numFmtId="1" fontId="16" fillId="0" borderId="197" xfId="6" applyNumberFormat="1" applyFont="1" applyBorder="1"/>
    <xf numFmtId="1" fontId="16" fillId="0" borderId="198" xfId="6" applyNumberFormat="1" applyFont="1" applyBorder="1"/>
    <xf numFmtId="1" fontId="16" fillId="0" borderId="199" xfId="6" applyNumberFormat="1" applyFont="1" applyBorder="1"/>
    <xf numFmtId="1" fontId="5" fillId="0" borderId="56" xfId="6" applyNumberFormat="1" applyFont="1" applyBorder="1"/>
    <xf numFmtId="1" fontId="15" fillId="0" borderId="199" xfId="6" applyNumberFormat="1" applyFont="1" applyBorder="1" applyProtection="1">
      <protection hidden="1"/>
    </xf>
    <xf numFmtId="1" fontId="16" fillId="0" borderId="199" xfId="6" applyNumberFormat="1" applyFont="1" applyBorder="1" applyProtection="1">
      <protection hidden="1"/>
    </xf>
    <xf numFmtId="1" fontId="5" fillId="0" borderId="207" xfId="6" applyNumberFormat="1" applyFont="1" applyBorder="1"/>
    <xf numFmtId="1" fontId="5" fillId="0" borderId="208" xfId="6" applyNumberFormat="1" applyFont="1" applyBorder="1" applyAlignment="1">
      <alignment horizontal="right"/>
    </xf>
    <xf numFmtId="1" fontId="5" fillId="4" borderId="208" xfId="6" applyNumberFormat="1" applyFont="1" applyFill="1" applyBorder="1" applyProtection="1">
      <protection locked="0"/>
    </xf>
    <xf numFmtId="1" fontId="5" fillId="0" borderId="13" xfId="6" applyNumberFormat="1" applyFont="1" applyBorder="1" applyAlignment="1">
      <alignment horizontal="right"/>
    </xf>
    <xf numFmtId="1" fontId="5" fillId="4" borderId="13" xfId="6" applyNumberFormat="1" applyFont="1" applyFill="1" applyBorder="1" applyProtection="1">
      <protection locked="0"/>
    </xf>
    <xf numFmtId="1" fontId="15" fillId="5" borderId="206" xfId="6" applyNumberFormat="1" applyFont="1" applyFill="1" applyBorder="1" applyProtection="1">
      <protection hidden="1"/>
    </xf>
    <xf numFmtId="1" fontId="16" fillId="0" borderId="206" xfId="6" applyNumberFormat="1" applyFont="1" applyBorder="1" applyProtection="1">
      <protection hidden="1"/>
    </xf>
    <xf numFmtId="1" fontId="5" fillId="0" borderId="146" xfId="6" applyNumberFormat="1" applyFont="1" applyBorder="1" applyAlignment="1">
      <alignment horizontal="center" vertical="center" wrapText="1"/>
    </xf>
    <xf numFmtId="1" fontId="5" fillId="0" borderId="111" xfId="6" applyNumberFormat="1" applyFont="1" applyBorder="1" applyAlignment="1">
      <alignment horizontal="center" vertical="center" wrapText="1"/>
    </xf>
    <xf numFmtId="1" fontId="5" fillId="0" borderId="209" xfId="6" applyNumberFormat="1" applyFont="1" applyBorder="1" applyAlignment="1">
      <alignment horizontal="center" vertical="center" wrapText="1"/>
    </xf>
    <xf numFmtId="1" fontId="5" fillId="0" borderId="210" xfId="6" applyNumberFormat="1" applyFont="1" applyBorder="1" applyAlignment="1">
      <alignment horizontal="center" vertical="center" wrapText="1"/>
    </xf>
    <xf numFmtId="0" fontId="5" fillId="0" borderId="201" xfId="0" applyFont="1" applyBorder="1" applyAlignment="1">
      <alignment vertical="center" wrapText="1"/>
    </xf>
    <xf numFmtId="1" fontId="5" fillId="0" borderId="201" xfId="0" applyNumberFormat="1" applyFont="1" applyBorder="1" applyAlignment="1">
      <alignment horizontal="right"/>
    </xf>
    <xf numFmtId="1" fontId="5" fillId="4" borderId="205" xfId="0" applyNumberFormat="1" applyFont="1" applyFill="1" applyBorder="1" applyProtection="1">
      <protection locked="0"/>
    </xf>
    <xf numFmtId="1" fontId="5" fillId="4" borderId="211" xfId="0" applyNumberFormat="1" applyFont="1" applyFill="1" applyBorder="1" applyProtection="1">
      <protection locked="0"/>
    </xf>
    <xf numFmtId="1" fontId="5" fillId="4" borderId="212" xfId="6" applyNumberFormat="1" applyFont="1" applyFill="1" applyBorder="1" applyProtection="1">
      <protection locked="0"/>
    </xf>
    <xf numFmtId="0" fontId="5" fillId="0" borderId="191" xfId="0" applyFont="1" applyBorder="1" applyAlignment="1">
      <alignment vertical="center" wrapText="1"/>
    </xf>
    <xf numFmtId="1" fontId="5" fillId="0" borderId="191" xfId="0" applyNumberFormat="1" applyFont="1" applyBorder="1" applyAlignment="1">
      <alignment horizontal="right" vertical="center"/>
    </xf>
    <xf numFmtId="1" fontId="5" fillId="4" borderId="192" xfId="0" applyNumberFormat="1" applyFont="1" applyFill="1" applyBorder="1" applyProtection="1">
      <protection locked="0"/>
    </xf>
    <xf numFmtId="0" fontId="5" fillId="0" borderId="76" xfId="0" applyFont="1" applyBorder="1" applyAlignment="1">
      <alignment vertical="center" wrapText="1"/>
    </xf>
    <xf numFmtId="1" fontId="5" fillId="0" borderId="76" xfId="0" applyNumberFormat="1" applyFont="1" applyBorder="1" applyAlignment="1">
      <alignment horizontal="right" vertical="center"/>
    </xf>
    <xf numFmtId="1" fontId="5" fillId="4" borderId="12" xfId="6" applyNumberFormat="1" applyFont="1" applyFill="1" applyBorder="1" applyProtection="1">
      <protection locked="0"/>
    </xf>
    <xf numFmtId="1" fontId="15" fillId="0" borderId="206" xfId="6" applyNumberFormat="1" applyFont="1" applyBorder="1" applyProtection="1">
      <protection hidden="1"/>
    </xf>
    <xf numFmtId="1" fontId="16" fillId="0" borderId="0" xfId="6" applyNumberFormat="1" applyFont="1" applyAlignment="1">
      <alignment horizontal="right"/>
    </xf>
    <xf numFmtId="1" fontId="16" fillId="0" borderId="0" xfId="6" applyNumberFormat="1" applyFont="1" applyProtection="1">
      <protection locked="0"/>
    </xf>
    <xf numFmtId="1" fontId="16" fillId="0" borderId="197" xfId="6" applyNumberFormat="1" applyFont="1" applyBorder="1" applyProtection="1">
      <protection hidden="1"/>
    </xf>
    <xf numFmtId="1" fontId="5" fillId="3" borderId="213" xfId="0" applyNumberFormat="1" applyFont="1" applyFill="1" applyBorder="1" applyAlignment="1">
      <alignment horizontal="center" vertical="center" wrapText="1"/>
    </xf>
    <xf numFmtId="1" fontId="5" fillId="0" borderId="88" xfId="0" applyNumberFormat="1" applyFont="1" applyBorder="1" applyAlignment="1">
      <alignment horizontal="center" vertical="center" wrapText="1"/>
    </xf>
    <xf numFmtId="1" fontId="5" fillId="0" borderId="205" xfId="0" applyNumberFormat="1" applyFont="1" applyBorder="1"/>
    <xf numFmtId="1" fontId="5" fillId="4" borderId="201" xfId="0" applyNumberFormat="1" applyFont="1" applyFill="1" applyBorder="1" applyProtection="1">
      <protection locked="0"/>
    </xf>
    <xf numFmtId="1" fontId="5" fillId="4" borderId="200" xfId="0" applyNumberFormat="1" applyFont="1" applyFill="1" applyBorder="1" applyProtection="1">
      <protection locked="0"/>
    </xf>
    <xf numFmtId="1" fontId="5" fillId="0" borderId="192" xfId="0" applyNumberFormat="1" applyFont="1" applyBorder="1"/>
    <xf numFmtId="1" fontId="5" fillId="4" borderId="191" xfId="0" applyNumberFormat="1" applyFont="1" applyFill="1" applyBorder="1" applyProtection="1">
      <protection locked="0"/>
    </xf>
    <xf numFmtId="1" fontId="5" fillId="4" borderId="193" xfId="0" applyNumberFormat="1" applyFont="1" applyFill="1" applyBorder="1" applyProtection="1">
      <protection locked="0"/>
    </xf>
    <xf numFmtId="1" fontId="5" fillId="0" borderId="19" xfId="0" applyNumberFormat="1" applyFont="1" applyBorder="1"/>
    <xf numFmtId="1" fontId="5" fillId="0" borderId="195" xfId="0" applyNumberFormat="1" applyFont="1" applyBorder="1"/>
    <xf numFmtId="0" fontId="22" fillId="0" borderId="0" xfId="0" applyFont="1"/>
    <xf numFmtId="1" fontId="5" fillId="0" borderId="214" xfId="0" applyNumberFormat="1" applyFont="1" applyBorder="1" applyAlignment="1">
      <alignment horizontal="center"/>
    </xf>
    <xf numFmtId="1" fontId="5" fillId="0" borderId="213" xfId="6" applyNumberFormat="1" applyFont="1" applyBorder="1" applyAlignment="1">
      <alignment horizontal="center" vertical="center" wrapText="1"/>
    </xf>
    <xf numFmtId="1" fontId="5" fillId="0" borderId="218" xfId="6" applyNumberFormat="1" applyFont="1" applyBorder="1" applyAlignment="1">
      <alignment horizontal="center" vertical="center"/>
    </xf>
    <xf numFmtId="1" fontId="5" fillId="0" borderId="219" xfId="7" applyNumberFormat="1" applyFont="1" applyBorder="1" applyAlignment="1">
      <alignment horizontal="center" vertical="center" wrapText="1"/>
    </xf>
    <xf numFmtId="1" fontId="5" fillId="0" borderId="219" xfId="7" applyNumberFormat="1" applyFont="1" applyBorder="1" applyAlignment="1">
      <alignment horizontal="center" vertical="center"/>
    </xf>
    <xf numFmtId="1" fontId="5" fillId="0" borderId="68" xfId="7" applyNumberFormat="1" applyFont="1" applyBorder="1" applyAlignment="1">
      <alignment horizontal="center" vertical="center"/>
    </xf>
    <xf numFmtId="1" fontId="5" fillId="0" borderId="213" xfId="6" applyNumberFormat="1" applyFont="1" applyBorder="1" applyAlignment="1">
      <alignment horizontal="right"/>
    </xf>
    <xf numFmtId="1" fontId="5" fillId="4" borderId="218" xfId="6" applyNumberFormat="1" applyFont="1" applyFill="1" applyBorder="1" applyAlignment="1" applyProtection="1">
      <alignment horizontal="right"/>
      <protection locked="0"/>
    </xf>
    <xf numFmtId="1" fontId="5" fillId="4" borderId="219" xfId="6" applyNumberFormat="1" applyFont="1" applyFill="1" applyBorder="1" applyAlignment="1" applyProtection="1">
      <alignment horizontal="right"/>
      <protection locked="0"/>
    </xf>
    <xf numFmtId="1" fontId="5" fillId="4" borderId="68" xfId="6" applyNumberFormat="1" applyFont="1" applyFill="1" applyBorder="1" applyAlignment="1" applyProtection="1">
      <alignment horizontal="right"/>
      <protection locked="0"/>
    </xf>
    <xf numFmtId="1" fontId="5" fillId="0" borderId="189" xfId="6" applyNumberFormat="1" applyFont="1" applyBorder="1" applyAlignment="1">
      <alignment wrapText="1"/>
    </xf>
    <xf numFmtId="1" fontId="5" fillId="0" borderId="201" xfId="6" applyNumberFormat="1" applyFont="1" applyBorder="1" applyAlignment="1">
      <alignment horizontal="right"/>
    </xf>
    <xf numFmtId="1" fontId="5" fillId="4" borderId="20" xfId="6" applyNumberFormat="1" applyFont="1" applyFill="1" applyBorder="1" applyAlignment="1" applyProtection="1">
      <alignment horizontal="right"/>
      <protection locked="0"/>
    </xf>
    <xf numFmtId="1" fontId="5" fillId="4" borderId="21" xfId="6" applyNumberFormat="1" applyFont="1" applyFill="1" applyBorder="1" applyAlignment="1" applyProtection="1">
      <alignment horizontal="right"/>
      <protection locked="0"/>
    </xf>
    <xf numFmtId="1" fontId="5" fillId="4" borderId="22" xfId="6" applyNumberFormat="1" applyFont="1" applyFill="1" applyBorder="1" applyAlignment="1" applyProtection="1">
      <alignment horizontal="right"/>
      <protection locked="0"/>
    </xf>
    <xf numFmtId="1" fontId="5" fillId="0" borderId="56" xfId="6" applyNumberFormat="1" applyFont="1" applyBorder="1" applyAlignment="1">
      <alignment wrapText="1"/>
    </xf>
    <xf numFmtId="1" fontId="5" fillId="0" borderId="51" xfId="6" applyNumberFormat="1" applyFont="1" applyBorder="1" applyAlignment="1">
      <alignment horizontal="right"/>
    </xf>
    <xf numFmtId="1" fontId="5" fillId="4" borderId="61" xfId="6" applyNumberFormat="1" applyFont="1" applyFill="1" applyBorder="1" applyAlignment="1" applyProtection="1">
      <alignment horizontal="right"/>
      <protection locked="0"/>
    </xf>
    <xf numFmtId="1" fontId="5" fillId="4" borderId="29" xfId="6" applyNumberFormat="1" applyFont="1" applyFill="1" applyBorder="1" applyAlignment="1" applyProtection="1">
      <alignment horizontal="right"/>
      <protection locked="0"/>
    </xf>
    <xf numFmtId="1" fontId="5" fillId="4" borderId="220" xfId="6" applyNumberFormat="1" applyFont="1" applyFill="1" applyBorder="1" applyAlignment="1" applyProtection="1">
      <alignment horizontal="right"/>
      <protection locked="0"/>
    </xf>
    <xf numFmtId="1" fontId="5" fillId="4" borderId="205" xfId="6" applyNumberFormat="1" applyFont="1" applyFill="1" applyBorder="1" applyAlignment="1" applyProtection="1">
      <alignment horizontal="right"/>
      <protection locked="0"/>
    </xf>
    <xf numFmtId="1" fontId="5" fillId="4" borderId="103" xfId="6" applyNumberFormat="1" applyFont="1" applyFill="1" applyBorder="1" applyAlignment="1" applyProtection="1">
      <alignment horizontal="right"/>
      <protection locked="0"/>
    </xf>
    <xf numFmtId="1" fontId="5" fillId="4" borderId="200" xfId="6" applyNumberFormat="1" applyFont="1" applyFill="1" applyBorder="1" applyAlignment="1" applyProtection="1">
      <alignment horizontal="right"/>
      <protection locked="0"/>
    </xf>
    <xf numFmtId="1" fontId="5" fillId="0" borderId="204" xfId="6" applyNumberFormat="1" applyFont="1" applyBorder="1" applyAlignment="1">
      <alignment wrapText="1"/>
    </xf>
    <xf numFmtId="1" fontId="5" fillId="0" borderId="76" xfId="6" applyNumberFormat="1" applyFont="1" applyBorder="1" applyAlignment="1">
      <alignment horizontal="right"/>
    </xf>
    <xf numFmtId="1" fontId="5" fillId="4" borderId="14" xfId="6" applyNumberFormat="1" applyFont="1" applyFill="1" applyBorder="1" applyAlignment="1" applyProtection="1">
      <alignment horizontal="right"/>
      <protection locked="0"/>
    </xf>
    <xf numFmtId="1" fontId="5" fillId="4" borderId="15" xfId="6" applyNumberFormat="1" applyFont="1" applyFill="1" applyBorder="1" applyAlignment="1" applyProtection="1">
      <alignment horizontal="right"/>
      <protection locked="0"/>
    </xf>
    <xf numFmtId="1" fontId="5" fillId="4" borderId="12" xfId="6" applyNumberFormat="1" applyFont="1" applyFill="1" applyBorder="1" applyAlignment="1" applyProtection="1">
      <alignment horizontal="right"/>
      <protection locked="0"/>
    </xf>
    <xf numFmtId="1" fontId="16" fillId="0" borderId="217" xfId="6" applyNumberFormat="1" applyFont="1" applyBorder="1"/>
    <xf numFmtId="1" fontId="5" fillId="0" borderId="201" xfId="6" applyNumberFormat="1" applyFont="1" applyBorder="1" applyAlignment="1">
      <alignment wrapText="1"/>
    </xf>
    <xf numFmtId="1" fontId="5" fillId="4" borderId="222" xfId="6" applyNumberFormat="1" applyFont="1" applyFill="1" applyBorder="1" applyAlignment="1" applyProtection="1">
      <alignment horizontal="right"/>
      <protection locked="0"/>
    </xf>
    <xf numFmtId="1" fontId="5" fillId="4" borderId="212" xfId="6" applyNumberFormat="1" applyFont="1" applyFill="1" applyBorder="1" applyAlignment="1" applyProtection="1">
      <alignment horizontal="right"/>
      <protection locked="0"/>
    </xf>
    <xf numFmtId="1" fontId="5" fillId="4" borderId="222" xfId="6" applyNumberFormat="1" applyFont="1" applyFill="1" applyBorder="1" applyProtection="1">
      <protection locked="0"/>
    </xf>
    <xf numFmtId="1" fontId="5" fillId="0" borderId="33" xfId="6" applyNumberFormat="1" applyFont="1" applyBorder="1" applyAlignment="1">
      <alignment wrapText="1"/>
    </xf>
    <xf numFmtId="1" fontId="5" fillId="4" borderId="23" xfId="6" applyNumberFormat="1" applyFont="1" applyFill="1" applyBorder="1" applyAlignment="1" applyProtection="1">
      <alignment horizontal="right"/>
      <protection locked="0"/>
    </xf>
    <xf numFmtId="1" fontId="5" fillId="4" borderId="25" xfId="6" applyNumberFormat="1" applyFont="1" applyFill="1" applyBorder="1" applyAlignment="1" applyProtection="1">
      <alignment horizontal="right"/>
      <protection locked="0"/>
    </xf>
    <xf numFmtId="1" fontId="5" fillId="4" borderId="23" xfId="6" applyNumberFormat="1" applyFont="1" applyFill="1" applyBorder="1" applyProtection="1">
      <protection locked="0"/>
    </xf>
    <xf numFmtId="1" fontId="5" fillId="4" borderId="25" xfId="6" applyNumberFormat="1" applyFont="1" applyFill="1" applyBorder="1" applyProtection="1">
      <protection locked="0"/>
    </xf>
    <xf numFmtId="1" fontId="16" fillId="0" borderId="221" xfId="6" applyNumberFormat="1" applyFont="1" applyBorder="1"/>
    <xf numFmtId="1" fontId="5" fillId="0" borderId="201" xfId="6" applyNumberFormat="1" applyFont="1" applyBorder="1"/>
    <xf numFmtId="1" fontId="5" fillId="4" borderId="224" xfId="6" applyNumberFormat="1" applyFont="1" applyFill="1" applyBorder="1" applyProtection="1">
      <protection locked="0"/>
    </xf>
    <xf numFmtId="1" fontId="5" fillId="4" borderId="225" xfId="6" applyNumberFormat="1" applyFont="1" applyFill="1" applyBorder="1" applyProtection="1">
      <protection locked="0"/>
    </xf>
    <xf numFmtId="1" fontId="5" fillId="4" borderId="226" xfId="6" applyNumberFormat="1" applyFont="1" applyFill="1" applyBorder="1" applyProtection="1">
      <protection locked="0"/>
    </xf>
    <xf numFmtId="1" fontId="5" fillId="0" borderId="191" xfId="6" applyNumberFormat="1" applyFont="1" applyBorder="1" applyAlignment="1">
      <alignment wrapText="1"/>
    </xf>
    <xf numFmtId="1" fontId="5" fillId="4" borderId="37" xfId="6" applyNumberFormat="1" applyFont="1" applyFill="1" applyBorder="1" applyProtection="1">
      <protection locked="0"/>
    </xf>
    <xf numFmtId="1" fontId="5" fillId="4" borderId="28" xfId="6" applyNumberFormat="1" applyFont="1" applyFill="1" applyBorder="1" applyProtection="1">
      <protection locked="0"/>
    </xf>
    <xf numFmtId="1" fontId="5" fillId="0" borderId="76" xfId="6" applyNumberFormat="1" applyFont="1" applyBorder="1" applyAlignment="1">
      <alignment wrapText="1"/>
    </xf>
    <xf numFmtId="1" fontId="5" fillId="0" borderId="76" xfId="6" applyNumberFormat="1" applyFont="1" applyBorder="1"/>
    <xf numFmtId="1" fontId="5" fillId="4" borderId="18" xfId="6" applyNumberFormat="1" applyFont="1" applyFill="1" applyBorder="1" applyProtection="1">
      <protection locked="0"/>
    </xf>
    <xf numFmtId="1" fontId="5" fillId="0" borderId="219" xfId="0" applyNumberFormat="1" applyFont="1" applyBorder="1" applyAlignment="1">
      <alignment horizontal="center" vertical="center"/>
    </xf>
    <xf numFmtId="1" fontId="5" fillId="0" borderId="201" xfId="0" applyNumberFormat="1" applyFont="1" applyBorder="1" applyAlignment="1">
      <alignment horizontal="left"/>
    </xf>
    <xf numFmtId="1" fontId="5" fillId="0" borderId="201" xfId="0" applyNumberFormat="1" applyFont="1" applyBorder="1"/>
    <xf numFmtId="1" fontId="5" fillId="4" borderId="228" xfId="0" applyNumberFormat="1" applyFont="1" applyFill="1" applyBorder="1" applyProtection="1">
      <protection locked="0"/>
    </xf>
    <xf numFmtId="1" fontId="5" fillId="4" borderId="229" xfId="0" applyNumberFormat="1" applyFont="1" applyFill="1" applyBorder="1" applyProtection="1">
      <protection locked="0"/>
    </xf>
    <xf numFmtId="1" fontId="5" fillId="0" borderId="13" xfId="0" applyNumberFormat="1" applyFont="1" applyBorder="1" applyAlignment="1">
      <alignment horizontal="left"/>
    </xf>
    <xf numFmtId="1" fontId="5" fillId="4" borderId="62" xfId="0" applyNumberFormat="1" applyFont="1" applyFill="1" applyBorder="1" applyProtection="1">
      <protection locked="0"/>
    </xf>
    <xf numFmtId="1" fontId="15" fillId="3" borderId="0" xfId="0" applyNumberFormat="1" applyFont="1" applyFill="1" applyAlignment="1">
      <alignment horizontal="left"/>
    </xf>
    <xf numFmtId="1" fontId="5" fillId="6" borderId="61" xfId="0" applyNumberFormat="1" applyFont="1" applyFill="1" applyBorder="1"/>
    <xf numFmtId="1" fontId="5" fillId="6" borderId="23" xfId="0" applyNumberFormat="1" applyFont="1" applyFill="1" applyBorder="1"/>
    <xf numFmtId="1" fontId="5" fillId="6" borderId="42" xfId="0" applyNumberFormat="1" applyFont="1" applyFill="1" applyBorder="1"/>
    <xf numFmtId="1" fontId="5" fillId="4" borderId="107" xfId="0" applyNumberFormat="1" applyFont="1" applyFill="1" applyBorder="1" applyProtection="1">
      <protection locked="0"/>
    </xf>
    <xf numFmtId="1" fontId="5" fillId="0" borderId="234" xfId="0" applyNumberFormat="1" applyFont="1" applyBorder="1" applyAlignment="1">
      <alignment horizontal="center" vertical="center" wrapText="1"/>
    </xf>
    <xf numFmtId="1" fontId="5" fillId="0" borderId="233" xfId="0" applyNumberFormat="1" applyFont="1" applyBorder="1" applyAlignment="1">
      <alignment horizontal="center" vertical="center"/>
    </xf>
    <xf numFmtId="1" fontId="5" fillId="0" borderId="235" xfId="0" applyNumberFormat="1" applyFont="1" applyBorder="1" applyAlignment="1">
      <alignment horizontal="center" vertical="center"/>
    </xf>
    <xf numFmtId="1" fontId="5" fillId="0" borderId="236" xfId="0" applyNumberFormat="1" applyFont="1" applyBorder="1" applyAlignment="1">
      <alignment horizontal="center" vertical="center"/>
    </xf>
    <xf numFmtId="1" fontId="5" fillId="5" borderId="235" xfId="0" applyNumberFormat="1" applyFont="1" applyFill="1" applyBorder="1"/>
    <xf numFmtId="1" fontId="5" fillId="0" borderId="234" xfId="0" applyNumberFormat="1" applyFont="1" applyBorder="1" applyAlignment="1">
      <alignment horizontal="center" vertical="center"/>
    </xf>
    <xf numFmtId="1" fontId="5" fillId="0" borderId="237" xfId="0" applyNumberFormat="1" applyFont="1" applyBorder="1" applyAlignment="1">
      <alignment horizontal="center" vertical="center"/>
    </xf>
    <xf numFmtId="1" fontId="5" fillId="0" borderId="235" xfId="0" applyNumberFormat="1" applyFont="1" applyBorder="1"/>
    <xf numFmtId="1" fontId="5" fillId="0" borderId="233" xfId="0" applyNumberFormat="1" applyFont="1" applyBorder="1"/>
    <xf numFmtId="1" fontId="5" fillId="0" borderId="237" xfId="0" applyNumberFormat="1" applyFont="1" applyBorder="1"/>
    <xf numFmtId="1" fontId="5" fillId="0" borderId="236" xfId="0" applyNumberFormat="1" applyFont="1" applyBorder="1"/>
    <xf numFmtId="1" fontId="5" fillId="4" borderId="239" xfId="0" applyNumberFormat="1" applyFont="1" applyFill="1" applyBorder="1" applyProtection="1">
      <protection locked="0"/>
    </xf>
    <xf numFmtId="1" fontId="5" fillId="0" borderId="222" xfId="0" applyNumberFormat="1" applyFont="1" applyBorder="1"/>
    <xf numFmtId="1" fontId="5" fillId="6" borderId="10" xfId="0" applyNumberFormat="1" applyFont="1" applyFill="1" applyBorder="1"/>
    <xf numFmtId="1" fontId="5" fillId="6" borderId="52" xfId="0" applyNumberFormat="1" applyFont="1" applyFill="1" applyBorder="1"/>
    <xf numFmtId="1" fontId="5" fillId="4" borderId="238" xfId="0" applyNumberFormat="1" applyFont="1" applyFill="1" applyBorder="1" applyProtection="1">
      <protection locked="0"/>
    </xf>
    <xf numFmtId="1" fontId="5" fillId="6" borderId="14" xfId="0" applyNumberFormat="1" applyFont="1" applyFill="1" applyBorder="1"/>
    <xf numFmtId="1" fontId="5" fillId="0" borderId="27" xfId="0" applyNumberFormat="1" applyFont="1" applyBorder="1"/>
    <xf numFmtId="1" fontId="5" fillId="0" borderId="13" xfId="0" applyNumberFormat="1" applyFont="1" applyBorder="1" applyAlignment="1">
      <alignment vertical="center" wrapText="1"/>
    </xf>
    <xf numFmtId="1" fontId="5" fillId="0" borderId="234" xfId="0" applyNumberFormat="1" applyFont="1" applyBorder="1"/>
    <xf numFmtId="1" fontId="5" fillId="4" borderId="222" xfId="0" applyNumberFormat="1" applyFont="1" applyFill="1" applyBorder="1" applyProtection="1">
      <protection locked="0"/>
    </xf>
    <xf numFmtId="1" fontId="5" fillId="4" borderId="226" xfId="0" applyNumberFormat="1" applyFont="1" applyFill="1" applyBorder="1" applyProtection="1">
      <protection locked="0"/>
    </xf>
    <xf numFmtId="1" fontId="5" fillId="4" borderId="225" xfId="0" applyNumberFormat="1" applyFont="1" applyFill="1" applyBorder="1" applyProtection="1">
      <protection locked="0"/>
    </xf>
    <xf numFmtId="1" fontId="5" fillId="4" borderId="236" xfId="0" applyNumberFormat="1" applyFont="1" applyFill="1" applyBorder="1" applyProtection="1">
      <protection locked="0"/>
    </xf>
    <xf numFmtId="1" fontId="5" fillId="3" borderId="13" xfId="0" applyNumberFormat="1" applyFont="1" applyFill="1" applyBorder="1"/>
    <xf numFmtId="1" fontId="5" fillId="0" borderId="115" xfId="0" applyNumberFormat="1" applyFont="1" applyBorder="1" applyAlignment="1">
      <alignment horizontal="left" vertical="center" wrapText="1"/>
    </xf>
    <xf numFmtId="1" fontId="17" fillId="3" borderId="0" xfId="0" applyNumberFormat="1" applyFont="1" applyFill="1" applyAlignment="1">
      <alignment horizontal="center" vertical="center"/>
    </xf>
    <xf numFmtId="1" fontId="5" fillId="0" borderId="13" xfId="0" applyNumberFormat="1" applyFont="1" applyBorder="1" applyAlignment="1">
      <alignment horizontal="left" vertical="center"/>
    </xf>
    <xf numFmtId="1" fontId="5" fillId="3" borderId="100" xfId="0" applyNumberFormat="1" applyFont="1" applyFill="1" applyBorder="1" applyAlignment="1">
      <alignment horizontal="center" vertical="center" wrapText="1"/>
    </xf>
    <xf numFmtId="1" fontId="5" fillId="0" borderId="231" xfId="0" applyNumberFormat="1" applyFont="1" applyBorder="1" applyAlignment="1">
      <alignment horizontal="center" vertical="center" wrapText="1"/>
    </xf>
    <xf numFmtId="1" fontId="5" fillId="0" borderId="232" xfId="0" applyNumberFormat="1" applyFont="1" applyBorder="1" applyAlignment="1">
      <alignment horizontal="center" vertical="center" wrapText="1"/>
    </xf>
    <xf numFmtId="1" fontId="5" fillId="0" borderId="233" xfId="0" applyNumberFormat="1" applyFont="1" applyBorder="1" applyAlignment="1">
      <alignment horizontal="center" vertical="center" wrapText="1"/>
    </xf>
    <xf numFmtId="1" fontId="5" fillId="0" borderId="33" xfId="0" applyNumberFormat="1" applyFont="1" applyBorder="1" applyAlignment="1">
      <alignment horizontal="center" vertical="center" wrapText="1"/>
    </xf>
    <xf numFmtId="1" fontId="26" fillId="3" borderId="0" xfId="0" applyNumberFormat="1" applyFont="1" applyFill="1"/>
    <xf numFmtId="0" fontId="0" fillId="0" borderId="0" xfId="0" applyAlignment="1">
      <alignment vertical="center"/>
    </xf>
    <xf numFmtId="1" fontId="5" fillId="0" borderId="241" xfId="0" applyNumberFormat="1" applyFont="1" applyBorder="1" applyAlignment="1">
      <alignment horizontal="center" vertical="center" wrapText="1"/>
    </xf>
    <xf numFmtId="1" fontId="5" fillId="0" borderId="203" xfId="0" applyNumberFormat="1" applyFont="1" applyBorder="1" applyAlignment="1">
      <alignment horizontal="center" vertical="center" wrapText="1"/>
    </xf>
    <xf numFmtId="1" fontId="5" fillId="0" borderId="235" xfId="0" applyNumberFormat="1" applyFont="1" applyBorder="1" applyAlignment="1">
      <alignment horizontal="center" vertical="center" wrapText="1"/>
    </xf>
    <xf numFmtId="1" fontId="5" fillId="0" borderId="237" xfId="0" applyNumberFormat="1" applyFont="1" applyBorder="1" applyAlignment="1">
      <alignment horizontal="center" vertical="center" wrapText="1"/>
    </xf>
    <xf numFmtId="1" fontId="5" fillId="0" borderId="201" xfId="0" applyNumberFormat="1" applyFont="1" applyBorder="1" applyAlignment="1">
      <alignment horizontal="left" vertical="center"/>
    </xf>
    <xf numFmtId="1" fontId="5" fillId="0" borderId="250" xfId="0" applyNumberFormat="1" applyFont="1" applyBorder="1" applyAlignment="1">
      <alignment horizontal="left" vertical="center"/>
    </xf>
    <xf numFmtId="1" fontId="5" fillId="0" borderId="203" xfId="0" applyNumberFormat="1" applyFont="1" applyBorder="1" applyAlignment="1">
      <alignment horizontal="left" vertical="center"/>
    </xf>
    <xf numFmtId="1" fontId="5" fillId="4" borderId="226" xfId="0" applyNumberFormat="1" applyFont="1" applyFill="1" applyBorder="1" applyAlignment="1" applyProtection="1">
      <alignment horizontal="right"/>
      <protection locked="0"/>
    </xf>
    <xf numFmtId="1" fontId="5" fillId="0" borderId="201" xfId="0" applyNumberFormat="1" applyFont="1" applyBorder="1" applyAlignment="1">
      <alignment vertical="center" wrapText="1"/>
    </xf>
    <xf numFmtId="1" fontId="5" fillId="0" borderId="12" xfId="0" applyNumberFormat="1" applyFont="1" applyBorder="1" applyAlignment="1">
      <alignment vertical="center" wrapText="1"/>
    </xf>
    <xf numFmtId="1" fontId="5" fillId="6" borderId="12" xfId="0" applyNumberFormat="1" applyFont="1" applyFill="1" applyBorder="1" applyAlignment="1">
      <alignment horizontal="right"/>
    </xf>
    <xf numFmtId="1" fontId="5" fillId="4" borderId="225" xfId="0" applyNumberFormat="1" applyFont="1" applyFill="1" applyBorder="1" applyAlignment="1" applyProtection="1">
      <alignment horizontal="right"/>
      <protection locked="0"/>
    </xf>
    <xf numFmtId="1" fontId="5" fillId="0" borderId="250" xfId="0" applyNumberFormat="1" applyFont="1" applyBorder="1"/>
    <xf numFmtId="1" fontId="5" fillId="0" borderId="27" xfId="0" applyNumberFormat="1" applyFont="1" applyBorder="1" applyAlignment="1">
      <alignment horizontal="right"/>
    </xf>
    <xf numFmtId="1" fontId="5" fillId="4" borderId="256" xfId="0" applyNumberFormat="1" applyFont="1" applyFill="1" applyBorder="1" applyAlignment="1" applyProtection="1">
      <alignment horizontal="right"/>
      <protection locked="0"/>
    </xf>
    <xf numFmtId="1" fontId="5" fillId="4" borderId="258" xfId="0" applyNumberFormat="1" applyFont="1" applyFill="1" applyBorder="1" applyProtection="1">
      <protection locked="0"/>
    </xf>
    <xf numFmtId="1" fontId="5" fillId="4" borderId="245" xfId="0" applyNumberFormat="1" applyFont="1" applyFill="1" applyBorder="1" applyProtection="1">
      <protection locked="0"/>
    </xf>
    <xf numFmtId="1" fontId="5" fillId="4" borderId="244" xfId="0" applyNumberFormat="1" applyFont="1" applyFill="1" applyBorder="1" applyProtection="1">
      <protection locked="0"/>
    </xf>
    <xf numFmtId="1" fontId="5" fillId="4" borderId="259" xfId="0" applyNumberFormat="1" applyFont="1" applyFill="1" applyBorder="1" applyProtection="1">
      <protection locked="0"/>
    </xf>
    <xf numFmtId="1" fontId="5" fillId="4" borderId="243" xfId="0" applyNumberFormat="1" applyFont="1" applyFill="1" applyBorder="1" applyProtection="1">
      <protection locked="0"/>
    </xf>
    <xf numFmtId="1" fontId="5" fillId="4" borderId="257" xfId="0" applyNumberFormat="1" applyFont="1" applyFill="1" applyBorder="1" applyProtection="1">
      <protection locked="0"/>
    </xf>
    <xf numFmtId="1" fontId="5" fillId="4" borderId="242" xfId="0" applyNumberFormat="1" applyFont="1" applyFill="1" applyBorder="1" applyProtection="1">
      <protection locked="0"/>
    </xf>
    <xf numFmtId="1" fontId="5" fillId="0" borderId="205" xfId="0" applyNumberFormat="1" applyFont="1" applyBorder="1" applyAlignment="1">
      <alignment horizontal="right" wrapText="1"/>
    </xf>
    <xf numFmtId="1" fontId="5" fillId="4" borderId="247" xfId="0" applyNumberFormat="1" applyFont="1" applyFill="1" applyBorder="1" applyProtection="1">
      <protection locked="0"/>
    </xf>
    <xf numFmtId="1" fontId="5" fillId="4" borderId="248" xfId="0" applyNumberFormat="1" applyFont="1" applyFill="1" applyBorder="1" applyProtection="1">
      <protection locked="0"/>
    </xf>
    <xf numFmtId="1" fontId="5" fillId="0" borderId="205" xfId="0" applyNumberFormat="1" applyFont="1" applyBorder="1" applyAlignment="1">
      <alignment horizontal="right" vertical="center" wrapText="1"/>
    </xf>
    <xf numFmtId="1" fontId="5" fillId="4" borderId="246" xfId="0" applyNumberFormat="1" applyFont="1" applyFill="1" applyBorder="1" applyProtection="1">
      <protection locked="0"/>
    </xf>
    <xf numFmtId="1" fontId="5" fillId="6" borderId="247" xfId="0" applyNumberFormat="1" applyFont="1" applyFill="1" applyBorder="1"/>
    <xf numFmtId="0" fontId="26" fillId="0" borderId="0" xfId="0" applyFont="1"/>
    <xf numFmtId="1" fontId="5" fillId="0" borderId="13" xfId="0" applyNumberFormat="1" applyFont="1" applyBorder="1" applyAlignment="1">
      <alignment horizontal="right"/>
    </xf>
    <xf numFmtId="1" fontId="5" fillId="4" borderId="40" xfId="0" applyNumberFormat="1" applyFont="1" applyFill="1" applyBorder="1" applyAlignment="1" applyProtection="1">
      <alignment horizontal="right"/>
      <protection locked="0"/>
    </xf>
    <xf numFmtId="1" fontId="5" fillId="5" borderId="13" xfId="0" applyNumberFormat="1" applyFont="1" applyFill="1" applyBorder="1" applyAlignment="1">
      <alignment horizontal="right"/>
    </xf>
    <xf numFmtId="1" fontId="26" fillId="3" borderId="0" xfId="0" applyNumberFormat="1" applyFont="1" applyFill="1" applyProtection="1">
      <protection locked="0"/>
    </xf>
    <xf numFmtId="1" fontId="5" fillId="0" borderId="249" xfId="0" applyNumberFormat="1" applyFont="1" applyBorder="1"/>
    <xf numFmtId="1" fontId="5" fillId="0" borderId="244" xfId="0" applyNumberFormat="1" applyFont="1" applyBorder="1" applyAlignment="1">
      <alignment horizontal="right"/>
    </xf>
    <xf numFmtId="1" fontId="5" fillId="0" borderId="245" xfId="0" applyNumberFormat="1" applyFont="1" applyBorder="1" applyAlignment="1">
      <alignment horizontal="right" wrapText="1"/>
    </xf>
    <xf numFmtId="1" fontId="5" fillId="4" borderId="263" xfId="0" applyNumberFormat="1" applyFont="1" applyFill="1" applyBorder="1" applyAlignment="1" applyProtection="1">
      <alignment horizontal="right"/>
      <protection locked="0"/>
    </xf>
    <xf numFmtId="1" fontId="5" fillId="4" borderId="33" xfId="0" applyNumberFormat="1" applyFont="1" applyFill="1" applyBorder="1" applyAlignment="1" applyProtection="1">
      <alignment horizontal="right"/>
      <protection locked="0"/>
    </xf>
    <xf numFmtId="1" fontId="5" fillId="7" borderId="41" xfId="0" applyNumberFormat="1" applyFont="1" applyFill="1" applyBorder="1" applyAlignment="1">
      <alignment horizontal="right"/>
    </xf>
    <xf numFmtId="1" fontId="5" fillId="0" borderId="235" xfId="0" applyNumberFormat="1" applyFont="1" applyBorder="1" applyAlignment="1">
      <alignment horizontal="right"/>
    </xf>
    <xf numFmtId="1" fontId="5" fillId="0" borderId="232" xfId="0" applyNumberFormat="1" applyFont="1" applyBorder="1" applyAlignment="1">
      <alignment horizontal="right"/>
    </xf>
    <xf numFmtId="1" fontId="5" fillId="6" borderId="25" xfId="0" applyNumberFormat="1" applyFont="1" applyFill="1" applyBorder="1" applyAlignment="1">
      <alignment horizontal="right"/>
    </xf>
    <xf numFmtId="1" fontId="5" fillId="0" borderId="33" xfId="0" applyNumberFormat="1" applyFont="1" applyBorder="1" applyAlignment="1">
      <alignment horizontal="right"/>
    </xf>
    <xf numFmtId="1" fontId="22" fillId="3" borderId="0" xfId="0" applyNumberFormat="1" applyFont="1" applyFill="1"/>
    <xf numFmtId="1" fontId="5" fillId="4" borderId="250" xfId="0" applyNumberFormat="1" applyFont="1" applyFill="1" applyBorder="1" applyProtection="1">
      <protection locked="0"/>
    </xf>
    <xf numFmtId="1" fontId="3" fillId="0" borderId="13" xfId="0" applyNumberFormat="1" applyFont="1" applyBorder="1" applyAlignment="1">
      <alignment horizontal="right"/>
    </xf>
    <xf numFmtId="1" fontId="3" fillId="4" borderId="103" xfId="0" applyNumberFormat="1" applyFont="1" applyFill="1" applyBorder="1" applyAlignment="1" applyProtection="1">
      <alignment horizontal="right"/>
      <protection locked="0"/>
    </xf>
    <xf numFmtId="1" fontId="3" fillId="4" borderId="128" xfId="0" applyNumberFormat="1" applyFont="1" applyFill="1" applyBorder="1" applyAlignment="1" applyProtection="1">
      <alignment horizontal="right"/>
      <protection locked="0"/>
    </xf>
    <xf numFmtId="1" fontId="3" fillId="0" borderId="208" xfId="0" applyNumberFormat="1" applyFont="1" applyBorder="1" applyAlignment="1">
      <alignment horizontal="right"/>
    </xf>
    <xf numFmtId="1" fontId="3" fillId="4" borderId="61" xfId="0" applyNumberFormat="1" applyFont="1" applyFill="1" applyBorder="1" applyAlignment="1" applyProtection="1">
      <alignment horizontal="right"/>
      <protection locked="0"/>
    </xf>
    <xf numFmtId="1" fontId="3" fillId="4" borderId="30" xfId="0" applyNumberFormat="1" applyFont="1" applyFill="1" applyBorder="1" applyAlignment="1" applyProtection="1">
      <alignment horizontal="right"/>
      <protection locked="0"/>
    </xf>
    <xf numFmtId="1" fontId="3" fillId="4" borderId="15" xfId="0" applyNumberFormat="1" applyFont="1" applyFill="1" applyBorder="1" applyAlignment="1" applyProtection="1">
      <alignment horizontal="right"/>
      <protection locked="0"/>
    </xf>
    <xf numFmtId="1" fontId="3" fillId="4" borderId="16" xfId="0" applyNumberFormat="1" applyFont="1" applyFill="1" applyBorder="1" applyAlignment="1" applyProtection="1">
      <alignment horizontal="right"/>
      <protection locked="0"/>
    </xf>
    <xf numFmtId="1" fontId="3" fillId="4" borderId="17" xfId="0" applyNumberFormat="1" applyFont="1" applyFill="1" applyBorder="1" applyAlignment="1" applyProtection="1">
      <alignment horizontal="right"/>
      <protection locked="0"/>
    </xf>
    <xf numFmtId="1" fontId="3" fillId="4" borderId="27" xfId="0" applyNumberFormat="1" applyFont="1" applyFill="1" applyBorder="1" applyAlignment="1" applyProtection="1">
      <alignment horizontal="right"/>
      <protection locked="0"/>
    </xf>
    <xf numFmtId="1" fontId="3" fillId="4" borderId="13" xfId="0" applyNumberFormat="1" applyFont="1" applyFill="1" applyBorder="1" applyAlignment="1" applyProtection="1">
      <alignment horizontal="right"/>
      <protection locked="0"/>
    </xf>
    <xf numFmtId="1" fontId="3" fillId="0" borderId="235" xfId="0" applyNumberFormat="1" applyFont="1" applyBorder="1" applyAlignment="1">
      <alignment horizontal="center" vertical="center" wrapText="1"/>
    </xf>
    <xf numFmtId="1" fontId="3" fillId="4" borderId="222" xfId="0" applyNumberFormat="1" applyFont="1" applyFill="1" applyBorder="1" applyAlignment="1" applyProtection="1">
      <alignment horizontal="right"/>
      <protection locked="0"/>
    </xf>
    <xf numFmtId="1" fontId="5" fillId="0" borderId="237" xfId="0" applyNumberFormat="1" applyFont="1" applyBorder="1" applyAlignment="1">
      <alignment horizontal="right"/>
    </xf>
    <xf numFmtId="1" fontId="5" fillId="0" borderId="234" xfId="0" applyNumberFormat="1" applyFont="1" applyBorder="1" applyAlignment="1">
      <alignment horizontal="right"/>
    </xf>
    <xf numFmtId="1" fontId="5" fillId="0" borderId="233" xfId="0" applyNumberFormat="1" applyFont="1" applyBorder="1" applyAlignment="1">
      <alignment horizontal="right"/>
    </xf>
    <xf numFmtId="1" fontId="3" fillId="0" borderId="233" xfId="0" applyNumberFormat="1" applyFont="1" applyBorder="1" applyAlignment="1">
      <alignment horizontal="center" vertical="center" wrapText="1"/>
    </xf>
    <xf numFmtId="1" fontId="3" fillId="0" borderId="276" xfId="0" applyNumberFormat="1" applyFont="1" applyBorder="1" applyAlignment="1">
      <alignment horizontal="center" vertical="center" wrapText="1"/>
    </xf>
    <xf numFmtId="1" fontId="3" fillId="0" borderId="277" xfId="0" applyNumberFormat="1" applyFont="1" applyBorder="1" applyAlignment="1">
      <alignment horizontal="center" vertical="center" wrapText="1"/>
    </xf>
    <xf numFmtId="1" fontId="3" fillId="0" borderId="278" xfId="0" applyNumberFormat="1" applyFont="1" applyBorder="1" applyAlignment="1">
      <alignment horizontal="center" vertical="center" wrapText="1"/>
    </xf>
    <xf numFmtId="1" fontId="3" fillId="0" borderId="279" xfId="0" applyNumberFormat="1" applyFont="1" applyBorder="1" applyAlignment="1">
      <alignment horizontal="center" vertical="center" wrapText="1"/>
    </xf>
    <xf numFmtId="1" fontId="3" fillId="0" borderId="270" xfId="0" applyNumberFormat="1" applyFont="1" applyBorder="1" applyAlignment="1">
      <alignment horizontal="center" vertical="center" wrapText="1"/>
    </xf>
    <xf numFmtId="0" fontId="3" fillId="0" borderId="281" xfId="0" applyFont="1" applyBorder="1"/>
    <xf numFmtId="1" fontId="3" fillId="18" borderId="282" xfId="0" applyNumberFormat="1" applyFont="1" applyFill="1" applyBorder="1" applyAlignment="1">
      <alignment horizontal="right"/>
    </xf>
    <xf numFmtId="1" fontId="3" fillId="18" borderId="283" xfId="0" applyNumberFormat="1" applyFont="1" applyFill="1" applyBorder="1" applyAlignment="1">
      <alignment horizontal="right"/>
    </xf>
    <xf numFmtId="1" fontId="3" fillId="19" borderId="284" xfId="0" applyNumberFormat="1" applyFont="1" applyFill="1" applyBorder="1" applyAlignment="1" applyProtection="1">
      <alignment horizontal="right"/>
      <protection locked="0"/>
    </xf>
    <xf numFmtId="1" fontId="3" fillId="19" borderId="282" xfId="0" applyNumberFormat="1" applyFont="1" applyFill="1" applyBorder="1" applyAlignment="1" applyProtection="1">
      <alignment horizontal="right"/>
      <protection locked="0"/>
    </xf>
    <xf numFmtId="1" fontId="3" fillId="19" borderId="285" xfId="0" applyNumberFormat="1" applyFont="1" applyFill="1" applyBorder="1" applyAlignment="1" applyProtection="1">
      <alignment horizontal="right"/>
      <protection locked="0"/>
    </xf>
    <xf numFmtId="1" fontId="3" fillId="19" borderId="286" xfId="0" applyNumberFormat="1" applyFont="1" applyFill="1" applyBorder="1" applyAlignment="1" applyProtection="1">
      <alignment horizontal="right"/>
      <protection locked="0"/>
    </xf>
    <xf numFmtId="1" fontId="3" fillId="19" borderId="287" xfId="0" applyNumberFormat="1" applyFont="1" applyFill="1" applyBorder="1" applyAlignment="1" applyProtection="1">
      <alignment horizontal="right"/>
      <protection locked="0"/>
    </xf>
    <xf numFmtId="1" fontId="3" fillId="19" borderId="288" xfId="0" applyNumberFormat="1" applyFont="1" applyFill="1" applyBorder="1" applyAlignment="1" applyProtection="1">
      <alignment horizontal="right"/>
      <protection locked="0"/>
    </xf>
    <xf numFmtId="0" fontId="3" fillId="0" borderId="290" xfId="0" applyFont="1" applyBorder="1"/>
    <xf numFmtId="1" fontId="3" fillId="18" borderId="291" xfId="0" applyNumberFormat="1" applyFont="1" applyFill="1" applyBorder="1" applyAlignment="1">
      <alignment horizontal="right"/>
    </xf>
    <xf numFmtId="1" fontId="3" fillId="19" borderId="291" xfId="0" applyNumberFormat="1" applyFont="1" applyFill="1" applyBorder="1" applyAlignment="1" applyProtection="1">
      <alignment horizontal="right"/>
      <protection locked="0"/>
    </xf>
    <xf numFmtId="0" fontId="3" fillId="0" borderId="290" xfId="0" applyFont="1" applyBorder="1" applyAlignment="1">
      <alignment vertical="top" wrapText="1"/>
    </xf>
    <xf numFmtId="0" fontId="3" fillId="0" borderId="290" xfId="0" applyFont="1" applyBorder="1" applyAlignment="1">
      <alignment vertical="center" wrapText="1"/>
    </xf>
    <xf numFmtId="0" fontId="3" fillId="0" borderId="290" xfId="0" applyFont="1" applyBorder="1" applyAlignment="1">
      <alignment wrapText="1"/>
    </xf>
    <xf numFmtId="0" fontId="3" fillId="0" borderId="292" xfId="0" applyFont="1" applyBorder="1"/>
    <xf numFmtId="1" fontId="3" fillId="18" borderId="293" xfId="0" applyNumberFormat="1" applyFont="1" applyFill="1" applyBorder="1" applyAlignment="1">
      <alignment horizontal="right"/>
    </xf>
    <xf numFmtId="1" fontId="3" fillId="18" borderId="294" xfId="0" applyNumberFormat="1" applyFont="1" applyFill="1" applyBorder="1" applyAlignment="1">
      <alignment horizontal="right"/>
    </xf>
    <xf numFmtId="1" fontId="3" fillId="19" borderId="294" xfId="0" applyNumberFormat="1" applyFont="1" applyFill="1" applyBorder="1" applyAlignment="1" applyProtection="1">
      <alignment horizontal="right"/>
      <protection locked="0"/>
    </xf>
    <xf numFmtId="1" fontId="3" fillId="19" borderId="293" xfId="0" applyNumberFormat="1" applyFont="1" applyFill="1" applyBorder="1" applyAlignment="1" applyProtection="1">
      <alignment horizontal="right"/>
      <protection locked="0"/>
    </xf>
    <xf numFmtId="1" fontId="3" fillId="19" borderId="295" xfId="0" applyNumberFormat="1" applyFont="1" applyFill="1" applyBorder="1" applyAlignment="1" applyProtection="1">
      <alignment horizontal="right"/>
      <protection locked="0"/>
    </xf>
    <xf numFmtId="1" fontId="3" fillId="19" borderId="296" xfId="0" applyNumberFormat="1" applyFont="1" applyFill="1" applyBorder="1" applyAlignment="1" applyProtection="1">
      <alignment horizontal="right"/>
      <protection locked="0"/>
    </xf>
    <xf numFmtId="1" fontId="3" fillId="19" borderId="297" xfId="0" applyNumberFormat="1" applyFont="1" applyFill="1" applyBorder="1" applyAlignment="1" applyProtection="1">
      <alignment horizontal="right"/>
      <protection locked="0"/>
    </xf>
    <xf numFmtId="1" fontId="3" fillId="18" borderId="298" xfId="0" applyNumberFormat="1" applyFont="1" applyFill="1" applyBorder="1" applyAlignment="1">
      <alignment horizontal="right"/>
    </xf>
    <xf numFmtId="1" fontId="3" fillId="18" borderId="299" xfId="0" applyNumberFormat="1" applyFont="1" applyFill="1" applyBorder="1" applyAlignment="1">
      <alignment horizontal="right"/>
    </xf>
    <xf numFmtId="1" fontId="3" fillId="19" borderId="299" xfId="0" applyNumberFormat="1" applyFont="1" applyFill="1" applyBorder="1" applyAlignment="1" applyProtection="1">
      <alignment horizontal="right"/>
      <protection locked="0"/>
    </xf>
    <xf numFmtId="1" fontId="3" fillId="19" borderId="298" xfId="0" applyNumberFormat="1" applyFont="1" applyFill="1" applyBorder="1" applyAlignment="1" applyProtection="1">
      <alignment horizontal="right"/>
      <protection locked="0"/>
    </xf>
    <xf numFmtId="1" fontId="3" fillId="19" borderId="300" xfId="0" applyNumberFormat="1" applyFont="1" applyFill="1" applyBorder="1" applyAlignment="1" applyProtection="1">
      <alignment horizontal="right"/>
      <protection locked="0"/>
    </xf>
    <xf numFmtId="1" fontId="3" fillId="19" borderId="301" xfId="0" applyNumberFormat="1" applyFont="1" applyFill="1" applyBorder="1" applyAlignment="1" applyProtection="1">
      <alignment horizontal="right"/>
      <protection locked="0"/>
    </xf>
    <xf numFmtId="0" fontId="3" fillId="0" borderId="302" xfId="0" applyFont="1" applyBorder="1"/>
    <xf numFmtId="0" fontId="3" fillId="0" borderId="307" xfId="0" applyFont="1" applyBorder="1" applyAlignment="1">
      <alignment wrapText="1"/>
    </xf>
    <xf numFmtId="1" fontId="3" fillId="18" borderId="290" xfId="0" applyNumberFormat="1" applyFont="1" applyFill="1" applyBorder="1" applyAlignment="1">
      <alignment horizontal="right"/>
    </xf>
    <xf numFmtId="1" fontId="3" fillId="19" borderId="308" xfId="0" applyNumberFormat="1" applyFont="1" applyFill="1" applyBorder="1" applyAlignment="1" applyProtection="1">
      <alignment horizontal="right"/>
      <protection locked="0"/>
    </xf>
    <xf numFmtId="0" fontId="3" fillId="0" borderId="309" xfId="0" applyFont="1" applyBorder="1" applyAlignment="1">
      <alignment wrapText="1"/>
    </xf>
    <xf numFmtId="0" fontId="3" fillId="0" borderId="309" xfId="0" applyFont="1" applyBorder="1"/>
    <xf numFmtId="0" fontId="3" fillId="0" borderId="310" xfId="0" applyFont="1" applyBorder="1" applyAlignment="1">
      <alignment wrapText="1"/>
    </xf>
    <xf numFmtId="1" fontId="3" fillId="18" borderId="292" xfId="0" applyNumberFormat="1" applyFont="1" applyFill="1" applyBorder="1" applyAlignment="1">
      <alignment horizontal="right"/>
    </xf>
    <xf numFmtId="1" fontId="3" fillId="18" borderId="311" xfId="0" applyNumberFormat="1" applyFont="1" applyFill="1" applyBorder="1" applyAlignment="1">
      <alignment horizontal="right"/>
    </xf>
    <xf numFmtId="1" fontId="3" fillId="18" borderId="275" xfId="0" applyNumberFormat="1" applyFont="1" applyFill="1" applyBorder="1" applyAlignment="1">
      <alignment horizontal="right"/>
    </xf>
    <xf numFmtId="1" fontId="3" fillId="19" borderId="311" xfId="0" applyNumberFormat="1" applyFont="1" applyFill="1" applyBorder="1" applyAlignment="1" applyProtection="1">
      <alignment horizontal="right"/>
      <protection locked="0"/>
    </xf>
    <xf numFmtId="1" fontId="3" fillId="19" borderId="275" xfId="0" applyNumberFormat="1" applyFont="1" applyFill="1" applyBorder="1" applyAlignment="1" applyProtection="1">
      <alignment horizontal="right"/>
      <protection locked="0"/>
    </xf>
    <xf numFmtId="1" fontId="3" fillId="19" borderId="312" xfId="0" applyNumberFormat="1" applyFont="1" applyFill="1" applyBorder="1" applyAlignment="1" applyProtection="1">
      <alignment horizontal="right"/>
      <protection locked="0"/>
    </xf>
    <xf numFmtId="1" fontId="3" fillId="19" borderId="292" xfId="0" applyNumberFormat="1" applyFont="1" applyFill="1" applyBorder="1" applyAlignment="1" applyProtection="1">
      <alignment horizontal="right"/>
      <protection locked="0"/>
    </xf>
    <xf numFmtId="0" fontId="3" fillId="0" borderId="290" xfId="0" applyFont="1" applyBorder="1" applyAlignment="1">
      <alignment horizontal="left" wrapText="1"/>
    </xf>
    <xf numFmtId="0" fontId="3" fillId="0" borderId="323" xfId="0" applyFont="1" applyBorder="1"/>
    <xf numFmtId="1" fontId="3" fillId="18" borderId="281" xfId="0" applyNumberFormat="1" applyFont="1" applyFill="1" applyBorder="1" applyAlignment="1">
      <alignment horizontal="right"/>
    </xf>
    <xf numFmtId="1" fontId="3" fillId="18" borderId="324" xfId="0" applyNumberFormat="1" applyFont="1" applyFill="1" applyBorder="1" applyAlignment="1">
      <alignment horizontal="right"/>
    </xf>
    <xf numFmtId="1" fontId="3" fillId="19" borderId="325" xfId="0" applyNumberFormat="1" applyFont="1" applyFill="1" applyBorder="1" applyAlignment="1" applyProtection="1">
      <alignment horizontal="right"/>
      <protection locked="0"/>
    </xf>
    <xf numFmtId="1" fontId="3" fillId="19" borderId="326" xfId="0" applyNumberFormat="1" applyFont="1" applyFill="1" applyBorder="1" applyAlignment="1" applyProtection="1">
      <alignment horizontal="right"/>
      <protection locked="0"/>
    </xf>
    <xf numFmtId="1" fontId="3" fillId="19" borderId="327" xfId="0" applyNumberFormat="1" applyFont="1" applyFill="1" applyBorder="1" applyAlignment="1" applyProtection="1">
      <alignment horizontal="right"/>
      <protection locked="0"/>
    </xf>
    <xf numFmtId="1" fontId="3" fillId="19" borderId="328" xfId="0" applyNumberFormat="1" applyFont="1" applyFill="1" applyBorder="1" applyAlignment="1" applyProtection="1">
      <alignment horizontal="right"/>
      <protection locked="0"/>
    </xf>
    <xf numFmtId="1" fontId="3" fillId="19" borderId="329" xfId="0" applyNumberFormat="1" applyFont="1" applyFill="1" applyBorder="1" applyAlignment="1" applyProtection="1">
      <alignment horizontal="right"/>
      <protection locked="0"/>
    </xf>
    <xf numFmtId="1" fontId="3" fillId="19" borderId="330" xfId="0" applyNumberFormat="1" applyFont="1" applyFill="1" applyBorder="1" applyAlignment="1" applyProtection="1">
      <alignment horizontal="right"/>
      <protection locked="0"/>
    </xf>
    <xf numFmtId="1" fontId="3" fillId="19" borderId="331" xfId="0" applyNumberFormat="1" applyFont="1" applyFill="1" applyBorder="1" applyAlignment="1" applyProtection="1">
      <alignment horizontal="right"/>
      <protection locked="0"/>
    </xf>
    <xf numFmtId="1" fontId="3" fillId="18" borderId="332" xfId="0" applyNumberFormat="1" applyFont="1" applyFill="1" applyBorder="1" applyAlignment="1">
      <alignment horizontal="right"/>
    </xf>
    <xf numFmtId="1" fontId="3" fillId="19" borderId="333" xfId="0" applyNumberFormat="1" applyFont="1" applyFill="1" applyBorder="1" applyAlignment="1" applyProtection="1">
      <alignment horizontal="right"/>
      <protection locked="0"/>
    </xf>
    <xf numFmtId="1" fontId="3" fillId="19" borderId="334" xfId="0" applyNumberFormat="1" applyFont="1" applyFill="1" applyBorder="1" applyAlignment="1" applyProtection="1">
      <alignment horizontal="right"/>
      <protection locked="0"/>
    </xf>
    <xf numFmtId="1" fontId="3" fillId="19" borderId="335" xfId="0" applyNumberFormat="1" applyFont="1" applyFill="1" applyBorder="1" applyAlignment="1" applyProtection="1">
      <alignment horizontal="right"/>
      <protection locked="0"/>
    </xf>
    <xf numFmtId="1" fontId="3" fillId="19" borderId="336" xfId="0" applyNumberFormat="1" applyFont="1" applyFill="1" applyBorder="1" applyAlignment="1" applyProtection="1">
      <alignment horizontal="right"/>
      <protection locked="0"/>
    </xf>
    <xf numFmtId="1" fontId="3" fillId="18" borderId="337" xfId="0" applyNumberFormat="1" applyFont="1" applyFill="1" applyBorder="1" applyAlignment="1">
      <alignment horizontal="right"/>
    </xf>
    <xf numFmtId="1" fontId="3" fillId="18" borderId="338" xfId="0" applyNumberFormat="1" applyFont="1" applyFill="1" applyBorder="1" applyAlignment="1">
      <alignment horizontal="right"/>
    </xf>
    <xf numFmtId="1" fontId="3" fillId="19" borderId="339" xfId="0" applyNumberFormat="1" applyFont="1" applyFill="1" applyBorder="1" applyAlignment="1" applyProtection="1">
      <alignment horizontal="right"/>
      <protection locked="0"/>
    </xf>
    <xf numFmtId="1" fontId="3" fillId="19" borderId="340" xfId="0" applyNumberFormat="1" applyFont="1" applyFill="1" applyBorder="1" applyAlignment="1" applyProtection="1">
      <alignment horizontal="right"/>
      <protection locked="0"/>
    </xf>
    <xf numFmtId="1" fontId="3" fillId="19" borderId="341" xfId="0" applyNumberFormat="1" applyFont="1" applyFill="1" applyBorder="1" applyAlignment="1" applyProtection="1">
      <alignment horizontal="right"/>
      <protection locked="0"/>
    </xf>
    <xf numFmtId="1" fontId="3" fillId="19" borderId="342" xfId="0" applyNumberFormat="1" applyFont="1" applyFill="1" applyBorder="1" applyAlignment="1" applyProtection="1">
      <alignment horizontal="right"/>
      <protection locked="0"/>
    </xf>
    <xf numFmtId="1" fontId="3" fillId="19" borderId="337" xfId="0" applyNumberFormat="1" applyFont="1" applyFill="1" applyBorder="1" applyAlignment="1" applyProtection="1">
      <alignment horizontal="right"/>
      <protection locked="0"/>
    </xf>
    <xf numFmtId="1" fontId="3" fillId="19" borderId="343" xfId="0" applyNumberFormat="1" applyFont="1" applyFill="1" applyBorder="1" applyAlignment="1" applyProtection="1">
      <alignment horizontal="right"/>
      <protection locked="0"/>
    </xf>
    <xf numFmtId="1" fontId="3" fillId="19" borderId="344" xfId="0" applyNumberFormat="1" applyFont="1" applyFill="1" applyBorder="1" applyAlignment="1" applyProtection="1">
      <alignment horizontal="right"/>
      <protection locked="0"/>
    </xf>
    <xf numFmtId="1" fontId="3" fillId="19" borderId="345" xfId="0" applyNumberFormat="1" applyFont="1" applyFill="1" applyBorder="1" applyAlignment="1" applyProtection="1">
      <alignment horizontal="right"/>
      <protection locked="0"/>
    </xf>
    <xf numFmtId="1" fontId="3" fillId="18" borderId="346" xfId="0" applyNumberFormat="1" applyFont="1" applyFill="1" applyBorder="1" applyAlignment="1">
      <alignment horizontal="right"/>
    </xf>
    <xf numFmtId="0" fontId="3" fillId="0" borderId="347" xfId="0" applyFont="1" applyBorder="1"/>
    <xf numFmtId="1" fontId="3" fillId="18" borderId="348" xfId="0" applyNumberFormat="1" applyFont="1" applyFill="1" applyBorder="1" applyAlignment="1">
      <alignment horizontal="right"/>
    </xf>
    <xf numFmtId="1" fontId="3" fillId="18" borderId="349" xfId="0" applyNumberFormat="1" applyFont="1" applyFill="1" applyBorder="1" applyAlignment="1">
      <alignment horizontal="right"/>
    </xf>
    <xf numFmtId="1" fontId="3" fillId="18" borderId="350" xfId="0" applyNumberFormat="1" applyFont="1" applyFill="1" applyBorder="1" applyAlignment="1">
      <alignment horizontal="right"/>
    </xf>
    <xf numFmtId="1" fontId="3" fillId="19" borderId="351" xfId="0" applyNumberFormat="1" applyFont="1" applyFill="1" applyBorder="1" applyAlignment="1" applyProtection="1">
      <alignment horizontal="right"/>
      <protection locked="0"/>
    </xf>
    <xf numFmtId="1" fontId="3" fillId="19" borderId="242" xfId="0" applyNumberFormat="1" applyFont="1" applyFill="1" applyBorder="1" applyAlignment="1" applyProtection="1">
      <alignment horizontal="right"/>
      <protection locked="0"/>
    </xf>
    <xf numFmtId="1" fontId="3" fillId="19" borderId="352" xfId="0" applyNumberFormat="1" applyFont="1" applyFill="1" applyBorder="1" applyAlignment="1" applyProtection="1">
      <alignment horizontal="right"/>
      <protection locked="0"/>
    </xf>
    <xf numFmtId="1" fontId="3" fillId="19" borderId="353" xfId="0" applyNumberFormat="1" applyFont="1" applyFill="1" applyBorder="1" applyAlignment="1" applyProtection="1">
      <alignment horizontal="right"/>
      <protection locked="0"/>
    </xf>
    <xf numFmtId="1" fontId="3" fillId="19" borderId="354" xfId="0" applyNumberFormat="1" applyFont="1" applyFill="1" applyBorder="1" applyAlignment="1" applyProtection="1">
      <alignment horizontal="right"/>
      <protection locked="0"/>
    </xf>
    <xf numFmtId="1" fontId="3" fillId="19" borderId="355" xfId="0" applyNumberFormat="1" applyFont="1" applyFill="1" applyBorder="1" applyAlignment="1" applyProtection="1">
      <alignment horizontal="right"/>
      <protection locked="0"/>
    </xf>
    <xf numFmtId="1" fontId="3" fillId="19" borderId="356" xfId="0" applyNumberFormat="1" applyFont="1" applyFill="1" applyBorder="1" applyAlignment="1" applyProtection="1">
      <alignment horizontal="right"/>
      <protection locked="0"/>
    </xf>
    <xf numFmtId="1" fontId="3" fillId="19" borderId="357" xfId="0" applyNumberFormat="1" applyFont="1" applyFill="1" applyBorder="1" applyAlignment="1" applyProtection="1">
      <alignment horizontal="right"/>
      <protection locked="0"/>
    </xf>
    <xf numFmtId="1" fontId="3" fillId="18" borderId="278" xfId="0" applyNumberFormat="1" applyFont="1" applyFill="1" applyBorder="1" applyAlignment="1">
      <alignment horizontal="center" vertical="center"/>
    </xf>
    <xf numFmtId="1" fontId="3" fillId="18" borderId="278" xfId="0" applyNumberFormat="1" applyFont="1" applyFill="1" applyBorder="1" applyAlignment="1">
      <alignment horizontal="center" vertical="center" wrapText="1"/>
    </xf>
    <xf numFmtId="1" fontId="3" fillId="19" borderId="302" xfId="0" applyNumberFormat="1" applyFont="1" applyFill="1" applyBorder="1" applyAlignment="1" applyProtection="1">
      <alignment horizontal="right"/>
      <protection locked="0"/>
    </xf>
    <xf numFmtId="1" fontId="3" fillId="20" borderId="293" xfId="0" applyNumberFormat="1" applyFont="1" applyFill="1" applyBorder="1" applyAlignment="1">
      <alignment horizontal="right"/>
    </xf>
    <xf numFmtId="0" fontId="27" fillId="0" borderId="276" xfId="0" applyFont="1" applyBorder="1"/>
    <xf numFmtId="1" fontId="3" fillId="18" borderId="278" xfId="0" applyNumberFormat="1" applyFont="1" applyFill="1" applyBorder="1" applyAlignment="1">
      <alignment horizontal="center" wrapText="1"/>
    </xf>
    <xf numFmtId="1" fontId="3" fillId="20" borderId="298" xfId="0" applyNumberFormat="1" applyFont="1" applyFill="1" applyBorder="1" applyAlignment="1">
      <alignment horizontal="right"/>
    </xf>
    <xf numFmtId="0" fontId="3" fillId="0" borderId="276" xfId="0" applyFont="1" applyBorder="1" applyAlignment="1">
      <alignment horizontal="center" vertical="top" wrapText="1"/>
    </xf>
    <xf numFmtId="0" fontId="3" fillId="0" borderId="276" xfId="0" applyFont="1" applyBorder="1" applyAlignment="1">
      <alignment horizontal="center" vertical="center"/>
    </xf>
    <xf numFmtId="1" fontId="3" fillId="20" borderId="328" xfId="0" applyNumberFormat="1" applyFont="1" applyFill="1" applyBorder="1" applyAlignment="1">
      <alignment horizontal="right"/>
    </xf>
    <xf numFmtId="1" fontId="3" fillId="20" borderId="282" xfId="0" applyNumberFormat="1" applyFont="1" applyFill="1" applyBorder="1" applyAlignment="1">
      <alignment horizontal="right"/>
    </xf>
    <xf numFmtId="0" fontId="0" fillId="20" borderId="290" xfId="0" applyFill="1" applyBorder="1" applyAlignment="1">
      <alignment horizontal="right"/>
    </xf>
    <xf numFmtId="0" fontId="0" fillId="19" borderId="290" xfId="0" applyFill="1" applyBorder="1" applyAlignment="1" applyProtection="1">
      <alignment horizontal="right"/>
      <protection locked="0"/>
    </xf>
    <xf numFmtId="0" fontId="0" fillId="20" borderId="302" xfId="0" applyFill="1" applyBorder="1" applyAlignment="1">
      <alignment horizontal="right"/>
    </xf>
    <xf numFmtId="0" fontId="0" fillId="19" borderId="302" xfId="0" applyFill="1" applyBorder="1" applyAlignment="1" applyProtection="1">
      <alignment horizontal="right"/>
      <protection locked="0"/>
    </xf>
    <xf numFmtId="1" fontId="5" fillId="0" borderId="241" xfId="0" applyNumberFormat="1" applyFont="1" applyBorder="1"/>
    <xf numFmtId="1" fontId="5" fillId="0" borderId="227" xfId="0" applyNumberFormat="1" applyFont="1" applyBorder="1"/>
    <xf numFmtId="1" fontId="5" fillId="0" borderId="208" xfId="0" applyNumberFormat="1" applyFont="1" applyBorder="1" applyAlignment="1">
      <alignment horizontal="left" vertical="center"/>
    </xf>
    <xf numFmtId="1" fontId="5" fillId="4" borderId="224" xfId="0" applyNumberFormat="1" applyFont="1" applyFill="1" applyBorder="1" applyProtection="1">
      <protection locked="0"/>
    </xf>
    <xf numFmtId="1" fontId="5" fillId="4" borderId="263" xfId="0" applyNumberFormat="1" applyFont="1" applyFill="1" applyBorder="1" applyProtection="1">
      <protection locked="0"/>
    </xf>
    <xf numFmtId="1" fontId="5" fillId="0" borderId="33" xfId="0" applyNumberFormat="1" applyFont="1" applyBorder="1" applyAlignment="1">
      <alignment horizontal="left" vertical="center"/>
    </xf>
    <xf numFmtId="1" fontId="5" fillId="4" borderId="38" xfId="0" applyNumberFormat="1" applyFont="1" applyFill="1" applyBorder="1" applyProtection="1">
      <protection locked="0"/>
    </xf>
    <xf numFmtId="1" fontId="5" fillId="4" borderId="47" xfId="0" applyNumberFormat="1" applyFont="1" applyFill="1" applyBorder="1" applyProtection="1">
      <protection locked="0"/>
    </xf>
    <xf numFmtId="1" fontId="5" fillId="4" borderId="256" xfId="0" applyNumberFormat="1" applyFont="1" applyFill="1" applyBorder="1" applyProtection="1">
      <protection locked="0"/>
    </xf>
    <xf numFmtId="1" fontId="5" fillId="0" borderId="12" xfId="0" applyNumberFormat="1" applyFont="1" applyBorder="1"/>
    <xf numFmtId="1" fontId="5" fillId="0" borderId="200" xfId="0" applyNumberFormat="1" applyFont="1" applyBorder="1"/>
    <xf numFmtId="1" fontId="18" fillId="3" borderId="0" xfId="0" applyNumberFormat="1" applyFont="1" applyFill="1"/>
    <xf numFmtId="1" fontId="19" fillId="5" borderId="0" xfId="0" applyNumberFormat="1" applyFont="1" applyFill="1"/>
    <xf numFmtId="0" fontId="26" fillId="0" borderId="361" xfId="0" applyFont="1" applyBorder="1"/>
    <xf numFmtId="1" fontId="19" fillId="0" borderId="0" xfId="0" applyNumberFormat="1" applyFont="1"/>
    <xf numFmtId="1" fontId="15" fillId="0" borderId="0" xfId="0" applyNumberFormat="1" applyFont="1" applyAlignment="1">
      <alignment horizontal="left"/>
    </xf>
    <xf numFmtId="1" fontId="16" fillId="5" borderId="0" xfId="0" applyNumberFormat="1" applyFont="1" applyFill="1" applyAlignment="1">
      <alignment horizontal="left" vertical="top"/>
    </xf>
    <xf numFmtId="1" fontId="16" fillId="5" borderId="0" xfId="0" applyNumberFormat="1" applyFont="1" applyFill="1" applyAlignment="1">
      <alignment vertical="top"/>
    </xf>
    <xf numFmtId="1" fontId="16" fillId="3" borderId="0" xfId="0" applyNumberFormat="1" applyFont="1" applyFill="1" applyAlignment="1">
      <alignment vertical="top"/>
    </xf>
    <xf numFmtId="1" fontId="5" fillId="0" borderId="211" xfId="0" applyNumberFormat="1" applyFont="1" applyBorder="1"/>
    <xf numFmtId="1" fontId="5" fillId="0" borderId="104" xfId="0" applyNumberFormat="1" applyFont="1" applyBorder="1"/>
    <xf numFmtId="1" fontId="5" fillId="4" borderId="208" xfId="0" applyNumberFormat="1" applyFont="1" applyFill="1" applyBorder="1" applyProtection="1">
      <protection locked="0"/>
    </xf>
    <xf numFmtId="1" fontId="5" fillId="0" borderId="247" xfId="0" applyNumberFormat="1" applyFont="1" applyBorder="1"/>
    <xf numFmtId="1" fontId="5" fillId="0" borderId="246" xfId="0" applyNumberFormat="1" applyFont="1" applyBorder="1"/>
    <xf numFmtId="1" fontId="16" fillId="3" borderId="0" xfId="0" applyNumberFormat="1" applyFont="1" applyFill="1" applyAlignment="1">
      <alignment horizontal="left" vertical="top"/>
    </xf>
    <xf numFmtId="1" fontId="16" fillId="3" borderId="232" xfId="0" applyNumberFormat="1" applyFont="1" applyFill="1" applyBorder="1" applyAlignment="1">
      <alignment vertical="top"/>
    </xf>
    <xf numFmtId="1" fontId="5" fillId="7" borderId="245" xfId="0" applyNumberFormat="1" applyFont="1" applyFill="1" applyBorder="1"/>
    <xf numFmtId="1" fontId="5" fillId="7" borderId="246" xfId="0" applyNumberFormat="1" applyFont="1" applyFill="1" applyBorder="1"/>
    <xf numFmtId="1" fontId="5" fillId="4" borderId="264" xfId="0" applyNumberFormat="1" applyFont="1" applyFill="1" applyBorder="1" applyProtection="1">
      <protection locked="0"/>
    </xf>
    <xf numFmtId="1" fontId="5" fillId="4" borderId="2" xfId="0" applyNumberFormat="1" applyFont="1" applyFill="1" applyBorder="1" applyProtection="1">
      <protection locked="0"/>
    </xf>
    <xf numFmtId="1" fontId="16" fillId="3" borderId="0" xfId="0" applyNumberFormat="1" applyFont="1" applyFill="1" applyAlignment="1">
      <alignment horizontal="left"/>
    </xf>
    <xf numFmtId="1" fontId="5" fillId="5" borderId="0" xfId="0" applyNumberFormat="1" applyFont="1" applyFill="1" applyAlignment="1">
      <alignment vertical="top" wrapText="1"/>
    </xf>
    <xf numFmtId="1" fontId="5" fillId="0" borderId="103" xfId="0" applyNumberFormat="1" applyFont="1" applyBorder="1" applyAlignment="1">
      <alignment horizontal="right" vertical="center" wrapText="1"/>
    </xf>
    <xf numFmtId="1" fontId="5" fillId="0" borderId="200" xfId="0" applyNumberFormat="1" applyFont="1" applyBorder="1" applyAlignment="1">
      <alignment horizontal="right" vertical="center" wrapText="1"/>
    </xf>
    <xf numFmtId="1" fontId="5" fillId="0" borderId="222" xfId="0" applyNumberFormat="1" applyFont="1" applyBorder="1" applyAlignment="1">
      <alignment horizontal="right" vertical="center" wrapText="1"/>
    </xf>
    <xf numFmtId="1" fontId="5" fillId="0" borderId="251" xfId="0" applyNumberFormat="1" applyFont="1" applyBorder="1" applyAlignment="1">
      <alignment horizontal="right" vertical="center" wrapText="1"/>
    </xf>
    <xf numFmtId="1" fontId="5" fillId="0" borderId="22" xfId="0" applyNumberFormat="1" applyFont="1" applyBorder="1" applyAlignment="1">
      <alignment horizontal="right" vertical="center" wrapText="1"/>
    </xf>
    <xf numFmtId="1" fontId="5" fillId="7" borderId="247" xfId="0" applyNumberFormat="1" applyFont="1" applyFill="1" applyBorder="1"/>
    <xf numFmtId="1" fontId="5" fillId="7" borderId="248" xfId="0" applyNumberFormat="1" applyFont="1" applyFill="1" applyBorder="1"/>
    <xf numFmtId="1" fontId="5" fillId="0" borderId="245" xfId="0" applyNumberFormat="1" applyFont="1" applyBorder="1" applyAlignment="1">
      <alignment horizontal="right" vertical="center" wrapText="1"/>
    </xf>
    <xf numFmtId="1" fontId="5" fillId="0" borderId="244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1" fontId="5" fillId="0" borderId="23" xfId="0" applyNumberFormat="1" applyFont="1" applyBorder="1" applyAlignment="1">
      <alignment horizontal="right" vertical="center" wrapText="1"/>
    </xf>
    <xf numFmtId="1" fontId="5" fillId="0" borderId="24" xfId="0" applyNumberFormat="1" applyFont="1" applyBorder="1" applyAlignment="1">
      <alignment horizontal="right" vertical="center" wrapText="1"/>
    </xf>
    <xf numFmtId="1" fontId="5" fillId="0" borderId="25" xfId="0" applyNumberFormat="1" applyFont="1" applyBorder="1" applyAlignment="1">
      <alignment horizontal="right" vertical="center" wrapText="1"/>
    </xf>
    <xf numFmtId="1" fontId="5" fillId="7" borderId="23" xfId="0" applyNumberFormat="1" applyFont="1" applyFill="1" applyBorder="1"/>
    <xf numFmtId="1" fontId="5" fillId="7" borderId="25" xfId="0" applyNumberFormat="1" applyFont="1" applyFill="1" applyBorder="1"/>
    <xf numFmtId="1" fontId="5" fillId="0" borderId="235" xfId="0" applyNumberFormat="1" applyFont="1" applyBorder="1" applyAlignment="1">
      <alignment horizontal="right" vertical="center" wrapText="1"/>
    </xf>
    <xf numFmtId="1" fontId="5" fillId="0" borderId="219" xfId="0" applyNumberFormat="1" applyFont="1" applyBorder="1" applyAlignment="1">
      <alignment horizontal="right" vertical="center" wrapText="1"/>
    </xf>
    <xf numFmtId="1" fontId="5" fillId="0" borderId="233" xfId="0" applyNumberFormat="1" applyFont="1" applyBorder="1" applyAlignment="1">
      <alignment horizontal="right" vertical="center" wrapText="1"/>
    </xf>
    <xf numFmtId="1" fontId="5" fillId="3" borderId="208" xfId="0" applyNumberFormat="1" applyFont="1" applyFill="1" applyBorder="1" applyAlignment="1">
      <alignment horizontal="center" vertical="center" wrapText="1"/>
    </xf>
    <xf numFmtId="1" fontId="5" fillId="3" borderId="222" xfId="0" applyNumberFormat="1" applyFont="1" applyFill="1" applyBorder="1" applyAlignment="1">
      <alignment horizontal="right" vertical="center" wrapText="1"/>
    </xf>
    <xf numFmtId="1" fontId="5" fillId="3" borderId="251" xfId="0" applyNumberFormat="1" applyFont="1" applyFill="1" applyBorder="1" applyAlignment="1">
      <alignment horizontal="right" vertical="center" wrapText="1"/>
    </xf>
    <xf numFmtId="1" fontId="5" fillId="0" borderId="250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right" vertical="center" wrapText="1"/>
    </xf>
    <xf numFmtId="1" fontId="5" fillId="3" borderId="15" xfId="0" applyNumberFormat="1" applyFont="1" applyFill="1" applyBorder="1" applyAlignment="1">
      <alignment horizontal="right" vertical="center" wrapText="1"/>
    </xf>
    <xf numFmtId="1" fontId="5" fillId="0" borderId="12" xfId="0" applyNumberFormat="1" applyFont="1" applyBorder="1" applyAlignment="1">
      <alignment horizontal="right" vertical="center" wrapText="1"/>
    </xf>
    <xf numFmtId="1" fontId="5" fillId="0" borderId="208" xfId="0" applyNumberFormat="1" applyFont="1" applyBorder="1" applyAlignment="1">
      <alignment horizontal="center" vertical="center" wrapText="1"/>
    </xf>
    <xf numFmtId="1" fontId="5" fillId="3" borderId="103" xfId="0" applyNumberFormat="1" applyFont="1" applyFill="1" applyBorder="1" applyAlignment="1">
      <alignment horizontal="right" vertical="center" wrapText="1"/>
    </xf>
    <xf numFmtId="1" fontId="5" fillId="0" borderId="104" xfId="0" applyNumberFormat="1" applyFont="1" applyBorder="1" applyAlignment="1">
      <alignment horizontal="right" vertical="center" wrapText="1"/>
    </xf>
    <xf numFmtId="1" fontId="5" fillId="3" borderId="244" xfId="0" applyNumberFormat="1" applyFont="1" applyFill="1" applyBorder="1" applyAlignment="1">
      <alignment horizontal="right" vertical="center" wrapText="1"/>
    </xf>
    <xf numFmtId="1" fontId="5" fillId="0" borderId="246" xfId="0" applyNumberFormat="1" applyFont="1" applyBorder="1" applyAlignment="1">
      <alignment horizontal="right" vertical="center" wrapText="1"/>
    </xf>
    <xf numFmtId="1" fontId="5" fillId="0" borderId="18" xfId="0" applyNumberFormat="1" applyFont="1" applyBorder="1" applyAlignment="1">
      <alignment horizontal="right" vertical="center" wrapText="1"/>
    </xf>
    <xf numFmtId="1" fontId="5" fillId="8" borderId="234" xfId="0" applyNumberFormat="1" applyFont="1" applyFill="1" applyBorder="1" applyAlignment="1" applyProtection="1">
      <alignment horizontal="right" vertical="center" wrapText="1"/>
      <protection locked="0"/>
    </xf>
    <xf numFmtId="1" fontId="5" fillId="8" borderId="208" xfId="0" applyNumberFormat="1" applyFont="1" applyFill="1" applyBorder="1" applyAlignment="1" applyProtection="1">
      <alignment horizontal="right" vertical="center" wrapText="1"/>
      <protection locked="0"/>
    </xf>
    <xf numFmtId="1" fontId="5" fillId="8" borderId="250" xfId="0" applyNumberFormat="1" applyFont="1" applyFill="1" applyBorder="1" applyAlignment="1" applyProtection="1">
      <alignment horizontal="right" vertical="center" wrapText="1"/>
      <protection locked="0"/>
    </xf>
    <xf numFmtId="1" fontId="5" fillId="8" borderId="201" xfId="0" applyNumberFormat="1" applyFont="1" applyFill="1" applyBorder="1" applyAlignment="1" applyProtection="1">
      <alignment horizontal="right" vertical="center" wrapText="1"/>
      <protection locked="0"/>
    </xf>
    <xf numFmtId="1" fontId="5" fillId="8" borderId="33" xfId="0" applyNumberFormat="1" applyFont="1" applyFill="1" applyBorder="1" applyAlignment="1" applyProtection="1">
      <alignment horizontal="right" vertical="center" wrapText="1"/>
      <protection locked="0"/>
    </xf>
    <xf numFmtId="1" fontId="5" fillId="8" borderId="201" xfId="0" applyNumberFormat="1" applyFont="1" applyFill="1" applyBorder="1" applyAlignment="1" applyProtection="1">
      <alignment horizontal="right" vertical="center"/>
      <protection locked="0"/>
    </xf>
    <xf numFmtId="1" fontId="5" fillId="8" borderId="201" xfId="0" applyNumberFormat="1" applyFont="1" applyFill="1" applyBorder="1" applyAlignment="1" applyProtection="1">
      <alignment horizontal="right" vertical="top" wrapText="1"/>
      <protection locked="0"/>
    </xf>
    <xf numFmtId="1" fontId="5" fillId="8" borderId="250" xfId="0" applyNumberFormat="1" applyFont="1" applyFill="1" applyBorder="1" applyAlignment="1" applyProtection="1">
      <alignment horizontal="right" vertical="center"/>
      <protection locked="0"/>
    </xf>
    <xf numFmtId="1" fontId="5" fillId="8" borderId="250" xfId="0" applyNumberFormat="1" applyFont="1" applyFill="1" applyBorder="1" applyAlignment="1" applyProtection="1">
      <alignment horizontal="right" vertical="top" wrapText="1"/>
      <protection locked="0"/>
    </xf>
    <xf numFmtId="1" fontId="5" fillId="8" borderId="13" xfId="0" applyNumberFormat="1" applyFont="1" applyFill="1" applyBorder="1" applyAlignment="1" applyProtection="1">
      <alignment horizontal="right" vertical="center" wrapText="1"/>
      <protection locked="0"/>
    </xf>
    <xf numFmtId="1" fontId="5" fillId="8" borderId="13" xfId="0" applyNumberFormat="1" applyFont="1" applyFill="1" applyBorder="1" applyAlignment="1" applyProtection="1">
      <alignment horizontal="right" vertical="center"/>
      <protection locked="0"/>
    </xf>
    <xf numFmtId="1" fontId="5" fillId="8" borderId="13" xfId="0" applyNumberFormat="1" applyFont="1" applyFill="1" applyBorder="1" applyAlignment="1" applyProtection="1">
      <alignment horizontal="right" vertical="top" wrapText="1"/>
      <protection locked="0"/>
    </xf>
    <xf numFmtId="1" fontId="16" fillId="5" borderId="0" xfId="0" applyNumberFormat="1" applyFont="1" applyFill="1" applyAlignment="1">
      <alignment horizontal="left"/>
    </xf>
    <xf numFmtId="1" fontId="5" fillId="4" borderId="362" xfId="0" applyNumberFormat="1" applyFont="1" applyFill="1" applyBorder="1" applyProtection="1">
      <protection locked="0"/>
    </xf>
    <xf numFmtId="1" fontId="5" fillId="6" borderId="245" xfId="0" applyNumberFormat="1" applyFont="1" applyFill="1" applyBorder="1"/>
    <xf numFmtId="1" fontId="5" fillId="6" borderId="246" xfId="0" applyNumberFormat="1" applyFont="1" applyFill="1" applyBorder="1"/>
    <xf numFmtId="1" fontId="5" fillId="6" borderId="264" xfId="0" applyNumberFormat="1" applyFont="1" applyFill="1" applyBorder="1"/>
    <xf numFmtId="1" fontId="5" fillId="6" borderId="259" xfId="0" applyNumberFormat="1" applyFont="1" applyFill="1" applyBorder="1"/>
    <xf numFmtId="1" fontId="5" fillId="6" borderId="248" xfId="0" applyNumberFormat="1" applyFont="1" applyFill="1" applyBorder="1"/>
    <xf numFmtId="1" fontId="5" fillId="6" borderId="250" xfId="0" applyNumberFormat="1" applyFont="1" applyFill="1" applyBorder="1"/>
    <xf numFmtId="1" fontId="5" fillId="8" borderId="245" xfId="0" applyNumberFormat="1" applyFont="1" applyFill="1" applyBorder="1" applyProtection="1">
      <protection locked="0"/>
    </xf>
    <xf numFmtId="1" fontId="5" fillId="7" borderId="264" xfId="0" applyNumberFormat="1" applyFont="1" applyFill="1" applyBorder="1"/>
    <xf numFmtId="1" fontId="5" fillId="8" borderId="246" xfId="0" applyNumberFormat="1" applyFont="1" applyFill="1" applyBorder="1" applyProtection="1">
      <protection locked="0"/>
    </xf>
    <xf numFmtId="1" fontId="5" fillId="8" borderId="250" xfId="0" applyNumberFormat="1" applyFont="1" applyFill="1" applyBorder="1" applyProtection="1">
      <protection locked="0"/>
    </xf>
    <xf numFmtId="1" fontId="5" fillId="8" borderId="264" xfId="0" applyNumberFormat="1" applyFont="1" applyFill="1" applyBorder="1" applyProtection="1">
      <protection locked="0"/>
    </xf>
    <xf numFmtId="1" fontId="5" fillId="8" borderId="247" xfId="0" applyNumberFormat="1" applyFont="1" applyFill="1" applyBorder="1" applyProtection="1">
      <protection locked="0"/>
    </xf>
    <xf numFmtId="1" fontId="5" fillId="8" borderId="10" xfId="0" applyNumberFormat="1" applyFont="1" applyFill="1" applyBorder="1" applyProtection="1">
      <protection locked="0"/>
    </xf>
    <xf numFmtId="1" fontId="5" fillId="8" borderId="61" xfId="0" applyNumberFormat="1" applyFont="1" applyFill="1" applyBorder="1" applyProtection="1">
      <protection locked="0"/>
    </xf>
    <xf numFmtId="1" fontId="5" fillId="8" borderId="107" xfId="0" applyNumberFormat="1" applyFont="1" applyFill="1" applyBorder="1" applyProtection="1">
      <protection locked="0"/>
    </xf>
    <xf numFmtId="1" fontId="5" fillId="0" borderId="235" xfId="0" applyNumberFormat="1" applyFont="1" applyBorder="1" applyAlignment="1">
      <alignment horizontal="right" wrapText="1"/>
    </xf>
    <xf numFmtId="1" fontId="5" fillId="0" borderId="233" xfId="0" applyNumberFormat="1" applyFont="1" applyBorder="1" applyAlignment="1">
      <alignment horizontal="right" wrapText="1"/>
    </xf>
    <xf numFmtId="1" fontId="5" fillId="0" borderId="232" xfId="0" applyNumberFormat="1" applyFont="1" applyBorder="1" applyAlignment="1">
      <alignment horizontal="right" wrapText="1"/>
    </xf>
    <xf numFmtId="1" fontId="5" fillId="0" borderId="231" xfId="0" applyNumberFormat="1" applyFont="1" applyBorder="1" applyAlignment="1">
      <alignment horizontal="right"/>
    </xf>
    <xf numFmtId="1" fontId="5" fillId="0" borderId="241" xfId="0" applyNumberFormat="1" applyFont="1" applyBorder="1" applyAlignment="1">
      <alignment horizontal="right"/>
    </xf>
    <xf numFmtId="1" fontId="5" fillId="0" borderId="227" xfId="0" applyNumberFormat="1" applyFont="1" applyBorder="1" applyAlignment="1">
      <alignment horizontal="right"/>
    </xf>
    <xf numFmtId="1" fontId="5" fillId="3" borderId="234" xfId="0" applyNumberFormat="1" applyFont="1" applyFill="1" applyBorder="1" applyAlignment="1">
      <alignment horizontal="right"/>
    </xf>
    <xf numFmtId="1" fontId="5" fillId="7" borderId="205" xfId="0" applyNumberFormat="1" applyFont="1" applyFill="1" applyBorder="1"/>
    <xf numFmtId="1" fontId="5" fillId="7" borderId="104" xfId="0" applyNumberFormat="1" applyFont="1" applyFill="1" applyBorder="1"/>
    <xf numFmtId="1" fontId="5" fillId="6" borderId="205" xfId="0" applyNumberFormat="1" applyFont="1" applyFill="1" applyBorder="1"/>
    <xf numFmtId="1" fontId="5" fillId="6" borderId="201" xfId="0" applyNumberFormat="1" applyFont="1" applyFill="1" applyBorder="1"/>
    <xf numFmtId="1" fontId="5" fillId="6" borderId="222" xfId="0" applyNumberFormat="1" applyFont="1" applyFill="1" applyBorder="1"/>
    <xf numFmtId="1" fontId="5" fillId="6" borderId="208" xfId="0" applyNumberFormat="1" applyFont="1" applyFill="1" applyBorder="1"/>
    <xf numFmtId="1" fontId="5" fillId="6" borderId="51" xfId="0" applyNumberFormat="1" applyFont="1" applyFill="1" applyBorder="1"/>
    <xf numFmtId="1" fontId="5" fillId="7" borderId="18" xfId="0" applyNumberFormat="1" applyFont="1" applyFill="1" applyBorder="1"/>
    <xf numFmtId="1" fontId="5" fillId="6" borderId="203" xfId="0" applyNumberFormat="1" applyFont="1" applyFill="1" applyBorder="1"/>
    <xf numFmtId="1" fontId="5" fillId="7" borderId="42" xfId="0" applyNumberFormat="1" applyFont="1" applyFill="1" applyBorder="1"/>
    <xf numFmtId="1" fontId="5" fillId="4" borderId="43" xfId="0" applyNumberFormat="1" applyFont="1" applyFill="1" applyBorder="1" applyProtection="1">
      <protection locked="0"/>
    </xf>
    <xf numFmtId="1" fontId="5" fillId="4" borderId="220" xfId="0" applyNumberFormat="1" applyFont="1" applyFill="1" applyBorder="1" applyProtection="1">
      <protection locked="0"/>
    </xf>
    <xf numFmtId="1" fontId="5" fillId="3" borderId="201" xfId="0" applyNumberFormat="1" applyFont="1" applyFill="1" applyBorder="1" applyAlignment="1">
      <alignment vertical="center"/>
    </xf>
    <xf numFmtId="1" fontId="5" fillId="6" borderId="200" xfId="0" applyNumberFormat="1" applyFont="1" applyFill="1" applyBorder="1"/>
    <xf numFmtId="1" fontId="5" fillId="6" borderId="22" xfId="0" applyNumberFormat="1" applyFont="1" applyFill="1" applyBorder="1"/>
    <xf numFmtId="1" fontId="5" fillId="3" borderId="208" xfId="0" applyNumberFormat="1" applyFont="1" applyFill="1" applyBorder="1" applyAlignment="1">
      <alignment vertical="center"/>
    </xf>
    <xf numFmtId="1" fontId="5" fillId="6" borderId="220" xfId="0" applyNumberFormat="1" applyFont="1" applyFill="1" applyBorder="1"/>
    <xf numFmtId="1" fontId="5" fillId="4" borderId="46" xfId="0" applyNumberFormat="1" applyFont="1" applyFill="1" applyBorder="1" applyProtection="1">
      <protection locked="0"/>
    </xf>
    <xf numFmtId="1" fontId="5" fillId="6" borderId="242" xfId="0" applyNumberFormat="1" applyFont="1" applyFill="1" applyBorder="1"/>
    <xf numFmtId="1" fontId="5" fillId="6" borderId="13" xfId="0" applyNumberFormat="1" applyFont="1" applyFill="1" applyBorder="1"/>
    <xf numFmtId="1" fontId="5" fillId="5" borderId="201" xfId="0" applyNumberFormat="1" applyFont="1" applyFill="1" applyBorder="1" applyAlignment="1">
      <alignment horizontal="center" vertical="center"/>
    </xf>
    <xf numFmtId="1" fontId="5" fillId="5" borderId="243" xfId="0" applyNumberFormat="1" applyFont="1" applyFill="1" applyBorder="1"/>
    <xf numFmtId="1" fontId="5" fillId="5" borderId="242" xfId="0" applyNumberFormat="1" applyFont="1" applyFill="1" applyBorder="1"/>
    <xf numFmtId="1" fontId="5" fillId="5" borderId="35" xfId="0" applyNumberFormat="1" applyFont="1" applyFill="1" applyBorder="1"/>
    <xf numFmtId="1" fontId="5" fillId="5" borderId="238" xfId="0" applyNumberFormat="1" applyFont="1" applyFill="1" applyBorder="1"/>
    <xf numFmtId="1" fontId="5" fillId="5" borderId="257" xfId="0" applyNumberFormat="1" applyFont="1" applyFill="1" applyBorder="1"/>
    <xf numFmtId="1" fontId="5" fillId="5" borderId="203" xfId="0" applyNumberFormat="1" applyFont="1" applyFill="1" applyBorder="1"/>
    <xf numFmtId="1" fontId="5" fillId="5" borderId="201" xfId="0" applyNumberFormat="1" applyFont="1" applyFill="1" applyBorder="1" applyAlignment="1">
      <alignment horizontal="left" vertical="center"/>
    </xf>
    <xf numFmtId="1" fontId="5" fillId="5" borderId="208" xfId="0" applyNumberFormat="1" applyFont="1" applyFill="1" applyBorder="1" applyAlignment="1">
      <alignment horizontal="left" vertical="center" wrapText="1"/>
    </xf>
    <xf numFmtId="1" fontId="5" fillId="6" borderId="225" xfId="0" applyNumberFormat="1" applyFont="1" applyFill="1" applyBorder="1"/>
    <xf numFmtId="1" fontId="5" fillId="6" borderId="33" xfId="0" applyNumberFormat="1" applyFont="1" applyFill="1" applyBorder="1"/>
    <xf numFmtId="1" fontId="5" fillId="0" borderId="51" xfId="0" applyNumberFormat="1" applyFont="1" applyBorder="1" applyAlignment="1">
      <alignment horizontal="left" vertical="center"/>
    </xf>
    <xf numFmtId="1" fontId="5" fillId="6" borderId="251" xfId="0" applyNumberFormat="1" applyFont="1" applyFill="1" applyBorder="1"/>
    <xf numFmtId="1" fontId="5" fillId="5" borderId="13" xfId="0" applyNumberFormat="1" applyFont="1" applyFill="1" applyBorder="1" applyAlignment="1">
      <alignment horizontal="left" vertical="center"/>
    </xf>
    <xf numFmtId="1" fontId="5" fillId="4" borderId="235" xfId="0" applyNumberFormat="1" applyFont="1" applyFill="1" applyBorder="1" applyProtection="1">
      <protection locked="0"/>
    </xf>
    <xf numFmtId="1" fontId="5" fillId="4" borderId="233" xfId="0" applyNumberFormat="1" applyFont="1" applyFill="1" applyBorder="1" applyProtection="1">
      <protection locked="0"/>
    </xf>
    <xf numFmtId="1" fontId="5" fillId="4" borderId="227" xfId="0" applyNumberFormat="1" applyFont="1" applyFill="1" applyBorder="1" applyProtection="1">
      <protection locked="0"/>
    </xf>
    <xf numFmtId="1" fontId="5" fillId="4" borderId="234" xfId="0" applyNumberFormat="1" applyFont="1" applyFill="1" applyBorder="1" applyProtection="1">
      <protection locked="0"/>
    </xf>
    <xf numFmtId="1" fontId="5" fillId="7" borderId="222" xfId="0" applyNumberFormat="1" applyFont="1" applyFill="1" applyBorder="1"/>
    <xf numFmtId="1" fontId="5" fillId="7" borderId="220" xfId="0" applyNumberFormat="1" applyFont="1" applyFill="1" applyBorder="1"/>
    <xf numFmtId="1" fontId="5" fillId="7" borderId="200" xfId="0" applyNumberFormat="1" applyFont="1" applyFill="1" applyBorder="1"/>
    <xf numFmtId="1" fontId="5" fillId="0" borderId="201" xfId="0" applyNumberFormat="1" applyFont="1" applyBorder="1" applyAlignment="1">
      <alignment wrapText="1"/>
    </xf>
    <xf numFmtId="1" fontId="5" fillId="0" borderId="13" xfId="0" applyNumberFormat="1" applyFont="1" applyBorder="1" applyAlignment="1">
      <alignment wrapText="1"/>
    </xf>
    <xf numFmtId="1" fontId="5" fillId="3" borderId="12" xfId="0" applyNumberFormat="1" applyFont="1" applyFill="1" applyBorder="1" applyAlignment="1">
      <alignment horizontal="right"/>
    </xf>
    <xf numFmtId="1" fontId="5" fillId="3" borderId="22" xfId="0" applyNumberFormat="1" applyFont="1" applyFill="1" applyBorder="1" applyAlignment="1">
      <alignment horizontal="right"/>
    </xf>
    <xf numFmtId="1" fontId="5" fillId="7" borderId="201" xfId="0" applyNumberFormat="1" applyFont="1" applyFill="1" applyBorder="1"/>
    <xf numFmtId="1" fontId="5" fillId="7" borderId="13" xfId="0" applyNumberFormat="1" applyFont="1" applyFill="1" applyBorder="1"/>
    <xf numFmtId="1" fontId="5" fillId="3" borderId="205" xfId="0" applyNumberFormat="1" applyFont="1" applyFill="1" applyBorder="1" applyAlignment="1">
      <alignment horizontal="right" wrapText="1"/>
    </xf>
    <xf numFmtId="1" fontId="5" fillId="0" borderId="103" xfId="0" applyNumberFormat="1" applyFont="1" applyBorder="1"/>
    <xf numFmtId="1" fontId="5" fillId="6" borderId="228" xfId="0" applyNumberFormat="1" applyFont="1" applyFill="1" applyBorder="1"/>
    <xf numFmtId="1" fontId="5" fillId="3" borderId="222" xfId="0" applyNumberFormat="1" applyFont="1" applyFill="1" applyBorder="1" applyAlignment="1">
      <alignment horizontal="right" wrapText="1"/>
    </xf>
    <xf numFmtId="1" fontId="5" fillId="0" borderId="244" xfId="0" applyNumberFormat="1" applyFont="1" applyBorder="1"/>
    <xf numFmtId="1" fontId="5" fillId="6" borderId="55" xfId="0" applyNumberFormat="1" applyFont="1" applyFill="1" applyBorder="1"/>
    <xf numFmtId="1" fontId="5" fillId="3" borderId="245" xfId="0" applyNumberFormat="1" applyFont="1" applyFill="1" applyBorder="1" applyAlignment="1">
      <alignment horizontal="right" wrapText="1"/>
    </xf>
    <xf numFmtId="1" fontId="5" fillId="6" borderId="23" xfId="0" applyNumberFormat="1" applyFont="1" applyFill="1" applyBorder="1" applyAlignment="1">
      <alignment horizontal="right" wrapText="1"/>
    </xf>
    <xf numFmtId="1" fontId="5" fillId="6" borderId="24" xfId="0" applyNumberFormat="1" applyFont="1" applyFill="1" applyBorder="1" applyAlignment="1">
      <alignment horizontal="right"/>
    </xf>
    <xf numFmtId="1" fontId="5" fillId="7" borderId="41" xfId="0" applyNumberFormat="1" applyFont="1" applyFill="1" applyBorder="1"/>
    <xf numFmtId="1" fontId="5" fillId="7" borderId="86" xfId="0" applyNumberFormat="1" applyFont="1" applyFill="1" applyBorder="1"/>
    <xf numFmtId="1" fontId="5" fillId="6" borderId="46" xfId="0" applyNumberFormat="1" applyFont="1" applyFill="1" applyBorder="1"/>
    <xf numFmtId="1" fontId="5" fillId="0" borderId="33" xfId="0" applyNumberFormat="1" applyFont="1" applyBorder="1"/>
    <xf numFmtId="1" fontId="5" fillId="6" borderId="14" xfId="0" applyNumberFormat="1" applyFont="1" applyFill="1" applyBorder="1" applyAlignment="1">
      <alignment horizontal="right" wrapText="1"/>
    </xf>
    <xf numFmtId="1" fontId="5" fillId="6" borderId="15" xfId="0" applyNumberFormat="1" applyFont="1" applyFill="1" applyBorder="1" applyAlignment="1">
      <alignment horizontal="right"/>
    </xf>
    <xf numFmtId="1" fontId="5" fillId="7" borderId="16" xfId="0" applyNumberFormat="1" applyFont="1" applyFill="1" applyBorder="1"/>
    <xf numFmtId="1" fontId="5" fillId="6" borderId="47" xfId="0" applyNumberFormat="1" applyFont="1" applyFill="1" applyBorder="1"/>
    <xf numFmtId="1" fontId="5" fillId="0" borderId="261" xfId="0" applyNumberFormat="1" applyFont="1" applyBorder="1"/>
    <xf numFmtId="1" fontId="5" fillId="0" borderId="365" xfId="0" applyNumberFormat="1" applyFont="1" applyBorder="1"/>
    <xf numFmtId="1" fontId="5" fillId="4" borderId="253" xfId="0" applyNumberFormat="1" applyFont="1" applyFill="1" applyBorder="1" applyProtection="1">
      <protection locked="0"/>
    </xf>
    <xf numFmtId="1" fontId="5" fillId="0" borderId="13" xfId="0" applyNumberFormat="1" applyFont="1" applyBorder="1" applyAlignment="1">
      <alignment horizontal="right" wrapText="1"/>
    </xf>
    <xf numFmtId="1" fontId="5" fillId="0" borderId="49" xfId="0" applyNumberFormat="1" applyFont="1" applyBorder="1"/>
    <xf numFmtId="1" fontId="5" fillId="5" borderId="0" xfId="0" applyNumberFormat="1" applyFont="1" applyFill="1" applyAlignment="1">
      <alignment horizontal="left" wrapText="1"/>
    </xf>
    <xf numFmtId="1" fontId="5" fillId="5" borderId="0" xfId="0" applyNumberFormat="1" applyFont="1" applyFill="1" applyAlignment="1">
      <alignment wrapText="1"/>
    </xf>
    <xf numFmtId="1" fontId="5" fillId="5" borderId="35" xfId="0" applyNumberFormat="1" applyFont="1" applyFill="1" applyBorder="1" applyAlignment="1">
      <alignment wrapText="1"/>
    </xf>
    <xf numFmtId="1" fontId="5" fillId="0" borderId="35" xfId="0" applyNumberFormat="1" applyFont="1" applyBorder="1" applyAlignment="1">
      <alignment wrapText="1"/>
    </xf>
    <xf numFmtId="1" fontId="5" fillId="5" borderId="366" xfId="0" applyNumberFormat="1" applyFont="1" applyFill="1" applyBorder="1" applyAlignment="1">
      <alignment wrapText="1"/>
    </xf>
    <xf numFmtId="1" fontId="5" fillId="5" borderId="367" xfId="0" applyNumberFormat="1" applyFont="1" applyFill="1" applyBorder="1" applyAlignment="1">
      <alignment wrapText="1"/>
    </xf>
    <xf numFmtId="1" fontId="5" fillId="3" borderId="99" xfId="0" applyNumberFormat="1" applyFont="1" applyFill="1" applyBorder="1" applyAlignment="1">
      <alignment horizontal="center" vertical="center" wrapText="1"/>
    </xf>
    <xf numFmtId="1" fontId="5" fillId="3" borderId="205" xfId="0" applyNumberFormat="1" applyFont="1" applyFill="1" applyBorder="1" applyAlignment="1">
      <alignment horizontal="right" vertical="center" wrapText="1"/>
    </xf>
    <xf numFmtId="1" fontId="5" fillId="4" borderId="205" xfId="0" applyNumberFormat="1" applyFont="1" applyFill="1" applyBorder="1" applyAlignment="1" applyProtection="1">
      <alignment wrapText="1"/>
      <protection locked="0"/>
    </xf>
    <xf numFmtId="1" fontId="5" fillId="4" borderId="104" xfId="0" applyNumberFormat="1" applyFont="1" applyFill="1" applyBorder="1" applyAlignment="1" applyProtection="1">
      <alignment wrapText="1"/>
      <protection locked="0"/>
    </xf>
    <xf numFmtId="1" fontId="5" fillId="4" borderId="211" xfId="0" applyNumberFormat="1" applyFont="1" applyFill="1" applyBorder="1" applyAlignment="1" applyProtection="1">
      <alignment wrapText="1"/>
      <protection locked="0"/>
    </xf>
    <xf numFmtId="1" fontId="5" fillId="4" borderId="200" xfId="0" applyNumberFormat="1" applyFont="1" applyFill="1" applyBorder="1" applyAlignment="1" applyProtection="1">
      <alignment wrapText="1"/>
      <protection locked="0"/>
    </xf>
    <xf numFmtId="1" fontId="5" fillId="4" borderId="229" xfId="0" applyNumberFormat="1" applyFont="1" applyFill="1" applyBorder="1" applyAlignment="1" applyProtection="1">
      <alignment wrapText="1"/>
      <protection locked="0"/>
    </xf>
    <xf numFmtId="1" fontId="5" fillId="4" borderId="239" xfId="0" applyNumberFormat="1" applyFont="1" applyFill="1" applyBorder="1" applyAlignment="1" applyProtection="1">
      <alignment wrapText="1"/>
      <protection locked="0"/>
    </xf>
    <xf numFmtId="1" fontId="5" fillId="6" borderId="371" xfId="0" applyNumberFormat="1" applyFont="1" applyFill="1" applyBorder="1" applyAlignment="1">
      <alignment wrapText="1"/>
    </xf>
    <xf numFmtId="1" fontId="5" fillId="6" borderId="372" xfId="0" applyNumberFormat="1" applyFont="1" applyFill="1" applyBorder="1" applyAlignment="1">
      <alignment wrapText="1"/>
    </xf>
    <xf numFmtId="1" fontId="5" fillId="6" borderId="52" xfId="0" applyNumberFormat="1" applyFont="1" applyFill="1" applyBorder="1" applyAlignment="1">
      <alignment wrapText="1"/>
    </xf>
    <xf numFmtId="1" fontId="5" fillId="4" borderId="103" xfId="0" applyNumberFormat="1" applyFont="1" applyFill="1" applyBorder="1" applyAlignment="1" applyProtection="1">
      <alignment wrapText="1"/>
      <protection locked="0"/>
    </xf>
    <xf numFmtId="1" fontId="5" fillId="3" borderId="14" xfId="0" applyNumberFormat="1" applyFont="1" applyFill="1" applyBorder="1" applyAlignment="1">
      <alignment horizontal="right" vertical="center" wrapText="1"/>
    </xf>
    <xf numFmtId="1" fontId="5" fillId="4" borderId="14" xfId="0" applyNumberFormat="1" applyFont="1" applyFill="1" applyBorder="1" applyAlignment="1" applyProtection="1">
      <alignment wrapText="1"/>
      <protection locked="0"/>
    </xf>
    <xf numFmtId="1" fontId="5" fillId="4" borderId="18" xfId="0" applyNumberFormat="1" applyFont="1" applyFill="1" applyBorder="1" applyAlignment="1" applyProtection="1">
      <alignment wrapText="1"/>
      <protection locked="0"/>
    </xf>
    <xf numFmtId="1" fontId="5" fillId="4" borderId="27" xfId="0" applyNumberFormat="1" applyFont="1" applyFill="1" applyBorder="1" applyAlignment="1" applyProtection="1">
      <alignment wrapText="1"/>
      <protection locked="0"/>
    </xf>
    <xf numFmtId="1" fontId="5" fillId="4" borderId="12" xfId="0" applyNumberFormat="1" applyFont="1" applyFill="1" applyBorder="1" applyAlignment="1" applyProtection="1">
      <alignment wrapText="1"/>
      <protection locked="0"/>
    </xf>
    <xf numFmtId="1" fontId="5" fillId="4" borderId="62" xfId="0" applyNumberFormat="1" applyFont="1" applyFill="1" applyBorder="1" applyAlignment="1" applyProtection="1">
      <alignment wrapText="1"/>
      <protection locked="0"/>
    </xf>
    <xf numFmtId="1" fontId="5" fillId="4" borderId="16" xfId="0" applyNumberFormat="1" applyFont="1" applyFill="1" applyBorder="1" applyAlignment="1" applyProtection="1">
      <alignment wrapText="1"/>
      <protection locked="0"/>
    </xf>
    <xf numFmtId="1" fontId="5" fillId="4" borderId="15" xfId="0" applyNumberFormat="1" applyFont="1" applyFill="1" applyBorder="1" applyAlignment="1" applyProtection="1">
      <alignment wrapText="1"/>
      <protection locked="0"/>
    </xf>
    <xf numFmtId="1" fontId="5" fillId="0" borderId="251" xfId="0" applyNumberFormat="1" applyFont="1" applyBorder="1" applyAlignment="1">
      <alignment horizontal="right" wrapText="1"/>
    </xf>
    <xf numFmtId="1" fontId="5" fillId="0" borderId="225" xfId="0" applyNumberFormat="1" applyFont="1" applyBorder="1" applyAlignment="1">
      <alignment horizontal="right" wrapText="1"/>
    </xf>
    <xf numFmtId="1" fontId="5" fillId="4" borderId="222" xfId="0" applyNumberFormat="1" applyFont="1" applyFill="1" applyBorder="1" applyAlignment="1" applyProtection="1">
      <alignment wrapText="1"/>
      <protection locked="0"/>
    </xf>
    <xf numFmtId="1" fontId="5" fillId="4" borderId="226" xfId="0" applyNumberFormat="1" applyFont="1" applyFill="1" applyBorder="1" applyAlignment="1" applyProtection="1">
      <alignment wrapText="1"/>
      <protection locked="0"/>
    </xf>
    <xf numFmtId="1" fontId="5" fillId="4" borderId="225" xfId="0" applyNumberFormat="1" applyFont="1" applyFill="1" applyBorder="1" applyAlignment="1" applyProtection="1">
      <alignment wrapText="1"/>
      <protection locked="0"/>
    </xf>
    <xf numFmtId="1" fontId="5" fillId="4" borderId="22" xfId="0" applyNumberFormat="1" applyFont="1" applyFill="1" applyBorder="1" applyAlignment="1" applyProtection="1">
      <alignment wrapText="1"/>
      <protection locked="0"/>
    </xf>
    <xf numFmtId="1" fontId="5" fillId="4" borderId="255" xfId="0" applyNumberFormat="1" applyFont="1" applyFill="1" applyBorder="1" applyAlignment="1" applyProtection="1">
      <alignment wrapText="1"/>
      <protection locked="0"/>
    </xf>
    <xf numFmtId="1" fontId="5" fillId="4" borderId="362" xfId="0" applyNumberFormat="1" applyFont="1" applyFill="1" applyBorder="1" applyAlignment="1" applyProtection="1">
      <alignment wrapText="1"/>
      <protection locked="0"/>
    </xf>
    <xf numFmtId="1" fontId="5" fillId="4" borderId="251" xfId="0" applyNumberFormat="1" applyFont="1" applyFill="1" applyBorder="1" applyAlignment="1" applyProtection="1">
      <alignment wrapText="1"/>
      <protection locked="0"/>
    </xf>
    <xf numFmtId="1" fontId="5" fillId="3" borderId="371" xfId="0" applyNumberFormat="1" applyFont="1" applyFill="1" applyBorder="1" applyAlignment="1">
      <alignment horizontal="right" wrapText="1"/>
    </xf>
    <xf numFmtId="1" fontId="5" fillId="0" borderId="374" xfId="0" applyNumberFormat="1" applyFont="1" applyBorder="1" applyAlignment="1">
      <alignment horizontal="right" wrapText="1"/>
    </xf>
    <xf numFmtId="1" fontId="5" fillId="0" borderId="375" xfId="0" applyNumberFormat="1" applyFont="1" applyBorder="1" applyAlignment="1">
      <alignment horizontal="right" wrapText="1"/>
    </xf>
    <xf numFmtId="1" fontId="5" fillId="4" borderId="371" xfId="0" applyNumberFormat="1" applyFont="1" applyFill="1" applyBorder="1" applyAlignment="1" applyProtection="1">
      <alignment wrapText="1"/>
      <protection locked="0"/>
    </xf>
    <xf numFmtId="1" fontId="5" fillId="4" borderId="372" xfId="0" applyNumberFormat="1" applyFont="1" applyFill="1" applyBorder="1" applyAlignment="1" applyProtection="1">
      <alignment wrapText="1"/>
      <protection locked="0"/>
    </xf>
    <xf numFmtId="1" fontId="5" fillId="4" borderId="375" xfId="0" applyNumberFormat="1" applyFont="1" applyFill="1" applyBorder="1" applyAlignment="1" applyProtection="1">
      <alignment wrapText="1"/>
      <protection locked="0"/>
    </xf>
    <xf numFmtId="1" fontId="5" fillId="4" borderId="10" xfId="0" applyNumberFormat="1" applyFont="1" applyFill="1" applyBorder="1" applyAlignment="1" applyProtection="1">
      <alignment wrapText="1"/>
      <protection locked="0"/>
    </xf>
    <xf numFmtId="1" fontId="5" fillId="4" borderId="376" xfId="0" applyNumberFormat="1" applyFont="1" applyFill="1" applyBorder="1" applyAlignment="1" applyProtection="1">
      <alignment wrapText="1"/>
      <protection locked="0"/>
    </xf>
    <xf numFmtId="1" fontId="5" fillId="4" borderId="377" xfId="0" applyNumberFormat="1" applyFont="1" applyFill="1" applyBorder="1" applyAlignment="1" applyProtection="1">
      <alignment wrapText="1"/>
      <protection locked="0"/>
    </xf>
    <xf numFmtId="1" fontId="5" fillId="4" borderId="374" xfId="0" applyNumberFormat="1" applyFont="1" applyFill="1" applyBorder="1" applyAlignment="1" applyProtection="1">
      <alignment wrapText="1"/>
      <protection locked="0"/>
    </xf>
    <xf numFmtId="1" fontId="5" fillId="4" borderId="23" xfId="0" applyNumberFormat="1" applyFont="1" applyFill="1" applyBorder="1" applyAlignment="1" applyProtection="1">
      <alignment wrapText="1"/>
      <protection locked="0"/>
    </xf>
    <xf numFmtId="1" fontId="5" fillId="4" borderId="42" xfId="0" applyNumberFormat="1" applyFont="1" applyFill="1" applyBorder="1" applyAlignment="1" applyProtection="1">
      <alignment wrapText="1"/>
      <protection locked="0"/>
    </xf>
    <xf numFmtId="1" fontId="5" fillId="4" borderId="41" xfId="0" applyNumberFormat="1" applyFont="1" applyFill="1" applyBorder="1" applyAlignment="1" applyProtection="1">
      <alignment wrapText="1"/>
      <protection locked="0"/>
    </xf>
    <xf numFmtId="1" fontId="5" fillId="4" borderId="25" xfId="0" applyNumberFormat="1" applyFont="1" applyFill="1" applyBorder="1" applyAlignment="1" applyProtection="1">
      <alignment wrapText="1"/>
      <protection locked="0"/>
    </xf>
    <xf numFmtId="1" fontId="5" fillId="4" borderId="54" xfId="0" applyNumberFormat="1" applyFont="1" applyFill="1" applyBorder="1" applyAlignment="1" applyProtection="1">
      <alignment wrapText="1"/>
      <protection locked="0"/>
    </xf>
    <xf numFmtId="1" fontId="5" fillId="4" borderId="86" xfId="0" applyNumberFormat="1" applyFont="1" applyFill="1" applyBorder="1" applyAlignment="1" applyProtection="1">
      <alignment wrapText="1"/>
      <protection locked="0"/>
    </xf>
    <xf numFmtId="1" fontId="5" fillId="6" borderId="23" xfId="0" applyNumberFormat="1" applyFont="1" applyFill="1" applyBorder="1" applyAlignment="1">
      <alignment wrapText="1"/>
    </xf>
    <xf numFmtId="1" fontId="5" fillId="6" borderId="42" xfId="0" applyNumberFormat="1" applyFont="1" applyFill="1" applyBorder="1" applyAlignment="1">
      <alignment wrapText="1"/>
    </xf>
    <xf numFmtId="1" fontId="5" fillId="6" borderId="53" xfId="0" applyNumberFormat="1" applyFont="1" applyFill="1" applyBorder="1" applyAlignment="1">
      <alignment wrapText="1"/>
    </xf>
    <xf numFmtId="1" fontId="5" fillId="4" borderId="24" xfId="0" applyNumberFormat="1" applyFont="1" applyFill="1" applyBorder="1" applyAlignment="1" applyProtection="1">
      <alignment wrapText="1"/>
      <protection locked="0"/>
    </xf>
    <xf numFmtId="1" fontId="5" fillId="3" borderId="14" xfId="0" applyNumberFormat="1" applyFont="1" applyFill="1" applyBorder="1" applyAlignment="1">
      <alignment horizontal="right" wrapText="1"/>
    </xf>
    <xf numFmtId="1" fontId="5" fillId="6" borderId="14" xfId="0" applyNumberFormat="1" applyFont="1" applyFill="1" applyBorder="1" applyAlignment="1">
      <alignment wrapText="1"/>
    </xf>
    <xf numFmtId="1" fontId="5" fillId="6" borderId="18" xfId="0" applyNumberFormat="1" applyFont="1" applyFill="1" applyBorder="1" applyAlignment="1">
      <alignment wrapText="1"/>
    </xf>
    <xf numFmtId="1" fontId="5" fillId="6" borderId="57" xfId="0" applyNumberFormat="1" applyFont="1" applyFill="1" applyBorder="1" applyAlignment="1">
      <alignment wrapText="1"/>
    </xf>
    <xf numFmtId="1" fontId="5" fillId="0" borderId="211" xfId="0" applyNumberFormat="1" applyFont="1" applyBorder="1" applyAlignment="1">
      <alignment horizontal="right" wrapText="1"/>
    </xf>
    <xf numFmtId="1" fontId="5" fillId="6" borderId="375" xfId="0" applyNumberFormat="1" applyFont="1" applyFill="1" applyBorder="1" applyAlignment="1">
      <alignment wrapText="1"/>
    </xf>
    <xf numFmtId="1" fontId="5" fillId="7" borderId="239" xfId="0" applyNumberFormat="1" applyFont="1" applyFill="1" applyBorder="1" applyAlignment="1">
      <alignment wrapText="1"/>
    </xf>
    <xf numFmtId="1" fontId="5" fillId="7" borderId="377" xfId="0" applyNumberFormat="1" applyFont="1" applyFill="1" applyBorder="1" applyAlignment="1">
      <alignment wrapText="1"/>
    </xf>
    <xf numFmtId="1" fontId="5" fillId="6" borderId="16" xfId="0" applyNumberFormat="1" applyFont="1" applyFill="1" applyBorder="1" applyAlignment="1">
      <alignment wrapText="1"/>
    </xf>
    <xf numFmtId="1" fontId="5" fillId="7" borderId="229" xfId="0" applyNumberFormat="1" applyFont="1" applyFill="1" applyBorder="1" applyAlignment="1">
      <alignment wrapText="1"/>
    </xf>
    <xf numFmtId="1" fontId="5" fillId="7" borderId="376" xfId="0" applyNumberFormat="1" applyFont="1" applyFill="1" applyBorder="1" applyAlignment="1">
      <alignment wrapText="1"/>
    </xf>
    <xf numFmtId="1" fontId="5" fillId="6" borderId="62" xfId="0" applyNumberFormat="1" applyFont="1" applyFill="1" applyBorder="1" applyAlignment="1">
      <alignment wrapText="1"/>
    </xf>
    <xf numFmtId="1" fontId="5" fillId="6" borderId="229" xfId="0" applyNumberFormat="1" applyFont="1" applyFill="1" applyBorder="1" applyAlignment="1">
      <alignment wrapText="1"/>
    </xf>
    <xf numFmtId="1" fontId="5" fillId="6" borderId="239" xfId="0" applyNumberFormat="1" applyFont="1" applyFill="1" applyBorder="1" applyAlignment="1">
      <alignment wrapText="1"/>
    </xf>
    <xf numFmtId="1" fontId="5" fillId="6" borderId="376" xfId="0" applyNumberFormat="1" applyFont="1" applyFill="1" applyBorder="1" applyAlignment="1">
      <alignment wrapText="1"/>
    </xf>
    <xf numFmtId="1" fontId="5" fillId="6" borderId="377" xfId="0" applyNumberFormat="1" applyFont="1" applyFill="1" applyBorder="1" applyAlignment="1">
      <alignment wrapText="1"/>
    </xf>
    <xf numFmtId="1" fontId="5" fillId="3" borderId="243" xfId="0" applyNumberFormat="1" applyFont="1" applyFill="1" applyBorder="1" applyAlignment="1">
      <alignment horizontal="right" wrapText="1"/>
    </xf>
    <xf numFmtId="1" fontId="5" fillId="0" borderId="370" xfId="0" applyNumberFormat="1" applyFont="1" applyBorder="1" applyAlignment="1">
      <alignment horizontal="right" wrapText="1"/>
    </xf>
    <xf numFmtId="1" fontId="5" fillId="0" borderId="369" xfId="0" applyNumberFormat="1" applyFont="1" applyBorder="1" applyAlignment="1">
      <alignment horizontal="right" wrapText="1"/>
    </xf>
    <xf numFmtId="1" fontId="5" fillId="4" borderId="369" xfId="0" applyNumberFormat="1" applyFont="1" applyFill="1" applyBorder="1" applyAlignment="1" applyProtection="1">
      <alignment wrapText="1"/>
      <protection locked="0"/>
    </xf>
    <xf numFmtId="1" fontId="5" fillId="4" borderId="242" xfId="0" applyNumberFormat="1" applyFont="1" applyFill="1" applyBorder="1" applyAlignment="1" applyProtection="1">
      <alignment wrapText="1"/>
      <protection locked="0"/>
    </xf>
    <xf numFmtId="1" fontId="5" fillId="6" borderId="260" xfId="0" applyNumberFormat="1" applyFont="1" applyFill="1" applyBorder="1" applyAlignment="1">
      <alignment wrapText="1"/>
    </xf>
    <xf numFmtId="1" fontId="5" fillId="6" borderId="265" xfId="0" applyNumberFormat="1" applyFont="1" applyFill="1" applyBorder="1" applyAlignment="1">
      <alignment wrapText="1"/>
    </xf>
    <xf numFmtId="1" fontId="5" fillId="6" borderId="243" xfId="0" applyNumberFormat="1" applyFont="1" applyFill="1" applyBorder="1" applyAlignment="1">
      <alignment wrapText="1"/>
    </xf>
    <xf numFmtId="1" fontId="5" fillId="6" borderId="238" xfId="0" applyNumberFormat="1" applyFont="1" applyFill="1" applyBorder="1" applyAlignment="1">
      <alignment wrapText="1"/>
    </xf>
    <xf numFmtId="1" fontId="5" fillId="4" borderId="370" xfId="0" applyNumberFormat="1" applyFont="1" applyFill="1" applyBorder="1" applyAlignment="1" applyProtection="1">
      <alignment wrapText="1"/>
      <protection locked="0"/>
    </xf>
    <xf numFmtId="1" fontId="5" fillId="4" borderId="238" xfId="0" applyNumberFormat="1" applyFont="1" applyFill="1" applyBorder="1" applyAlignment="1" applyProtection="1">
      <alignment wrapText="1"/>
      <protection locked="0"/>
    </xf>
    <xf numFmtId="1" fontId="5" fillId="3" borderId="23" xfId="0" applyNumberFormat="1" applyFont="1" applyFill="1" applyBorder="1" applyAlignment="1">
      <alignment horizontal="right" wrapText="1"/>
    </xf>
    <xf numFmtId="1" fontId="5" fillId="7" borderId="205" xfId="0" applyNumberFormat="1" applyFont="1" applyFill="1" applyBorder="1" applyAlignment="1">
      <alignment wrapText="1"/>
    </xf>
    <xf numFmtId="1" fontId="5" fillId="7" borderId="104" xfId="0" applyNumberFormat="1" applyFont="1" applyFill="1" applyBorder="1" applyAlignment="1">
      <alignment wrapText="1"/>
    </xf>
    <xf numFmtId="1" fontId="5" fillId="7" borderId="211" xfId="0" applyNumberFormat="1" applyFont="1" applyFill="1" applyBorder="1" applyAlignment="1">
      <alignment wrapText="1"/>
    </xf>
    <xf numFmtId="1" fontId="5" fillId="6" borderId="205" xfId="0" applyNumberFormat="1" applyFont="1" applyFill="1" applyBorder="1" applyAlignment="1">
      <alignment wrapText="1"/>
    </xf>
    <xf numFmtId="1" fontId="5" fillId="6" borderId="104" xfId="0" applyNumberFormat="1" applyFont="1" applyFill="1" applyBorder="1" applyAlignment="1">
      <alignment wrapText="1"/>
    </xf>
    <xf numFmtId="1" fontId="5" fillId="6" borderId="211" xfId="0" applyNumberFormat="1" applyFont="1" applyFill="1" applyBorder="1" applyAlignment="1">
      <alignment wrapText="1"/>
    </xf>
    <xf numFmtId="1" fontId="5" fillId="0" borderId="379" xfId="5" applyNumberFormat="1" applyFont="1" applyFill="1" applyBorder="1" applyAlignment="1">
      <alignment horizontal="right" wrapText="1"/>
    </xf>
    <xf numFmtId="1" fontId="5" fillId="0" borderId="380" xfId="5" applyNumberFormat="1" applyFont="1" applyFill="1" applyBorder="1" applyAlignment="1">
      <alignment horizontal="right" wrapText="1"/>
    </xf>
    <xf numFmtId="1" fontId="5" fillId="7" borderId="371" xfId="0" applyNumberFormat="1" applyFont="1" applyFill="1" applyBorder="1" applyAlignment="1">
      <alignment wrapText="1"/>
    </xf>
    <xf numFmtId="1" fontId="5" fillId="7" borderId="372" xfId="0" applyNumberFormat="1" applyFont="1" applyFill="1" applyBorder="1" applyAlignment="1">
      <alignment wrapText="1"/>
    </xf>
    <xf numFmtId="1" fontId="5" fillId="7" borderId="375" xfId="0" applyNumberFormat="1" applyFont="1" applyFill="1" applyBorder="1" applyAlignment="1">
      <alignment wrapText="1"/>
    </xf>
    <xf numFmtId="1" fontId="5" fillId="7" borderId="23" xfId="0" applyNumberFormat="1" applyFont="1" applyFill="1" applyBorder="1" applyAlignment="1">
      <alignment wrapText="1"/>
    </xf>
    <xf numFmtId="1" fontId="5" fillId="7" borderId="42" xfId="0" applyNumberFormat="1" applyFont="1" applyFill="1" applyBorder="1" applyAlignment="1">
      <alignment wrapText="1"/>
    </xf>
    <xf numFmtId="1" fontId="5" fillId="7" borderId="41" xfId="0" applyNumberFormat="1" applyFont="1" applyFill="1" applyBorder="1" applyAlignment="1">
      <alignment wrapText="1"/>
    </xf>
    <xf numFmtId="1" fontId="5" fillId="0" borderId="381" xfId="5" applyNumberFormat="1" applyFont="1" applyFill="1" applyBorder="1" applyAlignment="1">
      <alignment horizontal="right" wrapText="1"/>
    </xf>
    <xf numFmtId="1" fontId="5" fillId="0" borderId="382" xfId="5" applyNumberFormat="1" applyFont="1" applyFill="1" applyBorder="1" applyAlignment="1">
      <alignment horizontal="right" wrapText="1"/>
    </xf>
    <xf numFmtId="1" fontId="5" fillId="7" borderId="14" xfId="0" applyNumberFormat="1" applyFont="1" applyFill="1" applyBorder="1" applyAlignment="1">
      <alignment wrapText="1"/>
    </xf>
    <xf numFmtId="1" fontId="5" fillId="7" borderId="18" xfId="0" applyNumberFormat="1" applyFont="1" applyFill="1" applyBorder="1" applyAlignment="1">
      <alignment wrapText="1"/>
    </xf>
    <xf numFmtId="1" fontId="5" fillId="7" borderId="27" xfId="0" applyNumberFormat="1" applyFont="1" applyFill="1" applyBorder="1" applyAlignment="1">
      <alignment wrapText="1"/>
    </xf>
    <xf numFmtId="1" fontId="5" fillId="0" borderId="384" xfId="5" applyNumberFormat="1" applyFont="1" applyFill="1" applyBorder="1" applyAlignment="1">
      <alignment horizontal="right" wrapText="1"/>
    </xf>
    <xf numFmtId="1" fontId="5" fillId="0" borderId="385" xfId="5" applyNumberFormat="1" applyFont="1" applyFill="1" applyBorder="1" applyAlignment="1">
      <alignment horizontal="right" wrapText="1"/>
    </xf>
    <xf numFmtId="1" fontId="5" fillId="7" borderId="222" xfId="0" applyNumberFormat="1" applyFont="1" applyFill="1" applyBorder="1" applyAlignment="1">
      <alignment wrapText="1"/>
    </xf>
    <xf numFmtId="1" fontId="5" fillId="7" borderId="226" xfId="0" applyNumberFormat="1" applyFont="1" applyFill="1" applyBorder="1" applyAlignment="1">
      <alignment wrapText="1"/>
    </xf>
    <xf numFmtId="1" fontId="5" fillId="7" borderId="225" xfId="0" applyNumberFormat="1" applyFont="1" applyFill="1" applyBorder="1" applyAlignment="1">
      <alignment wrapText="1"/>
    </xf>
    <xf numFmtId="1" fontId="5" fillId="6" borderId="225" xfId="0" applyNumberFormat="1" applyFont="1" applyFill="1" applyBorder="1" applyAlignment="1">
      <alignment wrapText="1"/>
    </xf>
    <xf numFmtId="1" fontId="5" fillId="6" borderId="226" xfId="0" applyNumberFormat="1" applyFont="1" applyFill="1" applyBorder="1" applyAlignment="1">
      <alignment wrapText="1"/>
    </xf>
    <xf numFmtId="1" fontId="5" fillId="6" borderId="222" xfId="0" applyNumberFormat="1" applyFont="1" applyFill="1" applyBorder="1" applyAlignment="1">
      <alignment wrapText="1"/>
    </xf>
    <xf numFmtId="1" fontId="5" fillId="0" borderId="387" xfId="5" applyNumberFormat="1" applyFont="1" applyFill="1" applyBorder="1" applyAlignment="1">
      <alignment horizontal="right" wrapText="1"/>
    </xf>
    <xf numFmtId="1" fontId="5" fillId="0" borderId="388" xfId="5" applyNumberFormat="1" applyFont="1" applyFill="1" applyBorder="1" applyAlignment="1">
      <alignment horizontal="right" wrapText="1"/>
    </xf>
    <xf numFmtId="1" fontId="5" fillId="6" borderId="61" xfId="0" applyNumberFormat="1" applyFont="1" applyFill="1" applyBorder="1" applyAlignment="1">
      <alignment wrapText="1"/>
    </xf>
    <xf numFmtId="1" fontId="5" fillId="6" borderId="107" xfId="0" applyNumberFormat="1" applyFont="1" applyFill="1" applyBorder="1" applyAlignment="1">
      <alignment wrapText="1"/>
    </xf>
    <xf numFmtId="1" fontId="5" fillId="6" borderId="30" xfId="0" applyNumberFormat="1" applyFont="1" applyFill="1" applyBorder="1" applyAlignment="1">
      <alignment wrapText="1"/>
    </xf>
    <xf numFmtId="1" fontId="5" fillId="0" borderId="389" xfId="0" applyNumberFormat="1" applyFont="1" applyBorder="1" applyAlignment="1">
      <alignment horizontal="right" wrapText="1"/>
    </xf>
    <xf numFmtId="1" fontId="5" fillId="6" borderId="390" xfId="0" applyNumberFormat="1" applyFont="1" applyFill="1" applyBorder="1" applyAlignment="1">
      <alignment wrapText="1"/>
    </xf>
    <xf numFmtId="1" fontId="5" fillId="6" borderId="369" xfId="0" applyNumberFormat="1" applyFont="1" applyFill="1" applyBorder="1" applyAlignment="1">
      <alignment wrapText="1"/>
    </xf>
    <xf numFmtId="1" fontId="5" fillId="0" borderId="371" xfId="0" applyNumberFormat="1" applyFont="1" applyBorder="1" applyAlignment="1">
      <alignment horizontal="right" wrapText="1"/>
    </xf>
    <xf numFmtId="1" fontId="5" fillId="3" borderId="251" xfId="0" applyNumberFormat="1" applyFont="1" applyFill="1" applyBorder="1" applyAlignment="1">
      <alignment horizontal="right" wrapText="1"/>
    </xf>
    <xf numFmtId="1" fontId="5" fillId="3" borderId="226" xfId="0" applyNumberFormat="1" applyFont="1" applyFill="1" applyBorder="1" applyAlignment="1">
      <alignment horizontal="right" wrapText="1"/>
    </xf>
    <xf numFmtId="1" fontId="5" fillId="3" borderId="372" xfId="0" applyNumberFormat="1" applyFont="1" applyFill="1" applyBorder="1" applyAlignment="1">
      <alignment horizontal="right" wrapText="1"/>
    </xf>
    <xf numFmtId="1" fontId="5" fillId="3" borderId="391" xfId="0" applyNumberFormat="1" applyFont="1" applyFill="1" applyBorder="1" applyAlignment="1">
      <alignment horizontal="right" wrapText="1"/>
    </xf>
    <xf numFmtId="1" fontId="5" fillId="3" borderId="375" xfId="0" applyNumberFormat="1" applyFont="1" applyFill="1" applyBorder="1" applyAlignment="1">
      <alignment horizontal="right" wrapText="1"/>
    </xf>
    <xf numFmtId="1" fontId="5" fillId="3" borderId="377" xfId="0" applyNumberFormat="1" applyFont="1" applyFill="1" applyBorder="1" applyAlignment="1">
      <alignment horizontal="right" wrapText="1"/>
    </xf>
    <xf numFmtId="1" fontId="5" fillId="6" borderId="371" xfId="0" applyNumberFormat="1" applyFont="1" applyFill="1" applyBorder="1" applyAlignment="1">
      <alignment horizontal="right" wrapText="1"/>
    </xf>
    <xf numFmtId="1" fontId="5" fillId="6" borderId="372" xfId="0" applyNumberFormat="1" applyFont="1" applyFill="1" applyBorder="1" applyAlignment="1">
      <alignment horizontal="right" wrapText="1"/>
    </xf>
    <xf numFmtId="1" fontId="5" fillId="3" borderId="15" xfId="0" applyNumberFormat="1" applyFont="1" applyFill="1" applyBorder="1" applyAlignment="1">
      <alignment horizontal="right" wrapText="1"/>
    </xf>
    <xf numFmtId="1" fontId="5" fillId="3" borderId="18" xfId="0" applyNumberFormat="1" applyFont="1" applyFill="1" applyBorder="1" applyAlignment="1">
      <alignment horizontal="right" wrapText="1"/>
    </xf>
    <xf numFmtId="1" fontId="5" fillId="3" borderId="49" xfId="0" applyNumberFormat="1" applyFont="1" applyFill="1" applyBorder="1" applyAlignment="1">
      <alignment horizontal="right" wrapText="1"/>
    </xf>
    <xf numFmtId="1" fontId="5" fillId="3" borderId="27" xfId="0" applyNumberFormat="1" applyFont="1" applyFill="1" applyBorder="1" applyAlignment="1">
      <alignment horizontal="right" wrapText="1"/>
    </xf>
    <xf numFmtId="1" fontId="5" fillId="3" borderId="16" xfId="0" applyNumberFormat="1" applyFont="1" applyFill="1" applyBorder="1" applyAlignment="1">
      <alignment horizontal="right" wrapText="1"/>
    </xf>
    <xf numFmtId="1" fontId="5" fillId="6" borderId="18" xfId="0" applyNumberFormat="1" applyFont="1" applyFill="1" applyBorder="1" applyAlignment="1">
      <alignment horizontal="right" wrapText="1"/>
    </xf>
    <xf numFmtId="1" fontId="20" fillId="0" borderId="0" xfId="0" applyNumberFormat="1" applyFont="1"/>
    <xf numFmtId="1" fontId="5" fillId="0" borderId="399" xfId="0" applyNumberFormat="1" applyFont="1" applyBorder="1" applyAlignment="1">
      <alignment horizontal="center" vertical="center" wrapText="1"/>
    </xf>
    <xf numFmtId="1" fontId="5" fillId="0" borderId="400" xfId="0" applyNumberFormat="1" applyFont="1" applyBorder="1" applyAlignment="1">
      <alignment horizontal="center" vertical="center" wrapText="1"/>
    </xf>
    <xf numFmtId="1" fontId="5" fillId="0" borderId="401" xfId="0" applyNumberFormat="1" applyFont="1" applyBorder="1" applyAlignment="1">
      <alignment horizontal="center" vertical="center" wrapText="1"/>
    </xf>
    <xf numFmtId="1" fontId="5" fillId="0" borderId="405" xfId="0" applyNumberFormat="1" applyFont="1" applyBorder="1"/>
    <xf numFmtId="1" fontId="5" fillId="4" borderId="406" xfId="0" applyNumberFormat="1" applyFont="1" applyFill="1" applyBorder="1" applyProtection="1">
      <protection locked="0"/>
    </xf>
    <xf numFmtId="1" fontId="5" fillId="0" borderId="373" xfId="0" applyNumberFormat="1" applyFont="1" applyBorder="1"/>
    <xf numFmtId="1" fontId="5" fillId="4" borderId="375" xfId="0" applyNumberFormat="1" applyFont="1" applyFill="1" applyBorder="1" applyProtection="1">
      <protection locked="0"/>
    </xf>
    <xf numFmtId="1" fontId="5" fillId="4" borderId="372" xfId="0" applyNumberFormat="1" applyFont="1" applyFill="1" applyBorder="1" applyProtection="1">
      <protection locked="0"/>
    </xf>
    <xf numFmtId="1" fontId="5" fillId="4" borderId="407" xfId="0" applyNumberFormat="1" applyFont="1" applyFill="1" applyBorder="1" applyProtection="1">
      <protection locked="0"/>
    </xf>
    <xf numFmtId="1" fontId="5" fillId="4" borderId="408" xfId="0" applyNumberFormat="1" applyFont="1" applyFill="1" applyBorder="1" applyProtection="1">
      <protection locked="0"/>
    </xf>
    <xf numFmtId="1" fontId="5" fillId="4" borderId="373" xfId="0" applyNumberFormat="1" applyFont="1" applyFill="1" applyBorder="1" applyProtection="1">
      <protection locked="0"/>
    </xf>
    <xf numFmtId="1" fontId="17" fillId="5" borderId="35" xfId="0" applyNumberFormat="1" applyFont="1" applyFill="1" applyBorder="1" applyAlignment="1">
      <alignment horizontal="left"/>
    </xf>
    <xf numFmtId="1" fontId="17" fillId="3" borderId="35" xfId="0" applyNumberFormat="1" applyFont="1" applyFill="1" applyBorder="1" applyAlignment="1">
      <alignment horizontal="left"/>
    </xf>
    <xf numFmtId="1" fontId="5" fillId="0" borderId="409" xfId="0" applyNumberFormat="1" applyFont="1" applyBorder="1" applyAlignment="1" applyProtection="1">
      <alignment horizontal="center" vertical="center" wrapText="1"/>
      <protection hidden="1"/>
    </xf>
    <xf numFmtId="1" fontId="5" fillId="4" borderId="405" xfId="0" applyNumberFormat="1" applyFont="1" applyFill="1" applyBorder="1" applyProtection="1">
      <protection locked="0"/>
    </xf>
    <xf numFmtId="1" fontId="3" fillId="0" borderId="36" xfId="0" applyNumberFormat="1" applyFont="1" applyBorder="1" applyAlignment="1">
      <alignment horizontal="center" vertical="center"/>
    </xf>
    <xf numFmtId="1" fontId="5" fillId="4" borderId="251" xfId="0" applyNumberFormat="1" applyFont="1" applyFill="1" applyBorder="1" applyProtection="1">
      <protection locked="0"/>
    </xf>
    <xf numFmtId="1" fontId="5" fillId="7" borderId="371" xfId="0" applyNumberFormat="1" applyFont="1" applyFill="1" applyBorder="1"/>
    <xf numFmtId="1" fontId="5" fillId="7" borderId="372" xfId="0" applyNumberFormat="1" applyFont="1" applyFill="1" applyBorder="1"/>
    <xf numFmtId="1" fontId="5" fillId="4" borderId="371" xfId="0" applyNumberFormat="1" applyFont="1" applyFill="1" applyBorder="1" applyProtection="1">
      <protection locked="0"/>
    </xf>
    <xf numFmtId="1" fontId="5" fillId="4" borderId="374" xfId="0" applyNumberFormat="1" applyFont="1" applyFill="1" applyBorder="1" applyProtection="1">
      <protection locked="0"/>
    </xf>
    <xf numFmtId="1" fontId="5" fillId="4" borderId="390" xfId="0" applyNumberFormat="1" applyFont="1" applyFill="1" applyBorder="1" applyProtection="1">
      <protection locked="0"/>
    </xf>
    <xf numFmtId="1" fontId="5" fillId="4" borderId="410" xfId="0" applyNumberFormat="1" applyFont="1" applyFill="1" applyBorder="1" applyProtection="1">
      <protection locked="0"/>
    </xf>
    <xf numFmtId="1" fontId="5" fillId="4" borderId="373" xfId="0" applyNumberFormat="1" applyFont="1" applyFill="1" applyBorder="1" applyAlignment="1" applyProtection="1">
      <alignment wrapText="1"/>
      <protection locked="0"/>
    </xf>
    <xf numFmtId="1" fontId="5" fillId="0" borderId="373" xfId="0" applyNumberFormat="1" applyFont="1" applyBorder="1" applyAlignment="1">
      <alignment horizontal="left" vertical="center" wrapText="1"/>
    </xf>
    <xf numFmtId="1" fontId="5" fillId="4" borderId="391" xfId="0" applyNumberFormat="1" applyFont="1" applyFill="1" applyBorder="1" applyProtection="1">
      <protection locked="0"/>
    </xf>
    <xf numFmtId="1" fontId="5" fillId="4" borderId="45" xfId="0" applyNumberFormat="1" applyFont="1" applyFill="1" applyBorder="1" applyProtection="1">
      <protection locked="0"/>
    </xf>
    <xf numFmtId="1" fontId="5" fillId="4" borderId="422" xfId="0" applyNumberFormat="1" applyFont="1" applyFill="1" applyBorder="1" applyProtection="1">
      <protection locked="0"/>
    </xf>
    <xf numFmtId="1" fontId="5" fillId="4" borderId="377" xfId="0" applyNumberFormat="1" applyFont="1" applyFill="1" applyBorder="1" applyProtection="1">
      <protection locked="0"/>
    </xf>
    <xf numFmtId="1" fontId="5" fillId="0" borderId="423" xfId="0" applyNumberFormat="1" applyFont="1" applyBorder="1"/>
    <xf numFmtId="1" fontId="5" fillId="0" borderId="373" xfId="0" applyNumberFormat="1" applyFont="1" applyBorder="1" applyAlignment="1">
      <alignment horizontal="left" vertical="center"/>
    </xf>
    <xf numFmtId="1" fontId="5" fillId="4" borderId="262" xfId="0" applyNumberFormat="1" applyFont="1" applyFill="1" applyBorder="1" applyProtection="1">
      <protection locked="0"/>
    </xf>
    <xf numFmtId="1" fontId="5" fillId="0" borderId="390" xfId="0" applyNumberFormat="1" applyFont="1" applyBorder="1"/>
    <xf numFmtId="1" fontId="5" fillId="3" borderId="373" xfId="0" applyNumberFormat="1" applyFont="1" applyFill="1" applyBorder="1"/>
    <xf numFmtId="0" fontId="5" fillId="0" borderId="373" xfId="0" applyFont="1" applyBorder="1" applyAlignment="1">
      <alignment vertical="center" wrapText="1"/>
    </xf>
    <xf numFmtId="1" fontId="5" fillId="0" borderId="373" xfId="0" applyNumberFormat="1" applyFont="1" applyBorder="1" applyAlignment="1">
      <alignment horizontal="right" vertical="center" wrapText="1"/>
    </xf>
    <xf numFmtId="1" fontId="5" fillId="0" borderId="373" xfId="0" applyNumberFormat="1" applyFont="1" applyBorder="1" applyAlignment="1">
      <alignment wrapText="1"/>
    </xf>
    <xf numFmtId="1" fontId="3" fillId="4" borderId="22" xfId="0" applyNumberFormat="1" applyFont="1" applyFill="1" applyBorder="1" applyProtection="1">
      <protection locked="0"/>
    </xf>
    <xf numFmtId="1" fontId="3" fillId="4" borderId="208" xfId="0" applyNumberFormat="1" applyFont="1" applyFill="1" applyBorder="1" applyProtection="1">
      <protection locked="0"/>
    </xf>
    <xf numFmtId="1" fontId="3" fillId="0" borderId="378" xfId="0" applyNumberFormat="1" applyFont="1" applyBorder="1" applyAlignment="1">
      <alignment vertical="center"/>
    </xf>
    <xf numFmtId="1" fontId="3" fillId="4" borderId="373" xfId="0" applyNumberFormat="1" applyFont="1" applyFill="1" applyBorder="1" applyProtection="1">
      <protection locked="0"/>
    </xf>
    <xf numFmtId="1" fontId="3" fillId="4" borderId="391" xfId="0" applyNumberFormat="1" applyFont="1" applyFill="1" applyBorder="1" applyProtection="1">
      <protection locked="0"/>
    </xf>
    <xf numFmtId="1" fontId="3" fillId="0" borderId="373" xfId="0" applyNumberFormat="1" applyFont="1" applyBorder="1" applyAlignment="1">
      <alignment wrapText="1"/>
    </xf>
    <xf numFmtId="1" fontId="3" fillId="4" borderId="371" xfId="0" applyNumberFormat="1" applyFont="1" applyFill="1" applyBorder="1" applyProtection="1">
      <protection locked="0"/>
    </xf>
    <xf numFmtId="1" fontId="3" fillId="4" borderId="254" xfId="0" applyNumberFormat="1" applyFont="1" applyFill="1" applyBorder="1" applyProtection="1">
      <protection locked="0"/>
    </xf>
    <xf numFmtId="1" fontId="3" fillId="4" borderId="375" xfId="0" applyNumberFormat="1" applyFont="1" applyFill="1" applyBorder="1" applyProtection="1">
      <protection locked="0"/>
    </xf>
    <xf numFmtId="1" fontId="3" fillId="0" borderId="378" xfId="0" applyNumberFormat="1" applyFont="1" applyBorder="1" applyAlignment="1">
      <alignment wrapText="1"/>
    </xf>
    <xf numFmtId="1" fontId="3" fillId="4" borderId="372" xfId="0" applyNumberFormat="1" applyFont="1" applyFill="1" applyBorder="1" applyProtection="1">
      <protection locked="0"/>
    </xf>
    <xf numFmtId="1" fontId="3" fillId="4" borderId="407" xfId="0" applyNumberFormat="1" applyFont="1" applyFill="1" applyBorder="1" applyProtection="1">
      <protection locked="0"/>
    </xf>
    <xf numFmtId="1" fontId="3" fillId="6" borderId="208" xfId="0" applyNumberFormat="1" applyFont="1" applyFill="1" applyBorder="1"/>
    <xf numFmtId="1" fontId="3" fillId="4" borderId="225" xfId="0" applyNumberFormat="1" applyFont="1" applyFill="1" applyBorder="1" applyProtection="1">
      <protection locked="0"/>
    </xf>
    <xf numFmtId="1" fontId="3" fillId="4" borderId="49" xfId="0" applyNumberFormat="1" applyFont="1" applyFill="1" applyBorder="1" applyProtection="1">
      <protection locked="0"/>
    </xf>
    <xf numFmtId="1" fontId="3" fillId="0" borderId="220" xfId="0" applyNumberFormat="1" applyFont="1" applyBorder="1" applyAlignment="1">
      <alignment horizontal="center" vertical="center"/>
    </xf>
    <xf numFmtId="1" fontId="3" fillId="0" borderId="373" xfId="0" applyNumberFormat="1" applyFont="1" applyBorder="1"/>
    <xf numFmtId="1" fontId="3" fillId="0" borderId="13" xfId="0" applyNumberFormat="1" applyFont="1" applyBorder="1"/>
    <xf numFmtId="1" fontId="3" fillId="0" borderId="0" xfId="0" applyNumberFormat="1" applyFont="1"/>
    <xf numFmtId="1" fontId="3" fillId="0" borderId="373" xfId="0" applyNumberFormat="1" applyFont="1" applyBorder="1" applyAlignment="1">
      <alignment vertical="center" wrapText="1"/>
    </xf>
    <xf numFmtId="1" fontId="3" fillId="0" borderId="410" xfId="0" applyNumberFormat="1" applyFont="1" applyBorder="1"/>
    <xf numFmtId="1" fontId="3" fillId="0" borderId="11" xfId="0" applyNumberFormat="1" applyFont="1" applyBorder="1" applyAlignment="1">
      <alignment vertical="center"/>
    </xf>
    <xf numFmtId="1" fontId="3" fillId="0" borderId="373" xfId="0" applyNumberFormat="1" applyFont="1" applyBorder="1" applyAlignment="1">
      <alignment vertical="center"/>
    </xf>
    <xf numFmtId="1" fontId="3" fillId="0" borderId="373" xfId="0" applyNumberFormat="1" applyFont="1" applyBorder="1" applyAlignment="1">
      <alignment horizontal="left" vertical="center"/>
    </xf>
    <xf numFmtId="1" fontId="5" fillId="0" borderId="371" xfId="0" applyNumberFormat="1" applyFont="1" applyBorder="1"/>
    <xf numFmtId="1" fontId="5" fillId="4" borderId="376" xfId="0" applyNumberFormat="1" applyFont="1" applyFill="1" applyBorder="1" applyProtection="1">
      <protection locked="0"/>
    </xf>
    <xf numFmtId="1" fontId="3" fillId="0" borderId="430" xfId="0" applyNumberFormat="1" applyFont="1" applyBorder="1" applyAlignment="1">
      <alignment horizontal="center" vertical="center"/>
    </xf>
    <xf numFmtId="0" fontId="6" fillId="0" borderId="0" xfId="0" applyFont="1"/>
    <xf numFmtId="1" fontId="3" fillId="0" borderId="438" xfId="0" applyNumberFormat="1" applyFont="1" applyBorder="1" applyAlignment="1">
      <alignment horizontal="center" vertical="center"/>
    </xf>
    <xf numFmtId="1" fontId="3" fillId="0" borderId="439" xfId="0" applyNumberFormat="1" applyFont="1" applyBorder="1" applyAlignment="1">
      <alignment horizontal="center" vertical="center"/>
    </xf>
    <xf numFmtId="1" fontId="3" fillId="0" borderId="431" xfId="0" applyNumberFormat="1" applyFont="1" applyBorder="1" applyAlignment="1">
      <alignment horizontal="center" vertical="center"/>
    </xf>
    <xf numFmtId="1" fontId="3" fillId="0" borderId="440" xfId="0" applyNumberFormat="1" applyFont="1" applyBorder="1" applyAlignment="1">
      <alignment horizontal="center" vertical="center"/>
    </xf>
    <xf numFmtId="1" fontId="3" fillId="0" borderId="428" xfId="0" applyNumberFormat="1" applyFont="1" applyBorder="1" applyAlignment="1">
      <alignment vertical="center"/>
    </xf>
    <xf numFmtId="1" fontId="3" fillId="0" borderId="420" xfId="0" applyNumberFormat="1" applyFont="1" applyBorder="1" applyAlignment="1">
      <alignment horizontal="right" vertical="center"/>
    </xf>
    <xf numFmtId="1" fontId="3" fillId="0" borderId="422" xfId="0" applyNumberFormat="1" applyFont="1" applyBorder="1" applyAlignment="1">
      <alignment horizontal="right" vertical="center"/>
    </xf>
    <xf numFmtId="1" fontId="3" fillId="0" borderId="441" xfId="0" applyNumberFormat="1" applyFont="1" applyBorder="1" applyAlignment="1">
      <alignment horizontal="right" vertical="center"/>
    </xf>
    <xf numFmtId="1" fontId="3" fillId="4" borderId="428" xfId="0" applyNumberFormat="1" applyFont="1" applyFill="1" applyBorder="1" applyAlignment="1" applyProtection="1">
      <alignment horizontal="right"/>
      <protection locked="0"/>
    </xf>
    <xf numFmtId="1" fontId="3" fillId="4" borderId="441" xfId="0" applyNumberFormat="1" applyFont="1" applyFill="1" applyBorder="1" applyAlignment="1" applyProtection="1">
      <alignment horizontal="right"/>
      <protection locked="0"/>
    </xf>
    <xf numFmtId="1" fontId="3" fillId="4" borderId="104" xfId="0" applyNumberFormat="1" applyFont="1" applyFill="1" applyBorder="1" applyAlignment="1" applyProtection="1">
      <alignment horizontal="right"/>
      <protection locked="0"/>
    </xf>
    <xf numFmtId="1" fontId="3" fillId="4" borderId="422" xfId="0" applyNumberFormat="1" applyFont="1" applyFill="1" applyBorder="1" applyAlignment="1" applyProtection="1">
      <alignment horizontal="right"/>
      <protection locked="0"/>
    </xf>
    <xf numFmtId="1" fontId="3" fillId="4" borderId="112" xfId="0" applyNumberFormat="1" applyFont="1" applyFill="1" applyBorder="1" applyAlignment="1" applyProtection="1">
      <alignment horizontal="right"/>
      <protection locked="0"/>
    </xf>
    <xf numFmtId="1" fontId="3" fillId="4" borderId="442" xfId="0" applyNumberFormat="1" applyFont="1" applyFill="1" applyBorder="1" applyAlignment="1" applyProtection="1">
      <alignment horizontal="right"/>
      <protection locked="0"/>
    </xf>
    <xf numFmtId="1" fontId="3" fillId="0" borderId="373" xfId="0" applyNumberFormat="1" applyFont="1" applyBorder="1" applyAlignment="1">
      <alignment horizontal="right" vertical="center"/>
    </xf>
    <xf numFmtId="1" fontId="3" fillId="0" borderId="375" xfId="0" applyNumberFormat="1" applyFont="1" applyBorder="1" applyAlignment="1">
      <alignment horizontal="right" vertical="center"/>
    </xf>
    <xf numFmtId="1" fontId="3" fillId="0" borderId="10" xfId="0" applyNumberFormat="1" applyFont="1" applyBorder="1" applyAlignment="1">
      <alignment horizontal="right" vertical="center"/>
    </xf>
    <xf numFmtId="1" fontId="3" fillId="4" borderId="371" xfId="0" applyNumberFormat="1" applyFont="1" applyFill="1" applyBorder="1" applyAlignment="1" applyProtection="1">
      <alignment horizontal="right"/>
      <protection locked="0"/>
    </xf>
    <xf numFmtId="1" fontId="3" fillId="4" borderId="372" xfId="0" applyNumberFormat="1" applyFont="1" applyFill="1" applyBorder="1" applyAlignment="1" applyProtection="1">
      <alignment horizontal="right"/>
      <protection locked="0"/>
    </xf>
    <xf numFmtId="1" fontId="3" fillId="4" borderId="375" xfId="0" applyNumberFormat="1" applyFont="1" applyFill="1" applyBorder="1" applyAlignment="1" applyProtection="1">
      <alignment horizontal="right"/>
      <protection locked="0"/>
    </xf>
    <xf numFmtId="1" fontId="3" fillId="4" borderId="377" xfId="0" applyNumberFormat="1" applyFont="1" applyFill="1" applyBorder="1" applyAlignment="1" applyProtection="1">
      <alignment horizontal="right"/>
      <protection locked="0"/>
    </xf>
    <xf numFmtId="1" fontId="3" fillId="4" borderId="407" xfId="0" applyNumberFormat="1" applyFont="1" applyFill="1" applyBorder="1" applyAlignment="1" applyProtection="1">
      <alignment horizontal="right"/>
      <protection locked="0"/>
    </xf>
    <xf numFmtId="1" fontId="3" fillId="0" borderId="378" xfId="0" applyNumberFormat="1" applyFont="1" applyBorder="1" applyAlignment="1">
      <alignment vertical="center" wrapText="1"/>
    </xf>
    <xf numFmtId="1" fontId="3" fillId="0" borderId="373" xfId="0" applyNumberFormat="1" applyFont="1" applyBorder="1" applyAlignment="1">
      <alignment horizontal="right" vertical="center" wrapText="1"/>
    </xf>
    <xf numFmtId="1" fontId="3" fillId="0" borderId="375" xfId="0" applyNumberFormat="1" applyFont="1" applyBorder="1" applyAlignment="1">
      <alignment horizontal="right" vertical="center" wrapText="1"/>
    </xf>
    <xf numFmtId="1" fontId="3" fillId="0" borderId="371" xfId="0" applyNumberFormat="1" applyFont="1" applyBorder="1" applyAlignment="1">
      <alignment vertical="center"/>
    </xf>
    <xf numFmtId="1" fontId="3" fillId="0" borderId="371" xfId="0" applyNumberFormat="1" applyFont="1" applyBorder="1" applyAlignment="1">
      <alignment vertical="center" wrapText="1"/>
    </xf>
    <xf numFmtId="1" fontId="3" fillId="7" borderId="371" xfId="0" applyNumberFormat="1" applyFont="1" applyFill="1" applyBorder="1" applyAlignment="1">
      <alignment horizontal="right"/>
    </xf>
    <xf numFmtId="1" fontId="3" fillId="7" borderId="372" xfId="0" applyNumberFormat="1" applyFont="1" applyFill="1" applyBorder="1" applyAlignment="1">
      <alignment horizontal="right"/>
    </xf>
    <xf numFmtId="1" fontId="3" fillId="7" borderId="375" xfId="0" applyNumberFormat="1" applyFont="1" applyFill="1" applyBorder="1" applyAlignment="1">
      <alignment horizontal="right"/>
    </xf>
    <xf numFmtId="1" fontId="3" fillId="7" borderId="377" xfId="0" applyNumberFormat="1" applyFont="1" applyFill="1" applyBorder="1" applyAlignment="1">
      <alignment horizontal="right"/>
    </xf>
    <xf numFmtId="1" fontId="3" fillId="7" borderId="52" xfId="0" applyNumberFormat="1" applyFont="1" applyFill="1" applyBorder="1" applyAlignment="1">
      <alignment horizontal="right"/>
    </xf>
    <xf numFmtId="1" fontId="3" fillId="7" borderId="407" xfId="0" applyNumberFormat="1" applyFont="1" applyFill="1" applyBorder="1" applyAlignment="1">
      <alignment horizontal="right"/>
    </xf>
    <xf numFmtId="1" fontId="3" fillId="7" borderId="10" xfId="0" applyNumberFormat="1" applyFont="1" applyFill="1" applyBorder="1" applyAlignment="1">
      <alignment horizontal="right"/>
    </xf>
    <xf numFmtId="1" fontId="3" fillId="0" borderId="14" xfId="0" applyNumberFormat="1" applyFont="1" applyBorder="1" applyAlignment="1">
      <alignment vertical="center" wrapText="1"/>
    </xf>
    <xf numFmtId="1" fontId="3" fillId="0" borderId="27" xfId="0" applyNumberFormat="1" applyFont="1" applyBorder="1" applyAlignment="1">
      <alignment horizontal="right" vertical="center" wrapText="1"/>
    </xf>
    <xf numFmtId="1" fontId="3" fillId="0" borderId="12" xfId="0" applyNumberFormat="1" applyFont="1" applyBorder="1" applyAlignment="1">
      <alignment horizontal="right" vertical="center"/>
    </xf>
    <xf numFmtId="1" fontId="3" fillId="4" borderId="18" xfId="0" applyNumberFormat="1" applyFont="1" applyFill="1" applyBorder="1" applyAlignment="1" applyProtection="1">
      <alignment horizontal="right"/>
      <protection locked="0"/>
    </xf>
    <xf numFmtId="1" fontId="3" fillId="4" borderId="57" xfId="0" applyNumberFormat="1" applyFont="1" applyFill="1" applyBorder="1" applyAlignment="1" applyProtection="1">
      <alignment horizontal="right"/>
      <protection locked="0"/>
    </xf>
    <xf numFmtId="1" fontId="3" fillId="0" borderId="430" xfId="0" applyNumberFormat="1" applyFont="1" applyBorder="1" applyAlignment="1">
      <alignment horizontal="right" vertical="center"/>
    </xf>
    <xf numFmtId="1" fontId="3" fillId="0" borderId="443" xfId="0" applyNumberFormat="1" applyFont="1" applyBorder="1" applyAlignment="1">
      <alignment horizontal="right" vertical="center"/>
    </xf>
    <xf numFmtId="1" fontId="3" fillId="0" borderId="427" xfId="0" applyNumberFormat="1" applyFont="1" applyBorder="1" applyAlignment="1">
      <alignment horizontal="right" vertical="center"/>
    </xf>
    <xf numFmtId="1" fontId="3" fillId="0" borderId="444" xfId="0" applyNumberFormat="1" applyFont="1" applyBorder="1" applyAlignment="1">
      <alignment horizontal="right"/>
    </xf>
    <xf numFmtId="1" fontId="3" fillId="0" borderId="445" xfId="0" applyNumberFormat="1" applyFont="1" applyBorder="1" applyAlignment="1">
      <alignment horizontal="right"/>
    </xf>
    <xf numFmtId="1" fontId="3" fillId="0" borderId="446" xfId="0" applyNumberFormat="1" applyFont="1" applyBorder="1" applyAlignment="1">
      <alignment horizontal="right"/>
    </xf>
    <xf numFmtId="1" fontId="3" fillId="0" borderId="447" xfId="0" applyNumberFormat="1" applyFont="1" applyBorder="1" applyAlignment="1">
      <alignment horizontal="right"/>
    </xf>
    <xf numFmtId="1" fontId="3" fillId="0" borderId="423" xfId="0" applyNumberFormat="1" applyFont="1" applyBorder="1" applyAlignment="1">
      <alignment horizontal="right"/>
    </xf>
    <xf numFmtId="1" fontId="3" fillId="0" borderId="448" xfId="0" applyNumberFormat="1" applyFont="1" applyBorder="1" applyAlignment="1">
      <alignment horizontal="right"/>
    </xf>
    <xf numFmtId="1" fontId="3" fillId="0" borderId="444" xfId="0" applyNumberFormat="1" applyFont="1" applyBorder="1" applyAlignment="1">
      <alignment horizontal="center" vertical="center"/>
    </xf>
    <xf numFmtId="1" fontId="3" fillId="0" borderId="450" xfId="0" applyNumberFormat="1" applyFont="1" applyBorder="1" applyAlignment="1">
      <alignment horizontal="center" vertical="center"/>
    </xf>
    <xf numFmtId="1" fontId="3" fillId="0" borderId="445" xfId="0" applyNumberFormat="1" applyFont="1" applyBorder="1" applyAlignment="1">
      <alignment horizontal="center" vertical="center"/>
    </xf>
    <xf numFmtId="1" fontId="3" fillId="0" borderId="434" xfId="0" applyNumberFormat="1" applyFont="1" applyBorder="1" applyAlignment="1">
      <alignment horizontal="center" vertical="center"/>
    </xf>
    <xf numFmtId="1" fontId="3" fillId="0" borderId="420" xfId="0" applyNumberFormat="1" applyFont="1" applyBorder="1" applyAlignment="1">
      <alignment vertical="center" wrapText="1"/>
    </xf>
    <xf numFmtId="1" fontId="3" fillId="0" borderId="222" xfId="0" applyNumberFormat="1" applyFont="1" applyBorder="1" applyAlignment="1">
      <alignment horizontal="right" vertical="center" wrapText="1"/>
    </xf>
    <xf numFmtId="1" fontId="3" fillId="0" borderId="251" xfId="0" applyNumberFormat="1" applyFont="1" applyBorder="1" applyAlignment="1">
      <alignment horizontal="right" vertical="center" wrapText="1"/>
    </xf>
    <xf numFmtId="1" fontId="3" fillId="0" borderId="22" xfId="0" applyNumberFormat="1" applyFont="1" applyBorder="1" applyAlignment="1">
      <alignment horizontal="right" vertical="center"/>
    </xf>
    <xf numFmtId="1" fontId="3" fillId="4" borderId="226" xfId="0" applyNumberFormat="1" applyFont="1" applyFill="1" applyBorder="1" applyAlignment="1" applyProtection="1">
      <alignment horizontal="right"/>
      <protection locked="0"/>
    </xf>
    <xf numFmtId="1" fontId="3" fillId="7" borderId="222" xfId="0" applyNumberFormat="1" applyFont="1" applyFill="1" applyBorder="1" applyAlignment="1">
      <alignment horizontal="right"/>
    </xf>
    <xf numFmtId="1" fontId="3" fillId="7" borderId="226" xfId="0" applyNumberFormat="1" applyFont="1" applyFill="1" applyBorder="1" applyAlignment="1">
      <alignment horizontal="right"/>
    </xf>
    <xf numFmtId="1" fontId="3" fillId="7" borderId="439" xfId="0" applyNumberFormat="1" applyFont="1" applyFill="1" applyBorder="1" applyAlignment="1">
      <alignment horizontal="right"/>
    </xf>
    <xf numFmtId="1" fontId="3" fillId="7" borderId="59" xfId="0" applyNumberFormat="1" applyFont="1" applyFill="1" applyBorder="1" applyAlignment="1">
      <alignment horizontal="right"/>
    </xf>
    <xf numFmtId="1" fontId="3" fillId="7" borderId="128" xfId="0" applyNumberFormat="1" applyFont="1" applyFill="1" applyBorder="1" applyAlignment="1">
      <alignment horizontal="right"/>
    </xf>
    <xf numFmtId="1" fontId="3" fillId="7" borderId="256" xfId="0" applyNumberFormat="1" applyFont="1" applyFill="1" applyBorder="1" applyAlignment="1">
      <alignment horizontal="right"/>
    </xf>
    <xf numFmtId="1" fontId="3" fillId="0" borderId="33" xfId="0" applyNumberFormat="1" applyFont="1" applyBorder="1" applyAlignment="1">
      <alignment vertical="center" wrapText="1"/>
    </xf>
    <xf numFmtId="1" fontId="3" fillId="0" borderId="61" xfId="0" applyNumberFormat="1" applyFont="1" applyBorder="1" applyAlignment="1">
      <alignment horizontal="right" vertical="center" wrapText="1"/>
    </xf>
    <xf numFmtId="1" fontId="3" fillId="0" borderId="29" xfId="0" applyNumberFormat="1" applyFont="1" applyBorder="1" applyAlignment="1">
      <alignment horizontal="right" vertical="center" wrapText="1"/>
    </xf>
    <xf numFmtId="1" fontId="3" fillId="0" borderId="220" xfId="0" applyNumberFormat="1" applyFont="1" applyBorder="1" applyAlignment="1">
      <alignment horizontal="right" vertical="center"/>
    </xf>
    <xf numFmtId="1" fontId="3" fillId="4" borderId="220" xfId="0" applyNumberFormat="1" applyFont="1" applyFill="1" applyBorder="1" applyAlignment="1" applyProtection="1">
      <alignment horizontal="right"/>
      <protection locked="0"/>
    </xf>
    <xf numFmtId="1" fontId="3" fillId="4" borderId="451" xfId="0" applyNumberFormat="1" applyFont="1" applyFill="1" applyBorder="1" applyAlignment="1" applyProtection="1">
      <alignment horizontal="right"/>
      <protection locked="0"/>
    </xf>
    <xf numFmtId="1" fontId="3" fillId="7" borderId="61" xfId="0" applyNumberFormat="1" applyFont="1" applyFill="1" applyBorder="1" applyAlignment="1">
      <alignment horizontal="right"/>
    </xf>
    <xf numFmtId="1" fontId="3" fillId="7" borderId="451" xfId="0" applyNumberFormat="1" applyFont="1" applyFill="1" applyBorder="1" applyAlignment="1">
      <alignment horizontal="right"/>
    </xf>
    <xf numFmtId="1" fontId="3" fillId="7" borderId="411" xfId="0" applyNumberFormat="1" applyFont="1" applyFill="1" applyBorder="1" applyAlignment="1">
      <alignment horizontal="right"/>
    </xf>
    <xf numFmtId="1" fontId="3" fillId="7" borderId="452" xfId="0" applyNumberFormat="1" applyFont="1" applyFill="1" applyBorder="1" applyAlignment="1">
      <alignment horizontal="right"/>
    </xf>
    <xf numFmtId="1" fontId="3" fillId="4" borderId="25" xfId="0" applyNumberFormat="1" applyFont="1" applyFill="1" applyBorder="1" applyAlignment="1" applyProtection="1">
      <alignment horizontal="right"/>
      <protection locked="0"/>
    </xf>
    <xf numFmtId="1" fontId="3" fillId="0" borderId="428" xfId="0" applyNumberFormat="1" applyFont="1" applyBorder="1" applyAlignment="1">
      <alignment horizontal="right" vertical="center" wrapText="1"/>
    </xf>
    <xf numFmtId="1" fontId="3" fillId="0" borderId="103" xfId="0" applyNumberFormat="1" applyFont="1" applyBorder="1" applyAlignment="1">
      <alignment horizontal="right" vertical="center" wrapText="1"/>
    </xf>
    <xf numFmtId="1" fontId="3" fillId="7" borderId="428" xfId="14" applyNumberFormat="1" applyFont="1" applyFill="1" applyBorder="1"/>
    <xf numFmtId="1" fontId="3" fillId="7" borderId="441" xfId="14" applyNumberFormat="1" applyFont="1" applyFill="1" applyBorder="1"/>
    <xf numFmtId="1" fontId="3" fillId="4" borderId="421" xfId="0" applyNumberFormat="1" applyFont="1" applyFill="1" applyBorder="1" applyAlignment="1" applyProtection="1">
      <alignment horizontal="right"/>
      <protection locked="0"/>
    </xf>
    <xf numFmtId="1" fontId="3" fillId="7" borderId="371" xfId="14" applyNumberFormat="1" applyFont="1" applyFill="1" applyBorder="1"/>
    <xf numFmtId="1" fontId="3" fillId="7" borderId="10" xfId="14" applyNumberFormat="1" applyFont="1" applyFill="1" applyBorder="1"/>
    <xf numFmtId="1" fontId="3" fillId="4" borderId="59" xfId="0" applyNumberFormat="1" applyFont="1" applyFill="1" applyBorder="1" applyAlignment="1" applyProtection="1">
      <alignment horizontal="right"/>
      <protection locked="0"/>
    </xf>
    <xf numFmtId="1" fontId="3" fillId="4" borderId="256" xfId="0" applyNumberFormat="1" applyFont="1" applyFill="1" applyBorder="1" applyAlignment="1" applyProtection="1">
      <alignment horizontal="right"/>
      <protection locked="0"/>
    </xf>
    <xf numFmtId="1" fontId="3" fillId="0" borderId="13" xfId="0" applyNumberFormat="1" applyFont="1" applyBorder="1" applyAlignment="1">
      <alignment vertical="center" wrapText="1"/>
    </xf>
    <xf numFmtId="1" fontId="3" fillId="7" borderId="25" xfId="14" applyNumberFormat="1" applyFont="1" applyFill="1" applyBorder="1"/>
    <xf numFmtId="1" fontId="3" fillId="4" borderId="11" xfId="0" applyNumberFormat="1" applyFont="1" applyFill="1" applyBorder="1" applyAlignment="1" applyProtection="1">
      <alignment horizontal="right"/>
      <protection locked="0"/>
    </xf>
    <xf numFmtId="1" fontId="3" fillId="7" borderId="428" xfId="0" applyNumberFormat="1" applyFont="1" applyFill="1" applyBorder="1" applyAlignment="1">
      <alignment horizontal="right"/>
    </xf>
    <xf numFmtId="1" fontId="3" fillId="7" borderId="104" xfId="0" applyNumberFormat="1" applyFont="1" applyFill="1" applyBorder="1" applyAlignment="1">
      <alignment horizontal="right"/>
    </xf>
    <xf numFmtId="1" fontId="3" fillId="0" borderId="14" xfId="0" applyNumberFormat="1" applyFont="1" applyBorder="1" applyAlignment="1">
      <alignment horizontal="right" vertical="center" wrapText="1"/>
    </xf>
    <xf numFmtId="1" fontId="3" fillId="0" borderId="15" xfId="0" applyNumberFormat="1" applyFont="1" applyBorder="1" applyAlignment="1">
      <alignment horizontal="right" vertical="center" wrapText="1"/>
    </xf>
    <xf numFmtId="1" fontId="3" fillId="7" borderId="14" xfId="0" applyNumberFormat="1" applyFont="1" applyFill="1" applyBorder="1" applyAlignment="1">
      <alignment horizontal="right"/>
    </xf>
    <xf numFmtId="1" fontId="3" fillId="7" borderId="18" xfId="0" applyNumberFormat="1" applyFont="1" applyFill="1" applyBorder="1" applyAlignment="1">
      <alignment horizontal="right"/>
    </xf>
    <xf numFmtId="1" fontId="3" fillId="0" borderId="222" xfId="0" applyNumberFormat="1" applyFont="1" applyBorder="1" applyAlignment="1">
      <alignment horizontal="right" vertical="center"/>
    </xf>
    <xf numFmtId="1" fontId="3" fillId="0" borderId="251" xfId="0" applyNumberFormat="1" applyFont="1" applyBorder="1" applyAlignment="1">
      <alignment horizontal="right" vertical="center"/>
    </xf>
    <xf numFmtId="1" fontId="3" fillId="0" borderId="371" xfId="0" applyNumberFormat="1" applyFont="1" applyBorder="1" applyAlignment="1">
      <alignment horizontal="right" vertical="center"/>
    </xf>
    <xf numFmtId="1" fontId="3" fillId="0" borderId="374" xfId="0" applyNumberFormat="1" applyFont="1" applyBorder="1" applyAlignment="1">
      <alignment horizontal="right" vertical="center"/>
    </xf>
    <xf numFmtId="1" fontId="3" fillId="4" borderId="378" xfId="0" applyNumberFormat="1" applyFont="1" applyFill="1" applyBorder="1" applyAlignment="1" applyProtection="1">
      <alignment horizontal="right"/>
      <protection locked="0"/>
    </xf>
    <xf numFmtId="1" fontId="3" fillId="0" borderId="371" xfId="0" applyNumberFormat="1" applyFont="1" applyBorder="1" applyAlignment="1">
      <alignment horizontal="right" vertical="center" wrapText="1"/>
    </xf>
    <xf numFmtId="1" fontId="3" fillId="0" borderId="374" xfId="0" applyNumberFormat="1" applyFont="1" applyBorder="1" applyAlignment="1">
      <alignment horizontal="right" vertical="center" wrapText="1"/>
    </xf>
    <xf numFmtId="1" fontId="3" fillId="0" borderId="14" xfId="0" applyNumberFormat="1" applyFont="1" applyBorder="1" applyAlignment="1">
      <alignment horizontal="right" vertical="center"/>
    </xf>
    <xf numFmtId="1" fontId="3" fillId="0" borderId="24" xfId="0" applyNumberFormat="1" applyFont="1" applyBorder="1" applyAlignment="1">
      <alignment horizontal="right" vertical="center"/>
    </xf>
    <xf numFmtId="1" fontId="3" fillId="0" borderId="453" xfId="0" applyNumberFormat="1" applyFont="1" applyBorder="1" applyAlignment="1">
      <alignment horizontal="right"/>
    </xf>
    <xf numFmtId="1" fontId="3" fillId="0" borderId="421" xfId="15" applyNumberFormat="1" applyFont="1" applyBorder="1" applyAlignment="1">
      <alignment wrapText="1"/>
    </xf>
    <xf numFmtId="1" fontId="3" fillId="0" borderId="420" xfId="15" applyNumberFormat="1" applyFont="1" applyBorder="1" applyAlignment="1">
      <alignment horizontal="right" wrapText="1"/>
    </xf>
    <xf numFmtId="1" fontId="3" fillId="0" borderId="422" xfId="15" applyNumberFormat="1" applyFont="1" applyBorder="1" applyAlignment="1">
      <alignment horizontal="right" wrapText="1"/>
    </xf>
    <xf numFmtId="1" fontId="3" fillId="0" borderId="441" xfId="14" applyNumberFormat="1" applyFont="1" applyBorder="1" applyAlignment="1">
      <alignment horizontal="right"/>
    </xf>
    <xf numFmtId="1" fontId="3" fillId="4" borderId="428" xfId="14" applyNumberFormat="1" applyFont="1" applyFill="1" applyBorder="1" applyProtection="1">
      <protection locked="0"/>
    </xf>
    <xf numFmtId="1" fontId="3" fillId="4" borderId="441" xfId="14" applyNumberFormat="1" applyFont="1" applyFill="1" applyBorder="1" applyProtection="1">
      <protection locked="0"/>
    </xf>
    <xf numFmtId="1" fontId="3" fillId="7" borderId="22" xfId="14" applyNumberFormat="1" applyFont="1" applyFill="1" applyBorder="1"/>
    <xf numFmtId="1" fontId="3" fillId="0" borderId="378" xfId="16" applyNumberFormat="1" applyFont="1" applyBorder="1" applyAlignment="1">
      <alignment vertical="center" wrapText="1"/>
    </xf>
    <xf numFmtId="1" fontId="3" fillId="0" borderId="373" xfId="16" applyNumberFormat="1" applyFont="1" applyBorder="1" applyAlignment="1">
      <alignment horizontal="right" wrapText="1"/>
    </xf>
    <xf numFmtId="1" fontId="3" fillId="0" borderId="375" xfId="16" applyNumberFormat="1" applyFont="1" applyBorder="1" applyAlignment="1">
      <alignment horizontal="right" wrapText="1"/>
    </xf>
    <xf numFmtId="1" fontId="3" fillId="0" borderId="10" xfId="14" applyNumberFormat="1" applyFont="1" applyBorder="1" applyAlignment="1">
      <alignment horizontal="right"/>
    </xf>
    <xf numFmtId="1" fontId="3" fillId="7" borderId="220" xfId="14" applyNumberFormat="1" applyFont="1" applyFill="1" applyBorder="1"/>
    <xf numFmtId="1" fontId="3" fillId="4" borderId="61" xfId="14" applyNumberFormat="1" applyFont="1" applyFill="1" applyBorder="1" applyProtection="1">
      <protection locked="0"/>
    </xf>
    <xf numFmtId="1" fontId="3" fillId="4" borderId="220" xfId="14" applyNumberFormat="1" applyFont="1" applyFill="1" applyBorder="1" applyProtection="1">
      <protection locked="0"/>
    </xf>
    <xf numFmtId="1" fontId="3" fillId="4" borderId="23" xfId="14" applyNumberFormat="1" applyFont="1" applyFill="1" applyBorder="1" applyProtection="1">
      <protection locked="0"/>
    </xf>
    <xf numFmtId="1" fontId="3" fillId="4" borderId="25" xfId="14" applyNumberFormat="1" applyFont="1" applyFill="1" applyBorder="1" applyProtection="1">
      <protection locked="0"/>
    </xf>
    <xf numFmtId="1" fontId="3" fillId="4" borderId="371" xfId="14" applyNumberFormat="1" applyFont="1" applyFill="1" applyBorder="1" applyProtection="1">
      <protection locked="0"/>
    </xf>
    <xf numFmtId="1" fontId="3" fillId="4" borderId="10" xfId="14" applyNumberFormat="1" applyFont="1" applyFill="1" applyBorder="1" applyProtection="1">
      <protection locked="0"/>
    </xf>
    <xf numFmtId="1" fontId="3" fillId="4" borderId="372" xfId="14" applyNumberFormat="1" applyFont="1" applyFill="1" applyBorder="1" applyProtection="1">
      <protection locked="0"/>
    </xf>
    <xf numFmtId="1" fontId="3" fillId="0" borderId="208" xfId="16" applyNumberFormat="1" applyFont="1" applyBorder="1" applyAlignment="1">
      <alignment horizontal="right" wrapText="1"/>
    </xf>
    <xf numFmtId="1" fontId="3" fillId="0" borderId="225" xfId="16" applyNumberFormat="1" applyFont="1" applyBorder="1" applyAlignment="1">
      <alignment horizontal="right" wrapText="1"/>
    </xf>
    <xf numFmtId="1" fontId="3" fillId="0" borderId="22" xfId="14" applyNumberFormat="1" applyFont="1" applyBorder="1" applyAlignment="1">
      <alignment horizontal="right"/>
    </xf>
    <xf numFmtId="1" fontId="3" fillId="7" borderId="222" xfId="14" applyNumberFormat="1" applyFont="1" applyFill="1" applyBorder="1"/>
    <xf numFmtId="1" fontId="3" fillId="4" borderId="222" xfId="14" applyNumberFormat="1" applyFont="1" applyFill="1" applyBorder="1" applyProtection="1">
      <protection locked="0"/>
    </xf>
    <xf numFmtId="1" fontId="3" fillId="4" borderId="22" xfId="14" applyNumberFormat="1" applyFont="1" applyFill="1" applyBorder="1" applyProtection="1">
      <protection locked="0"/>
    </xf>
    <xf numFmtId="1" fontId="3" fillId="0" borderId="59" xfId="0" applyNumberFormat="1" applyFont="1" applyBorder="1" applyAlignment="1">
      <alignment vertical="center"/>
    </xf>
    <xf numFmtId="1" fontId="3" fillId="0" borderId="225" xfId="0" applyNumberFormat="1" applyFont="1" applyBorder="1" applyAlignment="1">
      <alignment horizontal="right"/>
    </xf>
    <xf numFmtId="1" fontId="3" fillId="0" borderId="378" xfId="15" applyNumberFormat="1" applyFont="1" applyBorder="1" applyAlignment="1">
      <alignment vertical="center" wrapText="1"/>
    </xf>
    <xf numFmtId="1" fontId="3" fillId="0" borderId="373" xfId="0" applyNumberFormat="1" applyFont="1" applyBorder="1" applyAlignment="1">
      <alignment horizontal="right"/>
    </xf>
    <xf numFmtId="1" fontId="3" fillId="0" borderId="375" xfId="0" applyNumberFormat="1" applyFont="1" applyBorder="1" applyAlignment="1">
      <alignment horizontal="right"/>
    </xf>
    <xf numFmtId="1" fontId="3" fillId="0" borderId="373" xfId="15" applyNumberFormat="1" applyFont="1" applyBorder="1" applyAlignment="1">
      <alignment vertical="center" wrapText="1"/>
    </xf>
    <xf numFmtId="1" fontId="3" fillId="0" borderId="410" xfId="0" applyNumberFormat="1" applyFont="1" applyBorder="1" applyAlignment="1">
      <alignment horizontal="right"/>
    </xf>
    <xf numFmtId="1" fontId="3" fillId="0" borderId="30" xfId="0" applyNumberFormat="1" applyFont="1" applyBorder="1" applyAlignment="1">
      <alignment horizontal="right"/>
    </xf>
    <xf numFmtId="1" fontId="3" fillId="4" borderId="42" xfId="14" applyNumberFormat="1" applyFont="1" applyFill="1" applyBorder="1" applyProtection="1">
      <protection locked="0"/>
    </xf>
    <xf numFmtId="1" fontId="3" fillId="0" borderId="52" xfId="0" applyNumberFormat="1" applyFont="1" applyBorder="1" applyAlignment="1">
      <alignment vertical="center" wrapText="1"/>
    </xf>
    <xf numFmtId="1" fontId="3" fillId="0" borderId="13" xfId="15" applyNumberFormat="1" applyFont="1" applyBorder="1" applyAlignment="1">
      <alignment vertical="center" wrapText="1"/>
    </xf>
    <xf numFmtId="1" fontId="3" fillId="0" borderId="415" xfId="0" applyNumberFormat="1" applyFont="1" applyBorder="1" applyAlignment="1">
      <alignment horizontal="right"/>
    </xf>
    <xf numFmtId="1" fontId="3" fillId="0" borderId="417" xfId="0" applyNumberFormat="1" applyFont="1" applyBorder="1" applyAlignment="1">
      <alignment horizontal="right"/>
    </xf>
    <xf numFmtId="1" fontId="3" fillId="0" borderId="12" xfId="14" applyNumberFormat="1" applyFont="1" applyBorder="1" applyAlignment="1">
      <alignment horizontal="right"/>
    </xf>
    <xf numFmtId="1" fontId="3" fillId="4" borderId="14" xfId="14" applyNumberFormat="1" applyFont="1" applyFill="1" applyBorder="1" applyProtection="1">
      <protection locked="0"/>
    </xf>
    <xf numFmtId="1" fontId="3" fillId="4" borderId="12" xfId="14" applyNumberFormat="1" applyFont="1" applyFill="1" applyBorder="1" applyProtection="1">
      <protection locked="0"/>
    </xf>
    <xf numFmtId="1" fontId="3" fillId="0" borderId="453" xfId="0" applyNumberFormat="1" applyFont="1" applyBorder="1" applyAlignment="1">
      <alignment horizontal="center" vertical="center"/>
    </xf>
    <xf numFmtId="1" fontId="3" fillId="0" borderId="447" xfId="0" applyNumberFormat="1" applyFont="1" applyBorder="1" applyAlignment="1">
      <alignment horizontal="center" vertical="center"/>
    </xf>
    <xf numFmtId="1" fontId="3" fillId="0" borderId="433" xfId="0" applyNumberFormat="1" applyFont="1" applyBorder="1" applyAlignment="1">
      <alignment horizontal="center" vertical="center"/>
    </xf>
    <xf numFmtId="1" fontId="3" fillId="0" borderId="453" xfId="0" applyNumberFormat="1" applyFont="1" applyBorder="1"/>
    <xf numFmtId="1" fontId="3" fillId="4" borderId="444" xfId="0" applyNumberFormat="1" applyFont="1" applyFill="1" applyBorder="1" applyProtection="1">
      <protection locked="0"/>
    </xf>
    <xf numFmtId="1" fontId="3" fillId="4" borderId="445" xfId="0" applyNumberFormat="1" applyFont="1" applyFill="1" applyBorder="1" applyProtection="1">
      <protection locked="0"/>
    </xf>
    <xf numFmtId="1" fontId="3" fillId="4" borderId="447" xfId="0" applyNumberFormat="1" applyFont="1" applyFill="1" applyBorder="1" applyProtection="1">
      <protection locked="0"/>
    </xf>
    <xf numFmtId="1" fontId="3" fillId="4" borderId="423" xfId="0" applyNumberFormat="1" applyFont="1" applyFill="1" applyBorder="1" applyProtection="1">
      <protection locked="0"/>
    </xf>
    <xf numFmtId="1" fontId="3" fillId="4" borderId="446" xfId="0" applyNumberFormat="1" applyFont="1" applyFill="1" applyBorder="1" applyProtection="1">
      <protection locked="0"/>
    </xf>
    <xf numFmtId="1" fontId="3" fillId="4" borderId="448" xfId="0" applyNumberFormat="1" applyFont="1" applyFill="1" applyBorder="1" applyProtection="1">
      <protection locked="0"/>
    </xf>
    <xf numFmtId="1" fontId="3" fillId="0" borderId="435" xfId="0" applyNumberFormat="1" applyFont="1" applyBorder="1"/>
    <xf numFmtId="1" fontId="3" fillId="0" borderId="420" xfId="0" applyNumberFormat="1" applyFont="1" applyBorder="1" applyAlignment="1">
      <alignment horizontal="right"/>
    </xf>
    <xf numFmtId="1" fontId="3" fillId="0" borderId="422" xfId="0" applyNumberFormat="1" applyFont="1" applyBorder="1" applyAlignment="1">
      <alignment horizontal="right"/>
    </xf>
    <xf numFmtId="1" fontId="3" fillId="0" borderId="441" xfId="0" applyNumberFormat="1" applyFont="1" applyBorder="1" applyAlignment="1">
      <alignment horizontal="right"/>
    </xf>
    <xf numFmtId="1" fontId="3" fillId="4" borderId="428" xfId="0" applyNumberFormat="1" applyFont="1" applyFill="1" applyBorder="1" applyProtection="1">
      <protection locked="0"/>
    </xf>
    <xf numFmtId="1" fontId="3" fillId="4" borderId="441" xfId="0" applyNumberFormat="1" applyFont="1" applyFill="1" applyBorder="1" applyProtection="1">
      <protection locked="0"/>
    </xf>
    <xf numFmtId="1" fontId="3" fillId="4" borderId="422" xfId="0" applyNumberFormat="1" applyFont="1" applyFill="1" applyBorder="1" applyProtection="1">
      <protection locked="0"/>
    </xf>
    <xf numFmtId="1" fontId="3" fillId="4" borderId="112" xfId="0" applyNumberFormat="1" applyFont="1" applyFill="1" applyBorder="1" applyProtection="1">
      <protection locked="0"/>
    </xf>
    <xf numFmtId="1" fontId="3" fillId="4" borderId="104" xfId="0" applyNumberFormat="1" applyFont="1" applyFill="1" applyBorder="1" applyProtection="1">
      <protection locked="0"/>
    </xf>
    <xf numFmtId="1" fontId="3" fillId="4" borderId="421" xfId="0" applyNumberFormat="1" applyFont="1" applyFill="1" applyBorder="1" applyProtection="1">
      <protection locked="0"/>
    </xf>
    <xf numFmtId="1" fontId="3" fillId="4" borderId="128" xfId="0" applyNumberFormat="1" applyFont="1" applyFill="1" applyBorder="1" applyProtection="1">
      <protection locked="0"/>
    </xf>
    <xf numFmtId="1" fontId="3" fillId="4" borderId="431" xfId="0" applyNumberFormat="1" applyFont="1" applyFill="1" applyBorder="1" applyProtection="1">
      <protection locked="0"/>
    </xf>
    <xf numFmtId="1" fontId="3" fillId="0" borderId="378" xfId="0" applyNumberFormat="1" applyFont="1" applyBorder="1"/>
    <xf numFmtId="1" fontId="3" fillId="4" borderId="377" xfId="0" applyNumberFormat="1" applyFont="1" applyFill="1" applyBorder="1" applyProtection="1">
      <protection locked="0"/>
    </xf>
    <xf numFmtId="1" fontId="3" fillId="4" borderId="378" xfId="0" applyNumberFormat="1" applyFont="1" applyFill="1" applyBorder="1" applyProtection="1">
      <protection locked="0"/>
    </xf>
    <xf numFmtId="1" fontId="3" fillId="0" borderId="27" xfId="0" applyNumberFormat="1" applyFont="1" applyBorder="1" applyAlignment="1">
      <alignment horizontal="right"/>
    </xf>
    <xf numFmtId="1" fontId="3" fillId="4" borderId="86" xfId="0" applyNumberFormat="1" applyFont="1" applyFill="1" applyBorder="1" applyProtection="1">
      <protection locked="0"/>
    </xf>
    <xf numFmtId="1" fontId="3" fillId="4" borderId="220" xfId="0" applyNumberFormat="1" applyFont="1" applyFill="1" applyBorder="1" applyProtection="1">
      <protection locked="0"/>
    </xf>
    <xf numFmtId="1" fontId="3" fillId="0" borderId="453" xfId="0" applyNumberFormat="1" applyFont="1" applyBorder="1" applyAlignment="1">
      <alignment horizontal="center"/>
    </xf>
    <xf numFmtId="1" fontId="3" fillId="0" borderId="444" xfId="0" applyNumberFormat="1" applyFont="1" applyBorder="1"/>
    <xf numFmtId="1" fontId="3" fillId="0" borderId="445" xfId="0" applyNumberFormat="1" applyFont="1" applyBorder="1"/>
    <xf numFmtId="1" fontId="3" fillId="0" borderId="447" xfId="0" applyNumberFormat="1" applyFont="1" applyBorder="1"/>
    <xf numFmtId="1" fontId="3" fillId="0" borderId="423" xfId="0" applyNumberFormat="1" applyFont="1" applyBorder="1"/>
    <xf numFmtId="1" fontId="3" fillId="0" borderId="446" xfId="0" applyNumberFormat="1" applyFont="1" applyBorder="1"/>
    <xf numFmtId="1" fontId="3" fillId="0" borderId="449" xfId="0" applyNumberFormat="1" applyFont="1" applyBorder="1"/>
    <xf numFmtId="1" fontId="3" fillId="0" borderId="444" xfId="0" applyNumberFormat="1" applyFont="1" applyBorder="1" applyAlignment="1">
      <alignment horizontal="center" vertical="center" wrapText="1"/>
    </xf>
    <xf numFmtId="1" fontId="3" fillId="0" borderId="445" xfId="0" applyNumberFormat="1" applyFont="1" applyBorder="1" applyAlignment="1">
      <alignment horizontal="center" vertical="center" wrapText="1"/>
    </xf>
    <xf numFmtId="1" fontId="3" fillId="0" borderId="447" xfId="0" applyNumberFormat="1" applyFont="1" applyBorder="1" applyAlignment="1">
      <alignment horizontal="center" vertical="center" wrapText="1"/>
    </xf>
    <xf numFmtId="1" fontId="3" fillId="0" borderId="434" xfId="0" applyNumberFormat="1" applyFont="1" applyBorder="1" applyAlignment="1">
      <alignment horizontal="center" vertical="center" wrapText="1"/>
    </xf>
    <xf numFmtId="1" fontId="3" fillId="0" borderId="421" xfId="0" applyNumberFormat="1" applyFont="1" applyBorder="1"/>
    <xf numFmtId="1" fontId="3" fillId="4" borderId="222" xfId="0" applyNumberFormat="1" applyFont="1" applyFill="1" applyBorder="1" applyProtection="1">
      <protection locked="0"/>
    </xf>
    <xf numFmtId="1" fontId="3" fillId="4" borderId="362" xfId="0" applyNumberFormat="1" applyFont="1" applyFill="1" applyBorder="1" applyProtection="1">
      <protection locked="0"/>
    </xf>
    <xf numFmtId="1" fontId="3" fillId="4" borderId="226" xfId="0" applyNumberFormat="1" applyFont="1" applyFill="1" applyBorder="1" applyProtection="1">
      <protection locked="0"/>
    </xf>
    <xf numFmtId="1" fontId="3" fillId="4" borderId="59" xfId="0" applyNumberFormat="1" applyFont="1" applyFill="1" applyBorder="1" applyProtection="1">
      <protection locked="0"/>
    </xf>
    <xf numFmtId="1" fontId="3" fillId="4" borderId="256" xfId="0" applyNumberFormat="1" applyFont="1" applyFill="1" applyBorder="1" applyProtection="1">
      <protection locked="0"/>
    </xf>
    <xf numFmtId="1" fontId="3" fillId="0" borderId="11" xfId="0" applyNumberFormat="1" applyFont="1" applyBorder="1"/>
    <xf numFmtId="1" fontId="3" fillId="0" borderId="220" xfId="0" applyNumberFormat="1" applyFont="1" applyBorder="1" applyAlignment="1">
      <alignment horizontal="right"/>
    </xf>
    <xf numFmtId="1" fontId="3" fillId="4" borderId="410" xfId="0" applyNumberFormat="1" applyFont="1" applyFill="1" applyBorder="1" applyProtection="1">
      <protection locked="0"/>
    </xf>
    <xf numFmtId="1" fontId="3" fillId="0" borderId="449" xfId="0" applyNumberFormat="1" applyFont="1" applyBorder="1" applyAlignment="1">
      <alignment horizontal="center"/>
    </xf>
    <xf numFmtId="1" fontId="3" fillId="0" borderId="421" xfId="0" applyNumberFormat="1" applyFont="1" applyBorder="1" applyAlignment="1">
      <alignment vertical="center"/>
    </xf>
    <xf numFmtId="1" fontId="3" fillId="7" borderId="104" xfId="14" applyNumberFormat="1" applyFont="1" applyFill="1" applyBorder="1"/>
    <xf numFmtId="1" fontId="3" fillId="7" borderId="422" xfId="14" applyNumberFormat="1" applyFont="1" applyFill="1" applyBorder="1"/>
    <xf numFmtId="1" fontId="3" fillId="7" borderId="112" xfId="14" applyNumberFormat="1" applyFont="1" applyFill="1" applyBorder="1"/>
    <xf numFmtId="1" fontId="3" fillId="7" borderId="421" xfId="14" applyNumberFormat="1" applyFont="1" applyFill="1" applyBorder="1"/>
    <xf numFmtId="1" fontId="3" fillId="7" borderId="375" xfId="14" applyNumberFormat="1" applyFont="1" applyFill="1" applyBorder="1"/>
    <xf numFmtId="1" fontId="3" fillId="7" borderId="377" xfId="14" applyNumberFormat="1" applyFont="1" applyFill="1" applyBorder="1"/>
    <xf numFmtId="1" fontId="3" fillId="7" borderId="372" xfId="14" applyNumberFormat="1" applyFont="1" applyFill="1" applyBorder="1"/>
    <xf numFmtId="1" fontId="3" fillId="0" borderId="70" xfId="0" applyNumberFormat="1" applyFont="1" applyBorder="1" applyAlignment="1">
      <alignment vertical="center"/>
    </xf>
    <xf numFmtId="1" fontId="3" fillId="0" borderId="33" xfId="0" applyNumberFormat="1" applyFont="1" applyBorder="1" applyAlignment="1">
      <alignment horizontal="right"/>
    </xf>
    <xf numFmtId="1" fontId="3" fillId="0" borderId="41" xfId="0" applyNumberFormat="1" applyFont="1" applyBorder="1" applyAlignment="1">
      <alignment horizontal="right"/>
    </xf>
    <xf numFmtId="1" fontId="3" fillId="4" borderId="16" xfId="0" applyNumberFormat="1" applyFont="1" applyFill="1" applyBorder="1" applyProtection="1">
      <protection locked="0"/>
    </xf>
    <xf numFmtId="1" fontId="3" fillId="0" borderId="453" xfId="0" applyNumberFormat="1" applyFont="1" applyBorder="1" applyAlignment="1">
      <alignment horizontal="right" vertical="center"/>
    </xf>
    <xf numFmtId="1" fontId="2" fillId="3" borderId="36" xfId="0" applyNumberFormat="1" applyFont="1" applyFill="1" applyBorder="1"/>
    <xf numFmtId="1" fontId="3" fillId="7" borderId="441" xfId="0" applyNumberFormat="1" applyFont="1" applyFill="1" applyBorder="1" applyAlignment="1">
      <alignment horizontal="right"/>
    </xf>
    <xf numFmtId="1" fontId="3" fillId="7" borderId="22" xfId="0" applyNumberFormat="1" applyFont="1" applyFill="1" applyBorder="1" applyAlignment="1">
      <alignment horizontal="right"/>
    </xf>
    <xf numFmtId="1" fontId="3" fillId="4" borderId="225" xfId="0" applyNumberFormat="1" applyFont="1" applyFill="1" applyBorder="1" applyAlignment="1" applyProtection="1">
      <alignment horizontal="right"/>
      <protection locked="0"/>
    </xf>
    <xf numFmtId="1" fontId="3" fillId="4" borderId="362" xfId="0" applyNumberFormat="1" applyFont="1" applyFill="1" applyBorder="1" applyAlignment="1" applyProtection="1">
      <alignment horizontal="right"/>
      <protection locked="0"/>
    </xf>
    <xf numFmtId="1" fontId="3" fillId="4" borderId="55" xfId="0" applyNumberFormat="1" applyFont="1" applyFill="1" applyBorder="1" applyAlignment="1" applyProtection="1">
      <alignment horizontal="right"/>
      <protection locked="0"/>
    </xf>
    <xf numFmtId="1" fontId="3" fillId="3" borderId="378" xfId="0" applyNumberFormat="1" applyFont="1" applyFill="1" applyBorder="1" applyAlignment="1">
      <alignment vertical="center" wrapText="1"/>
    </xf>
    <xf numFmtId="1" fontId="3" fillId="3" borderId="375" xfId="0" applyNumberFormat="1" applyFont="1" applyFill="1" applyBorder="1" applyAlignment="1">
      <alignment horizontal="right" wrapText="1"/>
    </xf>
    <xf numFmtId="1" fontId="3" fillId="4" borderId="23" xfId="0" applyNumberFormat="1" applyFont="1" applyFill="1" applyBorder="1" applyAlignment="1" applyProtection="1">
      <alignment horizontal="right"/>
      <protection locked="0"/>
    </xf>
    <xf numFmtId="1" fontId="3" fillId="4" borderId="42" xfId="0" applyNumberFormat="1" applyFont="1" applyFill="1" applyBorder="1" applyAlignment="1" applyProtection="1">
      <alignment horizontal="right"/>
      <protection locked="0"/>
    </xf>
    <xf numFmtId="1" fontId="3" fillId="4" borderId="41" xfId="0" applyNumberFormat="1" applyFont="1" applyFill="1" applyBorder="1" applyAlignment="1" applyProtection="1">
      <alignment horizontal="right"/>
      <protection locked="0"/>
    </xf>
    <xf numFmtId="1" fontId="3" fillId="4" borderId="86" xfId="0" applyNumberFormat="1" applyFont="1" applyFill="1" applyBorder="1" applyAlignment="1" applyProtection="1">
      <alignment horizontal="right"/>
      <protection locked="0"/>
    </xf>
    <xf numFmtId="1" fontId="3" fillId="4" borderId="53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>
      <alignment vertical="center" wrapText="1"/>
    </xf>
    <xf numFmtId="1" fontId="3" fillId="3" borderId="13" xfId="0" applyNumberFormat="1" applyFont="1" applyFill="1" applyBorder="1" applyAlignment="1">
      <alignment horizontal="right" wrapText="1"/>
    </xf>
    <xf numFmtId="1" fontId="3" fillId="3" borderId="27" xfId="0" applyNumberFormat="1" applyFont="1" applyFill="1" applyBorder="1" applyAlignment="1">
      <alignment horizontal="right" wrapText="1"/>
    </xf>
    <xf numFmtId="1" fontId="3" fillId="0" borderId="421" xfId="0" applyNumberFormat="1" applyFont="1" applyBorder="1" applyAlignment="1">
      <alignment vertical="center" wrapText="1"/>
    </xf>
    <xf numFmtId="1" fontId="3" fillId="0" borderId="13" xfId="0" applyNumberFormat="1" applyFont="1" applyBorder="1" applyAlignment="1">
      <alignment horizontal="right" vertical="center"/>
    </xf>
    <xf numFmtId="1" fontId="3" fillId="0" borderId="27" xfId="0" applyNumberFormat="1" applyFont="1" applyBorder="1" applyAlignment="1">
      <alignment horizontal="right" vertical="center"/>
    </xf>
    <xf numFmtId="1" fontId="3" fillId="0" borderId="208" xfId="0" applyNumberFormat="1" applyFont="1" applyBorder="1" applyAlignment="1">
      <alignment horizontal="right" vertical="center"/>
    </xf>
    <xf numFmtId="1" fontId="3" fillId="3" borderId="378" xfId="0" applyNumberFormat="1" applyFont="1" applyFill="1" applyBorder="1"/>
    <xf numFmtId="1" fontId="3" fillId="0" borderId="11" xfId="0" applyNumberFormat="1" applyFont="1" applyBorder="1" applyAlignment="1">
      <alignment vertical="center" wrapText="1"/>
    </xf>
    <xf numFmtId="1" fontId="3" fillId="3" borderId="13" xfId="0" applyNumberFormat="1" applyFont="1" applyFill="1" applyBorder="1" applyAlignment="1">
      <alignment horizontal="right" vertical="center"/>
    </xf>
    <xf numFmtId="1" fontId="3" fillId="3" borderId="453" xfId="0" applyNumberFormat="1" applyFont="1" applyFill="1" applyBorder="1" applyAlignment="1">
      <alignment horizontal="center" vertical="center"/>
    </xf>
    <xf numFmtId="1" fontId="3" fillId="3" borderId="447" xfId="0" applyNumberFormat="1" applyFont="1" applyFill="1" applyBorder="1" applyAlignment="1">
      <alignment horizontal="center" vertical="center"/>
    </xf>
    <xf numFmtId="1" fontId="3" fillId="3" borderId="445" xfId="0" applyNumberFormat="1" applyFont="1" applyFill="1" applyBorder="1" applyAlignment="1">
      <alignment horizontal="center" vertical="center"/>
    </xf>
    <xf numFmtId="1" fontId="3" fillId="3" borderId="421" xfId="0" applyNumberFormat="1" applyFont="1" applyFill="1" applyBorder="1" applyAlignment="1">
      <alignment vertical="center" wrapText="1"/>
    </xf>
    <xf numFmtId="1" fontId="3" fillId="3" borderId="373" xfId="0" applyNumberFormat="1" applyFont="1" applyFill="1" applyBorder="1" applyAlignment="1">
      <alignment horizontal="right" wrapText="1"/>
    </xf>
    <xf numFmtId="1" fontId="3" fillId="3" borderId="10" xfId="0" applyNumberFormat="1" applyFont="1" applyFill="1" applyBorder="1" applyAlignment="1">
      <alignment horizontal="right"/>
    </xf>
    <xf numFmtId="1" fontId="3" fillId="4" borderId="125" xfId="0" applyNumberFormat="1" applyFont="1" applyFill="1" applyBorder="1" applyAlignment="1" applyProtection="1">
      <alignment horizontal="right"/>
      <protection locked="0"/>
    </xf>
    <xf numFmtId="1" fontId="3" fillId="3" borderId="378" xfId="0" applyNumberFormat="1" applyFont="1" applyFill="1" applyBorder="1" applyAlignment="1">
      <alignment vertical="center"/>
    </xf>
    <xf numFmtId="1" fontId="3" fillId="3" borderId="373" xfId="0" applyNumberFormat="1" applyFont="1" applyFill="1" applyBorder="1" applyAlignment="1">
      <alignment horizontal="right"/>
    </xf>
    <xf numFmtId="1" fontId="3" fillId="3" borderId="375" xfId="0" applyNumberFormat="1" applyFont="1" applyFill="1" applyBorder="1" applyAlignment="1">
      <alignment horizontal="right"/>
    </xf>
    <xf numFmtId="1" fontId="3" fillId="7" borderId="378" xfId="0" applyNumberFormat="1" applyFont="1" applyFill="1" applyBorder="1" applyAlignment="1">
      <alignment horizontal="right"/>
    </xf>
    <xf numFmtId="1" fontId="3" fillId="4" borderId="408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>
      <alignment vertical="center"/>
    </xf>
    <xf numFmtId="1" fontId="3" fillId="4" borderId="47" xfId="0" applyNumberFormat="1" applyFont="1" applyFill="1" applyBorder="1" applyAlignment="1" applyProtection="1">
      <alignment horizontal="right"/>
      <protection locked="0"/>
    </xf>
    <xf numFmtId="1" fontId="3" fillId="0" borderId="420" xfId="0" applyNumberFormat="1" applyFont="1" applyBorder="1"/>
    <xf numFmtId="1" fontId="3" fillId="0" borderId="441" xfId="0" applyNumberFormat="1" applyFont="1" applyBorder="1"/>
    <xf numFmtId="1" fontId="3" fillId="4" borderId="61" xfId="0" applyNumberFormat="1" applyFont="1" applyFill="1" applyBorder="1" applyProtection="1">
      <protection locked="0"/>
    </xf>
    <xf numFmtId="1" fontId="3" fillId="0" borderId="10" xfId="0" applyNumberFormat="1" applyFont="1" applyBorder="1" applyAlignment="1">
      <alignment vertical="center"/>
    </xf>
    <xf numFmtId="1" fontId="3" fillId="3" borderId="444" xfId="0" applyNumberFormat="1" applyFont="1" applyFill="1" applyBorder="1" applyAlignment="1">
      <alignment horizontal="center" vertical="center" wrapText="1"/>
    </xf>
    <xf numFmtId="1" fontId="3" fillId="3" borderId="446" xfId="0" applyNumberFormat="1" applyFont="1" applyFill="1" applyBorder="1" applyAlignment="1">
      <alignment horizontal="center" vertical="center" wrapText="1"/>
    </xf>
    <xf numFmtId="1" fontId="3" fillId="3" borderId="422" xfId="0" applyNumberFormat="1" applyFont="1" applyFill="1" applyBorder="1" applyAlignment="1">
      <alignment vertical="center" wrapText="1"/>
    </xf>
    <xf numFmtId="1" fontId="3" fillId="3" borderId="375" xfId="0" applyNumberFormat="1" applyFont="1" applyFill="1" applyBorder="1" applyAlignment="1">
      <alignment vertical="center" wrapText="1"/>
    </xf>
    <xf numFmtId="1" fontId="3" fillId="3" borderId="27" xfId="0" applyNumberFormat="1" applyFont="1" applyFill="1" applyBorder="1" applyAlignment="1">
      <alignment vertical="center" wrapText="1"/>
    </xf>
    <xf numFmtId="1" fontId="3" fillId="3" borderId="412" xfId="0" applyNumberFormat="1" applyFont="1" applyFill="1" applyBorder="1" applyAlignment="1">
      <alignment horizontal="right"/>
    </xf>
    <xf numFmtId="1" fontId="3" fillId="3" borderId="238" xfId="0" applyNumberFormat="1" applyFont="1" applyFill="1" applyBorder="1" applyAlignment="1">
      <alignment horizontal="right"/>
    </xf>
    <xf numFmtId="1" fontId="3" fillId="3" borderId="446" xfId="0" applyNumberFormat="1" applyFont="1" applyFill="1" applyBorder="1" applyAlignment="1">
      <alignment horizontal="center" vertical="center"/>
    </xf>
    <xf numFmtId="1" fontId="3" fillId="0" borderId="446" xfId="0" applyNumberFormat="1" applyFont="1" applyBorder="1" applyAlignment="1">
      <alignment horizontal="center" vertical="center"/>
    </xf>
    <xf numFmtId="1" fontId="3" fillId="3" borderId="420" xfId="0" applyNumberFormat="1" applyFont="1" applyFill="1" applyBorder="1" applyAlignment="1">
      <alignment vertical="center" wrapText="1"/>
    </xf>
    <xf numFmtId="1" fontId="3" fillId="3" borderId="420" xfId="0" applyNumberFormat="1" applyFont="1" applyFill="1" applyBorder="1" applyAlignment="1">
      <alignment horizontal="right" vertical="center" wrapText="1"/>
    </xf>
    <xf numFmtId="1" fontId="3" fillId="5" borderId="225" xfId="0" applyNumberFormat="1" applyFont="1" applyFill="1" applyBorder="1" applyAlignment="1">
      <alignment horizontal="right"/>
    </xf>
    <xf numFmtId="1" fontId="3" fillId="5" borderId="226" xfId="0" applyNumberFormat="1" applyFont="1" applyFill="1" applyBorder="1" applyAlignment="1">
      <alignment horizontal="right"/>
    </xf>
    <xf numFmtId="1" fontId="3" fillId="0" borderId="59" xfId="0" applyNumberFormat="1" applyFont="1" applyBorder="1" applyAlignment="1">
      <alignment vertical="center" wrapText="1"/>
    </xf>
    <xf numFmtId="1" fontId="3" fillId="3" borderId="208" xfId="0" applyNumberFormat="1" applyFont="1" applyFill="1" applyBorder="1" applyAlignment="1">
      <alignment horizontal="right" wrapText="1"/>
    </xf>
    <xf numFmtId="1" fontId="3" fillId="5" borderId="375" xfId="0" applyNumberFormat="1" applyFont="1" applyFill="1" applyBorder="1" applyAlignment="1">
      <alignment horizontal="right"/>
    </xf>
    <xf numFmtId="1" fontId="3" fillId="5" borderId="372" xfId="0" applyNumberFormat="1" applyFont="1" applyFill="1" applyBorder="1" applyAlignment="1">
      <alignment horizontal="right"/>
    </xf>
    <xf numFmtId="1" fontId="3" fillId="5" borderId="41" xfId="0" applyNumberFormat="1" applyFont="1" applyFill="1" applyBorder="1" applyAlignment="1">
      <alignment horizontal="right"/>
    </xf>
    <xf numFmtId="1" fontId="3" fillId="5" borderId="42" xfId="0" applyNumberFormat="1" applyFont="1" applyFill="1" applyBorder="1" applyAlignment="1">
      <alignment horizontal="right"/>
    </xf>
    <xf numFmtId="1" fontId="3" fillId="5" borderId="27" xfId="0" applyNumberFormat="1" applyFont="1" applyFill="1" applyBorder="1" applyAlignment="1">
      <alignment horizontal="right"/>
    </xf>
    <xf numFmtId="1" fontId="3" fillId="5" borderId="18" xfId="0" applyNumberFormat="1" applyFont="1" applyFill="1" applyBorder="1" applyAlignment="1">
      <alignment horizontal="right"/>
    </xf>
    <xf numFmtId="1" fontId="3" fillId="3" borderId="431" xfId="0" applyNumberFormat="1" applyFont="1" applyFill="1" applyBorder="1" applyAlignment="1">
      <alignment horizontal="center" vertical="center" wrapText="1"/>
    </xf>
    <xf numFmtId="1" fontId="3" fillId="3" borderId="431" xfId="0" applyNumberFormat="1" applyFont="1" applyFill="1" applyBorder="1" applyAlignment="1">
      <alignment horizontal="center" vertical="center"/>
    </xf>
    <xf numFmtId="1" fontId="3" fillId="3" borderId="420" xfId="0" applyNumberFormat="1" applyFont="1" applyFill="1" applyBorder="1" applyAlignment="1">
      <alignment horizontal="left" vertical="center" wrapText="1"/>
    </xf>
    <xf numFmtId="1" fontId="3" fillId="5" borderId="420" xfId="0" applyNumberFormat="1" applyFont="1" applyFill="1" applyBorder="1" applyAlignment="1">
      <alignment horizontal="right"/>
    </xf>
    <xf numFmtId="1" fontId="3" fillId="4" borderId="435" xfId="0" applyNumberFormat="1" applyFont="1" applyFill="1" applyBorder="1" applyAlignment="1" applyProtection="1">
      <alignment horizontal="right"/>
      <protection locked="0"/>
    </xf>
    <xf numFmtId="1" fontId="3" fillId="3" borderId="373" xfId="0" applyNumberFormat="1" applyFont="1" applyFill="1" applyBorder="1" applyAlignment="1">
      <alignment horizontal="left" vertical="center" wrapText="1"/>
    </xf>
    <xf numFmtId="1" fontId="3" fillId="5" borderId="373" xfId="0" applyNumberFormat="1" applyFont="1" applyFill="1" applyBorder="1" applyAlignment="1">
      <alignment horizontal="right"/>
    </xf>
    <xf numFmtId="1" fontId="3" fillId="4" borderId="33" xfId="0" applyNumberFormat="1" applyFont="1" applyFill="1" applyBorder="1" applyAlignment="1" applyProtection="1">
      <alignment horizontal="right"/>
      <protection locked="0"/>
    </xf>
    <xf numFmtId="1" fontId="3" fillId="3" borderId="13" xfId="0" applyNumberFormat="1" applyFont="1" applyFill="1" applyBorder="1" applyAlignment="1">
      <alignment horizontal="left" vertical="center" wrapText="1"/>
    </xf>
    <xf numFmtId="1" fontId="3" fillId="5" borderId="13" xfId="0" applyNumberFormat="1" applyFont="1" applyFill="1" applyBorder="1" applyAlignment="1">
      <alignment horizontal="right"/>
    </xf>
    <xf numFmtId="1" fontId="3" fillId="5" borderId="208" xfId="0" applyNumberFormat="1" applyFont="1" applyFill="1" applyBorder="1" applyAlignment="1">
      <alignment horizontal="right"/>
    </xf>
    <xf numFmtId="1" fontId="3" fillId="4" borderId="410" xfId="0" applyNumberFormat="1" applyFont="1" applyFill="1" applyBorder="1" applyAlignment="1" applyProtection="1">
      <alignment horizontal="right"/>
      <protection locked="0"/>
    </xf>
    <xf numFmtId="1" fontId="3" fillId="3" borderId="415" xfId="0" applyNumberFormat="1" applyFont="1" applyFill="1" applyBorder="1" applyAlignment="1">
      <alignment horizontal="left" vertical="center" wrapText="1"/>
    </xf>
    <xf numFmtId="1" fontId="3" fillId="3" borderId="444" xfId="0" applyNumberFormat="1" applyFont="1" applyFill="1" applyBorder="1" applyAlignment="1">
      <alignment horizontal="center" vertical="center"/>
    </xf>
    <xf numFmtId="1" fontId="3" fillId="0" borderId="373" xfId="0" applyNumberFormat="1" applyFont="1" applyBorder="1" applyAlignment="1">
      <alignment horizontal="left" vertical="center" wrapText="1"/>
    </xf>
    <xf numFmtId="1" fontId="3" fillId="5" borderId="22" xfId="0" applyNumberFormat="1" applyFont="1" applyFill="1" applyBorder="1" applyAlignment="1">
      <alignment horizontal="right"/>
    </xf>
    <xf numFmtId="1" fontId="3" fillId="3" borderId="428" xfId="0" applyNumberFormat="1" applyFont="1" applyFill="1" applyBorder="1" applyAlignment="1">
      <alignment vertical="center" wrapText="1"/>
    </xf>
    <xf numFmtId="1" fontId="3" fillId="3" borderId="441" xfId="0" applyNumberFormat="1" applyFont="1" applyFill="1" applyBorder="1" applyAlignment="1">
      <alignment vertical="center" wrapText="1"/>
    </xf>
    <xf numFmtId="1" fontId="3" fillId="3" borderId="13" xfId="0" applyNumberFormat="1" applyFont="1" applyFill="1" applyBorder="1" applyAlignment="1">
      <alignment vertical="center" wrapText="1"/>
    </xf>
    <xf numFmtId="1" fontId="3" fillId="3" borderId="14" xfId="0" applyNumberFormat="1" applyFont="1" applyFill="1" applyBorder="1" applyAlignment="1">
      <alignment vertical="center" wrapText="1"/>
    </xf>
    <xf numFmtId="1" fontId="3" fillId="3" borderId="12" xfId="0" applyNumberFormat="1" applyFont="1" applyFill="1" applyBorder="1" applyAlignment="1">
      <alignment vertical="center" wrapText="1"/>
    </xf>
    <xf numFmtId="1" fontId="3" fillId="3" borderId="208" xfId="0" applyNumberFormat="1" applyFont="1" applyFill="1" applyBorder="1" applyAlignment="1">
      <alignment horizontal="left" vertical="center" wrapText="1"/>
    </xf>
    <xf numFmtId="1" fontId="3" fillId="3" borderId="208" xfId="0" applyNumberFormat="1" applyFont="1" applyFill="1" applyBorder="1" applyAlignment="1">
      <alignment vertical="center" wrapText="1"/>
    </xf>
    <xf numFmtId="1" fontId="3" fillId="3" borderId="222" xfId="0" applyNumberFormat="1" applyFont="1" applyFill="1" applyBorder="1" applyAlignment="1">
      <alignment vertical="center" wrapText="1"/>
    </xf>
    <xf numFmtId="1" fontId="3" fillId="3" borderId="22" xfId="0" applyNumberFormat="1" applyFont="1" applyFill="1" applyBorder="1" applyAlignment="1">
      <alignment vertical="center" wrapText="1"/>
    </xf>
    <xf numFmtId="1" fontId="5" fillId="0" borderId="444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center" vertical="center" wrapText="1"/>
    </xf>
    <xf numFmtId="1" fontId="5" fillId="4" borderId="451" xfId="0" applyNumberFormat="1" applyFont="1" applyFill="1" applyBorder="1" applyProtection="1">
      <protection locked="0"/>
    </xf>
    <xf numFmtId="1" fontId="5" fillId="4" borderId="435" xfId="0" applyNumberFormat="1" applyFont="1" applyFill="1" applyBorder="1" applyProtection="1">
      <protection locked="0"/>
    </xf>
    <xf numFmtId="1" fontId="5" fillId="0" borderId="420" xfId="0" applyNumberFormat="1" applyFont="1" applyBorder="1"/>
    <xf numFmtId="1" fontId="5" fillId="4" borderId="373" xfId="0" applyNumberFormat="1" applyFont="1" applyFill="1" applyBorder="1" applyAlignment="1" applyProtection="1">
      <alignment vertical="center" wrapText="1"/>
      <protection locked="0"/>
    </xf>
    <xf numFmtId="1" fontId="5" fillId="0" borderId="453" xfId="0" applyNumberFormat="1" applyFont="1" applyBorder="1"/>
    <xf numFmtId="0" fontId="12" fillId="0" borderId="0" xfId="0" applyFont="1"/>
    <xf numFmtId="1" fontId="5" fillId="5" borderId="10" xfId="0" applyNumberFormat="1" applyFont="1" applyFill="1" applyBorder="1" applyAlignment="1">
      <alignment vertical="center"/>
    </xf>
    <xf numFmtId="1" fontId="5" fillId="0" borderId="450" xfId="0" applyNumberFormat="1" applyFont="1" applyBorder="1" applyAlignment="1">
      <alignment horizontal="center" vertical="center" wrapText="1"/>
    </xf>
    <xf numFmtId="1" fontId="5" fillId="4" borderId="441" xfId="0" applyNumberFormat="1" applyFont="1" applyFill="1" applyBorder="1" applyProtection="1">
      <protection locked="0"/>
    </xf>
    <xf numFmtId="1" fontId="5" fillId="4" borderId="420" xfId="0" applyNumberFormat="1" applyFont="1" applyFill="1" applyBorder="1" applyProtection="1">
      <protection locked="0"/>
    </xf>
    <xf numFmtId="1" fontId="5" fillId="4" borderId="370" xfId="0" applyNumberFormat="1" applyFont="1" applyFill="1" applyBorder="1" applyProtection="1">
      <protection locked="0"/>
    </xf>
    <xf numFmtId="1" fontId="5" fillId="4" borderId="378" xfId="0" applyNumberFormat="1" applyFont="1" applyFill="1" applyBorder="1" applyProtection="1">
      <protection locked="0"/>
    </xf>
    <xf numFmtId="1" fontId="5" fillId="4" borderId="445" xfId="0" applyNumberFormat="1" applyFont="1" applyFill="1" applyBorder="1" applyProtection="1">
      <protection locked="0"/>
    </xf>
    <xf numFmtId="1" fontId="16" fillId="3" borderId="0" xfId="0" applyNumberFormat="1" applyFont="1" applyFill="1" applyAlignment="1">
      <alignment horizontal="center"/>
    </xf>
    <xf numFmtId="1" fontId="5" fillId="0" borderId="435" xfId="0" applyNumberFormat="1" applyFont="1" applyBorder="1" applyAlignment="1">
      <alignment horizontal="center" vertical="center" wrapText="1"/>
    </xf>
    <xf numFmtId="1" fontId="5" fillId="6" borderId="103" xfId="0" applyNumberFormat="1" applyFont="1" applyFill="1" applyBorder="1"/>
    <xf numFmtId="1" fontId="5" fillId="0" borderId="59" xfId="0" applyNumberFormat="1" applyFont="1" applyBorder="1" applyAlignment="1">
      <alignment wrapText="1"/>
    </xf>
    <xf numFmtId="1" fontId="5" fillId="8" borderId="242" xfId="0" applyNumberFormat="1" applyFont="1" applyFill="1" applyBorder="1" applyProtection="1">
      <protection locked="0"/>
    </xf>
    <xf numFmtId="1" fontId="5" fillId="0" borderId="449" xfId="0" applyNumberFormat="1" applyFont="1" applyBorder="1"/>
    <xf numFmtId="1" fontId="5" fillId="4" borderId="463" xfId="0" applyNumberFormat="1" applyFont="1" applyFill="1" applyBorder="1" applyProtection="1">
      <protection locked="0"/>
    </xf>
    <xf numFmtId="1" fontId="5" fillId="0" borderId="444" xfId="0" applyNumberFormat="1" applyFont="1" applyBorder="1"/>
    <xf numFmtId="1" fontId="5" fillId="0" borderId="450" xfId="0" applyNumberFormat="1" applyFont="1" applyBorder="1"/>
    <xf numFmtId="1" fontId="5" fillId="0" borderId="447" xfId="0" applyNumberFormat="1" applyFont="1" applyBorder="1"/>
    <xf numFmtId="1" fontId="5" fillId="0" borderId="445" xfId="0" applyNumberFormat="1" applyFont="1" applyBorder="1"/>
    <xf numFmtId="1" fontId="5" fillId="0" borderId="420" xfId="0" applyNumberFormat="1" applyFont="1" applyBorder="1" applyAlignment="1">
      <alignment horizontal="right" vertical="center" wrapText="1"/>
    </xf>
    <xf numFmtId="1" fontId="5" fillId="0" borderId="459" xfId="0" applyNumberFormat="1" applyFont="1" applyBorder="1" applyAlignment="1">
      <alignment horizontal="right" vertical="center" wrapText="1"/>
    </xf>
    <xf numFmtId="0" fontId="5" fillId="0" borderId="453" xfId="0" applyFont="1" applyBorder="1" applyAlignment="1">
      <alignment horizontal="center" vertical="center" wrapText="1"/>
    </xf>
    <xf numFmtId="1" fontId="3" fillId="0" borderId="453" xfId="0" applyNumberFormat="1" applyFont="1" applyBorder="1" applyAlignment="1">
      <alignment horizontal="center" vertical="center" wrapText="1"/>
    </xf>
    <xf numFmtId="1" fontId="3" fillId="0" borderId="449" xfId="0" applyNumberFormat="1" applyFont="1" applyBorder="1" applyAlignment="1">
      <alignment horizontal="center" vertical="center" wrapText="1"/>
    </xf>
    <xf numFmtId="1" fontId="3" fillId="0" borderId="450" xfId="0" applyNumberFormat="1" applyFont="1" applyBorder="1" applyAlignment="1">
      <alignment horizontal="center" vertical="center" wrapText="1"/>
    </xf>
    <xf numFmtId="1" fontId="3" fillId="4" borderId="465" xfId="0" applyNumberFormat="1" applyFont="1" applyFill="1" applyBorder="1" applyAlignment="1" applyProtection="1">
      <alignment horizontal="right"/>
      <protection locked="0"/>
    </xf>
    <xf numFmtId="1" fontId="3" fillId="7" borderId="125" xfId="0" applyNumberFormat="1" applyFont="1" applyFill="1" applyBorder="1" applyAlignment="1">
      <alignment horizontal="right"/>
    </xf>
    <xf numFmtId="1" fontId="3" fillId="4" borderId="374" xfId="0" applyNumberFormat="1" applyFont="1" applyFill="1" applyBorder="1" applyAlignment="1" applyProtection="1">
      <alignment horizontal="right"/>
      <protection locked="0"/>
    </xf>
    <xf numFmtId="1" fontId="3" fillId="7" borderId="408" xfId="0" applyNumberFormat="1" applyFont="1" applyFill="1" applyBorder="1" applyAlignment="1">
      <alignment horizontal="right"/>
    </xf>
    <xf numFmtId="1" fontId="3" fillId="0" borderId="208" xfId="0" applyNumberFormat="1" applyFont="1" applyBorder="1" applyAlignment="1">
      <alignment horizontal="right" vertical="center" wrapText="1"/>
    </xf>
    <xf numFmtId="1" fontId="3" fillId="4" borderId="374" xfId="0" applyNumberFormat="1" applyFont="1" applyFill="1" applyBorder="1" applyAlignment="1" applyProtection="1">
      <alignment horizontal="right" vertical="center"/>
      <protection locked="0"/>
    </xf>
    <xf numFmtId="1" fontId="3" fillId="0" borderId="459" xfId="0" applyNumberFormat="1" applyFont="1" applyBorder="1" applyAlignment="1">
      <alignment vertical="center" wrapText="1"/>
    </xf>
    <xf numFmtId="1" fontId="3" fillId="4" borderId="463" xfId="0" applyNumberFormat="1" applyFont="1" applyFill="1" applyBorder="1" applyAlignment="1" applyProtection="1">
      <alignment horizontal="right" vertical="center"/>
      <protection locked="0"/>
    </xf>
    <xf numFmtId="1" fontId="3" fillId="4" borderId="370" xfId="0" applyNumberFormat="1" applyFont="1" applyFill="1" applyBorder="1" applyAlignment="1" applyProtection="1">
      <alignment horizontal="right" vertical="center"/>
      <protection locked="0"/>
    </xf>
    <xf numFmtId="1" fontId="3" fillId="4" borderId="265" xfId="0" applyNumberFormat="1" applyFont="1" applyFill="1" applyBorder="1" applyAlignment="1" applyProtection="1">
      <alignment horizontal="right" vertical="center"/>
      <protection locked="0"/>
    </xf>
    <xf numFmtId="1" fontId="3" fillId="4" borderId="260" xfId="0" applyNumberFormat="1" applyFont="1" applyFill="1" applyBorder="1" applyAlignment="1" applyProtection="1">
      <alignment horizontal="right" vertical="center"/>
      <protection locked="0"/>
    </xf>
    <xf numFmtId="1" fontId="3" fillId="4" borderId="242" xfId="0" applyNumberFormat="1" applyFont="1" applyFill="1" applyBorder="1" applyAlignment="1" applyProtection="1">
      <alignment horizontal="right" vertical="center"/>
      <protection locked="0"/>
    </xf>
    <xf numFmtId="1" fontId="3" fillId="3" borderId="421" xfId="0" applyNumberFormat="1" applyFont="1" applyFill="1" applyBorder="1" applyAlignment="1">
      <alignment horizontal="right"/>
    </xf>
    <xf numFmtId="1" fontId="3" fillId="4" borderId="103" xfId="0" applyNumberFormat="1" applyFont="1" applyFill="1" applyBorder="1" applyProtection="1">
      <protection locked="0"/>
    </xf>
    <xf numFmtId="1" fontId="3" fillId="7" borderId="421" xfId="0" applyNumberFormat="1" applyFont="1" applyFill="1" applyBorder="1"/>
    <xf numFmtId="1" fontId="3" fillId="4" borderId="408" xfId="0" applyNumberFormat="1" applyFont="1" applyFill="1" applyBorder="1" applyProtection="1">
      <protection locked="0"/>
    </xf>
    <xf numFmtId="1" fontId="3" fillId="3" borderId="378" xfId="0" applyNumberFormat="1" applyFont="1" applyFill="1" applyBorder="1" applyAlignment="1">
      <alignment horizontal="right"/>
    </xf>
    <xf numFmtId="1" fontId="3" fillId="4" borderId="374" xfId="0" applyNumberFormat="1" applyFont="1" applyFill="1" applyBorder="1" applyProtection="1">
      <protection locked="0"/>
    </xf>
    <xf numFmtId="1" fontId="3" fillId="7" borderId="378" xfId="0" applyNumberFormat="1" applyFont="1" applyFill="1" applyBorder="1"/>
    <xf numFmtId="1" fontId="3" fillId="7" borderId="70" xfId="0" applyNumberFormat="1" applyFont="1" applyFill="1" applyBorder="1"/>
    <xf numFmtId="1" fontId="3" fillId="0" borderId="420" xfId="0" applyNumberFormat="1" applyFont="1" applyBorder="1" applyAlignment="1">
      <alignment horizontal="right" vertical="center" wrapText="1"/>
    </xf>
    <xf numFmtId="1" fontId="3" fillId="4" borderId="263" xfId="0" applyNumberFormat="1" applyFont="1" applyFill="1" applyBorder="1" applyProtection="1">
      <protection locked="0"/>
    </xf>
    <xf numFmtId="1" fontId="3" fillId="4" borderId="262" xfId="0" applyNumberFormat="1" applyFont="1" applyFill="1" applyBorder="1" applyProtection="1">
      <protection locked="0"/>
    </xf>
    <xf numFmtId="1" fontId="3" fillId="4" borderId="461" xfId="0" applyNumberFormat="1" applyFont="1" applyFill="1" applyBorder="1" applyProtection="1">
      <protection locked="0"/>
    </xf>
    <xf numFmtId="1" fontId="3" fillId="4" borderId="125" xfId="0" applyNumberFormat="1" applyFont="1" applyFill="1" applyBorder="1" applyProtection="1">
      <protection locked="0"/>
    </xf>
    <xf numFmtId="1" fontId="3" fillId="3" borderId="420" xfId="0" applyNumberFormat="1" applyFont="1" applyFill="1" applyBorder="1"/>
    <xf numFmtId="1" fontId="3" fillId="3" borderId="459" xfId="0" applyNumberFormat="1" applyFont="1" applyFill="1" applyBorder="1"/>
    <xf numFmtId="1" fontId="3" fillId="0" borderId="441" xfId="0" applyNumberFormat="1" applyFont="1" applyBorder="1" applyAlignment="1">
      <alignment vertical="center" wrapText="1"/>
    </xf>
    <xf numFmtId="1" fontId="3" fillId="4" borderId="251" xfId="0" applyNumberFormat="1" applyFont="1" applyFill="1" applyBorder="1" applyProtection="1">
      <protection locked="0"/>
    </xf>
    <xf numFmtId="1" fontId="3" fillId="3" borderId="373" xfId="0" applyNumberFormat="1" applyFont="1" applyFill="1" applyBorder="1"/>
    <xf numFmtId="1" fontId="3" fillId="3" borderId="208" xfId="0" applyNumberFormat="1" applyFont="1" applyFill="1" applyBorder="1"/>
    <xf numFmtId="1" fontId="3" fillId="6" borderId="374" xfId="0" applyNumberFormat="1" applyFont="1" applyFill="1" applyBorder="1"/>
    <xf numFmtId="1" fontId="3" fillId="6" borderId="407" xfId="0" applyNumberFormat="1" applyFont="1" applyFill="1" applyBorder="1"/>
    <xf numFmtId="1" fontId="3" fillId="6" borderId="371" xfId="0" applyNumberFormat="1" applyFont="1" applyFill="1" applyBorder="1"/>
    <xf numFmtId="1" fontId="3" fillId="0" borderId="459" xfId="0" applyNumberFormat="1" applyFont="1" applyBorder="1" applyAlignment="1">
      <alignment horizontal="left" vertical="center" wrapText="1"/>
    </xf>
    <xf numFmtId="1" fontId="3" fillId="4" borderId="463" xfId="0" applyNumberFormat="1" applyFont="1" applyFill="1" applyBorder="1" applyProtection="1">
      <protection locked="0"/>
    </xf>
    <xf numFmtId="1" fontId="3" fillId="4" borderId="370" xfId="0" applyNumberFormat="1" applyFont="1" applyFill="1" applyBorder="1" applyProtection="1">
      <protection locked="0"/>
    </xf>
    <xf numFmtId="1" fontId="3" fillId="4" borderId="413" xfId="0" applyNumberFormat="1" applyFont="1" applyFill="1" applyBorder="1" applyProtection="1">
      <protection locked="0"/>
    </xf>
    <xf numFmtId="1" fontId="3" fillId="0" borderId="446" xfId="0" applyNumberFormat="1" applyFont="1" applyBorder="1" applyAlignment="1">
      <alignment horizontal="center" vertical="center" wrapText="1"/>
    </xf>
    <xf numFmtId="1" fontId="3" fillId="4" borderId="420" xfId="0" applyNumberFormat="1" applyFont="1" applyFill="1" applyBorder="1" applyAlignment="1" applyProtection="1">
      <alignment horizontal="right"/>
      <protection locked="0"/>
    </xf>
    <xf numFmtId="1" fontId="3" fillId="4" borderId="373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>
      <alignment horizontal="right"/>
    </xf>
    <xf numFmtId="1" fontId="4" fillId="3" borderId="0" xfId="0" applyNumberFormat="1" applyFont="1" applyFill="1"/>
    <xf numFmtId="1" fontId="3" fillId="0" borderId="431" xfId="0" applyNumberFormat="1" applyFont="1" applyBorder="1"/>
    <xf numFmtId="1" fontId="3" fillId="0" borderId="459" xfId="0" applyNumberFormat="1" applyFont="1" applyBorder="1" applyAlignment="1">
      <alignment horizontal="right"/>
    </xf>
    <xf numFmtId="1" fontId="3" fillId="0" borderId="433" xfId="0" applyNumberFormat="1" applyFont="1" applyBorder="1" applyAlignment="1">
      <alignment wrapText="1"/>
    </xf>
    <xf numFmtId="1" fontId="3" fillId="4" borderId="453" xfId="0" applyNumberFormat="1" applyFont="1" applyFill="1" applyBorder="1" applyAlignment="1" applyProtection="1">
      <alignment horizontal="right"/>
      <protection locked="0"/>
    </xf>
    <xf numFmtId="1" fontId="3" fillId="0" borderId="378" xfId="0" quotePrefix="1" applyNumberFormat="1" applyFont="1" applyBorder="1" applyAlignment="1">
      <alignment horizontal="left" wrapText="1"/>
    </xf>
    <xf numFmtId="165" fontId="3" fillId="5" borderId="208" xfId="18" applyNumberFormat="1" applyFont="1" applyFill="1" applyBorder="1" applyAlignment="1" applyProtection="1">
      <alignment horizontal="right"/>
    </xf>
    <xf numFmtId="1" fontId="3" fillId="0" borderId="378" xfId="0" quotePrefix="1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431" xfId="0" applyFont="1" applyBorder="1" applyAlignment="1">
      <alignment horizontal="center" vertical="center"/>
    </xf>
    <xf numFmtId="0" fontId="5" fillId="0" borderId="439" xfId="0" applyFont="1" applyBorder="1" applyAlignment="1">
      <alignment horizontal="center" vertical="center" wrapText="1"/>
    </xf>
    <xf numFmtId="0" fontId="5" fillId="0" borderId="431" xfId="0" applyFont="1" applyBorder="1" applyAlignment="1">
      <alignment horizontal="center" vertical="center" wrapText="1"/>
    </xf>
    <xf numFmtId="0" fontId="5" fillId="0" borderId="444" xfId="0" applyFont="1" applyBorder="1" applyAlignment="1">
      <alignment horizontal="center" vertical="center" wrapText="1"/>
    </xf>
    <xf numFmtId="0" fontId="5" fillId="0" borderId="445" xfId="0" applyFont="1" applyBorder="1" applyAlignment="1">
      <alignment horizontal="center" vertical="center" wrapText="1"/>
    </xf>
    <xf numFmtId="0" fontId="5" fillId="0" borderId="447" xfId="0" applyFont="1" applyBorder="1" applyAlignment="1">
      <alignment horizontal="center" vertical="center" wrapText="1"/>
    </xf>
    <xf numFmtId="0" fontId="5" fillId="0" borderId="433" xfId="0" applyFont="1" applyBorder="1" applyAlignment="1">
      <alignment horizontal="center" vertical="center" wrapText="1"/>
    </xf>
    <xf numFmtId="0" fontId="5" fillId="0" borderId="421" xfId="0" applyFont="1" applyBorder="1" applyAlignment="1">
      <alignment horizontal="left" vertical="center" wrapText="1"/>
    </xf>
    <xf numFmtId="1" fontId="5" fillId="0" borderId="428" xfId="0" applyNumberFormat="1" applyFont="1" applyBorder="1"/>
    <xf numFmtId="1" fontId="5" fillId="0" borderId="441" xfId="0" applyNumberFormat="1" applyFont="1" applyBorder="1"/>
    <xf numFmtId="1" fontId="5" fillId="4" borderId="466" xfId="0" applyNumberFormat="1" applyFont="1" applyFill="1" applyBorder="1" applyProtection="1">
      <protection locked="0"/>
    </xf>
    <xf numFmtId="1" fontId="5" fillId="8" borderId="43" xfId="0" applyNumberFormat="1" applyFont="1" applyFill="1" applyBorder="1" applyProtection="1">
      <protection locked="0"/>
    </xf>
    <xf numFmtId="1" fontId="5" fillId="4" borderId="432" xfId="0" applyNumberFormat="1" applyFont="1" applyFill="1" applyBorder="1" applyProtection="1">
      <protection locked="0"/>
    </xf>
    <xf numFmtId="0" fontId="5" fillId="0" borderId="378" xfId="0" applyFont="1" applyBorder="1" applyAlignment="1">
      <alignment horizontal="left" vertical="center" wrapText="1"/>
    </xf>
    <xf numFmtId="1" fontId="5" fillId="8" borderId="46" xfId="0" applyNumberFormat="1" applyFont="1" applyFill="1" applyBorder="1" applyProtection="1">
      <protection locked="0"/>
    </xf>
    <xf numFmtId="0" fontId="5" fillId="0" borderId="11" xfId="0" applyFont="1" applyBorder="1" applyAlignment="1">
      <alignment horizontal="left" vertical="center" wrapText="1"/>
    </xf>
    <xf numFmtId="1" fontId="5" fillId="8" borderId="47" xfId="0" applyNumberFormat="1" applyFont="1" applyFill="1" applyBorder="1" applyProtection="1">
      <protection locked="0"/>
    </xf>
    <xf numFmtId="0" fontId="5" fillId="0" borderId="420" xfId="0" applyFont="1" applyBorder="1" applyAlignment="1">
      <alignment horizontal="left" vertical="center" wrapText="1"/>
    </xf>
    <xf numFmtId="0" fontId="5" fillId="0" borderId="208" xfId="0" applyFont="1" applyBorder="1" applyAlignment="1">
      <alignment horizontal="right" vertical="center" wrapText="1"/>
    </xf>
    <xf numFmtId="0" fontId="5" fillId="0" borderId="222" xfId="0" applyFont="1" applyBorder="1" applyAlignment="1">
      <alignment horizontal="right" vertical="center" wrapText="1"/>
    </xf>
    <xf numFmtId="0" fontId="5" fillId="0" borderId="441" xfId="0" applyFont="1" applyBorder="1"/>
    <xf numFmtId="1" fontId="5" fillId="8" borderId="263" xfId="0" applyNumberFormat="1" applyFont="1" applyFill="1" applyBorder="1" applyProtection="1">
      <protection locked="0"/>
    </xf>
    <xf numFmtId="0" fontId="5" fillId="0" borderId="373" xfId="0" applyFont="1" applyBorder="1" applyAlignment="1">
      <alignment horizontal="left" vertical="center" wrapText="1"/>
    </xf>
    <xf numFmtId="0" fontId="5" fillId="0" borderId="22" xfId="0" applyFont="1" applyBorder="1"/>
    <xf numFmtId="0" fontId="5" fillId="0" borderId="371" xfId="0" applyFont="1" applyBorder="1" applyAlignment="1">
      <alignment horizontal="right" vertical="center" wrapText="1"/>
    </xf>
    <xf numFmtId="0" fontId="5" fillId="0" borderId="10" xfId="0" applyFont="1" applyBorder="1"/>
    <xf numFmtId="1" fontId="5" fillId="8" borderId="408" xfId="0" applyNumberFormat="1" applyFont="1" applyFill="1" applyBorder="1" applyProtection="1">
      <protection locked="0"/>
    </xf>
    <xf numFmtId="0" fontId="5" fillId="0" borderId="208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0" fontId="5" fillId="0" borderId="410" xfId="0" applyFont="1" applyBorder="1" applyAlignment="1">
      <alignment horizontal="right" vertical="center" wrapText="1"/>
    </xf>
    <xf numFmtId="0" fontId="5" fillId="0" borderId="12" xfId="0" applyFont="1" applyBorder="1"/>
    <xf numFmtId="0" fontId="5" fillId="0" borderId="3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" fontId="5" fillId="0" borderId="446" xfId="0" applyNumberFormat="1" applyFont="1" applyBorder="1"/>
    <xf numFmtId="0" fontId="5" fillId="0" borderId="420" xfId="0" applyFont="1" applyBorder="1" applyAlignment="1">
      <alignment vertical="center" wrapText="1"/>
    </xf>
    <xf numFmtId="1" fontId="5" fillId="8" borderId="222" xfId="0" applyNumberFormat="1" applyFont="1" applyFill="1" applyBorder="1" applyProtection="1">
      <protection locked="0"/>
    </xf>
    <xf numFmtId="1" fontId="5" fillId="8" borderId="251" xfId="0" applyNumberFormat="1" applyFont="1" applyFill="1" applyBorder="1" applyProtection="1">
      <protection locked="0"/>
    </xf>
    <xf numFmtId="1" fontId="5" fillId="8" borderId="362" xfId="0" applyNumberFormat="1" applyFont="1" applyFill="1" applyBorder="1" applyProtection="1">
      <protection locked="0"/>
    </xf>
    <xf numFmtId="1" fontId="5" fillId="8" borderId="103" xfId="0" applyNumberFormat="1" applyFont="1" applyFill="1" applyBorder="1" applyProtection="1">
      <protection locked="0"/>
    </xf>
    <xf numFmtId="1" fontId="5" fillId="8" borderId="225" xfId="0" applyNumberFormat="1" applyFont="1" applyFill="1" applyBorder="1" applyProtection="1">
      <protection locked="0"/>
    </xf>
    <xf numFmtId="1" fontId="5" fillId="8" borderId="422" xfId="0" applyNumberFormat="1" applyFont="1" applyFill="1" applyBorder="1" applyProtection="1">
      <protection locked="0"/>
    </xf>
    <xf numFmtId="1" fontId="5" fillId="8" borderId="226" xfId="0" applyNumberFormat="1" applyFont="1" applyFill="1" applyBorder="1" applyProtection="1">
      <protection locked="0"/>
    </xf>
    <xf numFmtId="1" fontId="5" fillId="0" borderId="208" xfId="0" applyNumberFormat="1" applyFont="1" applyBorder="1" applyAlignment="1">
      <alignment horizontal="right" vertical="center" wrapText="1"/>
    </xf>
    <xf numFmtId="0" fontId="5" fillId="0" borderId="459" xfId="0" applyFont="1" applyBorder="1" applyAlignment="1">
      <alignment horizontal="left" vertical="center" wrapText="1"/>
    </xf>
    <xf numFmtId="1" fontId="5" fillId="0" borderId="459" xfId="0" applyNumberFormat="1" applyFont="1" applyBorder="1"/>
    <xf numFmtId="0" fontId="5" fillId="0" borderId="421" xfId="0" applyFont="1" applyBorder="1" applyAlignment="1">
      <alignment vertical="center" wrapText="1"/>
    </xf>
    <xf numFmtId="1" fontId="5" fillId="4" borderId="461" xfId="0" applyNumberFormat="1" applyFont="1" applyFill="1" applyBorder="1" applyProtection="1">
      <protection locked="0"/>
    </xf>
    <xf numFmtId="0" fontId="5" fillId="0" borderId="378" xfId="0" applyFont="1" applyBorder="1" applyAlignment="1">
      <alignment vertical="center" wrapText="1"/>
    </xf>
    <xf numFmtId="0" fontId="5" fillId="0" borderId="22" xfId="0" applyFont="1" applyBorder="1" applyAlignment="1">
      <alignment horizontal="right" vertical="center" wrapText="1"/>
    </xf>
    <xf numFmtId="0" fontId="5" fillId="5" borderId="378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1" fontId="5" fillId="8" borderId="371" xfId="0" applyNumberFormat="1" applyFont="1" applyFill="1" applyBorder="1" applyProtection="1">
      <protection locked="0"/>
    </xf>
    <xf numFmtId="1" fontId="5" fillId="8" borderId="374" xfId="0" applyNumberFormat="1" applyFont="1" applyFill="1" applyBorder="1" applyProtection="1">
      <protection locked="0"/>
    </xf>
    <xf numFmtId="1" fontId="5" fillId="8" borderId="463" xfId="0" applyNumberFormat="1" applyFont="1" applyFill="1" applyBorder="1" applyProtection="1">
      <protection locked="0"/>
    </xf>
    <xf numFmtId="1" fontId="5" fillId="8" borderId="370" xfId="0" applyNumberFormat="1" applyFont="1" applyFill="1" applyBorder="1" applyProtection="1">
      <protection locked="0"/>
    </xf>
    <xf numFmtId="0" fontId="3" fillId="0" borderId="373" xfId="20" applyFont="1" applyBorder="1" applyAlignment="1">
      <alignment horizontal="left" vertical="center" wrapText="1"/>
    </xf>
    <xf numFmtId="1" fontId="3" fillId="4" borderId="420" xfId="0" applyNumberFormat="1" applyFont="1" applyFill="1" applyBorder="1" applyProtection="1">
      <protection locked="0"/>
    </xf>
    <xf numFmtId="1" fontId="3" fillId="4" borderId="455" xfId="0" applyNumberFormat="1" applyFont="1" applyFill="1" applyBorder="1" applyProtection="1">
      <protection locked="0"/>
    </xf>
    <xf numFmtId="1" fontId="3" fillId="23" borderId="371" xfId="0" applyNumberFormat="1" applyFont="1" applyFill="1" applyBorder="1"/>
    <xf numFmtId="1" fontId="3" fillId="23" borderId="374" xfId="0" applyNumberFormat="1" applyFont="1" applyFill="1" applyBorder="1"/>
    <xf numFmtId="0" fontId="3" fillId="0" borderId="420" xfId="20" applyFont="1" applyBorder="1" applyAlignment="1">
      <alignment horizontal="left" vertical="center" wrapText="1"/>
    </xf>
    <xf numFmtId="1" fontId="3" fillId="0" borderId="420" xfId="20" applyNumberFormat="1" applyFont="1" applyBorder="1" applyAlignment="1">
      <alignment horizontal="right" vertical="center" wrapText="1"/>
    </xf>
    <xf numFmtId="1" fontId="3" fillId="4" borderId="420" xfId="20" applyNumberFormat="1" applyFont="1" applyFill="1" applyBorder="1" applyProtection="1">
      <protection locked="0"/>
    </xf>
    <xf numFmtId="1" fontId="3" fillId="8" borderId="441" xfId="20" applyNumberFormat="1" applyFont="1" applyFill="1" applyBorder="1" applyProtection="1">
      <protection locked="0"/>
    </xf>
    <xf numFmtId="1" fontId="3" fillId="8" borderId="420" xfId="20" applyNumberFormat="1" applyFont="1" applyFill="1" applyBorder="1" applyProtection="1">
      <protection locked="0"/>
    </xf>
    <xf numFmtId="1" fontId="3" fillId="0" borderId="373" xfId="20" applyNumberFormat="1" applyFont="1" applyBorder="1" applyAlignment="1">
      <alignment horizontal="right" vertical="center" wrapText="1"/>
    </xf>
    <xf numFmtId="1" fontId="3" fillId="4" borderId="373" xfId="20" applyNumberFormat="1" applyFont="1" applyFill="1" applyBorder="1" applyProtection="1">
      <protection locked="0"/>
    </xf>
    <xf numFmtId="1" fontId="3" fillId="8" borderId="10" xfId="20" applyNumberFormat="1" applyFont="1" applyFill="1" applyBorder="1" applyProtection="1">
      <protection locked="0"/>
    </xf>
    <xf numFmtId="1" fontId="3" fillId="8" borderId="373" xfId="20" applyNumberFormat="1" applyFont="1" applyFill="1" applyBorder="1" applyProtection="1">
      <protection locked="0"/>
    </xf>
    <xf numFmtId="0" fontId="3" fillId="0" borderId="13" xfId="20" applyFont="1" applyBorder="1" applyAlignment="1">
      <alignment horizontal="left" vertical="center" wrapText="1"/>
    </xf>
    <xf numFmtId="1" fontId="3" fillId="0" borderId="13" xfId="20" applyNumberFormat="1" applyFont="1" applyBorder="1" applyAlignment="1">
      <alignment horizontal="right" vertical="center" wrapText="1"/>
    </xf>
    <xf numFmtId="1" fontId="3" fillId="4" borderId="13" xfId="20" applyNumberFormat="1" applyFont="1" applyFill="1" applyBorder="1" applyProtection="1">
      <protection locked="0"/>
    </xf>
    <xf numFmtId="1" fontId="3" fillId="8" borderId="12" xfId="20" applyNumberFormat="1" applyFont="1" applyFill="1" applyBorder="1" applyProtection="1">
      <protection locked="0"/>
    </xf>
    <xf numFmtId="1" fontId="3" fillId="8" borderId="13" xfId="20" applyNumberFormat="1" applyFont="1" applyFill="1" applyBorder="1" applyProtection="1">
      <protection locked="0"/>
    </xf>
    <xf numFmtId="0" fontId="3" fillId="0" borderId="453" xfId="20" applyFont="1" applyBorder="1" applyAlignment="1">
      <alignment horizontal="left" vertical="center" wrapText="1"/>
    </xf>
    <xf numFmtId="165" fontId="3" fillId="5" borderId="453" xfId="18" applyNumberFormat="1" applyFont="1" applyFill="1" applyBorder="1" applyAlignment="1" applyProtection="1">
      <alignment horizontal="right" vertical="center"/>
    </xf>
    <xf numFmtId="1" fontId="3" fillId="4" borderId="450" xfId="0" applyNumberFormat="1" applyFont="1" applyFill="1" applyBorder="1" applyProtection="1">
      <protection locked="0"/>
    </xf>
    <xf numFmtId="1" fontId="3" fillId="4" borderId="453" xfId="0" applyNumberFormat="1" applyFont="1" applyFill="1" applyBorder="1" applyProtection="1">
      <protection locked="0"/>
    </xf>
    <xf numFmtId="1" fontId="3" fillId="4" borderId="460" xfId="0" applyNumberFormat="1" applyFont="1" applyFill="1" applyBorder="1" applyProtection="1">
      <protection locked="0"/>
    </xf>
    <xf numFmtId="1" fontId="3" fillId="0" borderId="59" xfId="0" applyNumberFormat="1" applyFont="1" applyBorder="1"/>
    <xf numFmtId="1" fontId="3" fillId="9" borderId="470" xfId="21" applyNumberFormat="1" applyFont="1" applyBorder="1" applyProtection="1">
      <protection locked="0"/>
    </xf>
    <xf numFmtId="1" fontId="3" fillId="9" borderId="471" xfId="21" applyNumberFormat="1" applyFont="1" applyBorder="1" applyProtection="1">
      <protection locked="0"/>
    </xf>
    <xf numFmtId="1" fontId="3" fillId="4" borderId="472" xfId="0" applyNumberFormat="1" applyFont="1" applyFill="1" applyBorder="1" applyProtection="1">
      <protection locked="0"/>
    </xf>
    <xf numFmtId="1" fontId="3" fillId="4" borderId="471" xfId="0" applyNumberFormat="1" applyFont="1" applyFill="1" applyBorder="1" applyProtection="1">
      <protection locked="0"/>
    </xf>
    <xf numFmtId="1" fontId="3" fillId="4" borderId="470" xfId="0" applyNumberFormat="1" applyFont="1" applyFill="1" applyBorder="1" applyProtection="1">
      <protection locked="0"/>
    </xf>
    <xf numFmtId="1" fontId="3" fillId="4" borderId="473" xfId="0" applyNumberFormat="1" applyFont="1" applyFill="1" applyBorder="1" applyProtection="1">
      <protection locked="0"/>
    </xf>
    <xf numFmtId="1" fontId="3" fillId="7" borderId="374" xfId="0" applyNumberFormat="1" applyFont="1" applyFill="1" applyBorder="1"/>
    <xf numFmtId="1" fontId="3" fillId="7" borderId="372" xfId="0" applyNumberFormat="1" applyFont="1" applyFill="1" applyBorder="1"/>
    <xf numFmtId="1" fontId="3" fillId="7" borderId="371" xfId="0" applyNumberFormat="1" applyFont="1" applyFill="1" applyBorder="1"/>
    <xf numFmtId="1" fontId="3" fillId="9" borderId="374" xfId="21" applyNumberFormat="1" applyFont="1" applyBorder="1" applyProtection="1">
      <protection locked="0"/>
    </xf>
    <xf numFmtId="1" fontId="3" fillId="9" borderId="371" xfId="21" applyNumberFormat="1" applyFont="1" applyBorder="1" applyProtection="1">
      <protection locked="0"/>
    </xf>
    <xf numFmtId="1" fontId="3" fillId="11" borderId="371" xfId="0" applyNumberFormat="1" applyFont="1" applyFill="1" applyBorder="1"/>
    <xf numFmtId="1" fontId="3" fillId="11" borderId="374" xfId="0" applyNumberFormat="1" applyFont="1" applyFill="1" applyBorder="1"/>
    <xf numFmtId="1" fontId="3" fillId="0" borderId="411" xfId="0" applyNumberFormat="1" applyFont="1" applyBorder="1"/>
    <xf numFmtId="165" fontId="3" fillId="0" borderId="445" xfId="19" applyNumberFormat="1" applyFont="1" applyFill="1" applyBorder="1" applyAlignment="1" applyProtection="1">
      <alignment horizontal="right"/>
    </xf>
    <xf numFmtId="1" fontId="3" fillId="0" borderId="474" xfId="0" applyNumberFormat="1" applyFont="1" applyBorder="1" applyAlignment="1">
      <alignment horizontal="center" vertical="center"/>
    </xf>
    <xf numFmtId="164" fontId="3" fillId="0" borderId="453" xfId="18" applyNumberFormat="1" applyFont="1" applyBorder="1" applyAlignment="1" applyProtection="1">
      <alignment horizontal="center" vertical="center" wrapText="1"/>
    </xf>
    <xf numFmtId="1" fontId="3" fillId="0" borderId="432" xfId="0" applyNumberFormat="1" applyFont="1" applyBorder="1" applyAlignment="1">
      <alignment vertical="center"/>
    </xf>
    <xf numFmtId="1" fontId="3" fillId="0" borderId="431" xfId="0" applyNumberFormat="1" applyFont="1" applyBorder="1" applyAlignment="1">
      <alignment vertical="center"/>
    </xf>
    <xf numFmtId="1" fontId="3" fillId="0" borderId="458" xfId="0" applyNumberFormat="1" applyFont="1" applyBorder="1" applyAlignment="1">
      <alignment horizontal="right"/>
    </xf>
    <xf numFmtId="1" fontId="3" fillId="0" borderId="431" xfId="0" applyNumberFormat="1" applyFont="1" applyBorder="1" applyAlignment="1">
      <alignment horizontal="right"/>
    </xf>
    <xf numFmtId="1" fontId="3" fillId="4" borderId="439" xfId="0" applyNumberFormat="1" applyFont="1" applyFill="1" applyBorder="1" applyProtection="1">
      <protection locked="0"/>
    </xf>
    <xf numFmtId="1" fontId="3" fillId="4" borderId="436" xfId="0" applyNumberFormat="1" applyFont="1" applyFill="1" applyBorder="1" applyProtection="1">
      <protection locked="0"/>
    </xf>
    <xf numFmtId="1" fontId="3" fillId="4" borderId="475" xfId="0" applyNumberFormat="1" applyFont="1" applyFill="1" applyBorder="1" applyProtection="1">
      <protection locked="0"/>
    </xf>
    <xf numFmtId="1" fontId="3" fillId="0" borderId="435" xfId="0" applyNumberFormat="1" applyFont="1" applyBorder="1" applyAlignment="1">
      <alignment vertical="center" wrapText="1"/>
    </xf>
    <xf numFmtId="1" fontId="3" fillId="0" borderId="476" xfId="0" applyNumberFormat="1" applyFont="1" applyBorder="1"/>
    <xf numFmtId="1" fontId="3" fillId="0" borderId="222" xfId="0" applyNumberFormat="1" applyFont="1" applyBorder="1" applyAlignment="1">
      <alignment horizontal="right" wrapText="1"/>
    </xf>
    <xf numFmtId="1" fontId="3" fillId="7" borderId="470" xfId="0" applyNumberFormat="1" applyFont="1" applyFill="1" applyBorder="1" applyAlignment="1">
      <alignment horizontal="right"/>
    </xf>
    <xf numFmtId="1" fontId="3" fillId="7" borderId="472" xfId="0" applyNumberFormat="1" applyFont="1" applyFill="1" applyBorder="1"/>
    <xf numFmtId="1" fontId="3" fillId="7" borderId="477" xfId="0" applyNumberFormat="1" applyFont="1" applyFill="1" applyBorder="1"/>
    <xf numFmtId="1" fontId="3" fillId="4" borderId="477" xfId="0" applyNumberFormat="1" applyFont="1" applyFill="1" applyBorder="1" applyProtection="1">
      <protection locked="0"/>
    </xf>
    <xf numFmtId="1" fontId="3" fillId="0" borderId="410" xfId="0" applyNumberFormat="1" applyFont="1" applyBorder="1" applyAlignment="1">
      <alignment vertical="center" wrapText="1"/>
    </xf>
    <xf numFmtId="1" fontId="3" fillId="0" borderId="371" xfId="0" applyNumberFormat="1" applyFont="1" applyBorder="1" applyAlignment="1">
      <alignment horizontal="right" wrapText="1"/>
    </xf>
    <xf numFmtId="1" fontId="3" fillId="0" borderId="374" xfId="0" applyNumberFormat="1" applyFont="1" applyBorder="1" applyAlignment="1">
      <alignment horizontal="right"/>
    </xf>
    <xf numFmtId="1" fontId="3" fillId="0" borderId="463" xfId="0" applyNumberFormat="1" applyFont="1" applyBorder="1" applyAlignment="1">
      <alignment horizontal="right"/>
    </xf>
    <xf numFmtId="1" fontId="3" fillId="0" borderId="370" xfId="0" applyNumberFormat="1" applyFont="1" applyBorder="1" applyAlignment="1">
      <alignment horizontal="right"/>
    </xf>
    <xf numFmtId="1" fontId="3" fillId="0" borderId="242" xfId="0" applyNumberFormat="1" applyFont="1" applyBorder="1" applyAlignment="1">
      <alignment horizontal="right"/>
    </xf>
    <xf numFmtId="1" fontId="3" fillId="7" borderId="38" xfId="0" applyNumberFormat="1" applyFont="1" applyFill="1" applyBorder="1"/>
    <xf numFmtId="1" fontId="3" fillId="0" borderId="22" xfId="0" applyNumberFormat="1" applyFont="1" applyBorder="1" applyAlignment="1">
      <alignment vertical="center"/>
    </xf>
    <xf numFmtId="1" fontId="3" fillId="0" borderId="222" xfId="0" applyNumberFormat="1" applyFont="1" applyBorder="1" applyAlignment="1">
      <alignment horizontal="right"/>
    </xf>
    <xf numFmtId="1" fontId="3" fillId="0" borderId="251" xfId="0" applyNumberFormat="1" applyFont="1" applyBorder="1" applyAlignment="1">
      <alignment horizontal="right"/>
    </xf>
    <xf numFmtId="1" fontId="3" fillId="0" borderId="371" xfId="0" applyNumberFormat="1" applyFont="1" applyBorder="1" applyAlignment="1">
      <alignment horizontal="right"/>
    </xf>
    <xf numFmtId="1" fontId="3" fillId="0" borderId="378" xfId="0" applyNumberFormat="1" applyFont="1" applyBorder="1" applyAlignment="1">
      <alignment vertical="center" shrinkToFit="1"/>
    </xf>
    <xf numFmtId="1" fontId="3" fillId="0" borderId="10" xfId="0" applyNumberFormat="1" applyFont="1" applyBorder="1" applyAlignment="1">
      <alignment vertical="center" shrinkToFit="1"/>
    </xf>
    <xf numFmtId="1" fontId="3" fillId="0" borderId="371" xfId="0" applyNumberFormat="1" applyFont="1" applyBorder="1" applyAlignment="1">
      <alignment horizontal="right" shrinkToFit="1"/>
    </xf>
    <xf numFmtId="1" fontId="3" fillId="0" borderId="374" xfId="0" applyNumberFormat="1" applyFont="1" applyBorder="1" applyAlignment="1">
      <alignment horizontal="right" shrinkToFit="1"/>
    </xf>
    <xf numFmtId="1" fontId="3" fillId="0" borderId="12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horizontal="right"/>
    </xf>
    <xf numFmtId="1" fontId="3" fillId="0" borderId="15" xfId="0" applyNumberFormat="1" applyFont="1" applyBorder="1" applyAlignment="1">
      <alignment horizontal="right"/>
    </xf>
    <xf numFmtId="1" fontId="3" fillId="0" borderId="474" xfId="0" applyNumberFormat="1" applyFont="1" applyBorder="1" applyAlignment="1">
      <alignment horizontal="center" vertical="center" wrapText="1"/>
    </xf>
    <xf numFmtId="1" fontId="3" fillId="0" borderId="472" xfId="0" applyNumberFormat="1" applyFont="1" applyBorder="1" applyAlignment="1">
      <alignment horizontal="right"/>
    </xf>
    <xf numFmtId="1" fontId="3" fillId="4" borderId="255" xfId="0" applyNumberFormat="1" applyFont="1" applyFill="1" applyBorder="1" applyProtection="1">
      <protection locked="0"/>
    </xf>
    <xf numFmtId="1" fontId="3" fillId="0" borderId="480" xfId="0" applyNumberFormat="1" applyFont="1" applyBorder="1" applyAlignment="1">
      <alignment vertical="center" wrapText="1"/>
    </xf>
    <xf numFmtId="1" fontId="3" fillId="3" borderId="476" xfId="0" applyNumberFormat="1" applyFont="1" applyFill="1" applyBorder="1" applyAlignment="1">
      <alignment horizontal="center" vertical="center"/>
    </xf>
    <xf numFmtId="1" fontId="3" fillId="8" borderId="371" xfId="0" applyNumberFormat="1" applyFont="1" applyFill="1" applyBorder="1" applyProtection="1">
      <protection locked="0"/>
    </xf>
    <xf numFmtId="1" fontId="3" fillId="8" borderId="374" xfId="0" applyNumberFormat="1" applyFont="1" applyFill="1" applyBorder="1" applyProtection="1">
      <protection locked="0"/>
    </xf>
    <xf numFmtId="1" fontId="3" fillId="8" borderId="10" xfId="0" applyNumberFormat="1" applyFont="1" applyFill="1" applyBorder="1" applyProtection="1">
      <protection locked="0"/>
    </xf>
    <xf numFmtId="1" fontId="3" fillId="8" borderId="222" xfId="0" applyNumberFormat="1" applyFont="1" applyFill="1" applyBorder="1" applyProtection="1">
      <protection locked="0"/>
    </xf>
    <xf numFmtId="1" fontId="3" fillId="8" borderId="224" xfId="0" applyNumberFormat="1" applyFont="1" applyFill="1" applyBorder="1" applyProtection="1">
      <protection locked="0"/>
    </xf>
    <xf numFmtId="1" fontId="3" fillId="8" borderId="408" xfId="0" applyNumberFormat="1" applyFont="1" applyFill="1" applyBorder="1" applyProtection="1">
      <protection locked="0"/>
    </xf>
    <xf numFmtId="1" fontId="3" fillId="8" borderId="375" xfId="0" applyNumberFormat="1" applyFont="1" applyFill="1" applyBorder="1" applyProtection="1">
      <protection locked="0"/>
    </xf>
    <xf numFmtId="1" fontId="3" fillId="3" borderId="373" xfId="0" applyNumberFormat="1" applyFont="1" applyFill="1" applyBorder="1" applyAlignment="1">
      <alignment horizontal="center" vertical="center"/>
    </xf>
    <xf numFmtId="1" fontId="3" fillId="0" borderId="12" xfId="0" applyNumberFormat="1" applyFont="1" applyBorder="1" applyAlignment="1">
      <alignment vertical="center" wrapText="1"/>
    </xf>
    <xf numFmtId="1" fontId="3" fillId="3" borderId="459" xfId="0" applyNumberFormat="1" applyFont="1" applyFill="1" applyBorder="1" applyAlignment="1">
      <alignment horizontal="center" vertical="center"/>
    </xf>
    <xf numFmtId="1" fontId="3" fillId="8" borderId="463" xfId="0" applyNumberFormat="1" applyFont="1" applyFill="1" applyBorder="1" applyProtection="1">
      <protection locked="0"/>
    </xf>
    <xf numFmtId="1" fontId="3" fillId="8" borderId="370" xfId="0" applyNumberFormat="1" applyFont="1" applyFill="1" applyBorder="1" applyProtection="1">
      <protection locked="0"/>
    </xf>
    <xf numFmtId="1" fontId="3" fillId="8" borderId="242" xfId="0" applyNumberFormat="1" applyFont="1" applyFill="1" applyBorder="1" applyProtection="1">
      <protection locked="0"/>
    </xf>
    <xf numFmtId="1" fontId="3" fillId="8" borderId="414" xfId="0" applyNumberFormat="1" applyFont="1" applyFill="1" applyBorder="1" applyProtection="1">
      <protection locked="0"/>
    </xf>
    <xf numFmtId="1" fontId="3" fillId="3" borderId="103" xfId="23" applyNumberFormat="1" applyFont="1" applyFill="1" applyBorder="1" applyAlignment="1">
      <alignment horizontal="right"/>
    </xf>
    <xf numFmtId="1" fontId="3" fillId="3" borderId="477" xfId="23" applyNumberFormat="1" applyFont="1" applyFill="1" applyBorder="1" applyAlignment="1">
      <alignment horizontal="right"/>
    </xf>
    <xf numFmtId="1" fontId="3" fillId="3" borderId="371" xfId="23" applyNumberFormat="1" applyFont="1" applyFill="1" applyBorder="1" applyAlignment="1">
      <alignment horizontal="right"/>
    </xf>
    <xf numFmtId="1" fontId="3" fillId="3" borderId="374" xfId="23" applyNumberFormat="1" applyFont="1" applyFill="1" applyBorder="1" applyAlignment="1">
      <alignment horizontal="right"/>
    </xf>
    <xf numFmtId="1" fontId="3" fillId="3" borderId="10" xfId="23" applyNumberFormat="1" applyFont="1" applyFill="1" applyBorder="1" applyAlignment="1">
      <alignment horizontal="right"/>
    </xf>
    <xf numFmtId="1" fontId="3" fillId="8" borderId="377" xfId="0" applyNumberFormat="1" applyFont="1" applyFill="1" applyBorder="1" applyProtection="1">
      <protection locked="0"/>
    </xf>
    <xf numFmtId="1" fontId="3" fillId="8" borderId="372" xfId="0" applyNumberFormat="1" applyFont="1" applyFill="1" applyBorder="1" applyProtection="1">
      <protection locked="0"/>
    </xf>
    <xf numFmtId="1" fontId="3" fillId="3" borderId="14" xfId="23" applyNumberFormat="1" applyFont="1" applyFill="1" applyBorder="1" applyAlignment="1">
      <alignment horizontal="right"/>
    </xf>
    <xf numFmtId="1" fontId="3" fillId="3" borderId="15" xfId="23" applyNumberFormat="1" applyFont="1" applyFill="1" applyBorder="1" applyAlignment="1">
      <alignment horizontal="right"/>
    </xf>
    <xf numFmtId="1" fontId="3" fillId="3" borderId="12" xfId="23" applyNumberFormat="1" applyFont="1" applyFill="1" applyBorder="1" applyAlignment="1">
      <alignment horizontal="right"/>
    </xf>
    <xf numFmtId="1" fontId="3" fillId="8" borderId="14" xfId="0" applyNumberFormat="1" applyFont="1" applyFill="1" applyBorder="1" applyProtection="1">
      <protection locked="0"/>
    </xf>
    <xf numFmtId="1" fontId="3" fillId="8" borderId="12" xfId="0" applyNumberFormat="1" applyFont="1" applyFill="1" applyBorder="1" applyProtection="1">
      <protection locked="0"/>
    </xf>
    <xf numFmtId="1" fontId="3" fillId="8" borderId="27" xfId="0" applyNumberFormat="1" applyFont="1" applyFill="1" applyBorder="1" applyProtection="1">
      <protection locked="0"/>
    </xf>
    <xf numFmtId="1" fontId="3" fillId="8" borderId="16" xfId="0" applyNumberFormat="1" applyFont="1" applyFill="1" applyBorder="1" applyProtection="1">
      <protection locked="0"/>
    </xf>
    <xf numFmtId="1" fontId="3" fillId="8" borderId="18" xfId="0" applyNumberFormat="1" applyFont="1" applyFill="1" applyBorder="1" applyProtection="1">
      <protection locked="0"/>
    </xf>
    <xf numFmtId="1" fontId="3" fillId="3" borderId="222" xfId="23" applyNumberFormat="1" applyFont="1" applyFill="1" applyBorder="1" applyAlignment="1">
      <alignment horizontal="right"/>
    </xf>
    <xf numFmtId="1" fontId="3" fillId="8" borderId="225" xfId="0" applyNumberFormat="1" applyFont="1" applyFill="1" applyBorder="1" applyProtection="1">
      <protection locked="0"/>
    </xf>
    <xf numFmtId="0" fontId="2" fillId="5" borderId="0" xfId="0" applyFont="1" applyFill="1"/>
    <xf numFmtId="1" fontId="3" fillId="3" borderId="483" xfId="23" applyNumberFormat="1" applyFont="1" applyFill="1" applyBorder="1" applyAlignment="1">
      <alignment horizontal="right"/>
    </xf>
    <xf numFmtId="1" fontId="3" fillId="0" borderId="373" xfId="0" applyNumberFormat="1" applyFont="1" applyBorder="1" applyAlignment="1">
      <alignment horizontal="left"/>
    </xf>
    <xf numFmtId="1" fontId="3" fillId="3" borderId="484" xfId="23" applyNumberFormat="1" applyFont="1" applyFill="1" applyBorder="1" applyAlignment="1">
      <alignment horizontal="right"/>
    </xf>
    <xf numFmtId="1" fontId="3" fillId="3" borderId="485" xfId="23" applyNumberFormat="1" applyFont="1" applyFill="1" applyBorder="1" applyAlignment="1">
      <alignment horizontal="right"/>
    </xf>
    <xf numFmtId="1" fontId="3" fillId="3" borderId="486" xfId="23" applyNumberFormat="1" applyFont="1" applyFill="1" applyBorder="1" applyAlignment="1">
      <alignment horizontal="right"/>
    </xf>
    <xf numFmtId="1" fontId="3" fillId="0" borderId="208" xfId="0" applyNumberFormat="1" applyFont="1" applyBorder="1" applyAlignment="1">
      <alignment horizontal="left" vertical="center" wrapText="1"/>
    </xf>
    <xf numFmtId="1" fontId="3" fillId="3" borderId="420" xfId="23" applyNumberFormat="1" applyFont="1" applyFill="1" applyBorder="1" applyAlignment="1">
      <alignment horizontal="right"/>
    </xf>
    <xf numFmtId="1" fontId="3" fillId="3" borderId="208" xfId="23" applyNumberFormat="1" applyFont="1" applyFill="1" applyBorder="1" applyAlignment="1">
      <alignment horizontal="right"/>
    </xf>
    <xf numFmtId="1" fontId="3" fillId="17" borderId="13" xfId="23" applyNumberFormat="1" applyFont="1" applyFill="1" applyBorder="1" applyAlignment="1">
      <alignment horizontal="right"/>
    </xf>
    <xf numFmtId="1" fontId="3" fillId="17" borderId="463" xfId="0" applyNumberFormat="1" applyFont="1" applyFill="1" applyBorder="1"/>
    <xf numFmtId="1" fontId="3" fillId="17" borderId="238" xfId="0" applyNumberFormat="1" applyFont="1" applyFill="1" applyBorder="1"/>
    <xf numFmtId="0" fontId="3" fillId="0" borderId="491" xfId="0" applyFont="1" applyBorder="1" applyAlignment="1">
      <alignment horizontal="center" vertical="center" wrapText="1"/>
    </xf>
    <xf numFmtId="0" fontId="3" fillId="17" borderId="420" xfId="0" applyFont="1" applyFill="1" applyBorder="1"/>
    <xf numFmtId="0" fontId="3" fillId="0" borderId="373" xfId="0" applyFont="1" applyBorder="1"/>
    <xf numFmtId="0" fontId="3" fillId="17" borderId="373" xfId="0" applyFont="1" applyFill="1" applyBorder="1"/>
    <xf numFmtId="0" fontId="3" fillId="0" borderId="459" xfId="0" applyFont="1" applyBorder="1"/>
    <xf numFmtId="1" fontId="3" fillId="0" borderId="459" xfId="0" applyNumberFormat="1" applyFont="1" applyBorder="1"/>
    <xf numFmtId="0" fontId="3" fillId="17" borderId="459" xfId="0" applyFont="1" applyFill="1" applyBorder="1"/>
    <xf numFmtId="0" fontId="2" fillId="0" borderId="0" xfId="0" applyFont="1"/>
    <xf numFmtId="0" fontId="3" fillId="0" borderId="491" xfId="0" applyFont="1" applyBorder="1" applyAlignment="1">
      <alignment horizontal="center" vertical="center"/>
    </xf>
    <xf numFmtId="0" fontId="3" fillId="0" borderId="492" xfId="0" applyFont="1" applyBorder="1" applyAlignment="1">
      <alignment horizontal="center" vertical="center" wrapText="1"/>
    </xf>
    <xf numFmtId="0" fontId="3" fillId="0" borderId="490" xfId="0" applyFont="1" applyBorder="1" applyAlignment="1">
      <alignment horizontal="center" vertical="center" wrapText="1"/>
    </xf>
    <xf numFmtId="0" fontId="3" fillId="0" borderId="420" xfId="0" applyFont="1" applyBorder="1" applyAlignment="1">
      <alignment horizontal="right" vertical="center"/>
    </xf>
    <xf numFmtId="0" fontId="3" fillId="8" borderId="428" xfId="0" applyFont="1" applyFill="1" applyBorder="1" applyAlignment="1" applyProtection="1">
      <alignment horizontal="justify" vertical="center"/>
      <protection locked="0"/>
    </xf>
    <xf numFmtId="0" fontId="3" fillId="8" borderId="441" xfId="0" applyFont="1" applyFill="1" applyBorder="1" applyAlignment="1" applyProtection="1">
      <alignment horizontal="justify" vertical="center"/>
      <protection locked="0"/>
    </xf>
    <xf numFmtId="0" fontId="3" fillId="0" borderId="459" xfId="0" applyFont="1" applyBorder="1" applyAlignment="1">
      <alignment horizontal="right" vertical="center"/>
    </xf>
    <xf numFmtId="0" fontId="3" fillId="8" borderId="463" xfId="0" applyFont="1" applyFill="1" applyBorder="1" applyAlignment="1" applyProtection="1">
      <alignment horizontal="justify" vertical="center"/>
      <protection locked="0"/>
    </xf>
    <xf numFmtId="0" fontId="3" fillId="8" borderId="242" xfId="0" applyFont="1" applyFill="1" applyBorder="1" applyAlignment="1" applyProtection="1">
      <alignment horizontal="justify" vertical="center"/>
      <protection locked="0"/>
    </xf>
    <xf numFmtId="1" fontId="3" fillId="5" borderId="488" xfId="0" applyNumberFormat="1" applyFont="1" applyFill="1" applyBorder="1" applyAlignment="1">
      <alignment horizontal="center" vertical="center" wrapText="1"/>
    </xf>
    <xf numFmtId="1" fontId="3" fillId="5" borderId="419" xfId="0" applyNumberFormat="1" applyFont="1" applyFill="1" applyBorder="1" applyAlignment="1">
      <alignment horizontal="center" vertical="top" wrapText="1"/>
    </xf>
    <xf numFmtId="0" fontId="3" fillId="5" borderId="493" xfId="0" applyFont="1" applyFill="1" applyBorder="1" applyAlignment="1">
      <alignment horizontal="center" vertical="center" wrapText="1"/>
    </xf>
    <xf numFmtId="1" fontId="3" fillId="5" borderId="446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208" xfId="0" applyNumberFormat="1" applyFont="1" applyBorder="1" applyAlignment="1">
      <alignment vertical="center"/>
    </xf>
    <xf numFmtId="0" fontId="3" fillId="17" borderId="208" xfId="0" applyFont="1" applyFill="1" applyBorder="1"/>
    <xf numFmtId="1" fontId="3" fillId="0" borderId="242" xfId="0" applyNumberFormat="1" applyFont="1" applyBorder="1" applyAlignment="1">
      <alignment vertical="center"/>
    </xf>
    <xf numFmtId="0" fontId="3" fillId="17" borderId="13" xfId="0" applyFont="1" applyFill="1" applyBorder="1"/>
    <xf numFmtId="1" fontId="3" fillId="5" borderId="494" xfId="0" applyNumberFormat="1" applyFont="1" applyFill="1" applyBorder="1" applyAlignment="1">
      <alignment horizontal="center" vertical="center" wrapText="1"/>
    </xf>
    <xf numFmtId="1" fontId="3" fillId="5" borderId="450" xfId="0" applyNumberFormat="1" applyFont="1" applyFill="1" applyBorder="1" applyAlignment="1">
      <alignment horizontal="center" vertical="center" wrapText="1"/>
    </xf>
    <xf numFmtId="1" fontId="3" fillId="5" borderId="495" xfId="0" applyNumberFormat="1" applyFont="1" applyFill="1" applyBorder="1" applyAlignment="1">
      <alignment horizontal="center" vertical="center" wrapText="1"/>
    </xf>
    <xf numFmtId="1" fontId="3" fillId="0" borderId="420" xfId="0" applyNumberFormat="1" applyFont="1" applyBorder="1" applyAlignment="1">
      <alignment horizontal="left" vertical="center"/>
    </xf>
    <xf numFmtId="0" fontId="3" fillId="24" borderId="420" xfId="0" applyFont="1" applyFill="1" applyBorder="1"/>
    <xf numFmtId="0" fontId="3" fillId="17" borderId="10" xfId="0" applyFont="1" applyFill="1" applyBorder="1"/>
    <xf numFmtId="0" fontId="3" fillId="17" borderId="22" xfId="0" applyFont="1" applyFill="1" applyBorder="1"/>
    <xf numFmtId="0" fontId="3" fillId="0" borderId="13" xfId="0" applyFont="1" applyBorder="1" applyAlignment="1">
      <alignment horizontal="left" vertical="center" wrapText="1"/>
    </xf>
    <xf numFmtId="1" fontId="3" fillId="0" borderId="459" xfId="0" applyNumberFormat="1" applyFont="1" applyBorder="1" applyAlignment="1">
      <alignment wrapText="1"/>
    </xf>
    <xf numFmtId="0" fontId="3" fillId="17" borderId="27" xfId="0" applyFont="1" applyFill="1" applyBorder="1"/>
    <xf numFmtId="0" fontId="3" fillId="17" borderId="15" xfId="0" applyFont="1" applyFill="1" applyBorder="1"/>
    <xf numFmtId="1" fontId="3" fillId="5" borderId="373" xfId="0" applyNumberFormat="1" applyFont="1" applyFill="1" applyBorder="1"/>
    <xf numFmtId="1" fontId="3" fillId="5" borderId="420" xfId="0" applyNumberFormat="1" applyFont="1" applyFill="1" applyBorder="1" applyAlignment="1">
      <alignment horizontal="right" wrapText="1"/>
    </xf>
    <xf numFmtId="1" fontId="3" fillId="5" borderId="373" xfId="0" applyNumberFormat="1" applyFont="1" applyFill="1" applyBorder="1" applyAlignment="1">
      <alignment horizontal="right" wrapText="1"/>
    </xf>
    <xf numFmtId="1" fontId="3" fillId="5" borderId="13" xfId="0" applyNumberFormat="1" applyFont="1" applyFill="1" applyBorder="1"/>
    <xf numFmtId="1" fontId="3" fillId="5" borderId="459" xfId="0" applyNumberFormat="1" applyFont="1" applyFill="1" applyBorder="1" applyAlignment="1">
      <alignment horizontal="right" wrapText="1"/>
    </xf>
    <xf numFmtId="1" fontId="3" fillId="0" borderId="459" xfId="0" applyNumberFormat="1" applyFont="1" applyBorder="1" applyAlignment="1">
      <alignment horizontal="right" vertical="center" wrapText="1"/>
    </xf>
    <xf numFmtId="1" fontId="3" fillId="5" borderId="498" xfId="0" applyNumberFormat="1" applyFont="1" applyFill="1" applyBorder="1" applyAlignment="1">
      <alignment wrapText="1"/>
    </xf>
    <xf numFmtId="1" fontId="3" fillId="5" borderId="496" xfId="0" applyNumberFormat="1" applyFont="1" applyFill="1" applyBorder="1"/>
    <xf numFmtId="1" fontId="30" fillId="4" borderId="494" xfId="0" applyNumberFormat="1" applyFont="1" applyFill="1" applyBorder="1" applyProtection="1">
      <protection locked="0"/>
    </xf>
    <xf numFmtId="1" fontId="30" fillId="4" borderId="450" xfId="0" applyNumberFormat="1" applyFont="1" applyFill="1" applyBorder="1" applyProtection="1">
      <protection locked="0"/>
    </xf>
    <xf numFmtId="1" fontId="30" fillId="4" borderId="499" xfId="0" applyNumberFormat="1" applyFont="1" applyFill="1" applyBorder="1" applyProtection="1">
      <protection locked="0"/>
    </xf>
    <xf numFmtId="1" fontId="30" fillId="4" borderId="446" xfId="0" applyNumberFormat="1" applyFont="1" applyFill="1" applyBorder="1" applyProtection="1">
      <protection locked="0"/>
    </xf>
    <xf numFmtId="1" fontId="3" fillId="0" borderId="497" xfId="0" applyNumberFormat="1" applyFont="1" applyBorder="1" applyAlignment="1">
      <alignment horizontal="center" vertical="center" wrapText="1"/>
    </xf>
    <xf numFmtId="1" fontId="3" fillId="0" borderId="496" xfId="0" applyNumberFormat="1" applyFont="1" applyBorder="1" applyAlignment="1">
      <alignment horizontal="center" vertical="center" wrapText="1"/>
    </xf>
    <xf numFmtId="1" fontId="3" fillId="0" borderId="494" xfId="0" applyNumberFormat="1" applyFont="1" applyBorder="1" applyAlignment="1">
      <alignment horizontal="center" vertical="center" wrapText="1"/>
    </xf>
    <xf numFmtId="1" fontId="3" fillId="0" borderId="495" xfId="0" applyNumberFormat="1" applyFont="1" applyBorder="1" applyAlignment="1">
      <alignment horizontal="center" vertical="center" wrapText="1"/>
    </xf>
    <xf numFmtId="1" fontId="3" fillId="0" borderId="496" xfId="0" applyNumberFormat="1" applyFont="1" applyBorder="1" applyAlignment="1">
      <alignment vertical="center" wrapText="1"/>
    </xf>
    <xf numFmtId="1" fontId="3" fillId="4" borderId="496" xfId="0" applyNumberFormat="1" applyFont="1" applyFill="1" applyBorder="1" applyProtection="1">
      <protection locked="0"/>
    </xf>
    <xf numFmtId="1" fontId="3" fillId="4" borderId="499" xfId="0" applyNumberFormat="1" applyFont="1" applyFill="1" applyBorder="1" applyProtection="1">
      <protection locked="0"/>
    </xf>
    <xf numFmtId="1" fontId="5" fillId="0" borderId="10" xfId="0" applyNumberFormat="1" applyFont="1" applyBorder="1" applyAlignment="1">
      <alignment horizontal="left" vertical="center"/>
    </xf>
    <xf numFmtId="1" fontId="5" fillId="0" borderId="31" xfId="0" applyNumberFormat="1" applyFont="1" applyBorder="1" applyAlignment="1">
      <alignment vertical="center" wrapText="1"/>
    </xf>
    <xf numFmtId="1" fontId="5" fillId="0" borderId="499" xfId="0" applyNumberFormat="1" applyFont="1" applyBorder="1"/>
    <xf numFmtId="1" fontId="5" fillId="0" borderId="220" xfId="0" applyNumberFormat="1" applyFont="1" applyBorder="1"/>
    <xf numFmtId="1" fontId="5" fillId="0" borderId="10" xfId="0" applyNumberFormat="1" applyFont="1" applyBorder="1" applyAlignment="1">
      <alignment wrapText="1"/>
    </xf>
    <xf numFmtId="1" fontId="5" fillId="0" borderId="31" xfId="0" applyNumberFormat="1" applyFont="1" applyBorder="1" applyAlignment="1">
      <alignment horizontal="right" vertical="center"/>
    </xf>
    <xf numFmtId="1" fontId="5" fillId="0" borderId="373" xfId="0" applyNumberFormat="1" applyFont="1" applyBorder="1" applyAlignment="1">
      <alignment horizontal="left"/>
    </xf>
    <xf numFmtId="1" fontId="20" fillId="3" borderId="0" xfId="0" applyNumberFormat="1" applyFont="1" applyFill="1"/>
    <xf numFmtId="1" fontId="5" fillId="0" borderId="31" xfId="0" applyNumberFormat="1" applyFont="1" applyBorder="1" applyAlignment="1">
      <alignment horizontal="right"/>
    </xf>
    <xf numFmtId="1" fontId="5" fillId="5" borderId="31" xfId="0" applyNumberFormat="1" applyFont="1" applyFill="1" applyBorder="1"/>
    <xf numFmtId="1" fontId="5" fillId="5" borderId="13" xfId="0" applyNumberFormat="1" applyFont="1" applyFill="1" applyBorder="1"/>
    <xf numFmtId="1" fontId="5" fillId="0" borderId="373" xfId="0" applyNumberFormat="1" applyFont="1" applyBorder="1" applyAlignment="1">
      <alignment horizontal="left" wrapText="1"/>
    </xf>
    <xf numFmtId="1" fontId="5" fillId="4" borderId="473" xfId="0" applyNumberFormat="1" applyFont="1" applyFill="1" applyBorder="1" applyProtection="1">
      <protection locked="0"/>
    </xf>
    <xf numFmtId="1" fontId="5" fillId="5" borderId="0" xfId="0" applyNumberFormat="1" applyFont="1" applyFill="1" applyAlignment="1">
      <alignment vertical="center"/>
    </xf>
    <xf numFmtId="1" fontId="5" fillId="4" borderId="49" xfId="0" applyNumberFormat="1" applyFont="1" applyFill="1" applyBorder="1" applyProtection="1">
      <protection locked="0"/>
    </xf>
    <xf numFmtId="1" fontId="5" fillId="0" borderId="500" xfId="0" applyNumberFormat="1" applyFont="1" applyBorder="1" applyAlignment="1">
      <alignment horizontal="left" vertical="center" wrapText="1"/>
    </xf>
    <xf numFmtId="1" fontId="5" fillId="0" borderId="497" xfId="0" applyNumberFormat="1" applyFont="1" applyBorder="1"/>
    <xf numFmtId="1" fontId="5" fillId="3" borderId="31" xfId="0" applyNumberFormat="1" applyFont="1" applyFill="1" applyBorder="1"/>
    <xf numFmtId="1" fontId="5" fillId="0" borderId="31" xfId="0" applyNumberFormat="1" applyFont="1" applyBorder="1"/>
    <xf numFmtId="1" fontId="3" fillId="4" borderId="31" xfId="0" applyNumberFormat="1" applyFont="1" applyFill="1" applyBorder="1" applyProtection="1">
      <protection locked="0"/>
    </xf>
    <xf numFmtId="1" fontId="3" fillId="0" borderId="33" xfId="0" applyNumberFormat="1" applyFont="1" applyBorder="1" applyAlignment="1">
      <alignment wrapText="1"/>
    </xf>
    <xf numFmtId="1" fontId="3" fillId="0" borderId="25" xfId="0" applyNumberFormat="1" applyFont="1" applyBorder="1" applyAlignment="1">
      <alignment wrapText="1"/>
    </xf>
    <xf numFmtId="1" fontId="3" fillId="4" borderId="45" xfId="0" applyNumberFormat="1" applyFont="1" applyFill="1" applyBorder="1" applyProtection="1">
      <protection locked="0"/>
    </xf>
    <xf numFmtId="1" fontId="3" fillId="4" borderId="52" xfId="0" applyNumberFormat="1" applyFont="1" applyFill="1" applyBorder="1" applyProtection="1">
      <protection locked="0"/>
    </xf>
    <xf numFmtId="1" fontId="3" fillId="4" borderId="38" xfId="0" applyNumberFormat="1" applyFont="1" applyFill="1" applyBorder="1" applyProtection="1">
      <protection locked="0"/>
    </xf>
    <xf numFmtId="1" fontId="3" fillId="0" borderId="31" xfId="0" applyNumberFormat="1" applyFont="1" applyBorder="1"/>
    <xf numFmtId="1" fontId="3" fillId="0" borderId="33" xfId="0" applyNumberFormat="1" applyFont="1" applyBorder="1"/>
    <xf numFmtId="1" fontId="3" fillId="0" borderId="10" xfId="0" applyNumberFormat="1" applyFont="1" applyBorder="1"/>
    <xf numFmtId="1" fontId="3" fillId="0" borderId="500" xfId="0" applyNumberFormat="1" applyFont="1" applyBorder="1"/>
    <xf numFmtId="1" fontId="3" fillId="3" borderId="13" xfId="0" applyNumberFormat="1" applyFont="1" applyFill="1" applyBorder="1"/>
    <xf numFmtId="1" fontId="3" fillId="4" borderId="512" xfId="0" applyNumberFormat="1" applyFont="1" applyFill="1" applyBorder="1" applyProtection="1">
      <protection locked="0"/>
    </xf>
    <xf numFmtId="1" fontId="5" fillId="0" borderId="36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89" xfId="0" applyNumberFormat="1" applyFont="1" applyBorder="1" applyAlignment="1">
      <alignment horizontal="center" vertical="center" wrapText="1"/>
    </xf>
    <xf numFmtId="1" fontId="5" fillId="0" borderId="95" xfId="0" applyNumberFormat="1" applyFont="1" applyBorder="1" applyAlignment="1">
      <alignment horizontal="center" vertical="center"/>
    </xf>
    <xf numFmtId="1" fontId="5" fillId="0" borderId="94" xfId="0" applyNumberFormat="1" applyFont="1" applyBorder="1" applyAlignment="1">
      <alignment horizontal="center" vertical="center" wrapText="1"/>
    </xf>
    <xf numFmtId="1" fontId="5" fillId="0" borderId="72" xfId="0" applyNumberFormat="1" applyFont="1" applyBorder="1" applyAlignment="1">
      <alignment horizontal="center" vertical="center" wrapText="1"/>
    </xf>
    <xf numFmtId="1" fontId="5" fillId="3" borderId="373" xfId="0" applyNumberFormat="1" applyFont="1" applyFill="1" applyBorder="1" applyAlignment="1">
      <alignment horizontal="left" vertical="center" wrapText="1"/>
    </xf>
    <xf numFmtId="1" fontId="5" fillId="0" borderId="11" xfId="0" applyNumberFormat="1" applyFont="1" applyBorder="1" applyAlignment="1">
      <alignment horizontal="left" wrapText="1"/>
    </xf>
    <xf numFmtId="1" fontId="5" fillId="0" borderId="220" xfId="0" applyNumberFormat="1" applyFont="1" applyBorder="1" applyAlignment="1">
      <alignment horizontal="center" vertical="center"/>
    </xf>
    <xf numFmtId="1" fontId="5" fillId="0" borderId="431" xfId="0" applyNumberFormat="1" applyFont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center" vertical="center"/>
    </xf>
    <xf numFmtId="1" fontId="5" fillId="0" borderId="433" xfId="0" applyNumberFormat="1" applyFont="1" applyBorder="1" applyAlignment="1">
      <alignment horizontal="center" vertical="center"/>
    </xf>
    <xf numFmtId="1" fontId="5" fillId="3" borderId="435" xfId="0" applyNumberFormat="1" applyFont="1" applyFill="1" applyBorder="1" applyAlignment="1">
      <alignment horizontal="center" vertical="center" wrapText="1"/>
    </xf>
    <xf numFmtId="0" fontId="5" fillId="0" borderId="433" xfId="0" applyFont="1" applyBorder="1" applyAlignment="1">
      <alignment horizontal="center" vertical="center"/>
    </xf>
    <xf numFmtId="1" fontId="5" fillId="3" borderId="43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7" fillId="25" borderId="0" xfId="0" applyFont="1" applyFill="1"/>
    <xf numFmtId="0" fontId="0" fillId="25" borderId="0" xfId="0" applyFill="1"/>
    <xf numFmtId="0" fontId="7" fillId="26" borderId="0" xfId="0" applyFont="1" applyFill="1"/>
    <xf numFmtId="0" fontId="0" fillId="26" borderId="0" xfId="0" applyFill="1"/>
    <xf numFmtId="1" fontId="2" fillId="0" borderId="0" xfId="0" applyNumberFormat="1" applyFont="1" applyAlignment="1">
      <alignment wrapText="1"/>
    </xf>
    <xf numFmtId="1" fontId="2" fillId="0" borderId="0" xfId="0" applyNumberFormat="1" applyFont="1" applyProtection="1">
      <protection hidden="1"/>
    </xf>
    <xf numFmtId="1" fontId="6" fillId="0" borderId="0" xfId="0" applyNumberFormat="1" applyFont="1" applyProtection="1">
      <protection hidden="1"/>
    </xf>
    <xf numFmtId="1" fontId="2" fillId="0" borderId="0" xfId="0" applyNumberFormat="1" applyFont="1" applyAlignment="1" applyProtection="1">
      <alignment wrapText="1"/>
      <protection hidden="1"/>
    </xf>
    <xf numFmtId="1" fontId="6" fillId="0" borderId="0" xfId="0" applyNumberFormat="1" applyFont="1" applyProtection="1">
      <protection locked="0"/>
    </xf>
    <xf numFmtId="1" fontId="5" fillId="0" borderId="99" xfId="0" applyNumberFormat="1" applyFont="1" applyBorder="1" applyAlignment="1">
      <alignment horizontal="center" vertical="center"/>
    </xf>
    <xf numFmtId="1" fontId="5" fillId="0" borderId="100" xfId="0" applyNumberFormat="1" applyFont="1" applyBorder="1" applyAlignment="1">
      <alignment horizontal="center" vertical="center"/>
    </xf>
    <xf numFmtId="1" fontId="5" fillId="0" borderId="85" xfId="0" applyNumberFormat="1" applyFont="1" applyBorder="1" applyAlignment="1">
      <alignment horizontal="center" vertical="center" wrapText="1"/>
    </xf>
    <xf numFmtId="1" fontId="16" fillId="0" borderId="73" xfId="0" applyNumberFormat="1" applyFont="1" applyBorder="1"/>
    <xf numFmtId="1" fontId="15" fillId="0" borderId="36" xfId="0" applyNumberFormat="1" applyFont="1" applyBorder="1"/>
    <xf numFmtId="1" fontId="16" fillId="0" borderId="0" xfId="0" applyNumberFormat="1" applyFont="1" applyAlignment="1">
      <alignment vertical="center"/>
    </xf>
    <xf numFmtId="1" fontId="5" fillId="0" borderId="108" xfId="0" applyNumberFormat="1" applyFont="1" applyBorder="1" applyAlignment="1">
      <alignment horizontal="right" wrapText="1"/>
    </xf>
    <xf numFmtId="1" fontId="5" fillId="0" borderId="109" xfId="0" applyNumberFormat="1" applyFont="1" applyBorder="1" applyAlignment="1">
      <alignment horizontal="right" wrapText="1"/>
    </xf>
    <xf numFmtId="1" fontId="5" fillId="0" borderId="108" xfId="0" applyNumberFormat="1" applyFont="1" applyBorder="1"/>
    <xf numFmtId="1" fontId="5" fillId="0" borderId="97" xfId="0" applyNumberFormat="1" applyFont="1" applyBorder="1"/>
    <xf numFmtId="1" fontId="5" fillId="0" borderId="113" xfId="0" applyNumberFormat="1" applyFont="1" applyBorder="1"/>
    <xf numFmtId="1" fontId="5" fillId="0" borderId="111" xfId="0" applyNumberFormat="1" applyFont="1" applyBorder="1"/>
    <xf numFmtId="1" fontId="5" fillId="0" borderId="114" xfId="0" applyNumberFormat="1" applyFont="1" applyBorder="1"/>
    <xf numFmtId="1" fontId="5" fillId="0" borderId="95" xfId="0" applyNumberFormat="1" applyFont="1" applyBorder="1"/>
    <xf numFmtId="1" fontId="5" fillId="0" borderId="109" xfId="0" applyNumberFormat="1" applyFont="1" applyBorder="1" applyAlignment="1">
      <alignment horizontal="center" vertical="center" wrapText="1"/>
    </xf>
    <xf numFmtId="1" fontId="5" fillId="0" borderId="116" xfId="0" applyNumberFormat="1" applyFont="1" applyBorder="1" applyAlignment="1">
      <alignment horizontal="right" wrapText="1"/>
    </xf>
    <xf numFmtId="1" fontId="5" fillId="0" borderId="92" xfId="0" applyNumberFormat="1" applyFont="1" applyBorder="1" applyAlignment="1">
      <alignment horizontal="right" wrapText="1"/>
    </xf>
    <xf numFmtId="1" fontId="5" fillId="0" borderId="106" xfId="0" applyNumberFormat="1" applyFont="1" applyBorder="1" applyAlignment="1">
      <alignment horizontal="center" vertical="center" wrapText="1"/>
    </xf>
    <xf numFmtId="1" fontId="5" fillId="0" borderId="122" xfId="0" applyNumberFormat="1" applyFont="1" applyBorder="1" applyAlignment="1">
      <alignment horizontal="center" vertical="center"/>
    </xf>
    <xf numFmtId="1" fontId="5" fillId="0" borderId="123" xfId="0" applyNumberFormat="1" applyFont="1" applyBorder="1" applyAlignment="1">
      <alignment horizontal="center" vertical="center" wrapText="1"/>
    </xf>
    <xf numFmtId="1" fontId="5" fillId="0" borderId="122" xfId="0" applyNumberFormat="1" applyFont="1" applyBorder="1" applyAlignment="1">
      <alignment horizontal="center" vertical="center" wrapText="1"/>
    </xf>
    <xf numFmtId="1" fontId="5" fillId="0" borderId="98" xfId="0" applyNumberFormat="1" applyFont="1" applyBorder="1" applyAlignment="1">
      <alignment horizontal="center" vertical="center" wrapText="1"/>
    </xf>
    <xf numFmtId="1" fontId="5" fillId="0" borderId="127" xfId="0" applyNumberFormat="1" applyFont="1" applyBorder="1" applyAlignment="1">
      <alignment horizontal="center" vertical="center" wrapText="1"/>
    </xf>
    <xf numFmtId="1" fontId="15" fillId="0" borderId="96" xfId="0" applyNumberFormat="1" applyFont="1" applyBorder="1"/>
    <xf numFmtId="1" fontId="16" fillId="0" borderId="90" xfId="0" applyNumberFormat="1" applyFont="1" applyBorder="1"/>
    <xf numFmtId="1" fontId="5" fillId="0" borderId="146" xfId="0" applyNumberFormat="1" applyFont="1" applyBorder="1" applyAlignment="1">
      <alignment horizontal="center" vertical="center"/>
    </xf>
    <xf numFmtId="1" fontId="5" fillId="0" borderId="147" xfId="0" applyNumberFormat="1" applyFont="1" applyBorder="1" applyAlignment="1">
      <alignment horizontal="center" vertical="center"/>
    </xf>
    <xf numFmtId="1" fontId="5" fillId="0" borderId="146" xfId="0" applyNumberFormat="1" applyFont="1" applyBorder="1" applyAlignment="1">
      <alignment horizontal="center" vertical="center" wrapText="1"/>
    </xf>
    <xf numFmtId="1" fontId="5" fillId="0" borderId="148" xfId="0" applyNumberFormat="1" applyFont="1" applyBorder="1" applyAlignment="1">
      <alignment horizontal="center" vertical="center" wrapText="1"/>
    </xf>
    <xf numFmtId="1" fontId="5" fillId="0" borderId="149" xfId="0" applyNumberFormat="1" applyFont="1" applyBorder="1" applyAlignment="1">
      <alignment horizontal="center" vertical="center" wrapText="1"/>
    </xf>
    <xf numFmtId="1" fontId="5" fillId="0" borderId="163" xfId="0" applyNumberFormat="1" applyFont="1" applyBorder="1" applyAlignment="1">
      <alignment horizontal="center" vertical="center" wrapText="1"/>
    </xf>
    <xf numFmtId="1" fontId="5" fillId="0" borderId="84" xfId="0" applyNumberFormat="1" applyFont="1" applyBorder="1" applyAlignment="1">
      <alignment horizontal="center" vertical="center" wrapText="1"/>
    </xf>
    <xf numFmtId="1" fontId="5" fillId="0" borderId="164" xfId="0" applyNumberFormat="1" applyFont="1" applyBorder="1" applyAlignment="1">
      <alignment horizontal="center" vertical="center" wrapText="1"/>
    </xf>
    <xf numFmtId="1" fontId="5" fillId="0" borderId="77" xfId="0" applyNumberFormat="1" applyFont="1" applyBorder="1" applyAlignment="1">
      <alignment horizontal="right" vertical="center"/>
    </xf>
    <xf numFmtId="1" fontId="5" fillId="0" borderId="78" xfId="0" applyNumberFormat="1" applyFont="1" applyBorder="1" applyAlignment="1">
      <alignment horizontal="right" vertical="center"/>
    </xf>
    <xf numFmtId="1" fontId="5" fillId="0" borderId="77" xfId="0" applyNumberFormat="1" applyFont="1" applyBorder="1" applyAlignment="1">
      <alignment vertical="center" wrapText="1"/>
    </xf>
    <xf numFmtId="1" fontId="5" fillId="0" borderId="146" xfId="0" applyNumberFormat="1" applyFont="1" applyBorder="1"/>
    <xf numFmtId="1" fontId="5" fillId="0" borderId="148" xfId="0" applyNumberFormat="1" applyFont="1" applyBorder="1"/>
    <xf numFmtId="1" fontId="5" fillId="0" borderId="98" xfId="0" applyNumberFormat="1" applyFont="1" applyBorder="1" applyAlignment="1">
      <alignment horizontal="right"/>
    </xf>
    <xf numFmtId="1" fontId="5" fillId="0" borderId="165" xfId="0" applyNumberFormat="1" applyFont="1" applyBorder="1"/>
    <xf numFmtId="0" fontId="5" fillId="0" borderId="97" xfId="0" applyFont="1" applyBorder="1" applyAlignment="1">
      <alignment horizontal="center" wrapText="1"/>
    </xf>
    <xf numFmtId="0" fontId="5" fillId="0" borderId="97" xfId="0" applyFont="1" applyBorder="1" applyAlignment="1">
      <alignment horizontal="center" vertical="center" wrapText="1"/>
    </xf>
    <xf numFmtId="1" fontId="5" fillId="0" borderId="507" xfId="0" applyNumberFormat="1" applyFont="1" applyBorder="1"/>
    <xf numFmtId="0" fontId="5" fillId="0" borderId="507" xfId="0" applyFont="1" applyBorder="1" applyAlignment="1">
      <alignment horizontal="center" vertical="center"/>
    </xf>
    <xf numFmtId="0" fontId="5" fillId="0" borderId="508" xfId="0" applyFont="1" applyBorder="1" applyAlignment="1">
      <alignment vertical="center"/>
    </xf>
    <xf numFmtId="0" fontId="5" fillId="0" borderId="373" xfId="0" applyFont="1" applyBorder="1" applyAlignment="1">
      <alignment vertical="center"/>
    </xf>
    <xf numFmtId="0" fontId="5" fillId="0" borderId="525" xfId="0" applyFont="1" applyBorder="1" applyAlignment="1">
      <alignment vertical="center"/>
    </xf>
    <xf numFmtId="0" fontId="5" fillId="0" borderId="507" xfId="0" applyFont="1" applyBorder="1" applyAlignment="1">
      <alignment horizontal="center"/>
    </xf>
    <xf numFmtId="0" fontId="15" fillId="0" borderId="0" xfId="0" applyFont="1"/>
    <xf numFmtId="0" fontId="5" fillId="0" borderId="497" xfId="0" applyFont="1" applyBorder="1" applyAlignment="1">
      <alignment horizontal="center"/>
    </xf>
    <xf numFmtId="0" fontId="5" fillId="0" borderId="508" xfId="0" applyFont="1" applyBorder="1"/>
    <xf numFmtId="0" fontId="5" fillId="0" borderId="373" xfId="0" applyFont="1" applyBorder="1"/>
    <xf numFmtId="0" fontId="5" fillId="0" borderId="31" xfId="0" applyFont="1" applyBorder="1"/>
    <xf numFmtId="0" fontId="5" fillId="0" borderId="507" xfId="0" applyFont="1" applyBorder="1" applyAlignment="1">
      <alignment horizontal="center" vertical="center" wrapText="1"/>
    </xf>
    <xf numFmtId="0" fontId="5" fillId="0" borderId="497" xfId="0" applyFont="1" applyBorder="1" applyAlignment="1">
      <alignment horizontal="center" vertical="center"/>
    </xf>
    <xf numFmtId="1" fontId="5" fillId="5" borderId="508" xfId="0" applyNumberFormat="1" applyFont="1" applyFill="1" applyBorder="1" applyAlignment="1">
      <alignment wrapText="1"/>
    </xf>
    <xf numFmtId="1" fontId="5" fillId="5" borderId="20" xfId="0" applyNumberFormat="1" applyFont="1" applyFill="1" applyBorder="1" applyAlignment="1">
      <alignment wrapText="1"/>
    </xf>
    <xf numFmtId="0" fontId="5" fillId="0" borderId="508" xfId="0" applyFont="1" applyBorder="1" applyAlignment="1">
      <alignment horizontal="left" vertical="center"/>
    </xf>
    <xf numFmtId="1" fontId="5" fillId="4" borderId="13" xfId="0" applyNumberFormat="1" applyFont="1" applyFill="1" applyBorder="1" applyAlignment="1" applyProtection="1">
      <alignment wrapText="1"/>
      <protection locked="0"/>
    </xf>
    <xf numFmtId="0" fontId="5" fillId="0" borderId="13" xfId="0" applyFont="1" applyBorder="1" applyAlignment="1">
      <alignment horizontal="left" vertical="center"/>
    </xf>
    <xf numFmtId="0" fontId="5" fillId="0" borderId="373" xfId="0" applyFont="1" applyBorder="1" applyAlignment="1">
      <alignment horizontal="left" vertical="center"/>
    </xf>
    <xf numFmtId="1" fontId="5" fillId="4" borderId="31" xfId="0" applyNumberFormat="1" applyFont="1" applyFill="1" applyBorder="1" applyAlignment="1" applyProtection="1">
      <alignment wrapText="1"/>
      <protection locked="0"/>
    </xf>
    <xf numFmtId="1" fontId="5" fillId="4" borderId="20" xfId="0" applyNumberFormat="1" applyFont="1" applyFill="1" applyBorder="1" applyAlignment="1" applyProtection="1">
      <alignment wrapText="1"/>
      <protection locked="0"/>
    </xf>
    <xf numFmtId="0" fontId="5" fillId="0" borderId="31" xfId="0" applyFont="1" applyBorder="1" applyAlignment="1">
      <alignment horizontal="left" vertical="center"/>
    </xf>
    <xf numFmtId="1" fontId="5" fillId="5" borderId="510" xfId="0" applyNumberFormat="1" applyFont="1" applyFill="1" applyBorder="1" applyAlignment="1">
      <alignment wrapText="1"/>
    </xf>
    <xf numFmtId="1" fontId="5" fillId="4" borderId="525" xfId="0" applyNumberFormat="1" applyFont="1" applyFill="1" applyBorder="1" applyAlignment="1" applyProtection="1">
      <alignment wrapText="1"/>
      <protection locked="0"/>
    </xf>
    <xf numFmtId="0" fontId="5" fillId="0" borderId="525" xfId="0" applyFont="1" applyBorder="1" applyAlignment="1">
      <alignment horizontal="left" vertical="center"/>
    </xf>
    <xf numFmtId="0" fontId="5" fillId="0" borderId="525" xfId="0" applyFont="1" applyBorder="1"/>
    <xf numFmtId="1" fontId="5" fillId="4" borderId="508" xfId="0" applyNumberFormat="1" applyFont="1" applyFill="1" applyBorder="1" applyAlignment="1" applyProtection="1">
      <alignment wrapText="1"/>
      <protection locked="0"/>
    </xf>
    <xf numFmtId="1" fontId="5" fillId="4" borderId="510" xfId="0" applyNumberFormat="1" applyFont="1" applyFill="1" applyBorder="1" applyAlignment="1" applyProtection="1">
      <alignment wrapText="1"/>
      <protection locked="0"/>
    </xf>
    <xf numFmtId="1" fontId="5" fillId="4" borderId="528" xfId="0" applyNumberFormat="1" applyFont="1" applyFill="1" applyBorder="1" applyAlignment="1" applyProtection="1">
      <alignment wrapText="1"/>
      <protection locked="0"/>
    </xf>
    <xf numFmtId="1" fontId="5" fillId="4" borderId="505" xfId="0" applyNumberFormat="1" applyFont="1" applyFill="1" applyBorder="1" applyAlignment="1" applyProtection="1">
      <alignment wrapText="1"/>
      <protection locked="0"/>
    </xf>
    <xf numFmtId="0" fontId="5" fillId="0" borderId="507" xfId="0" applyFont="1" applyBorder="1" applyAlignment="1">
      <alignment horizontal="left" vertical="center"/>
    </xf>
    <xf numFmtId="0" fontId="3" fillId="0" borderId="507" xfId="0" applyFont="1" applyBorder="1" applyAlignment="1">
      <alignment horizontal="center" vertical="center"/>
    </xf>
    <xf numFmtId="1" fontId="32" fillId="3" borderId="0" xfId="0" applyNumberFormat="1" applyFont="1" applyFill="1"/>
    <xf numFmtId="1" fontId="5" fillId="3" borderId="445" xfId="0" applyNumberFormat="1" applyFont="1" applyFill="1" applyBorder="1"/>
    <xf numFmtId="1" fontId="5" fillId="3" borderId="506" xfId="0" applyNumberFormat="1" applyFont="1" applyFill="1" applyBorder="1"/>
    <xf numFmtId="1" fontId="5" fillId="3" borderId="505" xfId="0" applyNumberFormat="1" applyFont="1" applyFill="1" applyBorder="1"/>
    <xf numFmtId="1" fontId="5" fillId="3" borderId="507" xfId="0" applyNumberFormat="1" applyFont="1" applyFill="1" applyBorder="1"/>
    <xf numFmtId="1" fontId="5" fillId="3" borderId="512" xfId="0" applyNumberFormat="1" applyFont="1" applyFill="1" applyBorder="1"/>
    <xf numFmtId="1" fontId="5" fillId="3" borderId="524" xfId="0" applyNumberFormat="1" applyFont="1" applyFill="1" applyBorder="1"/>
    <xf numFmtId="1" fontId="5" fillId="3" borderId="521" xfId="0" applyNumberFormat="1" applyFont="1" applyFill="1" applyBorder="1"/>
    <xf numFmtId="1" fontId="18" fillId="3" borderId="445" xfId="0" applyNumberFormat="1" applyFont="1" applyFill="1" applyBorder="1"/>
    <xf numFmtId="1" fontId="18" fillId="3" borderId="433" xfId="0" applyNumberFormat="1" applyFont="1" applyFill="1" applyBorder="1"/>
    <xf numFmtId="1" fontId="5" fillId="0" borderId="508" xfId="0" applyNumberFormat="1" applyFont="1" applyBorder="1" applyAlignment="1">
      <alignment wrapText="1"/>
    </xf>
    <xf numFmtId="1" fontId="5" fillId="0" borderId="525" xfId="0" applyNumberFormat="1" applyFont="1" applyBorder="1" applyAlignment="1">
      <alignment wrapText="1"/>
    </xf>
    <xf numFmtId="1" fontId="5" fillId="0" borderId="500" xfId="0" applyNumberFormat="1" applyFont="1" applyBorder="1" applyAlignment="1">
      <alignment wrapText="1"/>
    </xf>
    <xf numFmtId="0" fontId="3" fillId="0" borderId="445" xfId="0" applyFont="1" applyBorder="1" applyAlignment="1">
      <alignment horizontal="center" vertical="center" wrapText="1"/>
    </xf>
    <xf numFmtId="0" fontId="3" fillId="0" borderId="499" xfId="0" applyFont="1" applyBorder="1" applyAlignment="1">
      <alignment horizontal="center" vertical="center" wrapText="1"/>
    </xf>
    <xf numFmtId="0" fontId="3" fillId="0" borderId="505" xfId="0" applyFont="1" applyBorder="1" applyAlignment="1">
      <alignment horizontal="center" vertical="center" wrapText="1"/>
    </xf>
    <xf numFmtId="1" fontId="5" fillId="0" borderId="507" xfId="0" applyNumberFormat="1" applyFont="1" applyBorder="1" applyAlignment="1">
      <alignment horizontal="center" vertical="center" wrapText="1"/>
    </xf>
    <xf numFmtId="1" fontId="16" fillId="4" borderId="13" xfId="0" applyNumberFormat="1" applyFont="1" applyFill="1" applyBorder="1" applyAlignment="1" applyProtection="1">
      <alignment wrapText="1"/>
      <protection locked="0"/>
    </xf>
    <xf numFmtId="1" fontId="5" fillId="0" borderId="57" xfId="0" applyNumberFormat="1" applyFont="1" applyBorder="1" applyAlignment="1">
      <alignment vertical="center" wrapText="1"/>
    </xf>
    <xf numFmtId="1" fontId="16" fillId="4" borderId="525" xfId="0" applyNumberFormat="1" applyFont="1" applyFill="1" applyBorder="1" applyAlignment="1" applyProtection="1">
      <alignment wrapText="1"/>
      <protection locked="0"/>
    </xf>
    <xf numFmtId="1" fontId="5" fillId="0" borderId="529" xfId="0" applyNumberFormat="1" applyFont="1" applyBorder="1"/>
    <xf numFmtId="1" fontId="5" fillId="0" borderId="445" xfId="0" applyNumberFormat="1" applyFont="1" applyBorder="1" applyAlignment="1">
      <alignment horizontal="right"/>
    </xf>
    <xf numFmtId="1" fontId="5" fillId="0" borderId="506" xfId="0" applyNumberFormat="1" applyFont="1" applyBorder="1" applyAlignment="1">
      <alignment horizontal="right"/>
    </xf>
    <xf numFmtId="1" fontId="5" fillId="0" borderId="505" xfId="0" applyNumberFormat="1" applyFont="1" applyBorder="1" applyAlignment="1">
      <alignment horizontal="right"/>
    </xf>
    <xf numFmtId="1" fontId="5" fillId="0" borderId="506" xfId="0" applyNumberFormat="1" applyFont="1" applyBorder="1"/>
    <xf numFmtId="1" fontId="5" fillId="0" borderId="505" xfId="0" applyNumberFormat="1" applyFont="1" applyBorder="1"/>
    <xf numFmtId="1" fontId="5" fillId="6" borderId="512" xfId="0" applyNumberFormat="1" applyFont="1" applyFill="1" applyBorder="1"/>
    <xf numFmtId="1" fontId="5" fillId="6" borderId="511" xfId="0" applyNumberFormat="1" applyFont="1" applyFill="1" applyBorder="1"/>
    <xf numFmtId="1" fontId="5" fillId="4" borderId="510" xfId="0" applyNumberFormat="1" applyFont="1" applyFill="1" applyBorder="1" applyProtection="1">
      <protection locked="0"/>
    </xf>
    <xf numFmtId="1" fontId="5" fillId="6" borderId="526" xfId="0" applyNumberFormat="1" applyFont="1" applyFill="1" applyBorder="1"/>
    <xf numFmtId="1" fontId="5" fillId="6" borderId="530" xfId="0" applyNumberFormat="1" applyFont="1" applyFill="1" applyBorder="1"/>
    <xf numFmtId="1" fontId="5" fillId="4" borderId="528" xfId="0" applyNumberFormat="1" applyFont="1" applyFill="1" applyBorder="1" applyProtection="1">
      <protection locked="0"/>
    </xf>
    <xf numFmtId="1" fontId="5" fillId="3" borderId="13" xfId="0" applyNumberFormat="1" applyFont="1" applyFill="1" applyBorder="1" applyAlignment="1">
      <alignment horizontal="left" vertical="center" wrapText="1"/>
    </xf>
    <xf numFmtId="1" fontId="5" fillId="4" borderId="526" xfId="0" applyNumberFormat="1" applyFont="1" applyFill="1" applyBorder="1" applyAlignment="1" applyProtection="1">
      <alignment wrapText="1"/>
      <protection locked="0"/>
    </xf>
    <xf numFmtId="1" fontId="5" fillId="4" borderId="530" xfId="0" applyNumberFormat="1" applyFont="1" applyFill="1" applyBorder="1" applyAlignment="1" applyProtection="1">
      <alignment wrapText="1"/>
      <protection locked="0"/>
    </xf>
    <xf numFmtId="1" fontId="5" fillId="3" borderId="525" xfId="0" applyNumberFormat="1" applyFont="1" applyFill="1" applyBorder="1" applyAlignment="1">
      <alignment horizontal="left" vertical="center" wrapText="1"/>
    </xf>
    <xf numFmtId="1" fontId="5" fillId="0" borderId="506" xfId="0" applyNumberFormat="1" applyFont="1" applyBorder="1" applyAlignment="1">
      <alignment horizontal="center" vertical="center" wrapText="1"/>
    </xf>
    <xf numFmtId="1" fontId="5" fillId="0" borderId="505" xfId="0" applyNumberFormat="1" applyFont="1" applyBorder="1" applyAlignment="1">
      <alignment horizontal="center" vertical="center" wrapText="1"/>
    </xf>
    <xf numFmtId="1" fontId="16" fillId="3" borderId="0" xfId="0" applyNumberFormat="1" applyFont="1" applyFill="1" applyProtection="1">
      <protection locked="0"/>
    </xf>
    <xf numFmtId="1" fontId="18" fillId="3" borderId="0" xfId="0" applyNumberFormat="1" applyFont="1" applyFill="1" applyAlignment="1">
      <alignment horizontal="left"/>
    </xf>
    <xf numFmtId="1" fontId="33" fillId="3" borderId="0" xfId="0" applyNumberFormat="1" applyFont="1" applyFill="1"/>
    <xf numFmtId="1" fontId="5" fillId="4" borderId="52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3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28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525" xfId="0" applyNumberFormat="1" applyFont="1" applyFill="1" applyBorder="1" applyAlignment="1">
      <alignment horizontal="right" vertical="center" wrapText="1"/>
    </xf>
    <xf numFmtId="1" fontId="5" fillId="4" borderId="43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5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02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435" xfId="0" applyNumberFormat="1" applyFont="1" applyFill="1" applyBorder="1" applyAlignment="1">
      <alignment horizontal="right" vertical="center" wrapText="1"/>
    </xf>
    <xf numFmtId="1" fontId="5" fillId="3" borderId="445" xfId="14" applyNumberFormat="1" applyFont="1" applyFill="1" applyBorder="1" applyAlignment="1">
      <alignment horizontal="center" vertical="center" wrapText="1"/>
    </xf>
    <xf numFmtId="1" fontId="5" fillId="3" borderId="506" xfId="14" applyNumberFormat="1" applyFont="1" applyFill="1" applyBorder="1" applyAlignment="1">
      <alignment horizontal="center" vertical="center" wrapText="1"/>
    </xf>
    <xf numFmtId="1" fontId="5" fillId="3" borderId="505" xfId="14" applyNumberFormat="1" applyFont="1" applyFill="1" applyBorder="1" applyAlignment="1">
      <alignment horizontal="center" vertical="center" wrapText="1"/>
    </xf>
    <xf numFmtId="1" fontId="5" fillId="3" borderId="435" xfId="14" applyNumberFormat="1" applyFont="1" applyFill="1" applyBorder="1" applyAlignment="1">
      <alignment horizontal="center" vertical="center" wrapText="1"/>
    </xf>
    <xf numFmtId="1" fontId="15" fillId="3" borderId="524" xfId="14" applyNumberFormat="1" applyFont="1" applyFill="1" applyBorder="1"/>
    <xf numFmtId="1" fontId="5" fillId="4" borderId="13" xfId="0" applyNumberFormat="1" applyFont="1" applyFill="1" applyBorder="1" applyAlignment="1" applyProtection="1">
      <alignment vertical="center" wrapText="1"/>
      <protection locked="0"/>
    </xf>
    <xf numFmtId="1" fontId="5" fillId="4" borderId="525" xfId="0" applyNumberFormat="1" applyFont="1" applyFill="1" applyBorder="1" applyAlignment="1" applyProtection="1">
      <alignment vertical="center" wrapText="1"/>
      <protection locked="0"/>
    </xf>
    <xf numFmtId="1" fontId="5" fillId="3" borderId="507" xfId="0" applyNumberFormat="1" applyFont="1" applyFill="1" applyBorder="1" applyAlignment="1">
      <alignment horizontal="center" vertical="center" wrapText="1"/>
    </xf>
    <xf numFmtId="1" fontId="16" fillId="5" borderId="0" xfId="0" applyNumberFormat="1" applyFont="1" applyFill="1" applyAlignment="1">
      <alignment wrapText="1"/>
    </xf>
    <xf numFmtId="1" fontId="15" fillId="5" borderId="0" xfId="14" applyNumberFormat="1" applyFont="1" applyFill="1" applyAlignment="1">
      <alignment wrapText="1"/>
    </xf>
    <xf numFmtId="1" fontId="5" fillId="4" borderId="1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4" xfId="0" applyNumberFormat="1" applyFont="1" applyFill="1" applyBorder="1" applyAlignment="1" applyProtection="1">
      <alignment horizontal="right" vertical="center" wrapText="1"/>
      <protection locked="0"/>
    </xf>
    <xf numFmtId="1" fontId="5" fillId="0" borderId="508" xfId="0" applyNumberFormat="1" applyFont="1" applyBorder="1" applyAlignment="1">
      <alignment horizontal="right" vertical="center" wrapText="1"/>
    </xf>
    <xf numFmtId="1" fontId="5" fillId="4" borderId="2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5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0" xfId="0" applyNumberFormat="1" applyFont="1" applyFill="1" applyBorder="1" applyAlignment="1" applyProtection="1">
      <alignment horizontal="right" vertical="center" wrapText="1"/>
      <protection locked="0"/>
    </xf>
    <xf numFmtId="1" fontId="5" fillId="0" borderId="525" xfId="0" applyNumberFormat="1" applyFont="1" applyBorder="1" applyAlignment="1">
      <alignment horizontal="right" vertical="center" wrapText="1"/>
    </xf>
    <xf numFmtId="1" fontId="5" fillId="4" borderId="44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0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05" xfId="0" applyNumberFormat="1" applyFont="1" applyFill="1" applyBorder="1" applyAlignment="1" applyProtection="1">
      <alignment horizontal="right" vertical="center" wrapText="1"/>
      <protection locked="0"/>
    </xf>
    <xf numFmtId="1" fontId="5" fillId="0" borderId="507" xfId="0" applyNumberFormat="1" applyFont="1" applyBorder="1" applyAlignment="1">
      <alignment horizontal="right" vertical="center" wrapText="1"/>
    </xf>
    <xf numFmtId="1" fontId="5" fillId="5" borderId="445" xfId="14" applyNumberFormat="1" applyFont="1" applyFill="1" applyBorder="1" applyAlignment="1">
      <alignment horizontal="center" vertical="center" wrapText="1"/>
    </xf>
    <xf numFmtId="1" fontId="5" fillId="3" borderId="458" xfId="14" applyNumberFormat="1" applyFont="1" applyFill="1" applyBorder="1" applyAlignment="1">
      <alignment horizontal="center" vertical="center" wrapText="1"/>
    </xf>
    <xf numFmtId="1" fontId="5" fillId="6" borderId="12" xfId="0" applyNumberFormat="1" applyFont="1" applyFill="1" applyBorder="1" applyAlignment="1">
      <alignment horizontal="left"/>
    </xf>
    <xf numFmtId="1" fontId="5" fillId="6" borderId="22" xfId="0" applyNumberFormat="1" applyFont="1" applyFill="1" applyBorder="1" applyAlignment="1">
      <alignment horizontal="left" vertical="center" wrapText="1"/>
    </xf>
    <xf numFmtId="1" fontId="5" fillId="4" borderId="37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7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1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3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3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25" xfId="0" applyNumberFormat="1" applyFont="1" applyFill="1" applyBorder="1" applyAlignment="1" applyProtection="1">
      <alignment horizontal="right" vertical="center" wrapText="1"/>
      <protection locked="0"/>
    </xf>
    <xf numFmtId="1" fontId="15" fillId="3" borderId="0" xfId="14" applyNumberFormat="1" applyFont="1" applyFill="1" applyAlignment="1">
      <alignment wrapText="1"/>
    </xf>
    <xf numFmtId="1" fontId="5" fillId="0" borderId="433" xfId="0" applyNumberFormat="1" applyFont="1" applyBorder="1"/>
    <xf numFmtId="1" fontId="5" fillId="4" borderId="2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7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08" xfId="0" applyNumberFormat="1" applyFont="1" applyFill="1" applyBorder="1" applyProtection="1">
      <protection locked="0"/>
    </xf>
    <xf numFmtId="1" fontId="5" fillId="0" borderId="512" xfId="0" applyNumberFormat="1" applyFont="1" applyBorder="1" applyAlignment="1">
      <alignment horizontal="left" vertical="center" wrapText="1"/>
    </xf>
    <xf numFmtId="1" fontId="5" fillId="4" borderId="525" xfId="0" applyNumberFormat="1" applyFont="1" applyFill="1" applyBorder="1" applyProtection="1">
      <protection locked="0"/>
    </xf>
    <xf numFmtId="1" fontId="5" fillId="0" borderId="526" xfId="0" applyNumberFormat="1" applyFont="1" applyBorder="1" applyAlignment="1">
      <alignment vertical="center" wrapText="1"/>
    </xf>
    <xf numFmtId="1" fontId="5" fillId="0" borderId="22" xfId="0" applyNumberFormat="1" applyFont="1" applyBorder="1" applyAlignment="1">
      <alignment vertical="center" wrapText="1"/>
    </xf>
    <xf numFmtId="1" fontId="5" fillId="0" borderId="525" xfId="0" applyNumberFormat="1" applyFont="1" applyBorder="1" applyAlignment="1">
      <alignment horizontal="left" vertical="center" wrapText="1"/>
    </xf>
    <xf numFmtId="1" fontId="5" fillId="0" borderId="508" xfId="0" applyNumberFormat="1" applyFont="1" applyBorder="1" applyAlignment="1">
      <alignment horizontal="right" vertical="center"/>
    </xf>
    <xf numFmtId="1" fontId="5" fillId="0" borderId="508" xfId="0" applyNumberFormat="1" applyFont="1" applyBorder="1" applyAlignment="1">
      <alignment horizontal="center" vertical="center" wrapText="1"/>
    </xf>
    <xf numFmtId="1" fontId="5" fillId="3" borderId="435" xfId="17" applyNumberFormat="1" applyFont="1" applyFill="1" applyBorder="1" applyAlignment="1">
      <alignment horizontal="center" vertical="center" wrapText="1"/>
    </xf>
    <xf numFmtId="1" fontId="5" fillId="4" borderId="507" xfId="0" applyNumberFormat="1" applyFont="1" applyFill="1" applyBorder="1" applyAlignment="1" applyProtection="1">
      <alignment horizontal="right"/>
      <protection locked="0"/>
    </xf>
    <xf numFmtId="1" fontId="5" fillId="5" borderId="507" xfId="0" applyNumberFormat="1" applyFont="1" applyFill="1" applyBorder="1" applyAlignment="1">
      <alignment horizontal="right"/>
    </xf>
    <xf numFmtId="1" fontId="5" fillId="5" borderId="507" xfId="0" applyNumberFormat="1" applyFont="1" applyFill="1" applyBorder="1" applyAlignment="1">
      <alignment horizontal="left" vertical="center" wrapText="1"/>
    </xf>
    <xf numFmtId="1" fontId="5" fillId="4" borderId="373" xfId="0" applyNumberFormat="1" applyFont="1" applyFill="1" applyBorder="1" applyAlignment="1" applyProtection="1">
      <alignment horizontal="right"/>
      <protection locked="0"/>
    </xf>
    <xf numFmtId="1" fontId="5" fillId="5" borderId="373" xfId="0" applyNumberFormat="1" applyFont="1" applyFill="1" applyBorder="1" applyAlignment="1">
      <alignment horizontal="right"/>
    </xf>
    <xf numFmtId="1" fontId="5" fillId="4" borderId="31" xfId="0" applyNumberFormat="1" applyFont="1" applyFill="1" applyBorder="1" applyAlignment="1" applyProtection="1">
      <alignment horizontal="right"/>
      <protection locked="0"/>
    </xf>
    <xf numFmtId="1" fontId="5" fillId="5" borderId="31" xfId="0" applyNumberFormat="1" applyFont="1" applyFill="1" applyBorder="1" applyAlignment="1">
      <alignment horizontal="right"/>
    </xf>
    <xf numFmtId="1" fontId="5" fillId="4" borderId="525" xfId="0" applyNumberFormat="1" applyFont="1" applyFill="1" applyBorder="1" applyAlignment="1" applyProtection="1">
      <alignment horizontal="right"/>
      <protection locked="0"/>
    </xf>
    <xf numFmtId="1" fontId="5" fillId="5" borderId="525" xfId="0" applyNumberFormat="1" applyFont="1" applyFill="1" applyBorder="1" applyAlignment="1">
      <alignment horizontal="right"/>
    </xf>
    <xf numFmtId="1" fontId="5" fillId="4" borderId="508" xfId="0" applyNumberFormat="1" applyFont="1" applyFill="1" applyBorder="1" applyAlignment="1" applyProtection="1">
      <alignment horizontal="right"/>
      <protection locked="0"/>
    </xf>
    <xf numFmtId="1" fontId="5" fillId="5" borderId="508" xfId="0" applyNumberFormat="1" applyFont="1" applyFill="1" applyBorder="1" applyAlignment="1">
      <alignment horizontal="right"/>
    </xf>
    <xf numFmtId="1" fontId="5" fillId="5" borderId="508" xfId="14" applyNumberFormat="1" applyFont="1" applyFill="1" applyBorder="1" applyAlignment="1">
      <alignment horizontal="left" vertical="center" wrapText="1"/>
    </xf>
    <xf numFmtId="1" fontId="5" fillId="5" borderId="507" xfId="14" applyNumberFormat="1" applyFont="1" applyFill="1" applyBorder="1" applyAlignment="1">
      <alignment horizontal="left" vertical="center" wrapText="1"/>
    </xf>
    <xf numFmtId="1" fontId="5" fillId="5" borderId="507" xfId="14" applyNumberFormat="1" applyFont="1" applyFill="1" applyBorder="1" applyAlignment="1">
      <alignment horizontal="center" vertical="center" wrapText="1"/>
    </xf>
    <xf numFmtId="1" fontId="5" fillId="5" borderId="507" xfId="17" applyNumberFormat="1" applyFont="1" applyFill="1" applyBorder="1" applyAlignment="1">
      <alignment horizontal="center" vertical="center" wrapText="1"/>
    </xf>
    <xf numFmtId="1" fontId="5" fillId="5" borderId="507" xfId="14" applyNumberFormat="1" applyFont="1" applyFill="1" applyBorder="1" applyAlignment="1">
      <alignment horizontal="center" wrapText="1"/>
    </xf>
    <xf numFmtId="1" fontId="5" fillId="0" borderId="521" xfId="0" applyNumberFormat="1" applyFont="1" applyBorder="1"/>
    <xf numFmtId="1" fontId="5" fillId="0" borderId="512" xfId="0" applyNumberFormat="1" applyFont="1" applyBorder="1"/>
    <xf numFmtId="1" fontId="5" fillId="0" borderId="510" xfId="0" applyNumberFormat="1" applyFont="1" applyBorder="1"/>
    <xf numFmtId="1" fontId="5" fillId="0" borderId="524" xfId="0" applyNumberFormat="1" applyFont="1" applyBorder="1" applyAlignment="1">
      <alignment horizontal="right"/>
    </xf>
    <xf numFmtId="1" fontId="5" fillId="0" borderId="511" xfId="0" applyNumberFormat="1" applyFont="1" applyBorder="1" applyAlignment="1">
      <alignment horizontal="right"/>
    </xf>
    <xf numFmtId="1" fontId="5" fillId="0" borderId="510" xfId="0" applyNumberFormat="1" applyFont="1" applyBorder="1" applyAlignment="1">
      <alignment horizontal="right"/>
    </xf>
    <xf numFmtId="1" fontId="5" fillId="0" borderId="512" xfId="0" applyNumberFormat="1" applyFont="1" applyBorder="1" applyAlignment="1">
      <alignment horizontal="right"/>
    </xf>
    <xf numFmtId="1" fontId="5" fillId="0" borderId="11" xfId="0" applyNumberFormat="1" applyFont="1" applyBorder="1" applyAlignment="1">
      <alignment wrapText="1"/>
    </xf>
    <xf numFmtId="1" fontId="5" fillId="4" borderId="501" xfId="0" applyNumberFormat="1" applyFont="1" applyFill="1" applyBorder="1" applyProtection="1">
      <protection locked="0"/>
    </xf>
    <xf numFmtId="1" fontId="5" fillId="0" borderId="526" xfId="0" applyNumberFormat="1" applyFont="1" applyBorder="1" applyAlignment="1">
      <alignment horizontal="right"/>
    </xf>
    <xf numFmtId="1" fontId="5" fillId="0" borderId="530" xfId="0" applyNumberFormat="1" applyFont="1" applyBorder="1" applyAlignment="1">
      <alignment horizontal="right" wrapText="1"/>
    </xf>
    <xf numFmtId="1" fontId="5" fillId="0" borderId="59" xfId="0" applyNumberFormat="1" applyFont="1" applyBorder="1" applyAlignment="1">
      <alignment horizontal="left" wrapText="1"/>
    </xf>
    <xf numFmtId="1" fontId="5" fillId="4" borderId="521" xfId="0" applyNumberFormat="1" applyFont="1" applyFill="1" applyBorder="1" applyProtection="1">
      <protection locked="0"/>
    </xf>
    <xf numFmtId="1" fontId="5" fillId="4" borderId="512" xfId="0" applyNumberFormat="1" applyFont="1" applyFill="1" applyBorder="1" applyProtection="1">
      <protection locked="0"/>
    </xf>
    <xf numFmtId="1" fontId="5" fillId="4" borderId="531" xfId="0" applyNumberFormat="1" applyFont="1" applyFill="1" applyBorder="1" applyProtection="1">
      <protection locked="0"/>
    </xf>
    <xf numFmtId="1" fontId="5" fillId="4" borderId="527" xfId="0" applyNumberFormat="1" applyFont="1" applyFill="1" applyBorder="1" applyProtection="1">
      <protection locked="0"/>
    </xf>
    <xf numFmtId="1" fontId="5" fillId="4" borderId="526" xfId="0" applyNumberFormat="1" applyFont="1" applyFill="1" applyBorder="1" applyProtection="1">
      <protection locked="0"/>
    </xf>
    <xf numFmtId="1" fontId="5" fillId="0" borderId="505" xfId="0" applyNumberFormat="1" applyFont="1" applyBorder="1" applyAlignment="1">
      <alignment horizontal="center" vertical="center"/>
    </xf>
    <xf numFmtId="1" fontId="5" fillId="7" borderId="512" xfId="0" applyNumberFormat="1" applyFont="1" applyFill="1" applyBorder="1"/>
    <xf numFmtId="1" fontId="5" fillId="7" borderId="511" xfId="0" applyNumberFormat="1" applyFont="1" applyFill="1" applyBorder="1"/>
    <xf numFmtId="1" fontId="5" fillId="7" borderId="533" xfId="0" applyNumberFormat="1" applyFont="1" applyFill="1" applyBorder="1"/>
    <xf numFmtId="1" fontId="5" fillId="7" borderId="251" xfId="0" applyNumberFormat="1" applyFont="1" applyFill="1" applyBorder="1"/>
    <xf numFmtId="1" fontId="5" fillId="7" borderId="225" xfId="0" applyNumberFormat="1" applyFont="1" applyFill="1" applyBorder="1"/>
    <xf numFmtId="1" fontId="5" fillId="4" borderId="505" xfId="0" applyNumberFormat="1" applyFont="1" applyFill="1" applyBorder="1" applyProtection="1">
      <protection locked="0"/>
    </xf>
    <xf numFmtId="1" fontId="5" fillId="0" borderId="507" xfId="0" applyNumberFormat="1" applyFont="1" applyBorder="1" applyAlignment="1">
      <alignment vertical="center"/>
    </xf>
    <xf numFmtId="1" fontId="5" fillId="0" borderId="372" xfId="0" applyNumberFormat="1" applyFont="1" applyBorder="1" applyAlignment="1">
      <alignment horizontal="right"/>
    </xf>
    <xf numFmtId="1" fontId="5" fillId="0" borderId="374" xfId="0" applyNumberFormat="1" applyFont="1" applyBorder="1" applyAlignment="1">
      <alignment horizontal="right"/>
    </xf>
    <xf numFmtId="1" fontId="5" fillId="0" borderId="371" xfId="0" applyNumberFormat="1" applyFont="1" applyBorder="1" applyAlignment="1">
      <alignment horizontal="right"/>
    </xf>
    <xf numFmtId="1" fontId="5" fillId="0" borderId="31" xfId="0" applyNumberFormat="1" applyFont="1" applyBorder="1" applyAlignment="1">
      <alignment horizontal="left" vertical="center"/>
    </xf>
    <xf numFmtId="1" fontId="5" fillId="0" borderId="531" xfId="0" applyNumberFormat="1" applyFont="1" applyBorder="1" applyAlignment="1">
      <alignment horizontal="right"/>
    </xf>
    <xf numFmtId="1" fontId="5" fillId="0" borderId="530" xfId="0" applyNumberFormat="1" applyFont="1" applyBorder="1" applyAlignment="1">
      <alignment horizontal="right"/>
    </xf>
    <xf numFmtId="1" fontId="5" fillId="0" borderId="528" xfId="0" applyNumberFormat="1" applyFont="1" applyBorder="1" applyAlignment="1">
      <alignment horizontal="right"/>
    </xf>
    <xf numFmtId="1" fontId="5" fillId="0" borderId="525" xfId="0" applyNumberFormat="1" applyFont="1" applyBorder="1" applyAlignment="1">
      <alignment horizontal="left" vertical="center"/>
    </xf>
    <xf numFmtId="1" fontId="5" fillId="0" borderId="502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left" vertical="center"/>
    </xf>
    <xf numFmtId="1" fontId="5" fillId="0" borderId="378" xfId="0" applyNumberFormat="1" applyFont="1" applyBorder="1" applyAlignment="1">
      <alignment horizontal="left" vertical="center"/>
    </xf>
    <xf numFmtId="1" fontId="5" fillId="3" borderId="10" xfId="0" applyNumberFormat="1" applyFont="1" applyFill="1" applyBorder="1"/>
    <xf numFmtId="1" fontId="5" fillId="3" borderId="12" xfId="0" applyNumberFormat="1" applyFont="1" applyFill="1" applyBorder="1"/>
    <xf numFmtId="1" fontId="5" fillId="0" borderId="500" xfId="0" applyNumberFormat="1" applyFont="1" applyBorder="1" applyAlignment="1">
      <alignment horizontal="left" vertical="center"/>
    </xf>
    <xf numFmtId="1" fontId="5" fillId="0" borderId="519" xfId="0" applyNumberFormat="1" applyFont="1" applyBorder="1" applyAlignment="1">
      <alignment horizontal="center" vertical="center"/>
    </xf>
    <xf numFmtId="1" fontId="5" fillId="0" borderId="519" xfId="0" applyNumberFormat="1" applyFont="1" applyBorder="1" applyAlignment="1">
      <alignment horizontal="center" vertical="center" wrapText="1"/>
    </xf>
    <xf numFmtId="1" fontId="5" fillId="0" borderId="59" xfId="0" applyNumberFormat="1" applyFont="1" applyBorder="1"/>
    <xf numFmtId="1" fontId="5" fillId="0" borderId="532" xfId="0" applyNumberFormat="1" applyFont="1" applyBorder="1" applyAlignment="1">
      <alignment horizontal="right"/>
    </xf>
    <xf numFmtId="1" fontId="5" fillId="3" borderId="526" xfId="0" applyNumberFormat="1" applyFont="1" applyFill="1" applyBorder="1" applyAlignment="1">
      <alignment horizontal="right"/>
    </xf>
    <xf numFmtId="1" fontId="5" fillId="0" borderId="378" xfId="0" applyNumberFormat="1" applyFont="1" applyBorder="1"/>
    <xf numFmtId="1" fontId="5" fillId="0" borderId="373" xfId="0" applyNumberFormat="1" applyFont="1" applyBorder="1" applyAlignment="1">
      <alignment horizontal="right"/>
    </xf>
    <xf numFmtId="1" fontId="5" fillId="0" borderId="375" xfId="0" applyNumberFormat="1" applyFont="1" applyBorder="1" applyAlignment="1">
      <alignment horizontal="right"/>
    </xf>
    <xf numFmtId="1" fontId="5" fillId="7" borderId="407" xfId="0" applyNumberFormat="1" applyFont="1" applyFill="1" applyBorder="1"/>
    <xf numFmtId="1" fontId="5" fillId="0" borderId="31" xfId="0" applyNumberFormat="1" applyFont="1" applyBorder="1" applyAlignment="1">
      <alignment horizontal="right" wrapText="1"/>
    </xf>
    <xf numFmtId="1" fontId="5" fillId="0" borderId="378" xfId="0" applyNumberFormat="1" applyFont="1" applyBorder="1" applyAlignment="1">
      <alignment horizontal="left"/>
    </xf>
    <xf numFmtId="1" fontId="5" fillId="0" borderId="33" xfId="0" applyNumberFormat="1" applyFont="1" applyBorder="1" applyAlignment="1">
      <alignment horizontal="left"/>
    </xf>
    <xf numFmtId="1" fontId="5" fillId="3" borderId="25" xfId="0" applyNumberFormat="1" applyFont="1" applyFill="1" applyBorder="1" applyAlignment="1">
      <alignment horizontal="right"/>
    </xf>
    <xf numFmtId="1" fontId="5" fillId="7" borderId="24" xfId="0" applyNumberFormat="1" applyFont="1" applyFill="1" applyBorder="1"/>
    <xf numFmtId="1" fontId="5" fillId="7" borderId="70" xfId="0" applyNumberFormat="1" applyFont="1" applyFill="1" applyBorder="1"/>
    <xf numFmtId="1" fontId="5" fillId="4" borderId="33" xfId="0" applyNumberFormat="1" applyFont="1" applyFill="1" applyBorder="1" applyAlignment="1" applyProtection="1">
      <alignment wrapText="1"/>
      <protection locked="0"/>
    </xf>
    <xf numFmtId="1" fontId="5" fillId="0" borderId="41" xfId="0" applyNumberFormat="1" applyFont="1" applyBorder="1" applyAlignment="1">
      <alignment horizontal="right"/>
    </xf>
    <xf numFmtId="1" fontId="5" fillId="7" borderId="20" xfId="0" applyNumberFormat="1" applyFont="1" applyFill="1" applyBorder="1"/>
    <xf numFmtId="1" fontId="5" fillId="0" borderId="508" xfId="0" applyNumberFormat="1" applyFont="1" applyBorder="1" applyAlignment="1">
      <alignment horizontal="right" wrapText="1"/>
    </xf>
    <xf numFmtId="1" fontId="5" fillId="0" borderId="533" xfId="0" applyNumberFormat="1" applyFont="1" applyBorder="1" applyAlignment="1">
      <alignment horizontal="right" wrapText="1"/>
    </xf>
    <xf numFmtId="1" fontId="5" fillId="3" borderId="512" xfId="0" applyNumberFormat="1" applyFont="1" applyFill="1" applyBorder="1" applyAlignment="1">
      <alignment horizontal="right"/>
    </xf>
    <xf numFmtId="1" fontId="5" fillId="0" borderId="525" xfId="0" applyNumberFormat="1" applyFont="1" applyBorder="1"/>
    <xf numFmtId="1" fontId="5" fillId="0" borderId="525" xfId="0" applyNumberFormat="1" applyFont="1" applyBorder="1" applyAlignment="1">
      <alignment horizontal="right"/>
    </xf>
    <xf numFmtId="1" fontId="5" fillId="4" borderId="513" xfId="0" applyNumberFormat="1" applyFont="1" applyFill="1" applyBorder="1" applyProtection="1">
      <protection locked="0"/>
    </xf>
    <xf numFmtId="1" fontId="5" fillId="4" borderId="532" xfId="0" applyNumberFormat="1" applyFont="1" applyFill="1" applyBorder="1" applyProtection="1">
      <protection locked="0"/>
    </xf>
    <xf numFmtId="1" fontId="5" fillId="4" borderId="529" xfId="0" applyNumberFormat="1" applyFont="1" applyFill="1" applyBorder="1" applyProtection="1">
      <protection locked="0"/>
    </xf>
    <xf numFmtId="1" fontId="5" fillId="7" borderId="53" xfId="0" applyNumberFormat="1" applyFont="1" applyFill="1" applyBorder="1"/>
    <xf numFmtId="1" fontId="5" fillId="6" borderId="371" xfId="0" applyNumberFormat="1" applyFont="1" applyFill="1" applyBorder="1"/>
    <xf numFmtId="1" fontId="5" fillId="6" borderId="372" xfId="0" applyNumberFormat="1" applyFont="1" applyFill="1" applyBorder="1"/>
    <xf numFmtId="1" fontId="5" fillId="0" borderId="500" xfId="0" applyNumberFormat="1" applyFont="1" applyBorder="1" applyAlignment="1">
      <alignment horizontal="right"/>
    </xf>
    <xf numFmtId="1" fontId="5" fillId="4" borderId="53" xfId="0" applyNumberFormat="1" applyFont="1" applyFill="1" applyBorder="1" applyProtection="1">
      <protection locked="0"/>
    </xf>
    <xf numFmtId="1" fontId="5" fillId="0" borderId="517" xfId="0" applyNumberFormat="1" applyFont="1" applyBorder="1" applyAlignment="1">
      <alignment horizontal="center" vertical="center"/>
    </xf>
    <xf numFmtId="1" fontId="5" fillId="0" borderId="517" xfId="0" applyNumberFormat="1" applyFont="1" applyBorder="1" applyAlignment="1">
      <alignment horizontal="center" vertical="center" wrapText="1"/>
    </xf>
    <xf numFmtId="1" fontId="5" fillId="0" borderId="525" xfId="0" applyNumberFormat="1" applyFont="1" applyBorder="1" applyAlignment="1">
      <alignment vertical="center" wrapText="1"/>
    </xf>
    <xf numFmtId="1" fontId="5" fillId="4" borderId="530" xfId="0" applyNumberFormat="1" applyFont="1" applyFill="1" applyBorder="1" applyProtection="1">
      <protection locked="0"/>
    </xf>
    <xf numFmtId="1" fontId="5" fillId="0" borderId="516" xfId="0" applyNumberFormat="1" applyFont="1" applyBorder="1" applyAlignment="1">
      <alignment horizontal="right"/>
    </xf>
    <xf numFmtId="1" fontId="5" fillId="0" borderId="542" xfId="0" applyNumberFormat="1" applyFont="1" applyBorder="1" applyAlignment="1">
      <alignment vertical="center" wrapText="1"/>
    </xf>
    <xf numFmtId="1" fontId="5" fillId="0" borderId="59" xfId="0" applyNumberFormat="1" applyFont="1" applyBorder="1" applyAlignment="1">
      <alignment horizontal="right"/>
    </xf>
    <xf numFmtId="1" fontId="5" fillId="9" borderId="544" xfId="28" applyNumberFormat="1" applyFont="1" applyBorder="1" applyAlignment="1" applyProtection="1">
      <alignment horizontal="right"/>
      <protection locked="0"/>
    </xf>
    <xf numFmtId="1" fontId="5" fillId="9" borderId="545" xfId="28" applyNumberFormat="1" applyFont="1" applyBorder="1" applyAlignment="1" applyProtection="1">
      <alignment horizontal="right"/>
      <protection locked="0"/>
    </xf>
    <xf numFmtId="1" fontId="5" fillId="0" borderId="11" xfId="0" applyNumberFormat="1" applyFont="1" applyBorder="1" applyAlignment="1">
      <alignment horizontal="right"/>
    </xf>
    <xf numFmtId="1" fontId="5" fillId="9" borderId="546" xfId="28" applyNumberFormat="1" applyFont="1" applyBorder="1" applyAlignment="1" applyProtection="1">
      <alignment horizontal="right"/>
      <protection locked="0"/>
    </xf>
    <xf numFmtId="1" fontId="5" fillId="9" borderId="547" xfId="28" applyNumberFormat="1" applyFont="1" applyBorder="1" applyAlignment="1" applyProtection="1">
      <alignment horizontal="right"/>
      <protection locked="0"/>
    </xf>
    <xf numFmtId="1" fontId="5" fillId="9" borderId="548" xfId="28" applyNumberFormat="1" applyFont="1" applyBorder="1" applyAlignment="1" applyProtection="1">
      <alignment horizontal="right"/>
      <protection locked="0"/>
    </xf>
    <xf numFmtId="1" fontId="5" fillId="9" borderId="549" xfId="28" applyNumberFormat="1" applyFont="1" applyBorder="1" applyAlignment="1" applyProtection="1">
      <alignment horizontal="right"/>
      <protection locked="0"/>
    </xf>
    <xf numFmtId="1" fontId="5" fillId="0" borderId="550" xfId="0" applyNumberFormat="1" applyFont="1" applyBorder="1" applyAlignment="1">
      <alignment horizontal="center" wrapText="1"/>
    </xf>
    <xf numFmtId="1" fontId="5" fillId="0" borderId="551" xfId="0" applyNumberFormat="1" applyFont="1" applyBorder="1" applyAlignment="1">
      <alignment vertical="center" wrapText="1"/>
    </xf>
    <xf numFmtId="1" fontId="5" fillId="4" borderId="551" xfId="0" applyNumberFormat="1" applyFont="1" applyFill="1" applyBorder="1" applyAlignment="1" applyProtection="1">
      <alignment wrapText="1"/>
      <protection locked="0"/>
    </xf>
    <xf numFmtId="1" fontId="5" fillId="0" borderId="11" xfId="0" applyNumberFormat="1" applyFont="1" applyBorder="1" applyAlignment="1">
      <alignment vertical="center" wrapText="1"/>
    </xf>
    <xf numFmtId="1" fontId="5" fillId="0" borderId="550" xfId="0" applyNumberFormat="1" applyFont="1" applyBorder="1" applyAlignment="1">
      <alignment horizontal="left" vertical="center" wrapText="1"/>
    </xf>
    <xf numFmtId="1" fontId="5" fillId="9" borderId="516" xfId="28" applyNumberFormat="1" applyFont="1" applyBorder="1" applyAlignment="1" applyProtection="1">
      <alignment horizontal="right"/>
      <protection locked="0"/>
    </xf>
    <xf numFmtId="1" fontId="5" fillId="9" borderId="517" xfId="28" applyNumberFormat="1" applyFont="1" applyBorder="1" applyAlignment="1" applyProtection="1">
      <alignment horizontal="right"/>
      <protection locked="0"/>
    </xf>
    <xf numFmtId="1" fontId="5" fillId="9" borderId="559" xfId="28" applyNumberFormat="1" applyFont="1" applyBorder="1" applyAlignment="1" applyProtection="1">
      <alignment horizontal="right"/>
      <protection locked="0"/>
    </xf>
    <xf numFmtId="1" fontId="5" fillId="4" borderId="560" xfId="0" applyNumberFormat="1" applyFont="1" applyFill="1" applyBorder="1" applyProtection="1">
      <protection locked="0"/>
    </xf>
    <xf numFmtId="1" fontId="5" fillId="0" borderId="576" xfId="0" applyNumberFormat="1" applyFont="1" applyBorder="1" applyAlignment="1">
      <alignment horizontal="left"/>
    </xf>
    <xf numFmtId="1" fontId="5" fillId="0" borderId="524" xfId="0" applyNumberFormat="1" applyFont="1" applyBorder="1" applyAlignment="1" applyProtection="1">
      <alignment horizontal="left" vertical="center"/>
      <protection hidden="1"/>
    </xf>
    <xf numFmtId="1" fontId="5" fillId="0" borderId="572" xfId="0" applyNumberFormat="1" applyFont="1" applyBorder="1" applyAlignment="1">
      <alignment horizontal="right"/>
    </xf>
    <xf numFmtId="1" fontId="5" fillId="0" borderId="573" xfId="0" applyNumberFormat="1" applyFont="1" applyBorder="1" applyAlignment="1">
      <alignment horizontal="right"/>
    </xf>
    <xf numFmtId="1" fontId="5" fillId="0" borderId="560" xfId="0" applyNumberFormat="1" applyFont="1" applyBorder="1" applyAlignment="1">
      <alignment horizontal="right"/>
    </xf>
    <xf numFmtId="1" fontId="5" fillId="4" borderId="577" xfId="0" applyNumberFormat="1" applyFont="1" applyFill="1" applyBorder="1" applyAlignment="1" applyProtection="1">
      <alignment horizontal="right"/>
      <protection locked="0"/>
    </xf>
    <xf numFmtId="1" fontId="5" fillId="4" borderId="512" xfId="0" applyNumberFormat="1" applyFont="1" applyFill="1" applyBorder="1" applyAlignment="1" applyProtection="1">
      <alignment horizontal="right"/>
      <protection locked="0"/>
    </xf>
    <xf numFmtId="1" fontId="5" fillId="4" borderId="533" xfId="0" applyNumberFormat="1" applyFont="1" applyFill="1" applyBorder="1" applyAlignment="1" applyProtection="1">
      <alignment horizontal="right"/>
      <protection locked="0"/>
    </xf>
    <xf numFmtId="1" fontId="5" fillId="4" borderId="578" xfId="0" applyNumberFormat="1" applyFont="1" applyFill="1" applyBorder="1" applyAlignment="1" applyProtection="1">
      <alignment horizontal="right"/>
      <protection locked="0"/>
    </xf>
    <xf numFmtId="1" fontId="5" fillId="4" borderId="579" xfId="0" applyNumberFormat="1" applyFont="1" applyFill="1" applyBorder="1" applyAlignment="1" applyProtection="1">
      <alignment horizontal="right"/>
      <protection locked="0"/>
    </xf>
    <xf numFmtId="1" fontId="5" fillId="4" borderId="575" xfId="0" applyNumberFormat="1" applyFont="1" applyFill="1" applyBorder="1" applyAlignment="1" applyProtection="1">
      <alignment horizontal="right"/>
      <protection locked="0"/>
    </xf>
    <xf numFmtId="1" fontId="5" fillId="4" borderId="556" xfId="0" applyNumberFormat="1" applyFont="1" applyFill="1" applyBorder="1" applyAlignment="1" applyProtection="1">
      <alignment horizontal="right"/>
      <protection locked="0"/>
    </xf>
    <xf numFmtId="1" fontId="5" fillId="0" borderId="580" xfId="0" applyNumberFormat="1" applyFont="1" applyBorder="1" applyAlignment="1">
      <alignment horizontal="left" vertical="center"/>
    </xf>
    <xf numFmtId="1" fontId="5" fillId="0" borderId="20" xfId="0" applyNumberFormat="1" applyFont="1" applyBorder="1" applyAlignment="1">
      <alignment horizontal="right"/>
    </xf>
    <xf numFmtId="1" fontId="5" fillId="0" borderId="251" xfId="0" applyNumberFormat="1" applyFont="1" applyBorder="1" applyAlignment="1">
      <alignment horizontal="right"/>
    </xf>
    <xf numFmtId="1" fontId="5" fillId="0" borderId="550" xfId="0" applyNumberFormat="1" applyFont="1" applyBorder="1" applyAlignment="1">
      <alignment horizontal="left" vertical="center"/>
    </xf>
    <xf numFmtId="1" fontId="5" fillId="0" borderId="550" xfId="0" applyNumberFormat="1" applyFont="1" applyBorder="1" applyAlignment="1" applyProtection="1">
      <alignment horizontal="left" vertical="center"/>
      <protection hidden="1"/>
    </xf>
    <xf numFmtId="1" fontId="5" fillId="0" borderId="517" xfId="0" applyNumberFormat="1" applyFont="1" applyBorder="1" applyAlignment="1">
      <alignment horizontal="right"/>
    </xf>
    <xf numFmtId="1" fontId="5" fillId="0" borderId="581" xfId="0" applyNumberFormat="1" applyFont="1" applyBorder="1" applyAlignment="1">
      <alignment horizontal="right"/>
    </xf>
    <xf numFmtId="1" fontId="5" fillId="4" borderId="516" xfId="0" applyNumberFormat="1" applyFont="1" applyFill="1" applyBorder="1" applyAlignment="1" applyProtection="1">
      <alignment horizontal="right"/>
      <protection locked="0"/>
    </xf>
    <xf numFmtId="1" fontId="5" fillId="4" borderId="581" xfId="0" applyNumberFormat="1" applyFont="1" applyFill="1" applyBorder="1" applyAlignment="1" applyProtection="1">
      <alignment horizontal="right"/>
      <protection locked="0"/>
    </xf>
    <xf numFmtId="1" fontId="5" fillId="4" borderId="558" xfId="0" applyNumberFormat="1" applyFont="1" applyFill="1" applyBorder="1" applyAlignment="1" applyProtection="1">
      <alignment horizontal="right"/>
      <protection locked="0"/>
    </xf>
    <xf numFmtId="1" fontId="5" fillId="4" borderId="582" xfId="0" applyNumberFormat="1" applyFont="1" applyFill="1" applyBorder="1" applyAlignment="1" applyProtection="1">
      <alignment horizontal="right"/>
      <protection locked="0"/>
    </xf>
    <xf numFmtId="1" fontId="5" fillId="4" borderId="535" xfId="0" applyNumberFormat="1" applyFont="1" applyFill="1" applyBorder="1" applyAlignment="1" applyProtection="1">
      <alignment horizontal="right"/>
      <protection locked="0"/>
    </xf>
    <xf numFmtId="1" fontId="5" fillId="4" borderId="583" xfId="0" applyNumberFormat="1" applyFont="1" applyFill="1" applyBorder="1" applyAlignment="1" applyProtection="1">
      <alignment horizontal="right"/>
      <protection locked="0"/>
    </xf>
    <xf numFmtId="1" fontId="5" fillId="4" borderId="550" xfId="0" applyNumberFormat="1" applyFont="1" applyFill="1" applyBorder="1" applyAlignment="1" applyProtection="1">
      <alignment horizontal="right"/>
      <protection locked="0"/>
    </xf>
    <xf numFmtId="1" fontId="5" fillId="0" borderId="542" xfId="0" applyNumberFormat="1" applyFont="1" applyBorder="1" applyAlignment="1">
      <alignment horizontal="left" vertical="center"/>
    </xf>
    <xf numFmtId="1" fontId="5" fillId="4" borderId="542" xfId="0" applyNumberFormat="1" applyFont="1" applyFill="1" applyBorder="1" applyProtection="1">
      <protection locked="0"/>
    </xf>
    <xf numFmtId="1" fontId="5" fillId="4" borderId="515" xfId="0" applyNumberFormat="1" applyFont="1" applyFill="1" applyBorder="1" applyProtection="1">
      <protection locked="0"/>
    </xf>
    <xf numFmtId="1" fontId="5" fillId="4" borderId="586" xfId="0" applyNumberFormat="1" applyFont="1" applyFill="1" applyBorder="1" applyProtection="1">
      <protection locked="0"/>
    </xf>
    <xf numFmtId="1" fontId="5" fillId="4" borderId="587" xfId="0" applyNumberFormat="1" applyFont="1" applyFill="1" applyBorder="1" applyProtection="1">
      <protection locked="0"/>
    </xf>
    <xf numFmtId="1" fontId="5" fillId="0" borderId="542" xfId="0" applyNumberFormat="1" applyFont="1" applyBorder="1" applyAlignment="1">
      <alignment horizontal="left" vertical="center" wrapText="1"/>
    </xf>
    <xf numFmtId="1" fontId="5" fillId="0" borderId="556" xfId="0" applyNumberFormat="1" applyFont="1" applyBorder="1" applyAlignment="1">
      <alignment horizontal="left" vertical="center" wrapText="1"/>
    </xf>
    <xf numFmtId="1" fontId="5" fillId="4" borderId="556" xfId="0" applyNumberFormat="1" applyFont="1" applyFill="1" applyBorder="1" applyProtection="1">
      <protection locked="0"/>
    </xf>
    <xf numFmtId="1" fontId="5" fillId="5" borderId="589" xfId="0" applyNumberFormat="1" applyFont="1" applyFill="1" applyBorder="1"/>
    <xf numFmtId="1" fontId="5" fillId="0" borderId="524" xfId="30" applyNumberFormat="1" applyFont="1" applyBorder="1" applyAlignment="1">
      <alignment horizontal="center" vertical="center" wrapText="1"/>
    </xf>
    <xf numFmtId="1" fontId="5" fillId="0" borderId="516" xfId="30" applyNumberFormat="1" applyFont="1" applyBorder="1" applyAlignment="1">
      <alignment horizontal="center" vertical="center" wrapText="1"/>
    </xf>
    <xf numFmtId="1" fontId="5" fillId="0" borderId="596" xfId="30" applyNumberFormat="1" applyFont="1" applyBorder="1" applyAlignment="1">
      <alignment horizontal="center" vertical="center" wrapText="1"/>
    </xf>
    <xf numFmtId="1" fontId="5" fillId="0" borderId="516" xfId="30" applyNumberFormat="1" applyFont="1" applyFill="1" applyBorder="1" applyAlignment="1">
      <alignment horizontal="center" vertical="center" wrapText="1"/>
    </xf>
    <xf numFmtId="1" fontId="5" fillId="0" borderId="596" xfId="30" applyNumberFormat="1" applyFont="1" applyFill="1" applyBorder="1" applyAlignment="1">
      <alignment horizontal="center" vertical="center" wrapText="1"/>
    </xf>
    <xf numFmtId="1" fontId="5" fillId="0" borderId="535" xfId="30" applyNumberFormat="1" applyFont="1" applyFill="1" applyBorder="1" applyAlignment="1">
      <alignment horizontal="center" vertical="center" wrapText="1"/>
    </xf>
    <xf numFmtId="1" fontId="5" fillId="0" borderId="597" xfId="30" applyNumberFormat="1" applyFont="1" applyFill="1" applyBorder="1" applyAlignment="1">
      <alignment horizontal="center" vertical="center" wrapText="1"/>
    </xf>
    <xf numFmtId="1" fontId="5" fillId="0" borderId="559" xfId="30" applyNumberFormat="1" applyFont="1" applyFill="1" applyBorder="1" applyAlignment="1">
      <alignment horizontal="center" vertical="center" wrapText="1"/>
    </xf>
    <xf numFmtId="1" fontId="5" fillId="0" borderId="577" xfId="30" applyNumberFormat="1" applyFont="1" applyBorder="1" applyAlignment="1">
      <alignment horizontal="center" vertical="center" wrapText="1"/>
    </xf>
    <xf numFmtId="1" fontId="5" fillId="0" borderId="390" xfId="30" applyNumberFormat="1" applyFont="1" applyBorder="1" applyAlignment="1">
      <alignment horizontal="center" vertical="center" wrapText="1"/>
    </xf>
    <xf numFmtId="1" fontId="5" fillId="0" borderId="582" xfId="30" applyNumberFormat="1" applyFont="1" applyBorder="1" applyAlignment="1">
      <alignment horizontal="center" vertical="center" wrapText="1"/>
    </xf>
    <xf numFmtId="1" fontId="5" fillId="0" borderId="598" xfId="29" applyNumberFormat="1" applyFont="1" applyBorder="1" applyAlignment="1">
      <alignment vertical="center" wrapText="1"/>
    </xf>
    <xf numFmtId="1" fontId="5" fillId="5" borderId="20" xfId="8" applyNumberFormat="1" applyFont="1" applyFill="1" applyBorder="1" applyProtection="1"/>
    <xf numFmtId="1" fontId="5" fillId="4" borderId="513" xfId="8" applyNumberFormat="1" applyFont="1" applyFill="1" applyBorder="1" applyProtection="1">
      <protection locked="0"/>
    </xf>
    <xf numFmtId="1" fontId="5" fillId="4" borderId="586" xfId="8" applyNumberFormat="1" applyFont="1" applyFill="1" applyBorder="1" applyProtection="1">
      <protection locked="0"/>
    </xf>
    <xf numFmtId="1" fontId="5" fillId="4" borderId="473" xfId="8" applyNumberFormat="1" applyFont="1" applyFill="1" applyBorder="1" applyProtection="1">
      <protection locked="0"/>
    </xf>
    <xf numFmtId="1" fontId="5" fillId="4" borderId="599" xfId="8" applyNumberFormat="1" applyFont="1" applyFill="1" applyBorder="1" applyProtection="1">
      <protection locked="0"/>
    </xf>
    <xf numFmtId="1" fontId="5" fillId="4" borderId="600" xfId="8" applyNumberFormat="1" applyFont="1" applyFill="1" applyBorder="1" applyProtection="1">
      <protection locked="0"/>
    </xf>
    <xf numFmtId="1" fontId="5" fillId="4" borderId="514" xfId="8" applyNumberFormat="1" applyFont="1" applyFill="1" applyBorder="1" applyProtection="1">
      <protection locked="0"/>
    </xf>
    <xf numFmtId="1" fontId="5" fillId="4" borderId="601" xfId="8" applyNumberFormat="1" applyFont="1" applyFill="1" applyBorder="1" applyProtection="1">
      <protection locked="0"/>
    </xf>
    <xf numFmtId="1" fontId="5" fillId="6" borderId="20" xfId="8" applyNumberFormat="1" applyFont="1" applyFill="1" applyBorder="1" applyProtection="1"/>
    <xf numFmtId="1" fontId="5" fillId="6" borderId="226" xfId="8" applyNumberFormat="1" applyFont="1" applyFill="1" applyBorder="1" applyProtection="1"/>
    <xf numFmtId="1" fontId="5" fillId="0" borderId="373" xfId="29" applyNumberFormat="1" applyFont="1" applyBorder="1" applyAlignment="1">
      <alignment vertical="center" wrapText="1"/>
    </xf>
    <xf numFmtId="1" fontId="5" fillId="4" borderId="20" xfId="8" applyNumberFormat="1" applyFont="1" applyFill="1" applyBorder="1" applyProtection="1">
      <protection locked="0"/>
    </xf>
    <xf numFmtId="1" fontId="5" fillId="4" borderId="22" xfId="8" applyNumberFormat="1" applyFont="1" applyFill="1" applyBorder="1" applyProtection="1">
      <protection locked="0"/>
    </xf>
    <xf numFmtId="1" fontId="5" fillId="4" borderId="256" xfId="8" applyNumberFormat="1" applyFont="1" applyFill="1" applyBorder="1" applyProtection="1">
      <protection locked="0"/>
    </xf>
    <xf numFmtId="1" fontId="5" fillId="4" borderId="255" xfId="8" applyNumberFormat="1" applyFont="1" applyFill="1" applyBorder="1" applyProtection="1">
      <protection locked="0"/>
    </xf>
    <xf numFmtId="1" fontId="5" fillId="4" borderId="224" xfId="8" applyNumberFormat="1" applyFont="1" applyFill="1" applyBorder="1" applyProtection="1">
      <protection locked="0"/>
    </xf>
    <xf numFmtId="1" fontId="5" fillId="6" borderId="251" xfId="8" applyNumberFormat="1" applyFont="1" applyFill="1" applyBorder="1" applyProtection="1"/>
    <xf numFmtId="1" fontId="5" fillId="5" borderId="14" xfId="8" applyNumberFormat="1" applyFont="1" applyFill="1" applyBorder="1" applyProtection="1"/>
    <xf numFmtId="1" fontId="5" fillId="4" borderId="14" xfId="8" applyNumberFormat="1" applyFont="1" applyFill="1" applyBorder="1" applyProtection="1">
      <protection locked="0"/>
    </xf>
    <xf numFmtId="1" fontId="5" fillId="4" borderId="10" xfId="8" applyNumberFormat="1" applyFont="1" applyFill="1" applyBorder="1" applyProtection="1">
      <protection locked="0"/>
    </xf>
    <xf numFmtId="1" fontId="5" fillId="4" borderId="371" xfId="8" applyNumberFormat="1" applyFont="1" applyFill="1" applyBorder="1" applyProtection="1">
      <protection locked="0"/>
    </xf>
    <xf numFmtId="1" fontId="5" fillId="4" borderId="407" xfId="8" applyNumberFormat="1" applyFont="1" applyFill="1" applyBorder="1" applyProtection="1">
      <protection locked="0"/>
    </xf>
    <xf numFmtId="1" fontId="5" fillId="4" borderId="376" xfId="8" applyNumberFormat="1" applyFont="1" applyFill="1" applyBorder="1" applyProtection="1">
      <protection locked="0"/>
    </xf>
    <xf numFmtId="1" fontId="5" fillId="4" borderId="602" xfId="8" applyNumberFormat="1" applyFont="1" applyFill="1" applyBorder="1" applyProtection="1">
      <protection locked="0"/>
    </xf>
    <xf numFmtId="1" fontId="5" fillId="6" borderId="14" xfId="8" applyNumberFormat="1" applyFont="1" applyFill="1" applyBorder="1" applyProtection="1"/>
    <xf numFmtId="1" fontId="5" fillId="6" borderId="15" xfId="8" applyNumberFormat="1" applyFont="1" applyFill="1" applyBorder="1" applyProtection="1"/>
    <xf numFmtId="1" fontId="5" fillId="6" borderId="372" xfId="8" applyNumberFormat="1" applyFont="1" applyFill="1" applyBorder="1" applyProtection="1"/>
    <xf numFmtId="1" fontId="5" fillId="6" borderId="371" xfId="8" applyNumberFormat="1" applyFont="1" applyFill="1" applyBorder="1" applyProtection="1"/>
    <xf numFmtId="1" fontId="5" fillId="4" borderId="18" xfId="8" applyNumberFormat="1" applyFont="1" applyFill="1" applyBorder="1" applyProtection="1">
      <protection locked="0"/>
    </xf>
    <xf numFmtId="1" fontId="5" fillId="0" borderId="584" xfId="29" applyNumberFormat="1" applyFont="1" applyBorder="1" applyAlignment="1">
      <alignment horizontal="center" vertical="center" wrapText="1"/>
    </xf>
    <xf numFmtId="1" fontId="5" fillId="0" borderId="516" xfId="8" applyNumberFormat="1" applyFont="1" applyBorder="1" applyAlignment="1">
      <alignment horizontal="right"/>
    </xf>
    <xf numFmtId="1" fontId="5" fillId="0" borderId="596" xfId="8" applyNumberFormat="1" applyFont="1" applyBorder="1" applyAlignment="1">
      <alignment horizontal="right"/>
    </xf>
    <xf numFmtId="1" fontId="5" fillId="0" borderId="535" xfId="8" applyNumberFormat="1" applyFont="1" applyBorder="1" applyAlignment="1">
      <alignment horizontal="right"/>
    </xf>
    <xf numFmtId="1" fontId="5" fillId="0" borderId="597" xfId="8" applyNumberFormat="1" applyFont="1" applyBorder="1" applyAlignment="1">
      <alignment horizontal="right"/>
    </xf>
    <xf numFmtId="1" fontId="5" fillId="0" borderId="559" xfId="8" applyNumberFormat="1" applyFont="1" applyBorder="1" applyAlignment="1">
      <alignment horizontal="right"/>
    </xf>
    <xf numFmtId="1" fontId="5" fillId="0" borderId="603" xfId="8" applyNumberFormat="1" applyFont="1" applyBorder="1" applyAlignment="1">
      <alignment horizontal="right"/>
    </xf>
    <xf numFmtId="1" fontId="5" fillId="0" borderId="582" xfId="8" applyNumberFormat="1" applyFont="1" applyBorder="1" applyAlignment="1">
      <alignment horizontal="right"/>
    </xf>
    <xf numFmtId="1" fontId="15" fillId="0" borderId="603" xfId="0" applyNumberFormat="1" applyFont="1" applyBorder="1"/>
    <xf numFmtId="1" fontId="34" fillId="3" borderId="603" xfId="0" applyNumberFormat="1" applyFont="1" applyFill="1" applyBorder="1" applyAlignment="1">
      <alignment vertical="center" wrapText="1"/>
    </xf>
    <xf numFmtId="1" fontId="34" fillId="3" borderId="524" xfId="0" applyNumberFormat="1" applyFont="1" applyFill="1" applyBorder="1" applyAlignment="1">
      <alignment vertical="center" wrapText="1"/>
    </xf>
    <xf numFmtId="1" fontId="34" fillId="3" borderId="0" xfId="0" applyNumberFormat="1" applyFont="1" applyFill="1" applyAlignment="1">
      <alignment vertical="center" wrapText="1"/>
    </xf>
    <xf numFmtId="1" fontId="19" fillId="0" borderId="604" xfId="0" applyNumberFormat="1" applyFont="1" applyBorder="1"/>
    <xf numFmtId="1" fontId="19" fillId="0" borderId="605" xfId="0" applyNumberFormat="1" applyFont="1" applyBorder="1"/>
    <xf numFmtId="1" fontId="5" fillId="0" borderId="516" xfId="0" applyNumberFormat="1" applyFont="1" applyBorder="1" applyAlignment="1">
      <alignment horizontal="center" vertical="center"/>
    </xf>
    <xf numFmtId="1" fontId="5" fillId="0" borderId="596" xfId="0" applyNumberFormat="1" applyFont="1" applyBorder="1" applyAlignment="1">
      <alignment horizontal="center" vertical="center"/>
    </xf>
    <xf numFmtId="1" fontId="5" fillId="0" borderId="542" xfId="0" applyNumberFormat="1" applyFont="1" applyBorder="1"/>
    <xf numFmtId="1" fontId="5" fillId="4" borderId="542" xfId="8" applyNumberFormat="1" applyFont="1" applyFill="1" applyBorder="1" applyProtection="1">
      <protection locked="0"/>
    </xf>
    <xf numFmtId="1" fontId="5" fillId="4" borderId="374" xfId="8" applyNumberFormat="1" applyFont="1" applyFill="1" applyBorder="1" applyProtection="1">
      <protection locked="0"/>
    </xf>
    <xf numFmtId="1" fontId="5" fillId="4" borderId="373" xfId="8" applyNumberFormat="1" applyFont="1" applyFill="1" applyBorder="1" applyProtection="1">
      <protection locked="0"/>
    </xf>
    <xf numFmtId="1" fontId="5" fillId="4" borderId="12" xfId="8" applyNumberFormat="1" applyFont="1" applyFill="1" applyBorder="1" applyProtection="1">
      <protection locked="0"/>
    </xf>
    <xf numFmtId="1" fontId="5" fillId="4" borderId="15" xfId="8" applyNumberFormat="1" applyFont="1" applyFill="1" applyBorder="1" applyProtection="1">
      <protection locked="0"/>
    </xf>
    <xf numFmtId="1" fontId="5" fillId="4" borderId="13" xfId="8" applyNumberFormat="1" applyFont="1" applyFill="1" applyBorder="1" applyProtection="1">
      <protection locked="0"/>
    </xf>
    <xf numFmtId="1" fontId="5" fillId="0" borderId="616" xfId="0" applyNumberFormat="1" applyFont="1" applyBorder="1"/>
    <xf numFmtId="1" fontId="5" fillId="4" borderId="106" xfId="0" applyNumberFormat="1" applyFont="1" applyFill="1" applyBorder="1" applyAlignment="1" applyProtection="1">
      <alignment wrapText="1"/>
      <protection locked="0"/>
    </xf>
    <xf numFmtId="1" fontId="5" fillId="4" borderId="616" xfId="0" applyNumberFormat="1" applyFont="1" applyFill="1" applyBorder="1" applyProtection="1">
      <protection locked="0"/>
    </xf>
    <xf numFmtId="1" fontId="5" fillId="0" borderId="607" xfId="0" applyNumberFormat="1" applyFont="1" applyBorder="1" applyAlignment="1">
      <alignment horizontal="left" wrapText="1"/>
    </xf>
    <xf numFmtId="1" fontId="5" fillId="0" borderId="102" xfId="0" applyNumberFormat="1" applyFont="1" applyBorder="1"/>
    <xf numFmtId="1" fontId="5" fillId="0" borderId="577" xfId="0" applyNumberFormat="1" applyFont="1" applyBorder="1"/>
    <xf numFmtId="1" fontId="5" fillId="0" borderId="618" xfId="0" applyNumberFormat="1" applyFont="1" applyBorder="1" applyAlignment="1">
      <alignment horizontal="left" wrapText="1"/>
    </xf>
    <xf numFmtId="1" fontId="5" fillId="0" borderId="619" xfId="0" applyNumberFormat="1" applyFont="1" applyBorder="1"/>
    <xf numFmtId="1" fontId="5" fillId="6" borderId="103" xfId="8" applyNumberFormat="1" applyFont="1" applyFill="1" applyBorder="1" applyProtection="1"/>
    <xf numFmtId="1" fontId="5" fillId="0" borderId="556" xfId="0" applyNumberFormat="1" applyFont="1" applyBorder="1" applyAlignment="1">
      <alignment horizontal="left" wrapText="1"/>
    </xf>
    <xf numFmtId="1" fontId="5" fillId="2" borderId="511" xfId="1" applyNumberFormat="1" applyFont="1" applyBorder="1" applyProtection="1">
      <protection locked="0"/>
    </xf>
    <xf numFmtId="1" fontId="5" fillId="0" borderId="20" xfId="0" applyNumberFormat="1" applyFont="1" applyBorder="1"/>
    <xf numFmtId="1" fontId="5" fillId="0" borderId="190" xfId="0" applyNumberFormat="1" applyFont="1" applyBorder="1"/>
    <xf numFmtId="1" fontId="5" fillId="0" borderId="618" xfId="0" applyNumberFormat="1" applyFont="1" applyBorder="1"/>
    <xf numFmtId="1" fontId="3" fillId="0" borderId="618" xfId="0" applyNumberFormat="1" applyFont="1" applyBorder="1"/>
    <xf numFmtId="1" fontId="3" fillId="0" borderId="635" xfId="0" applyNumberFormat="1" applyFont="1" applyBorder="1"/>
    <xf numFmtId="1" fontId="3" fillId="0" borderId="636" xfId="0" applyNumberFormat="1" applyFont="1" applyBorder="1"/>
    <xf numFmtId="1" fontId="3" fillId="4" borderId="619" xfId="0" applyNumberFormat="1" applyFont="1" applyFill="1" applyBorder="1" applyProtection="1">
      <protection locked="0"/>
    </xf>
    <xf numFmtId="1" fontId="3" fillId="4" borderId="636" xfId="0" applyNumberFormat="1" applyFont="1" applyFill="1" applyBorder="1" applyProtection="1">
      <protection locked="0"/>
    </xf>
    <xf numFmtId="1" fontId="3" fillId="4" borderId="637" xfId="0" applyNumberFormat="1" applyFont="1" applyFill="1" applyBorder="1" applyProtection="1">
      <protection locked="0"/>
    </xf>
    <xf numFmtId="1" fontId="3" fillId="4" borderId="635" xfId="0" applyNumberFormat="1" applyFont="1" applyFill="1" applyBorder="1" applyProtection="1">
      <protection locked="0"/>
    </xf>
    <xf numFmtId="1" fontId="3" fillId="0" borderId="616" xfId="0" applyNumberFormat="1" applyFont="1" applyBorder="1"/>
    <xf numFmtId="1" fontId="3" fillId="4" borderId="20" xfId="0" applyNumberFormat="1" applyFont="1" applyFill="1" applyBorder="1" applyProtection="1">
      <protection locked="0"/>
    </xf>
    <xf numFmtId="1" fontId="3" fillId="4" borderId="224" xfId="0" applyNumberFormat="1" applyFont="1" applyFill="1" applyBorder="1" applyProtection="1">
      <protection locked="0"/>
    </xf>
    <xf numFmtId="1" fontId="3" fillId="4" borderId="602" xfId="0" applyNumberFormat="1" applyFont="1" applyFill="1" applyBorder="1" applyProtection="1">
      <protection locked="0"/>
    </xf>
    <xf numFmtId="1" fontId="3" fillId="4" borderId="616" xfId="0" applyNumberFormat="1" applyFont="1" applyFill="1" applyBorder="1" applyProtection="1">
      <protection locked="0"/>
    </xf>
    <xf numFmtId="1" fontId="5" fillId="0" borderId="638" xfId="0" applyNumberFormat="1" applyFont="1" applyBorder="1"/>
    <xf numFmtId="1" fontId="3" fillId="0" borderId="638" xfId="0" applyNumberFormat="1" applyFont="1" applyBorder="1"/>
    <xf numFmtId="1" fontId="3" fillId="0" borderId="639" xfId="0" applyNumberFormat="1" applyFont="1" applyBorder="1"/>
    <xf numFmtId="1" fontId="3" fillId="0" borderId="640" xfId="0" applyNumberFormat="1" applyFont="1" applyBorder="1"/>
    <xf numFmtId="1" fontId="3" fillId="4" borderId="641" xfId="0" applyNumberFormat="1" applyFont="1" applyFill="1" applyBorder="1" applyProtection="1">
      <protection locked="0"/>
    </xf>
    <xf numFmtId="1" fontId="3" fillId="4" borderId="640" xfId="0" applyNumberFormat="1" applyFont="1" applyFill="1" applyBorder="1" applyProtection="1">
      <protection locked="0"/>
    </xf>
    <xf numFmtId="1" fontId="3" fillId="4" borderId="642" xfId="0" applyNumberFormat="1" applyFont="1" applyFill="1" applyBorder="1" applyProtection="1">
      <protection locked="0"/>
    </xf>
    <xf numFmtId="1" fontId="3" fillId="4" borderId="639" xfId="0" applyNumberFormat="1" applyFont="1" applyFill="1" applyBorder="1" applyProtection="1">
      <protection locked="0"/>
    </xf>
    <xf numFmtId="1" fontId="3" fillId="0" borderId="41" xfId="0" applyNumberFormat="1" applyFont="1" applyBorder="1"/>
    <xf numFmtId="1" fontId="3" fillId="0" borderId="25" xfId="0" applyNumberFormat="1" applyFont="1" applyBorder="1"/>
    <xf numFmtId="0" fontId="5" fillId="0" borderId="524" xfId="0" applyFont="1" applyBorder="1" applyAlignment="1">
      <alignment horizontal="left" wrapText="1"/>
    </xf>
    <xf numFmtId="1" fontId="5" fillId="0" borderId="645" xfId="0" applyNumberFormat="1" applyFont="1" applyBorder="1"/>
    <xf numFmtId="1" fontId="3" fillId="0" borderId="645" xfId="0" applyNumberFormat="1" applyFont="1" applyBorder="1" applyAlignment="1">
      <alignment horizontal="center" vertical="center" wrapText="1"/>
    </xf>
    <xf numFmtId="1" fontId="3" fillId="3" borderId="638" xfId="0" applyNumberFormat="1" applyFont="1" applyFill="1" applyBorder="1"/>
    <xf numFmtId="1" fontId="3" fillId="4" borderId="648" xfId="0" applyNumberFormat="1" applyFont="1" applyFill="1" applyBorder="1" applyProtection="1">
      <protection locked="0"/>
    </xf>
    <xf numFmtId="1" fontId="3" fillId="4" borderId="620" xfId="0" applyNumberFormat="1" applyFont="1" applyFill="1" applyBorder="1" applyProtection="1">
      <protection locked="0"/>
    </xf>
    <xf numFmtId="1" fontId="3" fillId="4" borderId="649" xfId="0" applyNumberFormat="1" applyFont="1" applyFill="1" applyBorder="1" applyProtection="1">
      <protection locked="0"/>
    </xf>
    <xf numFmtId="1" fontId="3" fillId="0" borderId="190" xfId="0" applyNumberFormat="1" applyFont="1" applyBorder="1" applyAlignment="1">
      <alignment wrapText="1"/>
    </xf>
    <xf numFmtId="1" fontId="3" fillId="4" borderId="645" xfId="0" applyNumberFormat="1" applyFont="1" applyFill="1" applyBorder="1" applyProtection="1">
      <protection locked="0"/>
    </xf>
    <xf numFmtId="1" fontId="3" fillId="4" borderId="643" xfId="0" applyNumberFormat="1" applyFont="1" applyFill="1" applyBorder="1" applyProtection="1">
      <protection locked="0"/>
    </xf>
    <xf numFmtId="1" fontId="3" fillId="0" borderId="644" xfId="0" applyNumberFormat="1" applyFont="1" applyBorder="1"/>
    <xf numFmtId="1" fontId="3" fillId="6" borderId="639" xfId="0" applyNumberFormat="1" applyFont="1" applyFill="1" applyBorder="1"/>
    <xf numFmtId="1" fontId="3" fillId="6" borderId="103" xfId="0" applyNumberFormat="1" applyFont="1" applyFill="1" applyBorder="1"/>
    <xf numFmtId="1" fontId="3" fillId="6" borderId="620" xfId="0" applyNumberFormat="1" applyFont="1" applyFill="1" applyBorder="1"/>
    <xf numFmtId="1" fontId="3" fillId="6" borderId="27" xfId="0" applyNumberFormat="1" applyFont="1" applyFill="1" applyBorder="1"/>
    <xf numFmtId="1" fontId="3" fillId="6" borderId="15" xfId="0" applyNumberFormat="1" applyFont="1" applyFill="1" applyBorder="1"/>
    <xf numFmtId="1" fontId="3" fillId="6" borderId="17" xfId="0" applyNumberFormat="1" applyFont="1" applyFill="1" applyBorder="1"/>
    <xf numFmtId="1" fontId="3" fillId="0" borderId="644" xfId="0" applyNumberFormat="1" applyFont="1" applyBorder="1" applyAlignment="1">
      <alignment horizontal="center" vertical="center" wrapText="1"/>
    </xf>
    <xf numFmtId="1" fontId="3" fillId="6" borderId="616" xfId="0" applyNumberFormat="1" applyFont="1" applyFill="1" applyBorder="1"/>
    <xf numFmtId="1" fontId="3" fillId="4" borderId="29" xfId="0" applyNumberFormat="1" applyFont="1" applyFill="1" applyBorder="1" applyProtection="1">
      <protection locked="0"/>
    </xf>
    <xf numFmtId="1" fontId="3" fillId="6" borderId="30" xfId="0" applyNumberFormat="1" applyFont="1" applyFill="1" applyBorder="1"/>
    <xf numFmtId="1" fontId="3" fillId="6" borderId="29" xfId="0" applyNumberFormat="1" applyFont="1" applyFill="1" applyBorder="1"/>
    <xf numFmtId="1" fontId="3" fillId="6" borderId="452" xfId="0" applyNumberFormat="1" applyFont="1" applyFill="1" applyBorder="1"/>
    <xf numFmtId="1" fontId="3" fillId="0" borderId="13" xfId="0" applyNumberFormat="1" applyFont="1" applyBorder="1" applyAlignment="1" applyProtection="1">
      <alignment wrapText="1"/>
      <protection hidden="1"/>
    </xf>
    <xf numFmtId="1" fontId="3" fillId="6" borderId="225" xfId="0" applyNumberFormat="1" applyFont="1" applyFill="1" applyBorder="1"/>
    <xf numFmtId="1" fontId="3" fillId="0" borderId="556" xfId="0" applyNumberFormat="1" applyFont="1" applyBorder="1"/>
    <xf numFmtId="1" fontId="3" fillId="4" borderId="651" xfId="0" applyNumberFormat="1" applyFont="1" applyFill="1" applyBorder="1" applyProtection="1">
      <protection locked="0"/>
    </xf>
    <xf numFmtId="1" fontId="3" fillId="4" borderId="511" xfId="0" applyNumberFormat="1" applyFont="1" applyFill="1" applyBorder="1" applyProtection="1">
      <protection locked="0"/>
    </xf>
    <xf numFmtId="1" fontId="3" fillId="6" borderId="533" xfId="0" applyNumberFormat="1" applyFont="1" applyFill="1" applyBorder="1"/>
    <xf numFmtId="1" fontId="3" fillId="6" borderId="511" xfId="0" applyNumberFormat="1" applyFont="1" applyFill="1" applyBorder="1"/>
    <xf numFmtId="1" fontId="3" fillId="6" borderId="657" xfId="0" applyNumberFormat="1" applyFont="1" applyFill="1" applyBorder="1"/>
    <xf numFmtId="1" fontId="3" fillId="4" borderId="533" xfId="0" applyNumberFormat="1" applyFont="1" applyFill="1" applyBorder="1" applyProtection="1">
      <protection locked="0"/>
    </xf>
    <xf numFmtId="1" fontId="3" fillId="4" borderId="657" xfId="0" applyNumberFormat="1" applyFont="1" applyFill="1" applyBorder="1" applyProtection="1">
      <protection locked="0"/>
    </xf>
    <xf numFmtId="1" fontId="3" fillId="0" borderId="625" xfId="0" applyNumberFormat="1" applyFont="1" applyBorder="1"/>
    <xf numFmtId="1" fontId="3" fillId="4" borderId="644" xfId="0" applyNumberFormat="1" applyFont="1" applyFill="1" applyBorder="1" applyProtection="1">
      <protection locked="0"/>
    </xf>
    <xf numFmtId="1" fontId="2" fillId="0" borderId="658" xfId="0" applyNumberFormat="1" applyFont="1" applyBorder="1"/>
    <xf numFmtId="1" fontId="8" fillId="3" borderId="524" xfId="0" applyNumberFormat="1" applyFont="1" applyFill="1" applyBorder="1"/>
    <xf numFmtId="1" fontId="3" fillId="0" borderId="659" xfId="0" applyNumberFormat="1" applyFont="1" applyBorder="1" applyAlignment="1">
      <alignment horizontal="center" vertical="center" wrapText="1"/>
    </xf>
    <xf numFmtId="1" fontId="3" fillId="0" borderId="641" xfId="0" applyNumberFormat="1" applyFont="1" applyBorder="1"/>
    <xf numFmtId="1" fontId="3" fillId="0" borderId="103" xfId="0" applyNumberFormat="1" applyFont="1" applyBorder="1"/>
    <xf numFmtId="1" fontId="3" fillId="4" borderId="638" xfId="0" applyNumberFormat="1" applyFont="1" applyFill="1" applyBorder="1" applyProtection="1">
      <protection locked="0"/>
    </xf>
    <xf numFmtId="1" fontId="3" fillId="0" borderId="371" xfId="0" applyNumberFormat="1" applyFont="1" applyBorder="1"/>
    <xf numFmtId="1" fontId="3" fillId="0" borderId="374" xfId="0" applyNumberFormat="1" applyFont="1" applyBorder="1"/>
    <xf numFmtId="1" fontId="3" fillId="0" borderId="651" xfId="0" applyNumberFormat="1" applyFont="1" applyBorder="1"/>
    <xf numFmtId="1" fontId="3" fillId="0" borderId="511" xfId="0" applyNumberFormat="1" applyFont="1" applyBorder="1"/>
    <xf numFmtId="1" fontId="3" fillId="3" borderId="645" xfId="1" applyNumberFormat="1" applyFont="1" applyFill="1" applyBorder="1"/>
    <xf numFmtId="1" fontId="3" fillId="3" borderId="646" xfId="1" applyNumberFormat="1" applyFont="1" applyFill="1" applyBorder="1"/>
    <xf numFmtId="1" fontId="3" fillId="3" borderId="664" xfId="1" applyNumberFormat="1" applyFont="1" applyFill="1" applyBorder="1"/>
    <xf numFmtId="1" fontId="3" fillId="3" borderId="641" xfId="1" applyNumberFormat="1" applyFont="1" applyFill="1" applyBorder="1"/>
    <xf numFmtId="1" fontId="3" fillId="3" borderId="103" xfId="1" applyNumberFormat="1" applyFont="1" applyFill="1" applyBorder="1"/>
    <xf numFmtId="1" fontId="3" fillId="3" borderId="665" xfId="1" applyNumberFormat="1" applyFont="1" applyFill="1" applyBorder="1"/>
    <xf numFmtId="1" fontId="3" fillId="4" borderId="666" xfId="0" applyNumberFormat="1" applyFont="1" applyFill="1" applyBorder="1" applyProtection="1">
      <protection locked="0"/>
    </xf>
    <xf numFmtId="1" fontId="3" fillId="3" borderId="371" xfId="1" applyNumberFormat="1" applyFont="1" applyFill="1" applyBorder="1"/>
    <xf numFmtId="1" fontId="3" fillId="3" borderId="374" xfId="1" applyNumberFormat="1" applyFont="1" applyFill="1" applyBorder="1"/>
    <xf numFmtId="1" fontId="3" fillId="3" borderId="667" xfId="1" applyNumberFormat="1" applyFont="1" applyFill="1" applyBorder="1"/>
    <xf numFmtId="1" fontId="3" fillId="3" borderId="14" xfId="1" applyNumberFormat="1" applyFont="1" applyFill="1" applyBorder="1"/>
    <xf numFmtId="1" fontId="3" fillId="3" borderId="15" xfId="1" applyNumberFormat="1" applyFont="1" applyFill="1" applyBorder="1"/>
    <xf numFmtId="1" fontId="3" fillId="3" borderId="668" xfId="1" applyNumberFormat="1" applyFont="1" applyFill="1" applyBorder="1"/>
    <xf numFmtId="1" fontId="2" fillId="3" borderId="34" xfId="0" applyNumberFormat="1" applyFont="1" applyFill="1" applyBorder="1"/>
    <xf numFmtId="1" fontId="2" fillId="3" borderId="563" xfId="0" applyNumberFormat="1" applyFont="1" applyFill="1" applyBorder="1"/>
    <xf numFmtId="1" fontId="3" fillId="0" borderId="645" xfId="0" applyNumberFormat="1" applyFont="1" applyBorder="1"/>
    <xf numFmtId="1" fontId="3" fillId="0" borderId="646" xfId="0" applyNumberFormat="1" applyFont="1" applyBorder="1"/>
    <xf numFmtId="1" fontId="3" fillId="0" borderId="659" xfId="0" applyNumberFormat="1" applyFont="1" applyBorder="1"/>
    <xf numFmtId="1" fontId="3" fillId="0" borderId="20" xfId="0" applyNumberFormat="1" applyFont="1" applyBorder="1"/>
    <xf numFmtId="1" fontId="3" fillId="0" borderId="251" xfId="0" applyNumberFormat="1" applyFont="1" applyBorder="1"/>
    <xf numFmtId="1" fontId="3" fillId="0" borderId="226" xfId="0" applyNumberFormat="1" applyFont="1" applyBorder="1"/>
    <xf numFmtId="1" fontId="3" fillId="0" borderId="372" xfId="0" applyNumberFormat="1" applyFont="1" applyBorder="1"/>
    <xf numFmtId="1" fontId="3" fillId="0" borderId="23" xfId="0" applyNumberFormat="1" applyFont="1" applyBorder="1"/>
    <xf numFmtId="1" fontId="3" fillId="0" borderId="24" xfId="0" applyNumberFormat="1" applyFont="1" applyBorder="1"/>
    <xf numFmtId="1" fontId="3" fillId="0" borderId="42" xfId="0" applyNumberFormat="1" applyFont="1" applyBorder="1"/>
    <xf numFmtId="1" fontId="3" fillId="4" borderId="647" xfId="0" applyNumberFormat="1" applyFont="1" applyFill="1" applyBorder="1" applyProtection="1">
      <protection locked="0"/>
    </xf>
    <xf numFmtId="1" fontId="3" fillId="0" borderId="673" xfId="0" applyNumberFormat="1" applyFont="1" applyBorder="1"/>
    <xf numFmtId="1" fontId="3" fillId="4" borderId="677" xfId="0" applyNumberFormat="1" applyFont="1" applyFill="1" applyBorder="1" applyProtection="1">
      <protection locked="0"/>
    </xf>
    <xf numFmtId="1" fontId="3" fillId="4" borderId="678" xfId="0" applyNumberFormat="1" applyFont="1" applyFill="1" applyBorder="1" applyProtection="1">
      <protection locked="0"/>
    </xf>
    <xf numFmtId="1" fontId="3" fillId="4" borderId="679" xfId="0" applyNumberFormat="1" applyFont="1" applyFill="1" applyBorder="1" applyProtection="1">
      <protection locked="0"/>
    </xf>
    <xf numFmtId="1" fontId="3" fillId="4" borderId="680" xfId="0" applyNumberFormat="1" applyFont="1" applyFill="1" applyBorder="1" applyProtection="1">
      <protection locked="0"/>
    </xf>
    <xf numFmtId="1" fontId="3" fillId="4" borderId="681" xfId="0" applyNumberFormat="1" applyFont="1" applyFill="1" applyBorder="1" applyProtection="1">
      <protection locked="0"/>
    </xf>
    <xf numFmtId="1" fontId="3" fillId="4" borderId="682" xfId="0" applyNumberFormat="1" applyFont="1" applyFill="1" applyBorder="1" applyProtection="1">
      <protection locked="0"/>
    </xf>
    <xf numFmtId="1" fontId="3" fillId="0" borderId="681" xfId="0" applyNumberFormat="1" applyFont="1" applyBorder="1"/>
    <xf numFmtId="1" fontId="3" fillId="0" borderId="14" xfId="0" applyNumberFormat="1" applyFont="1" applyBorder="1"/>
    <xf numFmtId="1" fontId="3" fillId="0" borderId="18" xfId="0" applyNumberFormat="1" applyFont="1" applyBorder="1"/>
    <xf numFmtId="1" fontId="3" fillId="0" borderId="678" xfId="0" applyNumberFormat="1" applyFont="1" applyBorder="1"/>
    <xf numFmtId="1" fontId="3" fillId="4" borderId="621" xfId="0" applyNumberFormat="1" applyFont="1" applyFill="1" applyBorder="1" applyProtection="1">
      <protection locked="0"/>
    </xf>
    <xf numFmtId="1" fontId="3" fillId="4" borderId="686" xfId="0" applyNumberFormat="1" applyFont="1" applyFill="1" applyBorder="1" applyProtection="1">
      <protection locked="0"/>
    </xf>
    <xf numFmtId="1" fontId="3" fillId="4" borderId="687" xfId="0" applyNumberFormat="1" applyFont="1" applyFill="1" applyBorder="1" applyProtection="1">
      <protection locked="0"/>
    </xf>
    <xf numFmtId="1" fontId="3" fillId="0" borderId="652" xfId="0" applyNumberFormat="1" applyFont="1" applyBorder="1"/>
    <xf numFmtId="1" fontId="3" fillId="4" borderId="652" xfId="0" applyNumberFormat="1" applyFont="1" applyFill="1" applyBorder="1" applyProtection="1">
      <protection locked="0"/>
    </xf>
    <xf numFmtId="1" fontId="3" fillId="4" borderId="688" xfId="0" applyNumberFormat="1" applyFont="1" applyFill="1" applyBorder="1" applyProtection="1">
      <protection locked="0"/>
    </xf>
    <xf numFmtId="1" fontId="3" fillId="4" borderId="674" xfId="0" applyNumberFormat="1" applyFont="1" applyFill="1" applyBorder="1" applyProtection="1">
      <protection locked="0"/>
    </xf>
    <xf numFmtId="1" fontId="3" fillId="4" borderId="676" xfId="0" applyNumberFormat="1" applyFont="1" applyFill="1" applyBorder="1" applyProtection="1">
      <protection locked="0"/>
    </xf>
    <xf numFmtId="1" fontId="3" fillId="4" borderId="675" xfId="0" applyNumberFormat="1" applyFont="1" applyFill="1" applyBorder="1" applyProtection="1">
      <protection locked="0"/>
    </xf>
    <xf numFmtId="1" fontId="3" fillId="0" borderId="700" xfId="0" applyNumberFormat="1" applyFont="1" applyBorder="1"/>
    <xf numFmtId="1" fontId="3" fillId="0" borderId="701" xfId="0" applyNumberFormat="1" applyFont="1" applyBorder="1"/>
    <xf numFmtId="1" fontId="3" fillId="0" borderId="702" xfId="0" applyNumberFormat="1" applyFont="1" applyBorder="1"/>
    <xf numFmtId="1" fontId="3" fillId="0" borderId="703" xfId="0" applyNumberFormat="1" applyFont="1" applyBorder="1"/>
    <xf numFmtId="1" fontId="3" fillId="0" borderId="33" xfId="0" applyNumberFormat="1" applyFont="1" applyBorder="1" applyAlignment="1" applyProtection="1">
      <alignment wrapText="1"/>
      <protection hidden="1"/>
    </xf>
    <xf numFmtId="1" fontId="3" fillId="0" borderId="697" xfId="0" applyNumberFormat="1" applyFont="1" applyBorder="1"/>
    <xf numFmtId="1" fontId="3" fillId="0" borderId="698" xfId="0" applyNumberFormat="1" applyFont="1" applyBorder="1"/>
    <xf numFmtId="1" fontId="3" fillId="0" borderId="694" xfId="0" applyNumberFormat="1" applyFont="1" applyBorder="1"/>
    <xf numFmtId="1" fontId="3" fillId="0" borderId="22" xfId="0" applyNumberFormat="1" applyFont="1" applyBorder="1"/>
    <xf numFmtId="1" fontId="3" fillId="0" borderId="641" xfId="0" applyNumberFormat="1" applyFont="1" applyBorder="1" applyAlignment="1">
      <alignment horizontal="right" vertical="center" wrapText="1"/>
    </xf>
    <xf numFmtId="1" fontId="3" fillId="0" borderId="710" xfId="0" applyNumberFormat="1" applyFont="1" applyBorder="1" applyAlignment="1">
      <alignment horizontal="right"/>
    </xf>
    <xf numFmtId="1" fontId="3" fillId="0" borderId="703" xfId="0" applyNumberFormat="1" applyFont="1" applyBorder="1" applyAlignment="1">
      <alignment horizontal="right"/>
    </xf>
    <xf numFmtId="1" fontId="3" fillId="4" borderId="703" xfId="0" applyNumberFormat="1" applyFont="1" applyFill="1" applyBorder="1" applyProtection="1">
      <protection locked="0"/>
    </xf>
    <xf numFmtId="1" fontId="3" fillId="4" borderId="711" xfId="0" applyNumberFormat="1" applyFont="1" applyFill="1" applyBorder="1" applyProtection="1">
      <protection locked="0"/>
    </xf>
    <xf numFmtId="1" fontId="3" fillId="4" borderId="712" xfId="0" applyNumberFormat="1" applyFont="1" applyFill="1" applyBorder="1" applyProtection="1">
      <protection locked="0"/>
    </xf>
    <xf numFmtId="1" fontId="3" fillId="4" borderId="710" xfId="0" applyNumberFormat="1" applyFont="1" applyFill="1" applyBorder="1" applyProtection="1">
      <protection locked="0"/>
    </xf>
    <xf numFmtId="1" fontId="3" fillId="4" borderId="376" xfId="0" applyNumberFormat="1" applyFont="1" applyFill="1" applyBorder="1" applyProtection="1">
      <protection locked="0"/>
    </xf>
    <xf numFmtId="1" fontId="3" fillId="0" borderId="23" xfId="0" applyNumberFormat="1" applyFont="1" applyBorder="1" applyAlignment="1">
      <alignment horizontal="right"/>
    </xf>
    <xf numFmtId="1" fontId="3" fillId="0" borderId="24" xfId="0" applyNumberFormat="1" applyFont="1" applyBorder="1" applyAlignment="1">
      <alignment horizontal="right"/>
    </xf>
    <xf numFmtId="1" fontId="3" fillId="4" borderId="53" xfId="0" applyNumberFormat="1" applyFont="1" applyFill="1" applyBorder="1" applyProtection="1">
      <protection locked="0"/>
    </xf>
    <xf numFmtId="1" fontId="3" fillId="4" borderId="54" xfId="0" applyNumberFormat="1" applyFont="1" applyFill="1" applyBorder="1" applyProtection="1">
      <protection locked="0"/>
    </xf>
    <xf numFmtId="1" fontId="3" fillId="0" borderId="20" xfId="0" applyNumberFormat="1" applyFont="1" applyBorder="1" applyAlignment="1">
      <alignment horizontal="right"/>
    </xf>
    <xf numFmtId="1" fontId="3" fillId="4" borderId="55" xfId="0" applyNumberFormat="1" applyFont="1" applyFill="1" applyBorder="1" applyProtection="1">
      <protection locked="0"/>
    </xf>
    <xf numFmtId="1" fontId="3" fillId="4" borderId="715" xfId="0" applyNumberFormat="1" applyFont="1" applyFill="1" applyBorder="1" applyProtection="1">
      <protection locked="0"/>
    </xf>
    <xf numFmtId="1" fontId="3" fillId="4" borderId="0" xfId="0" applyNumberFormat="1" applyFont="1" applyFill="1" applyProtection="1">
      <protection locked="0"/>
    </xf>
    <xf numFmtId="1" fontId="3" fillId="0" borderId="20" xfId="0" applyNumberFormat="1" applyFont="1" applyBorder="1" applyAlignment="1">
      <alignment horizontal="right" vertical="center" wrapText="1"/>
    </xf>
    <xf numFmtId="1" fontId="2" fillId="0" borderId="693" xfId="0" applyNumberFormat="1" applyFont="1" applyBorder="1"/>
    <xf numFmtId="1" fontId="6" fillId="4" borderId="697" xfId="0" applyNumberFormat="1" applyFont="1" applyFill="1" applyBorder="1" applyProtection="1">
      <protection locked="0"/>
    </xf>
    <xf numFmtId="1" fontId="6" fillId="4" borderId="694" xfId="0" applyNumberFormat="1" applyFont="1" applyFill="1" applyBorder="1" applyProtection="1">
      <protection locked="0"/>
    </xf>
    <xf numFmtId="1" fontId="6" fillId="6" borderId="692" xfId="0" applyNumberFormat="1" applyFont="1" applyFill="1" applyBorder="1" applyAlignment="1">
      <alignment horizontal="center"/>
    </xf>
    <xf numFmtId="1" fontId="6" fillId="6" borderId="693" xfId="0" applyNumberFormat="1" applyFont="1" applyFill="1" applyBorder="1" applyAlignment="1">
      <alignment horizontal="center"/>
    </xf>
    <xf numFmtId="1" fontId="6" fillId="6" borderId="694" xfId="0" applyNumberFormat="1" applyFont="1" applyFill="1" applyBorder="1" applyAlignment="1">
      <alignment horizontal="center"/>
    </xf>
    <xf numFmtId="1" fontId="3" fillId="0" borderId="703" xfId="0" applyNumberFormat="1" applyFont="1" applyBorder="1" applyAlignment="1">
      <alignment wrapText="1"/>
    </xf>
    <xf numFmtId="1" fontId="3" fillId="0" borderId="641" xfId="0" applyNumberFormat="1" applyFont="1" applyBorder="1" applyAlignment="1">
      <alignment wrapText="1"/>
    </xf>
    <xf numFmtId="1" fontId="3" fillId="0" borderId="710" xfId="0" applyNumberFormat="1" applyFont="1" applyBorder="1" applyAlignment="1">
      <alignment wrapText="1"/>
    </xf>
    <xf numFmtId="1" fontId="3" fillId="4" borderId="716" xfId="0" applyNumberFormat="1" applyFont="1" applyFill="1" applyBorder="1" applyProtection="1">
      <protection locked="0"/>
    </xf>
    <xf numFmtId="1" fontId="3" fillId="0" borderId="651" xfId="0" applyNumberFormat="1" applyFont="1" applyBorder="1" applyAlignment="1">
      <alignment wrapText="1"/>
    </xf>
    <xf numFmtId="1" fontId="3" fillId="0" borderId="511" xfId="0" applyNumberFormat="1" applyFont="1" applyBorder="1" applyAlignment="1">
      <alignment wrapText="1"/>
    </xf>
    <xf numFmtId="1" fontId="3" fillId="0" borderId="652" xfId="0" applyNumberFormat="1" applyFont="1" applyBorder="1" applyAlignment="1">
      <alignment wrapText="1"/>
    </xf>
    <xf numFmtId="1" fontId="3" fillId="4" borderId="524" xfId="0" applyNumberFormat="1" applyFont="1" applyFill="1" applyBorder="1" applyProtection="1">
      <protection locked="0"/>
    </xf>
    <xf numFmtId="1" fontId="3" fillId="0" borderId="694" xfId="0" applyNumberFormat="1" applyFont="1" applyBorder="1" applyAlignment="1">
      <alignment wrapText="1"/>
    </xf>
    <xf numFmtId="1" fontId="3" fillId="0" borderId="697" xfId="0" applyNumberFormat="1" applyFont="1" applyBorder="1" applyAlignment="1">
      <alignment wrapText="1"/>
    </xf>
    <xf numFmtId="1" fontId="3" fillId="0" borderId="698" xfId="0" applyNumberFormat="1" applyFont="1" applyBorder="1" applyAlignment="1">
      <alignment wrapText="1"/>
    </xf>
    <xf numFmtId="1" fontId="3" fillId="4" borderId="697" xfId="0" applyNumberFormat="1" applyFont="1" applyFill="1" applyBorder="1" applyProtection="1">
      <protection locked="0"/>
    </xf>
    <xf numFmtId="1" fontId="3" fillId="4" borderId="694" xfId="0" applyNumberFormat="1" applyFont="1" applyFill="1" applyBorder="1" applyProtection="1">
      <protection locked="0"/>
    </xf>
    <xf numFmtId="1" fontId="3" fillId="4" borderId="693" xfId="0" applyNumberFormat="1" applyFont="1" applyFill="1" applyBorder="1" applyProtection="1">
      <protection locked="0"/>
    </xf>
    <xf numFmtId="1" fontId="3" fillId="4" borderId="705" xfId="0" applyNumberFormat="1" applyFont="1" applyFill="1" applyBorder="1" applyProtection="1">
      <protection locked="0"/>
    </xf>
    <xf numFmtId="1" fontId="3" fillId="4" borderId="704" xfId="0" applyNumberFormat="1" applyFont="1" applyFill="1" applyBorder="1" applyProtection="1">
      <protection locked="0"/>
    </xf>
    <xf numFmtId="1" fontId="3" fillId="6" borderId="641" xfId="0" applyNumberFormat="1" applyFont="1" applyFill="1" applyBorder="1"/>
    <xf numFmtId="1" fontId="3" fillId="6" borderId="703" xfId="0" applyNumberFormat="1" applyFont="1" applyFill="1" applyBorder="1"/>
    <xf numFmtId="1" fontId="3" fillId="0" borderId="718" xfId="0" applyNumberFormat="1" applyFont="1" applyBorder="1" applyAlignment="1">
      <alignment wrapText="1"/>
    </xf>
    <xf numFmtId="1" fontId="3" fillId="0" borderId="29" xfId="0" applyNumberFormat="1" applyFont="1" applyBorder="1" applyAlignment="1">
      <alignment wrapText="1"/>
    </xf>
    <xf numFmtId="1" fontId="3" fillId="0" borderId="220" xfId="0" applyNumberFormat="1" applyFont="1" applyBorder="1" applyAlignment="1">
      <alignment wrapText="1"/>
    </xf>
    <xf numFmtId="1" fontId="3" fillId="6" borderId="718" xfId="0" applyNumberFormat="1" applyFont="1" applyFill="1" applyBorder="1"/>
    <xf numFmtId="1" fontId="3" fillId="6" borderId="220" xfId="0" applyNumberFormat="1" applyFont="1" applyFill="1" applyBorder="1"/>
    <xf numFmtId="1" fontId="3" fillId="4" borderId="718" xfId="0" applyNumberFormat="1" applyFont="1" applyFill="1" applyBorder="1" applyProtection="1">
      <protection locked="0"/>
    </xf>
    <xf numFmtId="1" fontId="2" fillId="0" borderId="692" xfId="0" applyNumberFormat="1" applyFont="1" applyBorder="1"/>
    <xf numFmtId="1" fontId="3" fillId="0" borderId="22" xfId="0" applyNumberFormat="1" applyFont="1" applyBorder="1" applyAlignment="1">
      <alignment wrapText="1"/>
    </xf>
    <xf numFmtId="1" fontId="3" fillId="0" borderId="20" xfId="0" applyNumberFormat="1" applyFont="1" applyBorder="1" applyAlignment="1">
      <alignment wrapText="1"/>
    </xf>
    <xf numFmtId="1" fontId="3" fillId="0" borderId="251" xfId="0" applyNumberFormat="1" applyFont="1" applyBorder="1" applyAlignment="1">
      <alignment wrapText="1"/>
    </xf>
    <xf numFmtId="1" fontId="3" fillId="0" borderId="371" xfId="0" applyNumberFormat="1" applyFont="1" applyBorder="1" applyAlignment="1">
      <alignment wrapText="1"/>
    </xf>
    <xf numFmtId="1" fontId="3" fillId="0" borderId="374" xfId="0" applyNumberFormat="1" applyFont="1" applyBorder="1" applyAlignment="1">
      <alignment wrapText="1"/>
    </xf>
    <xf numFmtId="1" fontId="3" fillId="0" borderId="24" xfId="0" applyNumberFormat="1" applyFont="1" applyBorder="1" applyAlignment="1">
      <alignment wrapText="1"/>
    </xf>
    <xf numFmtId="1" fontId="3" fillId="0" borderId="52" xfId="0" applyNumberFormat="1" applyFont="1" applyBorder="1" applyAlignment="1">
      <alignment wrapText="1"/>
    </xf>
    <xf numFmtId="1" fontId="3" fillId="7" borderId="29" xfId="0" applyNumberFormat="1" applyFont="1" applyFill="1" applyBorder="1"/>
    <xf numFmtId="1" fontId="3" fillId="0" borderId="55" xfId="2" applyNumberFormat="1" applyFont="1" applyBorder="1" applyAlignment="1">
      <alignment wrapText="1"/>
    </xf>
    <xf numFmtId="1" fontId="3" fillId="0" borderId="52" xfId="2" applyNumberFormat="1" applyFont="1" applyBorder="1" applyAlignment="1">
      <alignment wrapText="1"/>
    </xf>
    <xf numFmtId="1" fontId="3" fillId="0" borderId="53" xfId="2" applyNumberFormat="1" applyFont="1" applyBorder="1" applyAlignment="1">
      <alignment wrapText="1"/>
    </xf>
    <xf numFmtId="1" fontId="3" fillId="0" borderId="23" xfId="0" applyNumberFormat="1" applyFont="1" applyBorder="1" applyAlignment="1">
      <alignment wrapText="1"/>
    </xf>
    <xf numFmtId="1" fontId="3" fillId="0" borderId="711" xfId="0" applyNumberFormat="1" applyFont="1" applyBorder="1" applyAlignment="1">
      <alignment wrapText="1"/>
    </xf>
    <xf numFmtId="1" fontId="3" fillId="4" borderId="555" xfId="0" applyNumberFormat="1" applyFont="1" applyFill="1" applyBorder="1" applyProtection="1">
      <protection locked="0"/>
    </xf>
    <xf numFmtId="1" fontId="3" fillId="0" borderId="14" xfId="0" applyNumberFormat="1" applyFont="1" applyBorder="1" applyAlignment="1">
      <alignment wrapText="1"/>
    </xf>
    <xf numFmtId="1" fontId="3" fillId="0" borderId="15" xfId="0" applyNumberFormat="1" applyFont="1" applyBorder="1" applyAlignment="1">
      <alignment wrapText="1"/>
    </xf>
    <xf numFmtId="1" fontId="3" fillId="4" borderId="57" xfId="0" applyNumberFormat="1" applyFont="1" applyFill="1" applyBorder="1" applyProtection="1">
      <protection locked="0"/>
    </xf>
    <xf numFmtId="1" fontId="3" fillId="7" borderId="691" xfId="0" applyNumberFormat="1" applyFont="1" applyFill="1" applyBorder="1"/>
    <xf numFmtId="1" fontId="3" fillId="7" borderId="36" xfId="0" applyNumberFormat="1" applyFont="1" applyFill="1" applyBorder="1"/>
    <xf numFmtId="1" fontId="3" fillId="7" borderId="719" xfId="0" applyNumberFormat="1" applyFont="1" applyFill="1" applyBorder="1"/>
    <xf numFmtId="1" fontId="3" fillId="7" borderId="699" xfId="0" applyNumberFormat="1" applyFont="1" applyFill="1" applyBorder="1"/>
    <xf numFmtId="1" fontId="3" fillId="7" borderId="663" xfId="0" applyNumberFormat="1" applyFont="1" applyFill="1" applyBorder="1"/>
    <xf numFmtId="1" fontId="3" fillId="7" borderId="0" xfId="0" applyNumberFormat="1" applyFont="1" applyFill="1"/>
    <xf numFmtId="1" fontId="3" fillId="7" borderId="58" xfId="0" applyNumberFormat="1" applyFont="1" applyFill="1" applyBorder="1"/>
    <xf numFmtId="1" fontId="3" fillId="7" borderId="26" xfId="0" applyNumberFormat="1" applyFont="1" applyFill="1" applyBorder="1"/>
    <xf numFmtId="1" fontId="3" fillId="7" borderId="684" xfId="0" applyNumberFormat="1" applyFont="1" applyFill="1" applyBorder="1"/>
    <xf numFmtId="1" fontId="3" fillId="7" borderId="524" xfId="0" applyNumberFormat="1" applyFont="1" applyFill="1" applyBorder="1"/>
    <xf numFmtId="1" fontId="3" fillId="7" borderId="688" xfId="0" applyNumberFormat="1" applyFont="1" applyFill="1" applyBorder="1"/>
    <xf numFmtId="1" fontId="3" fillId="7" borderId="676" xfId="0" applyNumberFormat="1" applyFont="1" applyFill="1" applyBorder="1"/>
    <xf numFmtId="1" fontId="3" fillId="0" borderId="638" xfId="0" applyNumberFormat="1" applyFont="1" applyBorder="1" applyAlignment="1">
      <alignment wrapText="1"/>
    </xf>
    <xf numFmtId="1" fontId="3" fillId="4" borderId="720" xfId="0" applyNumberFormat="1" applyFont="1" applyFill="1" applyBorder="1" applyProtection="1">
      <protection locked="0"/>
    </xf>
    <xf numFmtId="1" fontId="3" fillId="0" borderId="59" xfId="0" applyNumberFormat="1" applyFont="1" applyBorder="1" applyAlignment="1">
      <alignment wrapText="1"/>
    </xf>
    <xf numFmtId="1" fontId="3" fillId="0" borderId="524" xfId="0" applyNumberFormat="1" applyFont="1" applyBorder="1" applyAlignment="1">
      <alignment wrapText="1"/>
    </xf>
    <xf numFmtId="1" fontId="3" fillId="7" borderId="721" xfId="0" applyNumberFormat="1" applyFont="1" applyFill="1" applyBorder="1"/>
    <xf numFmtId="1" fontId="3" fillId="7" borderId="555" xfId="0" applyNumberFormat="1" applyFont="1" applyFill="1" applyBorder="1"/>
    <xf numFmtId="1" fontId="3" fillId="7" borderId="60" xfId="0" applyNumberFormat="1" applyFont="1" applyFill="1" applyBorder="1"/>
    <xf numFmtId="1" fontId="3" fillId="7" borderId="220" xfId="0" applyNumberFormat="1" applyFont="1" applyFill="1" applyBorder="1"/>
    <xf numFmtId="1" fontId="3" fillId="0" borderId="57" xfId="0" applyNumberFormat="1" applyFont="1" applyBorder="1" applyAlignment="1">
      <alignment wrapText="1"/>
    </xf>
    <xf numFmtId="1" fontId="3" fillId="7" borderId="722" xfId="0" applyNumberFormat="1" applyFont="1" applyFill="1" applyBorder="1"/>
    <xf numFmtId="1" fontId="3" fillId="7" borderId="652" xfId="0" applyNumberFormat="1" applyFont="1" applyFill="1" applyBorder="1"/>
    <xf numFmtId="1" fontId="3" fillId="0" borderId="723" xfId="0" applyNumberFormat="1" applyFont="1" applyBorder="1" applyAlignment="1">
      <alignment wrapText="1"/>
    </xf>
    <xf numFmtId="1" fontId="3" fillId="4" borderId="43" xfId="0" applyNumberFormat="1" applyFont="1" applyFill="1" applyBorder="1" applyProtection="1">
      <protection locked="0"/>
    </xf>
    <xf numFmtId="1" fontId="3" fillId="4" borderId="26" xfId="0" applyNumberFormat="1" applyFont="1" applyFill="1" applyBorder="1" applyProtection="1">
      <protection locked="0"/>
    </xf>
    <xf numFmtId="1" fontId="3" fillId="0" borderId="372" xfId="0" applyNumberFormat="1" applyFont="1" applyBorder="1" applyAlignment="1">
      <alignment wrapText="1"/>
    </xf>
    <xf numFmtId="1" fontId="3" fillId="0" borderId="18" xfId="0" applyNumberFormat="1" applyFont="1" applyBorder="1" applyAlignment="1">
      <alignment wrapText="1"/>
    </xf>
    <xf numFmtId="1" fontId="3" fillId="0" borderId="61" xfId="0" applyNumberFormat="1" applyFont="1" applyBorder="1" applyAlignment="1">
      <alignment wrapText="1"/>
    </xf>
    <xf numFmtId="1" fontId="3" fillId="8" borderId="47" xfId="0" applyNumberFormat="1" applyFont="1" applyFill="1" applyBorder="1" applyProtection="1">
      <protection locked="0"/>
    </xf>
    <xf numFmtId="1" fontId="3" fillId="8" borderId="13" xfId="0" applyNumberFormat="1" applyFont="1" applyFill="1" applyBorder="1" applyProtection="1">
      <protection locked="0"/>
    </xf>
    <xf numFmtId="1" fontId="6" fillId="6" borderId="36" xfId="0" applyNumberFormat="1" applyFont="1" applyFill="1" applyBorder="1"/>
    <xf numFmtId="1" fontId="6" fillId="6" borderId="693" xfId="0" applyNumberFormat="1" applyFont="1" applyFill="1" applyBorder="1"/>
    <xf numFmtId="1" fontId="6" fillId="6" borderId="694" xfId="0" applyNumberFormat="1" applyFont="1" applyFill="1" applyBorder="1"/>
    <xf numFmtId="1" fontId="3" fillId="0" borderId="724" xfId="0" applyNumberFormat="1" applyFont="1" applyBorder="1" applyAlignment="1">
      <alignment wrapText="1"/>
    </xf>
    <xf numFmtId="1" fontId="3" fillId="4" borderId="724" xfId="0" applyNumberFormat="1" applyFont="1" applyFill="1" applyBorder="1" applyProtection="1">
      <protection locked="0"/>
    </xf>
    <xf numFmtId="1" fontId="3" fillId="4" borderId="63" xfId="0" applyNumberFormat="1" applyFont="1" applyFill="1" applyBorder="1" applyProtection="1">
      <protection locked="0"/>
    </xf>
    <xf numFmtId="1" fontId="3" fillId="4" borderId="30" xfId="0" applyNumberFormat="1" applyFont="1" applyFill="1" applyBorder="1" applyProtection="1">
      <protection locked="0"/>
    </xf>
    <xf numFmtId="1" fontId="3" fillId="6" borderId="0" xfId="0" applyNumberFormat="1" applyFont="1" applyFill="1"/>
    <xf numFmtId="1" fontId="3" fillId="4" borderId="725" xfId="0" applyNumberFormat="1" applyFont="1" applyFill="1" applyBorder="1" applyProtection="1">
      <protection locked="0"/>
    </xf>
    <xf numFmtId="1" fontId="3" fillId="4" borderId="723" xfId="0" applyNumberFormat="1" applyFont="1" applyFill="1" applyBorder="1" applyProtection="1">
      <protection locked="0"/>
    </xf>
    <xf numFmtId="1" fontId="3" fillId="0" borderId="699" xfId="0" applyNumberFormat="1" applyFont="1" applyBorder="1" applyAlignment="1" applyProtection="1">
      <alignment wrapText="1"/>
      <protection hidden="1"/>
    </xf>
    <xf numFmtId="1" fontId="3" fillId="0" borderId="725" xfId="0" applyNumberFormat="1" applyFont="1" applyBorder="1" applyAlignment="1">
      <alignment horizontal="right" wrapText="1"/>
    </xf>
    <xf numFmtId="1" fontId="3" fillId="0" borderId="727" xfId="0" applyNumberFormat="1" applyFont="1" applyBorder="1" applyAlignment="1">
      <alignment horizontal="right" wrapText="1"/>
    </xf>
    <xf numFmtId="1" fontId="3" fillId="0" borderId="718" xfId="0" applyNumberFormat="1" applyFont="1" applyBorder="1" applyAlignment="1">
      <alignment horizontal="right" wrapText="1"/>
    </xf>
    <xf numFmtId="1" fontId="3" fillId="0" borderId="29" xfId="0" applyNumberFormat="1" applyFont="1" applyBorder="1" applyAlignment="1">
      <alignment horizontal="right" wrapText="1"/>
    </xf>
    <xf numFmtId="1" fontId="3" fillId="7" borderId="29" xfId="0" applyNumberFormat="1" applyFont="1" applyFill="1" applyBorder="1" applyAlignment="1">
      <alignment wrapText="1"/>
    </xf>
    <xf numFmtId="1" fontId="3" fillId="7" borderId="30" xfId="0" applyNumberFormat="1" applyFont="1" applyFill="1" applyBorder="1"/>
    <xf numFmtId="1" fontId="3" fillId="7" borderId="718" xfId="0" applyNumberFormat="1" applyFont="1" applyFill="1" applyBorder="1"/>
    <xf numFmtId="1" fontId="3" fillId="0" borderId="190" xfId="0" applyNumberFormat="1" applyFont="1" applyBorder="1"/>
    <xf numFmtId="1" fontId="3" fillId="7" borderId="511" xfId="0" applyNumberFormat="1" applyFont="1" applyFill="1" applyBorder="1" applyAlignment="1">
      <alignment wrapText="1"/>
    </xf>
    <xf numFmtId="1" fontId="3" fillId="7" borderId="717" xfId="0" applyNumberFormat="1" applyFont="1" applyFill="1" applyBorder="1"/>
    <xf numFmtId="1" fontId="3" fillId="7" borderId="651" xfId="0" applyNumberFormat="1" applyFont="1" applyFill="1" applyBorder="1"/>
    <xf numFmtId="1" fontId="3" fillId="9" borderId="731" xfId="31" applyNumberFormat="1" applyFont="1" applyBorder="1" applyProtection="1">
      <protection locked="0"/>
    </xf>
    <xf numFmtId="1" fontId="3" fillId="9" borderId="732" xfId="31" applyNumberFormat="1" applyFont="1" applyBorder="1" applyProtection="1">
      <protection locked="0"/>
    </xf>
    <xf numFmtId="1" fontId="3" fillId="9" borderId="733" xfId="31" applyNumberFormat="1" applyFont="1" applyBorder="1" applyProtection="1">
      <protection locked="0"/>
    </xf>
    <xf numFmtId="1" fontId="3" fillId="9" borderId="734" xfId="31" applyNumberFormat="1" applyFont="1" applyBorder="1" applyProtection="1">
      <protection locked="0"/>
    </xf>
    <xf numFmtId="1" fontId="3" fillId="9" borderId="735" xfId="31" applyNumberFormat="1" applyFont="1" applyBorder="1" applyProtection="1">
      <protection locked="0"/>
    </xf>
    <xf numFmtId="1" fontId="3" fillId="9" borderId="736" xfId="31" applyNumberFormat="1" applyFont="1" applyBorder="1" applyProtection="1">
      <protection locked="0"/>
    </xf>
    <xf numFmtId="1" fontId="3" fillId="6" borderId="710" xfId="0" applyNumberFormat="1" applyFont="1" applyFill="1" applyBorder="1"/>
    <xf numFmtId="1" fontId="3" fillId="6" borderId="685" xfId="0" applyNumberFormat="1" applyFont="1" applyFill="1" applyBorder="1"/>
    <xf numFmtId="1" fontId="3" fillId="6" borderId="711" xfId="0" applyNumberFormat="1" applyFont="1" applyFill="1" applyBorder="1"/>
    <xf numFmtId="1" fontId="3" fillId="6" borderId="720" xfId="0" applyNumberFormat="1" applyFont="1" applyFill="1" applyBorder="1"/>
    <xf numFmtId="1" fontId="3" fillId="6" borderId="679" xfId="0" applyNumberFormat="1" applyFont="1" applyFill="1" applyBorder="1"/>
    <xf numFmtId="1" fontId="3" fillId="0" borderId="737" xfId="0" applyNumberFormat="1" applyFont="1" applyBorder="1" applyAlignment="1">
      <alignment wrapText="1"/>
    </xf>
    <xf numFmtId="1" fontId="3" fillId="4" borderId="58" xfId="0" applyNumberFormat="1" applyFont="1" applyFill="1" applyBorder="1" applyProtection="1">
      <protection locked="0"/>
    </xf>
    <xf numFmtId="1" fontId="3" fillId="4" borderId="695" xfId="0" applyNumberFormat="1" applyFont="1" applyFill="1" applyBorder="1" applyProtection="1">
      <protection locked="0"/>
    </xf>
    <xf numFmtId="1" fontId="3" fillId="7" borderId="57" xfId="0" applyNumberFormat="1" applyFont="1" applyFill="1" applyBorder="1"/>
    <xf numFmtId="1" fontId="3" fillId="0" borderId="676" xfId="0" applyNumberFormat="1" applyFont="1" applyBorder="1" applyAlignment="1">
      <alignment wrapText="1"/>
    </xf>
    <xf numFmtId="1" fontId="3" fillId="4" borderId="739" xfId="0" applyNumberFormat="1" applyFont="1" applyFill="1" applyBorder="1" applyProtection="1">
      <protection locked="0"/>
    </xf>
    <xf numFmtId="1" fontId="3" fillId="4" borderId="737" xfId="0" applyNumberFormat="1" applyFont="1" applyFill="1" applyBorder="1" applyProtection="1">
      <protection locked="0"/>
    </xf>
    <xf numFmtId="1" fontId="3" fillId="4" borderId="740" xfId="0" applyNumberFormat="1" applyFont="1" applyFill="1" applyBorder="1" applyProtection="1">
      <protection locked="0"/>
    </xf>
    <xf numFmtId="1" fontId="3" fillId="0" borderId="720" xfId="0" applyNumberFormat="1" applyFont="1" applyBorder="1" applyAlignment="1">
      <alignment horizontal="right" wrapText="1"/>
    </xf>
    <xf numFmtId="1" fontId="3" fillId="4" borderId="685" xfId="0" applyNumberFormat="1" applyFont="1" applyFill="1" applyBorder="1" applyProtection="1">
      <protection locked="0"/>
    </xf>
    <xf numFmtId="1" fontId="3" fillId="0" borderId="739" xfId="0" applyNumberFormat="1" applyFont="1" applyBorder="1" applyAlignment="1">
      <alignment horizontal="right" wrapText="1"/>
    </xf>
    <xf numFmtId="1" fontId="3" fillId="0" borderId="737" xfId="0" applyNumberFormat="1" applyFont="1" applyBorder="1" applyAlignment="1">
      <alignment horizontal="right"/>
    </xf>
    <xf numFmtId="1" fontId="3" fillId="4" borderId="662" xfId="0" applyNumberFormat="1" applyFont="1" applyFill="1" applyBorder="1" applyProtection="1">
      <protection locked="0"/>
    </xf>
    <xf numFmtId="1" fontId="3" fillId="0" borderId="638" xfId="0" applyNumberFormat="1" applyFont="1" applyBorder="1" applyAlignment="1">
      <alignment horizontal="right" wrapText="1"/>
    </xf>
    <xf numFmtId="1" fontId="3" fillId="0" borderId="373" xfId="0" applyNumberFormat="1" applyFont="1" applyBorder="1" applyAlignment="1">
      <alignment horizontal="right" wrapText="1"/>
    </xf>
    <xf numFmtId="1" fontId="3" fillId="0" borderId="676" xfId="0" applyNumberFormat="1" applyFont="1" applyBorder="1"/>
    <xf numFmtId="1" fontId="3" fillId="0" borderId="33" xfId="0" applyNumberFormat="1" applyFont="1" applyBorder="1" applyAlignment="1">
      <alignment horizontal="right" wrapText="1"/>
    </xf>
    <xf numFmtId="1" fontId="3" fillId="0" borderId="13" xfId="0" applyNumberFormat="1" applyFont="1" applyBorder="1" applyAlignment="1">
      <alignment horizontal="right" wrapText="1"/>
    </xf>
    <xf numFmtId="1" fontId="3" fillId="5" borderId="685" xfId="0" applyNumberFormat="1" applyFont="1" applyFill="1" applyBorder="1" applyAlignment="1">
      <alignment vertical="center" wrapText="1"/>
    </xf>
    <xf numFmtId="1" fontId="3" fillId="5" borderId="641" xfId="0" applyNumberFormat="1" applyFont="1" applyFill="1" applyBorder="1" applyAlignment="1">
      <alignment horizontal="right" wrapText="1"/>
    </xf>
    <xf numFmtId="1" fontId="3" fillId="5" borderId="710" xfId="0" applyNumberFormat="1" applyFont="1" applyFill="1" applyBorder="1" applyAlignment="1">
      <alignment horizontal="right" wrapText="1"/>
    </xf>
    <xf numFmtId="1" fontId="3" fillId="5" borderId="703" xfId="0" applyNumberFormat="1" applyFont="1" applyFill="1" applyBorder="1" applyAlignment="1">
      <alignment horizontal="right"/>
    </xf>
    <xf numFmtId="1" fontId="3" fillId="5" borderId="59" xfId="0" applyNumberFormat="1" applyFont="1" applyFill="1" applyBorder="1" applyAlignment="1">
      <alignment vertical="center" wrapText="1"/>
    </xf>
    <xf numFmtId="1" fontId="3" fillId="5" borderId="20" xfId="0" applyNumberFormat="1" applyFont="1" applyFill="1" applyBorder="1" applyAlignment="1">
      <alignment horizontal="right" wrapText="1"/>
    </xf>
    <xf numFmtId="1" fontId="3" fillId="5" borderId="251" xfId="0" applyNumberFormat="1" applyFont="1" applyFill="1" applyBorder="1" applyAlignment="1">
      <alignment horizontal="right" wrapText="1"/>
    </xf>
    <xf numFmtId="1" fontId="3" fillId="5" borderId="190" xfId="0" applyNumberFormat="1" applyFont="1" applyFill="1" applyBorder="1" applyAlignment="1">
      <alignment vertical="center" wrapText="1"/>
    </xf>
    <xf numFmtId="1" fontId="3" fillId="5" borderId="371" xfId="0" applyNumberFormat="1" applyFont="1" applyFill="1" applyBorder="1" applyAlignment="1">
      <alignment horizontal="right" wrapText="1"/>
    </xf>
    <xf numFmtId="1" fontId="3" fillId="5" borderId="374" xfId="0" applyNumberFormat="1" applyFont="1" applyFill="1" applyBorder="1" applyAlignment="1">
      <alignment horizontal="right" wrapText="1"/>
    </xf>
    <xf numFmtId="1" fontId="3" fillId="0" borderId="685" xfId="0" applyNumberFormat="1" applyFont="1" applyBorder="1" applyAlignment="1">
      <alignment vertical="center" wrapText="1"/>
    </xf>
    <xf numFmtId="1" fontId="3" fillId="6" borderId="638" xfId="0" applyNumberFormat="1" applyFont="1" applyFill="1" applyBorder="1" applyAlignment="1">
      <alignment horizontal="right" wrapText="1"/>
    </xf>
    <xf numFmtId="1" fontId="3" fillId="0" borderId="190" xfId="0" applyNumberFormat="1" applyFont="1" applyBorder="1" applyAlignment="1">
      <alignment vertical="center" wrapText="1"/>
    </xf>
    <xf numFmtId="1" fontId="3" fillId="6" borderId="57" xfId="0" applyNumberFormat="1" applyFont="1" applyFill="1" applyBorder="1" applyAlignment="1">
      <alignment horizontal="right" wrapText="1"/>
    </xf>
    <xf numFmtId="1" fontId="18" fillId="3" borderId="0" xfId="0" applyNumberFormat="1" applyFont="1" applyFill="1" applyAlignment="1">
      <alignment wrapText="1"/>
    </xf>
    <xf numFmtId="1" fontId="18" fillId="3" borderId="0" xfId="0" applyNumberFormat="1" applyFont="1" applyFill="1" applyAlignment="1">
      <alignment horizontal="left" wrapText="1"/>
    </xf>
    <xf numFmtId="1" fontId="16" fillId="3" borderId="0" xfId="0" applyNumberFormat="1" applyFont="1" applyFill="1" applyAlignment="1">
      <alignment horizontal="center" vertical="center" wrapText="1"/>
    </xf>
    <xf numFmtId="1" fontId="5" fillId="0" borderId="676" xfId="0" applyNumberFormat="1" applyFont="1" applyBorder="1" applyAlignment="1">
      <alignment horizontal="center" vertical="center" wrapText="1"/>
    </xf>
    <xf numFmtId="1" fontId="5" fillId="7" borderId="374" xfId="0" applyNumberFormat="1" applyFont="1" applyFill="1" applyBorder="1"/>
    <xf numFmtId="1" fontId="5" fillId="11" borderId="371" xfId="0" applyNumberFormat="1" applyFont="1" applyFill="1" applyBorder="1"/>
    <xf numFmtId="1" fontId="5" fillId="11" borderId="374" xfId="0" applyNumberFormat="1" applyFont="1" applyFill="1" applyBorder="1"/>
    <xf numFmtId="1" fontId="5" fillId="0" borderId="739" xfId="0" applyNumberFormat="1" applyFont="1" applyBorder="1"/>
    <xf numFmtId="1" fontId="5" fillId="0" borderId="511" xfId="0" applyNumberFormat="1" applyFont="1" applyBorder="1"/>
    <xf numFmtId="1" fontId="5" fillId="0" borderId="738" xfId="0" applyNumberFormat="1" applyFont="1" applyBorder="1"/>
    <xf numFmtId="1" fontId="5" fillId="0" borderId="651" xfId="0" applyNumberFormat="1" applyFont="1" applyBorder="1"/>
    <xf numFmtId="1" fontId="5" fillId="4" borderId="0" xfId="0" applyNumberFormat="1" applyFont="1" applyFill="1" applyProtection="1">
      <protection locked="0"/>
    </xf>
    <xf numFmtId="1" fontId="5" fillId="4" borderId="723" xfId="0" applyNumberFormat="1" applyFont="1" applyFill="1" applyBorder="1" applyProtection="1">
      <protection locked="0"/>
    </xf>
    <xf numFmtId="1" fontId="5" fillId="25" borderId="20" xfId="0" applyNumberFormat="1" applyFont="1" applyFill="1" applyBorder="1" applyProtection="1">
      <protection locked="0"/>
    </xf>
    <xf numFmtId="1" fontId="5" fillId="5" borderId="33" xfId="0" applyNumberFormat="1" applyFont="1" applyFill="1" applyBorder="1"/>
    <xf numFmtId="1" fontId="5" fillId="4" borderId="718" xfId="0" applyNumberFormat="1" applyFont="1" applyFill="1" applyBorder="1" applyProtection="1">
      <protection locked="0"/>
    </xf>
    <xf numFmtId="1" fontId="5" fillId="25" borderId="371" xfId="0" applyNumberFormat="1" applyFont="1" applyFill="1" applyBorder="1" applyProtection="1">
      <protection locked="0"/>
    </xf>
    <xf numFmtId="1" fontId="5" fillId="25" borderId="372" xfId="0" applyNumberFormat="1" applyFont="1" applyFill="1" applyBorder="1" applyProtection="1">
      <protection locked="0"/>
    </xf>
    <xf numFmtId="1" fontId="5" fillId="25" borderId="55" xfId="0" applyNumberFormat="1" applyFont="1" applyFill="1" applyBorder="1" applyProtection="1">
      <protection locked="0"/>
    </xf>
    <xf numFmtId="1" fontId="5" fillId="25" borderId="57" xfId="0" applyNumberFormat="1" applyFont="1" applyFill="1" applyBorder="1" applyProtection="1">
      <protection locked="0"/>
    </xf>
    <xf numFmtId="1" fontId="5" fillId="4" borderId="754" xfId="0" applyNumberFormat="1" applyFont="1" applyFill="1" applyBorder="1" applyProtection="1">
      <protection locked="0"/>
    </xf>
    <xf numFmtId="1" fontId="5" fillId="4" borderId="620" xfId="0" applyNumberFormat="1" applyFont="1" applyFill="1" applyBorder="1" applyProtection="1">
      <protection locked="0"/>
    </xf>
    <xf numFmtId="1" fontId="5" fillId="4" borderId="651" xfId="0" applyNumberFormat="1" applyFont="1" applyFill="1" applyBorder="1" applyProtection="1">
      <protection locked="0"/>
    </xf>
    <xf numFmtId="1" fontId="5" fillId="4" borderId="511" xfId="0" applyNumberFormat="1" applyFont="1" applyFill="1" applyBorder="1" applyProtection="1">
      <protection locked="0"/>
    </xf>
    <xf numFmtId="1" fontId="5" fillId="4" borderId="657" xfId="0" applyNumberFormat="1" applyFont="1" applyFill="1" applyBorder="1" applyProtection="1">
      <protection locked="0"/>
    </xf>
    <xf numFmtId="1" fontId="5" fillId="4" borderId="737" xfId="0" applyNumberFormat="1" applyFont="1" applyFill="1" applyBorder="1" applyProtection="1">
      <protection locked="0"/>
    </xf>
    <xf numFmtId="1" fontId="5" fillId="7" borderId="754" xfId="0" applyNumberFormat="1" applyFont="1" applyFill="1" applyBorder="1"/>
    <xf numFmtId="1" fontId="5" fillId="7" borderId="251" xfId="0" applyNumberFormat="1" applyFont="1" applyFill="1" applyBorder="1" applyAlignment="1">
      <alignment horizontal="right"/>
    </xf>
    <xf numFmtId="1" fontId="5" fillId="7" borderId="38" xfId="0" applyNumberFormat="1" applyFont="1" applyFill="1" applyBorder="1"/>
    <xf numFmtId="1" fontId="5" fillId="0" borderId="371" xfId="0" applyNumberFormat="1" applyFont="1" applyBorder="1" applyAlignment="1">
      <alignment horizontal="right" shrinkToFit="1"/>
    </xf>
    <xf numFmtId="1" fontId="5" fillId="0" borderId="374" xfId="0" applyNumberFormat="1" applyFont="1" applyBorder="1" applyAlignment="1">
      <alignment horizontal="right" shrinkToFit="1"/>
    </xf>
    <xf numFmtId="1" fontId="5" fillId="4" borderId="756" xfId="0" applyNumberFormat="1" applyFont="1" applyFill="1" applyBorder="1" applyProtection="1">
      <protection locked="0"/>
    </xf>
    <xf numFmtId="1" fontId="5" fillId="0" borderId="13" xfId="0" applyNumberFormat="1" applyFont="1" applyBorder="1" applyAlignment="1">
      <alignment vertical="center"/>
    </xf>
    <xf numFmtId="1" fontId="5" fillId="0" borderId="33" xfId="0" applyNumberFormat="1" applyFont="1" applyBorder="1" applyAlignment="1">
      <alignment vertical="center"/>
    </xf>
    <xf numFmtId="1" fontId="3" fillId="27" borderId="281" xfId="0" applyNumberFormat="1" applyFont="1" applyFill="1" applyBorder="1"/>
    <xf numFmtId="1" fontId="3" fillId="0" borderId="283" xfId="0" applyNumberFormat="1" applyFont="1" applyBorder="1" applyAlignment="1">
      <alignment horizontal="right" wrapText="1"/>
    </xf>
    <xf numFmtId="1" fontId="3" fillId="27" borderId="302" xfId="0" applyNumberFormat="1" applyFont="1" applyFill="1" applyBorder="1"/>
    <xf numFmtId="1" fontId="3" fillId="27" borderId="328" xfId="0" applyNumberFormat="1" applyFont="1" applyFill="1" applyBorder="1"/>
    <xf numFmtId="1" fontId="3" fillId="27" borderId="293" xfId="0" applyNumberFormat="1" applyFont="1" applyFill="1" applyBorder="1"/>
    <xf numFmtId="1" fontId="3" fillId="0" borderId="299" xfId="0" applyNumberFormat="1" applyFont="1" applyBorder="1" applyAlignment="1">
      <alignment horizontal="right" wrapText="1"/>
    </xf>
    <xf numFmtId="1" fontId="3" fillId="27" borderId="348" xfId="0" applyNumberFormat="1" applyFont="1" applyFill="1" applyBorder="1"/>
    <xf numFmtId="1" fontId="5" fillId="0" borderId="82" xfId="0" applyNumberFormat="1" applyFont="1" applyBorder="1" applyAlignment="1">
      <alignment horizontal="center" vertical="center" wrapText="1"/>
    </xf>
    <xf numFmtId="1" fontId="5" fillId="0" borderId="82" xfId="0" applyNumberFormat="1" applyFont="1" applyBorder="1" applyAlignment="1">
      <alignment horizontal="center" vertical="center"/>
    </xf>
    <xf numFmtId="1" fontId="5" fillId="0" borderId="232" xfId="0" applyNumberFormat="1" applyFont="1" applyBorder="1"/>
    <xf numFmtId="1" fontId="16" fillId="0" borderId="0" xfId="0" applyNumberFormat="1" applyFont="1" applyAlignment="1">
      <alignment horizontal="left"/>
    </xf>
    <xf numFmtId="1" fontId="5" fillId="0" borderId="0" xfId="0" applyNumberFormat="1" applyFont="1" applyAlignment="1">
      <alignment vertical="top" wrapText="1"/>
    </xf>
    <xf numFmtId="1" fontId="5" fillId="0" borderId="237" xfId="0" applyNumberFormat="1" applyFont="1" applyBorder="1" applyAlignment="1">
      <alignment horizontal="right" vertical="center" wrapText="1"/>
    </xf>
    <xf numFmtId="1" fontId="5" fillId="0" borderId="209" xfId="0" applyNumberFormat="1" applyFont="1" applyBorder="1" applyAlignment="1">
      <alignment horizontal="right" vertical="center" wrapText="1"/>
    </xf>
    <xf numFmtId="1" fontId="5" fillId="0" borderId="234" xfId="0" applyNumberFormat="1" applyFont="1" applyBorder="1" applyAlignment="1">
      <alignment horizontal="right" vertical="center" wrapText="1"/>
    </xf>
    <xf numFmtId="1" fontId="5" fillId="0" borderId="236" xfId="0" applyNumberFormat="1" applyFont="1" applyBorder="1" applyAlignment="1">
      <alignment horizontal="right" vertical="center" wrapText="1"/>
    </xf>
    <xf numFmtId="1" fontId="5" fillId="0" borderId="227" xfId="0" applyNumberFormat="1" applyFont="1" applyBorder="1" applyAlignment="1">
      <alignment horizontal="right" vertical="center" wrapText="1"/>
    </xf>
    <xf numFmtId="1" fontId="16" fillId="0" borderId="0" xfId="0" applyNumberFormat="1" applyFont="1" applyAlignment="1">
      <alignment horizontal="left" vertical="center" wrapText="1"/>
    </xf>
    <xf numFmtId="1" fontId="16" fillId="0" borderId="0" xfId="0" applyNumberFormat="1" applyFont="1" applyAlignment="1">
      <alignment horizontal="right"/>
    </xf>
    <xf numFmtId="1" fontId="5" fillId="0" borderId="749" xfId="0" applyNumberFormat="1" applyFont="1" applyBorder="1" applyAlignment="1">
      <alignment horizontal="right" vertical="center" wrapText="1"/>
    </xf>
    <xf numFmtId="1" fontId="15" fillId="0" borderId="35" xfId="0" applyNumberFormat="1" applyFont="1" applyBorder="1" applyAlignment="1">
      <alignment horizontal="left"/>
    </xf>
    <xf numFmtId="1" fontId="16" fillId="0" borderId="215" xfId="0" applyNumberFormat="1" applyFont="1" applyBorder="1"/>
    <xf numFmtId="1" fontId="16" fillId="0" borderId="363" xfId="0" applyNumberFormat="1" applyFont="1" applyBorder="1"/>
    <xf numFmtId="1" fontId="16" fillId="0" borderId="364" xfId="0" applyNumberFormat="1" applyFont="1" applyBorder="1"/>
    <xf numFmtId="1" fontId="5" fillId="0" borderId="80" xfId="0" applyNumberFormat="1" applyFont="1" applyBorder="1" applyAlignment="1">
      <alignment horizontal="center" vertical="center" wrapText="1"/>
    </xf>
    <xf numFmtId="1" fontId="5" fillId="0" borderId="66" xfId="6" applyNumberFormat="1" applyFont="1" applyBorder="1" applyAlignment="1">
      <alignment horizontal="center" vertical="center" wrapText="1"/>
    </xf>
    <xf numFmtId="1" fontId="5" fillId="0" borderId="218" xfId="6" applyNumberFormat="1" applyFont="1" applyBorder="1" applyAlignment="1">
      <alignment horizontal="center" vertical="center" wrapText="1"/>
    </xf>
    <xf numFmtId="1" fontId="5" fillId="0" borderId="223" xfId="6" applyNumberFormat="1" applyFont="1" applyBorder="1" applyAlignment="1">
      <alignment horizontal="center" vertical="center" wrapText="1"/>
    </xf>
    <xf numFmtId="1" fontId="5" fillId="0" borderId="213" xfId="6" applyNumberFormat="1" applyFont="1" applyBorder="1" applyAlignment="1">
      <alignment horizontal="center" wrapText="1"/>
    </xf>
    <xf numFmtId="1" fontId="5" fillId="0" borderId="213" xfId="0" applyNumberFormat="1" applyFont="1" applyBorder="1" applyAlignment="1">
      <alignment horizontal="center" vertical="center" wrapText="1"/>
    </xf>
    <xf numFmtId="1" fontId="5" fillId="0" borderId="13" xfId="6" applyNumberFormat="1" applyFont="1" applyBorder="1" applyAlignment="1">
      <alignment horizontal="center" wrapText="1"/>
    </xf>
    <xf numFmtId="1" fontId="5" fillId="0" borderId="213" xfId="6" applyNumberFormat="1" applyFont="1" applyBorder="1"/>
    <xf numFmtId="1" fontId="5" fillId="0" borderId="0" xfId="6" applyNumberFormat="1" applyFont="1"/>
    <xf numFmtId="1" fontId="3" fillId="0" borderId="432" xfId="0" applyNumberFormat="1" applyFont="1" applyBorder="1" applyAlignment="1">
      <alignment horizontal="center" vertical="center" wrapText="1"/>
    </xf>
    <xf numFmtId="1" fontId="3" fillId="0" borderId="436" xfId="0" applyNumberFormat="1" applyFont="1" applyBorder="1" applyAlignment="1">
      <alignment horizontal="center" vertical="center"/>
    </xf>
    <xf numFmtId="1" fontId="3" fillId="0" borderId="242" xfId="0" applyNumberFormat="1" applyFont="1" applyBorder="1" applyAlignment="1">
      <alignment horizontal="center" vertical="center"/>
    </xf>
    <xf numFmtId="1" fontId="3" fillId="0" borderId="449" xfId="0" applyNumberFormat="1" applyFont="1" applyBorder="1" applyAlignment="1">
      <alignment horizontal="center" vertical="center"/>
    </xf>
    <xf numFmtId="1" fontId="3" fillId="0" borderId="433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45" xfId="0" applyFont="1" applyBorder="1" applyAlignment="1">
      <alignment horizontal="center" vertical="center"/>
    </xf>
    <xf numFmtId="0" fontId="5" fillId="0" borderId="449" xfId="0" applyFont="1" applyBorder="1" applyAlignment="1">
      <alignment horizontal="center" vertical="center" wrapText="1"/>
    </xf>
    <xf numFmtId="1" fontId="3" fillId="0" borderId="458" xfId="0" applyNumberFormat="1" applyFont="1" applyBorder="1" applyAlignment="1">
      <alignment horizontal="center" vertical="center" wrapText="1"/>
    </xf>
    <xf numFmtId="0" fontId="6" fillId="25" borderId="0" xfId="0" applyFont="1" applyFill="1"/>
    <xf numFmtId="0" fontId="3" fillId="25" borderId="0" xfId="0" applyFont="1" applyFill="1"/>
    <xf numFmtId="0" fontId="3" fillId="26" borderId="0" xfId="0" applyFont="1" applyFill="1"/>
    <xf numFmtId="1" fontId="3" fillId="0" borderId="450" xfId="0" applyNumberFormat="1" applyFont="1" applyBorder="1" applyAlignment="1">
      <alignment horizontal="right"/>
    </xf>
    <xf numFmtId="1" fontId="3" fillId="0" borderId="449" xfId="0" applyNumberFormat="1" applyFont="1" applyBorder="1" applyAlignment="1">
      <alignment horizontal="right"/>
    </xf>
    <xf numFmtId="1" fontId="3" fillId="0" borderId="433" xfId="0" applyNumberFormat="1" applyFont="1" applyBorder="1" applyAlignment="1">
      <alignment horizontal="right"/>
    </xf>
    <xf numFmtId="1" fontId="3" fillId="0" borderId="220" xfId="14" applyNumberFormat="1" applyFont="1" applyBorder="1" applyAlignment="1">
      <alignment horizontal="center" vertical="center"/>
    </xf>
    <xf numFmtId="1" fontId="3" fillId="0" borderId="448" xfId="0" applyNumberFormat="1" applyFont="1" applyBorder="1"/>
    <xf numFmtId="1" fontId="3" fillId="0" borderId="450" xfId="0" applyNumberFormat="1" applyFont="1" applyBorder="1"/>
    <xf numFmtId="1" fontId="3" fillId="0" borderId="457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left" wrapText="1"/>
    </xf>
    <xf numFmtId="1" fontId="3" fillId="0" borderId="448" xfId="0" applyNumberFormat="1" applyFont="1" applyBorder="1" applyAlignment="1">
      <alignment horizontal="center" vertical="center" wrapText="1"/>
    </xf>
    <xf numFmtId="1" fontId="3" fillId="0" borderId="464" xfId="0" applyNumberFormat="1" applyFont="1" applyBorder="1" applyAlignment="1">
      <alignment horizontal="center" vertical="center" wrapText="1"/>
    </xf>
    <xf numFmtId="1" fontId="3" fillId="0" borderId="423" xfId="0" applyNumberFormat="1" applyFont="1" applyBorder="1" applyAlignment="1">
      <alignment horizontal="center" vertical="center" wrapText="1"/>
    </xf>
    <xf numFmtId="1" fontId="3" fillId="0" borderId="457" xfId="0" applyNumberFormat="1" applyFont="1" applyBorder="1" applyAlignment="1">
      <alignment horizontal="center" vertical="center" wrapText="1"/>
    </xf>
    <xf numFmtId="1" fontId="2" fillId="0" borderId="35" xfId="0" applyNumberFormat="1" applyFont="1" applyBorder="1" applyAlignment="1">
      <alignment horizontal="left"/>
    </xf>
    <xf numFmtId="1" fontId="3" fillId="0" borderId="460" xfId="0" applyNumberFormat="1" applyFont="1" applyBorder="1" applyAlignment="1">
      <alignment horizontal="center" vertical="center" wrapText="1"/>
    </xf>
    <xf numFmtId="1" fontId="3" fillId="0" borderId="460" xfId="0" applyNumberFormat="1" applyFont="1" applyBorder="1" applyAlignment="1">
      <alignment horizontal="right"/>
    </xf>
    <xf numFmtId="0" fontId="4" fillId="0" borderId="0" xfId="0" applyFont="1"/>
    <xf numFmtId="1" fontId="2" fillId="0" borderId="35" xfId="0" applyNumberFormat="1" applyFont="1" applyBorder="1"/>
    <xf numFmtId="164" fontId="3" fillId="0" borderId="449" xfId="18" applyNumberFormat="1" applyFont="1" applyBorder="1" applyAlignment="1" applyProtection="1">
      <alignment horizontal="center" vertical="center" wrapText="1"/>
    </xf>
    <xf numFmtId="164" fontId="3" fillId="0" borderId="445" xfId="18" applyNumberFormat="1" applyFont="1" applyBorder="1" applyAlignment="1" applyProtection="1">
      <alignment horizontal="center" vertical="center"/>
    </xf>
    <xf numFmtId="165" fontId="3" fillId="0" borderId="453" xfId="19" applyNumberFormat="1" applyFont="1" applyFill="1" applyBorder="1" applyAlignment="1" applyProtection="1">
      <alignment horizontal="right"/>
    </xf>
    <xf numFmtId="165" fontId="3" fillId="0" borderId="444" xfId="19" applyNumberFormat="1" applyFont="1" applyFill="1" applyBorder="1" applyAlignment="1" applyProtection="1">
      <alignment horizontal="right"/>
    </xf>
    <xf numFmtId="165" fontId="3" fillId="0" borderId="450" xfId="19" applyNumberFormat="1" applyFont="1" applyFill="1" applyBorder="1" applyAlignment="1" applyProtection="1">
      <alignment horizontal="right"/>
    </xf>
    <xf numFmtId="165" fontId="3" fillId="0" borderId="447" xfId="19" applyNumberFormat="1" applyFont="1" applyFill="1" applyBorder="1" applyAlignment="1" applyProtection="1">
      <alignment horizontal="right"/>
    </xf>
    <xf numFmtId="0" fontId="5" fillId="0" borderId="453" xfId="0" applyFont="1" applyBorder="1" applyAlignment="1">
      <alignment horizontal="right" vertical="center" wrapText="1"/>
    </xf>
    <xf numFmtId="1" fontId="5" fillId="0" borderId="457" xfId="0" applyNumberFormat="1" applyFont="1" applyBorder="1"/>
    <xf numFmtId="0" fontId="5" fillId="0" borderId="463" xfId="0" applyFont="1" applyBorder="1" applyAlignment="1">
      <alignment horizontal="center" vertical="center" wrapText="1"/>
    </xf>
    <xf numFmtId="0" fontId="5" fillId="0" borderId="370" xfId="0" applyFont="1" applyBorder="1" applyAlignment="1">
      <alignment horizontal="center" vertical="center" wrapText="1"/>
    </xf>
    <xf numFmtId="0" fontId="5" fillId="0" borderId="265" xfId="0" applyFont="1" applyBorder="1" applyAlignment="1">
      <alignment horizontal="center" vertical="center" wrapText="1"/>
    </xf>
    <xf numFmtId="0" fontId="5" fillId="0" borderId="450" xfId="0" applyFont="1" applyBorder="1" applyAlignment="1">
      <alignment horizontal="center" vertical="center" wrapText="1"/>
    </xf>
    <xf numFmtId="0" fontId="5" fillId="0" borderId="417" xfId="0" applyFont="1" applyBorder="1" applyAlignment="1">
      <alignment horizontal="center" vertical="center" wrapText="1"/>
    </xf>
    <xf numFmtId="1" fontId="8" fillId="0" borderId="0" xfId="0" applyNumberFormat="1" applyFont="1"/>
    <xf numFmtId="1" fontId="8" fillId="0" borderId="0" xfId="0" applyNumberFormat="1" applyFont="1" applyProtection="1">
      <protection locked="0"/>
    </xf>
    <xf numFmtId="1" fontId="5" fillId="0" borderId="445" xfId="0" applyNumberFormat="1" applyFont="1" applyBorder="1" applyAlignment="1">
      <alignment vertical="center" wrapText="1"/>
    </xf>
    <xf numFmtId="0" fontId="5" fillId="0" borderId="446" xfId="0" applyFont="1" applyBorder="1" applyAlignment="1">
      <alignment horizontal="center" vertical="center" wrapText="1"/>
    </xf>
    <xf numFmtId="0" fontId="5" fillId="0" borderId="434" xfId="0" applyFont="1" applyBorder="1" applyAlignment="1">
      <alignment horizontal="center" vertical="center" wrapText="1"/>
    </xf>
    <xf numFmtId="1" fontId="5" fillId="0" borderId="460" xfId="0" applyNumberFormat="1" applyFont="1" applyBorder="1"/>
    <xf numFmtId="1" fontId="5" fillId="0" borderId="448" xfId="0" applyNumberFormat="1" applyFont="1" applyBorder="1"/>
    <xf numFmtId="164" fontId="3" fillId="0" borderId="434" xfId="18" applyNumberFormat="1" applyFont="1" applyBorder="1" applyAlignment="1" applyProtection="1">
      <alignment horizontal="center" vertical="center"/>
    </xf>
    <xf numFmtId="164" fontId="3" fillId="0" borderId="449" xfId="18" applyNumberFormat="1" applyFont="1" applyBorder="1" applyAlignment="1" applyProtection="1">
      <alignment horizontal="center"/>
    </xf>
    <xf numFmtId="165" fontId="3" fillId="0" borderId="453" xfId="18" applyNumberFormat="1" applyFont="1" applyBorder="1" applyAlignment="1" applyProtection="1">
      <alignment horizontal="right"/>
    </xf>
    <xf numFmtId="165" fontId="3" fillId="0" borderId="444" xfId="18" applyNumberFormat="1" applyFont="1" applyBorder="1" applyAlignment="1" applyProtection="1">
      <alignment horizontal="right"/>
    </xf>
    <xf numFmtId="165" fontId="3" fillId="0" borderId="447" xfId="18" applyNumberFormat="1" applyFont="1" applyBorder="1" applyAlignment="1" applyProtection="1">
      <alignment horizontal="right"/>
    </xf>
    <xf numFmtId="165" fontId="3" fillId="0" borderId="450" xfId="18" applyNumberFormat="1" applyFont="1" applyBorder="1" applyAlignment="1" applyProtection="1">
      <alignment horizontal="right"/>
    </xf>
    <xf numFmtId="165" fontId="3" fillId="0" borderId="446" xfId="18" applyNumberFormat="1" applyFont="1" applyBorder="1" applyAlignment="1" applyProtection="1">
      <alignment horizontal="right"/>
    </xf>
    <xf numFmtId="165" fontId="3" fillId="0" borderId="434" xfId="18" applyNumberFormat="1" applyFont="1" applyBorder="1" applyAlignment="1" applyProtection="1">
      <alignment horizontal="right"/>
    </xf>
    <xf numFmtId="165" fontId="3" fillId="0" borderId="445" xfId="18" applyNumberFormat="1" applyFont="1" applyBorder="1" applyAlignment="1" applyProtection="1">
      <alignment horizontal="right"/>
    </xf>
    <xf numFmtId="1" fontId="3" fillId="0" borderId="453" xfId="20" applyNumberFormat="1" applyFont="1" applyBorder="1" applyAlignment="1">
      <alignment horizontal="center" vertical="center"/>
    </xf>
    <xf numFmtId="1" fontId="3" fillId="0" borderId="453" xfId="20" applyNumberFormat="1" applyFont="1" applyBorder="1" applyAlignment="1">
      <alignment horizontal="center" vertical="center" wrapText="1"/>
    </xf>
    <xf numFmtId="1" fontId="3" fillId="0" borderId="453" xfId="20" applyNumberFormat="1" applyFont="1" applyBorder="1" applyAlignment="1">
      <alignment horizontal="right" vertical="center" wrapText="1"/>
    </xf>
    <xf numFmtId="1" fontId="3" fillId="0" borderId="445" xfId="20" applyNumberFormat="1" applyFont="1" applyBorder="1" applyAlignment="1">
      <alignment horizontal="right" vertical="center" wrapText="1"/>
    </xf>
    <xf numFmtId="164" fontId="3" fillId="0" borderId="444" xfId="18" applyNumberFormat="1" applyFont="1" applyBorder="1" applyAlignment="1" applyProtection="1">
      <alignment horizontal="center" vertical="center" wrapText="1"/>
    </xf>
    <xf numFmtId="1" fontId="3" fillId="0" borderId="463" xfId="0" applyNumberFormat="1" applyFont="1" applyBorder="1" applyAlignment="1">
      <alignment horizontal="center" vertical="center"/>
    </xf>
    <xf numFmtId="1" fontId="3" fillId="4" borderId="775" xfId="0" applyNumberFormat="1" applyFont="1" applyFill="1" applyBorder="1" applyProtection="1">
      <protection locked="0"/>
    </xf>
    <xf numFmtId="1" fontId="3" fillId="4" borderId="770" xfId="0" applyNumberFormat="1" applyFont="1" applyFill="1" applyBorder="1" applyProtection="1">
      <protection locked="0"/>
    </xf>
    <xf numFmtId="1" fontId="3" fillId="0" borderId="439" xfId="0" applyNumberFormat="1" applyFont="1" applyBorder="1" applyAlignment="1">
      <alignment horizontal="center" vertical="center" wrapText="1"/>
    </xf>
    <xf numFmtId="1" fontId="3" fillId="0" borderId="431" xfId="0" applyNumberFormat="1" applyFont="1" applyBorder="1" applyAlignment="1">
      <alignment horizontal="center" vertical="center" wrapText="1"/>
    </xf>
    <xf numFmtId="1" fontId="3" fillId="0" borderId="416" xfId="0" applyNumberFormat="1" applyFont="1" applyBorder="1" applyAlignment="1">
      <alignment horizontal="center" vertical="center"/>
    </xf>
    <xf numFmtId="1" fontId="3" fillId="0" borderId="436" xfId="0" applyNumberFormat="1" applyFont="1" applyBorder="1" applyAlignment="1">
      <alignment horizontal="center" vertical="center" wrapText="1"/>
    </xf>
    <xf numFmtId="1" fontId="3" fillId="0" borderId="490" xfId="0" applyNumberFormat="1" applyFont="1" applyBorder="1" applyAlignment="1">
      <alignment horizontal="center" vertical="center" wrapText="1"/>
    </xf>
    <xf numFmtId="0" fontId="2" fillId="0" borderId="0" xfId="20" applyFont="1" applyAlignment="1">
      <alignment horizontal="left" wrapText="1"/>
    </xf>
    <xf numFmtId="165" fontId="3" fillId="0" borderId="474" xfId="19" applyNumberFormat="1" applyFont="1" applyFill="1" applyBorder="1" applyAlignment="1" applyProtection="1">
      <alignment horizontal="right"/>
    </xf>
    <xf numFmtId="165" fontId="3" fillId="0" borderId="434" xfId="19" applyNumberFormat="1" applyFont="1" applyFill="1" applyBorder="1" applyAlignment="1" applyProtection="1">
      <alignment horizontal="right"/>
    </xf>
    <xf numFmtId="1" fontId="3" fillId="0" borderId="463" xfId="0" applyNumberFormat="1" applyFont="1" applyBorder="1" applyAlignment="1">
      <alignment horizontal="right" wrapText="1"/>
    </xf>
    <xf numFmtId="1" fontId="3" fillId="0" borderId="370" xfId="0" applyNumberFormat="1" applyFont="1" applyBorder="1" applyAlignment="1">
      <alignment horizontal="right" wrapText="1"/>
    </xf>
    <xf numFmtId="1" fontId="3" fillId="0" borderId="463" xfId="0" applyNumberFormat="1" applyFont="1" applyBorder="1"/>
    <xf numFmtId="1" fontId="3" fillId="0" borderId="242" xfId="0" applyNumberFormat="1" applyFont="1" applyBorder="1"/>
    <xf numFmtId="1" fontId="3" fillId="0" borderId="475" xfId="0" applyNumberFormat="1" applyFont="1" applyBorder="1"/>
    <xf numFmtId="1" fontId="3" fillId="0" borderId="478" xfId="0" applyNumberFormat="1" applyFont="1" applyBorder="1"/>
    <xf numFmtId="1" fontId="3" fillId="0" borderId="437" xfId="0" applyNumberFormat="1" applyFont="1" applyBorder="1"/>
    <xf numFmtId="1" fontId="3" fillId="0" borderId="478" xfId="0" applyNumberFormat="1" applyFont="1" applyBorder="1" applyAlignment="1">
      <alignment horizontal="center" vertical="center" wrapText="1"/>
    </xf>
    <xf numFmtId="1" fontId="3" fillId="0" borderId="453" xfId="0" applyNumberFormat="1" applyFont="1" applyBorder="1" applyAlignment="1">
      <alignment horizontal="right" wrapText="1"/>
    </xf>
    <xf numFmtId="1" fontId="3" fillId="0" borderId="474" xfId="0" applyNumberFormat="1" applyFont="1" applyBorder="1" applyAlignment="1">
      <alignment horizontal="right"/>
    </xf>
    <xf numFmtId="1" fontId="3" fillId="0" borderId="478" xfId="0" applyNumberFormat="1" applyFont="1" applyBorder="1" applyAlignment="1">
      <alignment horizontal="right"/>
    </xf>
    <xf numFmtId="1" fontId="3" fillId="0" borderId="481" xfId="0" applyNumberFormat="1" applyFont="1" applyBorder="1" applyAlignment="1">
      <alignment horizontal="center" vertical="center" wrapText="1"/>
    </xf>
    <xf numFmtId="1" fontId="3" fillId="0" borderId="475" xfId="0" applyNumberFormat="1" applyFont="1" applyBorder="1" applyAlignment="1">
      <alignment horizontal="center" vertical="center" wrapText="1"/>
    </xf>
    <xf numFmtId="1" fontId="3" fillId="0" borderId="463" xfId="23" applyNumberFormat="1" applyFont="1" applyFill="1" applyBorder="1" applyAlignment="1">
      <alignment horizontal="right"/>
    </xf>
    <xf numFmtId="1" fontId="3" fillId="0" borderId="370" xfId="23" applyNumberFormat="1" applyFont="1" applyFill="1" applyBorder="1" applyAlignment="1">
      <alignment horizontal="right"/>
    </xf>
    <xf numFmtId="1" fontId="3" fillId="0" borderId="242" xfId="23" applyNumberFormat="1" applyFont="1" applyFill="1" applyBorder="1" applyAlignment="1">
      <alignment horizontal="right"/>
    </xf>
    <xf numFmtId="1" fontId="3" fillId="0" borderId="463" xfId="0" applyNumberFormat="1" applyFont="1" applyBorder="1" applyAlignment="1">
      <alignment horizontal="right" vertical="center" wrapText="1"/>
    </xf>
    <xf numFmtId="1" fontId="3" fillId="0" borderId="242" xfId="0" applyNumberFormat="1" applyFont="1" applyBorder="1" applyAlignment="1">
      <alignment horizontal="right" vertical="center" wrapText="1"/>
    </xf>
    <xf numFmtId="1" fontId="3" fillId="0" borderId="417" xfId="0" applyNumberFormat="1" applyFont="1" applyBorder="1" applyAlignment="1">
      <alignment horizontal="right" vertical="center" wrapText="1"/>
    </xf>
    <xf numFmtId="1" fontId="3" fillId="0" borderId="265" xfId="0" applyNumberFormat="1" applyFont="1" applyBorder="1" applyAlignment="1">
      <alignment horizontal="right" vertical="center" wrapText="1"/>
    </xf>
    <xf numFmtId="1" fontId="3" fillId="0" borderId="238" xfId="0" applyNumberFormat="1" applyFont="1" applyBorder="1" applyAlignment="1">
      <alignment horizontal="right" vertical="center" wrapText="1"/>
    </xf>
    <xf numFmtId="1" fontId="3" fillId="0" borderId="35" xfId="0" applyNumberFormat="1" applyFont="1" applyBorder="1" applyAlignment="1">
      <alignment horizontal="right" vertical="center" wrapText="1"/>
    </xf>
    <xf numFmtId="1" fontId="3" fillId="0" borderId="370" xfId="0" applyNumberFormat="1" applyFont="1" applyBorder="1" applyAlignment="1">
      <alignment horizontal="right" vertical="center" wrapText="1"/>
    </xf>
    <xf numFmtId="1" fontId="3" fillId="0" borderId="491" xfId="0" applyNumberFormat="1" applyFont="1" applyBorder="1" applyAlignment="1">
      <alignment horizontal="center" vertical="center"/>
    </xf>
    <xf numFmtId="1" fontId="3" fillId="0" borderId="491" xfId="0" applyNumberFormat="1" applyFont="1" applyBorder="1" applyAlignment="1">
      <alignment horizontal="center" vertical="center" wrapText="1"/>
    </xf>
    <xf numFmtId="1" fontId="3" fillId="0" borderId="492" xfId="0" applyNumberFormat="1" applyFont="1" applyBorder="1" applyAlignment="1">
      <alignment horizontal="center" vertical="center" wrapText="1"/>
    </xf>
    <xf numFmtId="1" fontId="3" fillId="0" borderId="499" xfId="0" applyNumberFormat="1" applyFont="1" applyBorder="1" applyAlignment="1">
      <alignment horizontal="center" vertical="center" wrapText="1"/>
    </xf>
    <xf numFmtId="1" fontId="5" fillId="0" borderId="555" xfId="0" applyNumberFormat="1" applyFont="1" applyBorder="1" applyAlignment="1">
      <alignment horizontal="center" vertical="center" wrapText="1"/>
    </xf>
    <xf numFmtId="1" fontId="5" fillId="0" borderId="512" xfId="0" applyNumberFormat="1" applyFont="1" applyBorder="1" applyAlignment="1">
      <alignment horizontal="center" vertical="center" wrapText="1"/>
    </xf>
    <xf numFmtId="1" fontId="5" fillId="0" borderId="434" xfId="0" applyNumberFormat="1" applyFont="1" applyBorder="1" applyAlignment="1">
      <alignment horizontal="center" vertical="center"/>
    </xf>
    <xf numFmtId="1" fontId="3" fillId="0" borderId="555" xfId="0" applyNumberFormat="1" applyFont="1" applyBorder="1" applyAlignment="1">
      <alignment horizontal="center" vertical="center" wrapText="1"/>
    </xf>
    <xf numFmtId="1" fontId="3" fillId="0" borderId="220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/>
    <xf numFmtId="1" fontId="3" fillId="0" borderId="643" xfId="0" applyNumberFormat="1" applyFont="1" applyBorder="1"/>
    <xf numFmtId="1" fontId="3" fillId="0" borderId="241" xfId="0" applyNumberFormat="1" applyFont="1" applyBorder="1" applyAlignment="1">
      <alignment horizontal="center" vertical="center" wrapText="1"/>
    </xf>
    <xf numFmtId="0" fontId="3" fillId="0" borderId="276" xfId="0" applyFont="1" applyBorder="1" applyAlignment="1">
      <alignment horizontal="center" vertical="center" wrapText="1"/>
    </xf>
    <xf numFmtId="0" fontId="3" fillId="0" borderId="276" xfId="0" applyFont="1" applyBorder="1" applyAlignment="1">
      <alignment horizontal="center" wrapText="1"/>
    </xf>
    <xf numFmtId="1" fontId="3" fillId="0" borderId="319" xfId="0" applyNumberFormat="1" applyFont="1" applyBorder="1" applyAlignment="1">
      <alignment horizontal="center" vertical="center" wrapText="1"/>
    </xf>
    <xf numFmtId="1" fontId="3" fillId="0" borderId="268" xfId="0" applyNumberFormat="1" applyFont="1" applyBorder="1" applyAlignment="1">
      <alignment horizontal="center" vertical="center" wrapText="1"/>
    </xf>
    <xf numFmtId="1" fontId="3" fillId="0" borderId="237" xfId="0" applyNumberFormat="1" applyFont="1" applyBorder="1" applyAlignment="1">
      <alignment horizontal="center" vertical="center" wrapText="1"/>
    </xf>
    <xf numFmtId="0" fontId="3" fillId="0" borderId="320" xfId="0" applyFont="1" applyBorder="1" applyAlignment="1">
      <alignment horizontal="center" vertical="center" wrapText="1"/>
    </xf>
    <xf numFmtId="0" fontId="3" fillId="0" borderId="321" xfId="0" applyFont="1" applyBorder="1" applyAlignment="1">
      <alignment horizontal="center" vertical="center" wrapText="1"/>
    </xf>
    <xf numFmtId="0" fontId="3" fillId="0" borderId="322" xfId="0" applyFont="1" applyBorder="1" applyAlignment="1">
      <alignment horizontal="center" vertical="center" wrapText="1"/>
    </xf>
    <xf numFmtId="1" fontId="19" fillId="0" borderId="0" xfId="0" applyNumberFormat="1" applyFont="1" applyProtection="1">
      <protection locked="0"/>
    </xf>
    <xf numFmtId="1" fontId="18" fillId="0" borderId="0" xfId="0" applyNumberFormat="1" applyFont="1"/>
    <xf numFmtId="1" fontId="5" fillId="0" borderId="518" xfId="0" applyNumberFormat="1" applyFont="1" applyBorder="1" applyAlignment="1">
      <alignment horizontal="center" vertical="center" wrapText="1"/>
    </xf>
    <xf numFmtId="1" fontId="5" fillId="0" borderId="519" xfId="0" applyNumberFormat="1" applyFont="1" applyBorder="1" applyAlignment="1">
      <alignment horizontal="right"/>
    </xf>
    <xf numFmtId="1" fontId="5" fillId="0" borderId="518" xfId="0" applyNumberFormat="1" applyFont="1" applyBorder="1" applyAlignment="1">
      <alignment horizontal="right"/>
    </xf>
    <xf numFmtId="1" fontId="5" fillId="0" borderId="220" xfId="0" applyNumberFormat="1" applyFont="1" applyBorder="1" applyAlignment="1">
      <alignment horizontal="right" wrapText="1"/>
    </xf>
    <xf numFmtId="1" fontId="5" fillId="0" borderId="516" xfId="0" applyNumberFormat="1" applyFont="1" applyBorder="1" applyAlignment="1">
      <alignment horizontal="right" vertical="center"/>
    </xf>
    <xf numFmtId="1" fontId="5" fillId="0" borderId="225" xfId="0" applyNumberFormat="1" applyFont="1" applyBorder="1" applyAlignment="1">
      <alignment horizontal="right" vertical="center"/>
    </xf>
    <xf numFmtId="1" fontId="5" fillId="0" borderId="20" xfId="0" applyNumberFormat="1" applyFont="1" applyBorder="1" applyAlignment="1">
      <alignment horizontal="right" vertical="center"/>
    </xf>
    <xf numFmtId="1" fontId="5" fillId="0" borderId="224" xfId="0" applyNumberFormat="1" applyFont="1" applyBorder="1" applyAlignment="1">
      <alignment horizontal="right" vertical="center"/>
    </xf>
    <xf numFmtId="1" fontId="5" fillId="0" borderId="519" xfId="0" applyNumberFormat="1" applyFont="1" applyBorder="1" applyAlignment="1">
      <alignment horizontal="right" vertical="center"/>
    </xf>
    <xf numFmtId="1" fontId="5" fillId="0" borderId="445" xfId="0" applyNumberFormat="1" applyFont="1" applyBorder="1" applyAlignment="1">
      <alignment horizontal="right" vertical="center"/>
    </xf>
    <xf numFmtId="1" fontId="20" fillId="0" borderId="433" xfId="0" applyNumberFormat="1" applyFont="1" applyBorder="1"/>
    <xf numFmtId="1" fontId="20" fillId="0" borderId="534" xfId="0" applyNumberFormat="1" applyFont="1" applyBorder="1"/>
    <xf numFmtId="1" fontId="5" fillId="0" borderId="36" xfId="0" applyNumberFormat="1" applyFont="1" applyBorder="1"/>
    <xf numFmtId="1" fontId="5" fillId="0" borderId="516" xfId="0" applyNumberFormat="1" applyFont="1" applyBorder="1" applyAlignment="1">
      <alignment horizontal="center" vertical="center" wrapText="1"/>
    </xf>
    <xf numFmtId="1" fontId="5" fillId="0" borderId="436" xfId="0" applyNumberFormat="1" applyFont="1" applyBorder="1" applyAlignment="1">
      <alignment horizontal="center" vertical="center" wrapText="1"/>
    </xf>
    <xf numFmtId="1" fontId="5" fillId="0" borderId="535" xfId="0" applyNumberFormat="1" applyFont="1" applyBorder="1" applyAlignment="1">
      <alignment horizontal="center" vertical="center" wrapText="1"/>
    </xf>
    <xf numFmtId="1" fontId="15" fillId="0" borderId="524" xfId="0" applyNumberFormat="1" applyFont="1" applyBorder="1"/>
    <xf numFmtId="1" fontId="20" fillId="0" borderId="524" xfId="0" applyNumberFormat="1" applyFont="1" applyBorder="1"/>
    <xf numFmtId="1" fontId="20" fillId="0" borderId="536" xfId="0" applyNumberFormat="1" applyFont="1" applyBorder="1"/>
    <xf numFmtId="1" fontId="20" fillId="0" borderId="537" xfId="0" applyNumberFormat="1" applyFont="1" applyBorder="1"/>
    <xf numFmtId="1" fontId="20" fillId="0" borderId="538" xfId="0" applyNumberFormat="1" applyFont="1" applyBorder="1"/>
    <xf numFmtId="1" fontId="18" fillId="0" borderId="522" xfId="0" applyNumberFormat="1" applyFont="1" applyBorder="1" applyAlignment="1">
      <alignment horizontal="left" vertical="center"/>
    </xf>
    <xf numFmtId="1" fontId="5" fillId="0" borderId="522" xfId="0" applyNumberFormat="1" applyFont="1" applyBorder="1" applyAlignment="1">
      <alignment horizontal="right"/>
    </xf>
    <xf numFmtId="1" fontId="5" fillId="0" borderId="519" xfId="0" applyNumberFormat="1" applyFont="1" applyBorder="1"/>
    <xf numFmtId="1" fontId="5" fillId="0" borderId="520" xfId="0" applyNumberFormat="1" applyFont="1" applyBorder="1"/>
    <xf numFmtId="1" fontId="18" fillId="0" borderId="519" xfId="0" applyNumberFormat="1" applyFont="1" applyBorder="1" applyAlignment="1">
      <alignment horizontal="left" vertical="center" wrapText="1"/>
    </xf>
    <xf numFmtId="1" fontId="5" fillId="0" borderId="522" xfId="0" applyNumberFormat="1" applyFont="1" applyBorder="1" applyAlignment="1">
      <alignment horizontal="right" wrapText="1"/>
    </xf>
    <xf numFmtId="1" fontId="5" fillId="0" borderId="516" xfId="0" applyNumberFormat="1" applyFont="1" applyBorder="1" applyAlignment="1">
      <alignment horizontal="right" wrapText="1"/>
    </xf>
    <xf numFmtId="1" fontId="5" fillId="0" borderId="552" xfId="0" applyNumberFormat="1" applyFont="1" applyBorder="1"/>
    <xf numFmtId="1" fontId="5" fillId="0" borderId="553" xfId="0" applyNumberFormat="1" applyFont="1" applyBorder="1"/>
    <xf numFmtId="1" fontId="5" fillId="0" borderId="554" xfId="0" applyNumberFormat="1" applyFont="1" applyBorder="1"/>
    <xf numFmtId="1" fontId="5" fillId="0" borderId="533" xfId="0" applyNumberFormat="1" applyFont="1" applyBorder="1" applyAlignment="1">
      <alignment horizontal="center" vertical="center" wrapText="1"/>
    </xf>
    <xf numFmtId="1" fontId="5" fillId="0" borderId="557" xfId="0" applyNumberFormat="1" applyFont="1" applyBorder="1" applyAlignment="1">
      <alignment horizontal="center" vertical="center" wrapText="1"/>
    </xf>
    <xf numFmtId="1" fontId="5" fillId="0" borderId="558" xfId="0" applyNumberFormat="1" applyFont="1" applyBorder="1" applyAlignment="1">
      <alignment horizontal="center" vertical="center" wrapText="1"/>
    </xf>
    <xf numFmtId="1" fontId="5" fillId="0" borderId="559" xfId="0" applyNumberFormat="1" applyFont="1" applyBorder="1" applyAlignment="1">
      <alignment horizontal="center" vertical="center" wrapText="1"/>
    </xf>
    <xf numFmtId="1" fontId="5" fillId="0" borderId="0" xfId="0" applyNumberFormat="1" applyFont="1" applyProtection="1">
      <protection hidden="1"/>
    </xf>
    <xf numFmtId="1" fontId="5" fillId="0" borderId="562" xfId="0" applyNumberFormat="1" applyFont="1" applyBorder="1" applyProtection="1">
      <protection hidden="1"/>
    </xf>
    <xf numFmtId="1" fontId="5" fillId="0" borderId="563" xfId="0" applyNumberFormat="1" applyFont="1" applyBorder="1" applyProtection="1">
      <protection hidden="1"/>
    </xf>
    <xf numFmtId="1" fontId="5" fillId="0" borderId="564" xfId="0" applyNumberFormat="1" applyFont="1" applyBorder="1" applyProtection="1">
      <protection hidden="1"/>
    </xf>
    <xf numFmtId="1" fontId="5" fillId="0" borderId="565" xfId="0" applyNumberFormat="1" applyFont="1" applyBorder="1" applyProtection="1">
      <protection hidden="1"/>
    </xf>
    <xf numFmtId="1" fontId="5" fillId="0" borderId="560" xfId="0" applyNumberFormat="1" applyFont="1" applyBorder="1" applyAlignment="1">
      <alignment horizontal="center" vertical="center" wrapText="1"/>
    </xf>
    <xf numFmtId="1" fontId="5" fillId="0" borderId="572" xfId="0" applyNumberFormat="1" applyFont="1" applyBorder="1" applyAlignment="1">
      <alignment horizontal="center" vertical="center" wrapText="1"/>
    </xf>
    <xf numFmtId="1" fontId="5" fillId="0" borderId="573" xfId="0" applyNumberFormat="1" applyFont="1" applyBorder="1" applyAlignment="1">
      <alignment horizontal="center" vertical="center" wrapText="1"/>
    </xf>
    <xf numFmtId="1" fontId="5" fillId="0" borderId="574" xfId="0" applyNumberFormat="1" applyFont="1" applyBorder="1" applyAlignment="1">
      <alignment horizontal="center" vertical="center" wrapText="1"/>
    </xf>
    <xf numFmtId="1" fontId="5" fillId="0" borderId="569" xfId="0" applyNumberFormat="1" applyFont="1" applyBorder="1" applyAlignment="1">
      <alignment horizontal="center" vertical="center" wrapText="1"/>
    </xf>
    <xf numFmtId="1" fontId="19" fillId="0" borderId="524" xfId="0" applyNumberFormat="1" applyFont="1" applyBorder="1"/>
    <xf numFmtId="1" fontId="19" fillId="0" borderId="606" xfId="0" applyNumberFormat="1" applyFont="1" applyBorder="1"/>
    <xf numFmtId="1" fontId="5" fillId="0" borderId="613" xfId="0" applyNumberFormat="1" applyFont="1" applyBorder="1" applyAlignment="1">
      <alignment horizontal="center" vertical="center" wrapText="1"/>
    </xf>
    <xf numFmtId="1" fontId="5" fillId="0" borderId="614" xfId="0" applyNumberFormat="1" applyFont="1" applyBorder="1" applyAlignment="1">
      <alignment horizontal="center" vertical="center" wrapText="1"/>
    </xf>
    <xf numFmtId="1" fontId="5" fillId="0" borderId="615" xfId="0" applyNumberFormat="1" applyFont="1" applyBorder="1" applyAlignment="1">
      <alignment horizontal="center" vertical="center" wrapText="1"/>
    </xf>
    <xf numFmtId="1" fontId="5" fillId="0" borderId="612" xfId="0" applyNumberFormat="1" applyFont="1" applyBorder="1" applyAlignment="1">
      <alignment horizontal="center" vertical="center" wrapText="1"/>
    </xf>
    <xf numFmtId="1" fontId="5" fillId="0" borderId="611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left" vertical="center" wrapText="1"/>
    </xf>
    <xf numFmtId="1" fontId="3" fillId="0" borderId="632" xfId="0" applyNumberFormat="1" applyFont="1" applyBorder="1" applyAlignment="1">
      <alignment horizontal="center" vertical="center" wrapText="1"/>
    </xf>
    <xf numFmtId="1" fontId="3" fillId="0" borderId="633" xfId="0" applyNumberFormat="1" applyFont="1" applyBorder="1" applyAlignment="1">
      <alignment horizontal="center" vertical="center" wrapText="1"/>
    </xf>
    <xf numFmtId="1" fontId="3" fillId="0" borderId="634" xfId="0" applyNumberFormat="1" applyFont="1" applyBorder="1" applyAlignment="1">
      <alignment horizontal="center" vertical="center" wrapText="1"/>
    </xf>
    <xf numFmtId="1" fontId="26" fillId="0" borderId="0" xfId="0" applyNumberFormat="1" applyFont="1"/>
    <xf numFmtId="0" fontId="5" fillId="0" borderId="627" xfId="0" applyFont="1" applyBorder="1" applyAlignment="1">
      <alignment horizontal="center" vertical="center"/>
    </xf>
    <xf numFmtId="0" fontId="5" fillId="0" borderId="645" xfId="0" applyFont="1" applyBorder="1" applyAlignment="1">
      <alignment horizontal="center" vertical="center"/>
    </xf>
    <xf numFmtId="0" fontId="5" fillId="0" borderId="646" xfId="0" applyFont="1" applyBorder="1" applyAlignment="1">
      <alignment horizontal="center" vertical="center"/>
    </xf>
    <xf numFmtId="1" fontId="3" fillId="0" borderId="646" xfId="0" applyNumberFormat="1" applyFont="1" applyBorder="1" applyAlignment="1">
      <alignment horizontal="center" vertical="center"/>
    </xf>
    <xf numFmtId="1" fontId="3" fillId="0" borderId="647" xfId="0" applyNumberFormat="1" applyFont="1" applyBorder="1" applyAlignment="1">
      <alignment horizontal="center" vertical="center" wrapText="1"/>
    </xf>
    <xf numFmtId="1" fontId="35" fillId="0" borderId="0" xfId="0" applyNumberFormat="1" applyFont="1"/>
    <xf numFmtId="1" fontId="3" fillId="0" borderId="650" xfId="0" applyNumberFormat="1" applyFont="1" applyBorder="1" applyAlignment="1">
      <alignment horizontal="center" vertical="center" wrapText="1"/>
    </xf>
    <xf numFmtId="1" fontId="3" fillId="0" borderId="652" xfId="0" applyNumberFormat="1" applyFont="1" applyBorder="1" applyAlignment="1">
      <alignment horizontal="center" vertical="center" wrapText="1"/>
    </xf>
    <xf numFmtId="1" fontId="6" fillId="0" borderId="500" xfId="0" applyNumberFormat="1" applyFont="1" applyBorder="1"/>
    <xf numFmtId="1" fontId="6" fillId="0" borderId="411" xfId="0" applyNumberFormat="1" applyFont="1" applyBorder="1"/>
    <xf numFmtId="1" fontId="3" fillId="0" borderId="655" xfId="0" applyNumberFormat="1" applyFont="1" applyBorder="1" applyAlignment="1">
      <alignment horizontal="center" vertical="center"/>
    </xf>
    <xf numFmtId="1" fontId="3" fillId="0" borderId="656" xfId="0" applyNumberFormat="1" applyFont="1" applyBorder="1"/>
    <xf numFmtId="1" fontId="4" fillId="0" borderId="0" xfId="0" applyNumberFormat="1" applyFont="1"/>
    <xf numFmtId="1" fontId="3" fillId="0" borderId="643" xfId="0" applyNumberFormat="1" applyFont="1" applyBorder="1" applyAlignment="1">
      <alignment horizontal="center" vertical="center" wrapText="1"/>
    </xf>
    <xf numFmtId="1" fontId="3" fillId="0" borderId="646" xfId="0" applyNumberFormat="1" applyFont="1" applyBorder="1" applyAlignment="1">
      <alignment horizontal="center" vertical="center" wrapText="1"/>
    </xf>
    <xf numFmtId="1" fontId="2" fillId="0" borderId="34" xfId="0" applyNumberFormat="1" applyFont="1" applyBorder="1"/>
    <xf numFmtId="1" fontId="6" fillId="0" borderId="0" xfId="0" applyNumberFormat="1" applyFont="1" applyAlignment="1">
      <alignment wrapText="1"/>
    </xf>
    <xf numFmtId="1" fontId="3" fillId="0" borderId="650" xfId="0" applyNumberFormat="1" applyFont="1" applyBorder="1" applyAlignment="1">
      <alignment horizontal="center" vertical="center"/>
    </xf>
    <xf numFmtId="1" fontId="3" fillId="0" borderId="661" xfId="0" applyNumberFormat="1" applyFont="1" applyBorder="1" applyAlignment="1">
      <alignment horizontal="center" vertical="center" wrapText="1"/>
    </xf>
    <xf numFmtId="1" fontId="3" fillId="0" borderId="670" xfId="0" applyNumberFormat="1" applyFont="1" applyBorder="1" applyAlignment="1">
      <alignment horizontal="center" vertical="center" wrapText="1"/>
    </xf>
    <xf numFmtId="1" fontId="6" fillId="0" borderId="671" xfId="0" applyNumberFormat="1" applyFont="1" applyBorder="1"/>
    <xf numFmtId="1" fontId="3" fillId="0" borderId="673" xfId="0" applyNumberFormat="1" applyFont="1" applyBorder="1" applyAlignment="1">
      <alignment horizontal="center" vertical="center" wrapText="1"/>
    </xf>
    <xf numFmtId="1" fontId="3" fillId="0" borderId="592" xfId="0" applyNumberFormat="1" applyFont="1" applyBorder="1" applyAlignment="1">
      <alignment horizontal="center" vertical="center" wrapText="1"/>
    </xf>
    <xf numFmtId="1" fontId="3" fillId="4" borderId="778" xfId="0" applyNumberFormat="1" applyFont="1" applyFill="1" applyBorder="1" applyProtection="1">
      <protection locked="0"/>
    </xf>
    <xf numFmtId="1" fontId="3" fillId="4" borderId="779" xfId="0" applyNumberFormat="1" applyFont="1" applyFill="1" applyBorder="1" applyProtection="1">
      <protection locked="0"/>
    </xf>
    <xf numFmtId="1" fontId="3" fillId="4" borderId="769" xfId="0" applyNumberFormat="1" applyFont="1" applyFill="1" applyBorder="1" applyProtection="1">
      <protection locked="0"/>
    </xf>
    <xf numFmtId="1" fontId="3" fillId="4" borderId="749" xfId="0" applyNumberFormat="1" applyFont="1" applyFill="1" applyBorder="1" applyProtection="1">
      <protection locked="0"/>
    </xf>
    <xf numFmtId="1" fontId="6" fillId="0" borderId="626" xfId="0" applyNumberFormat="1" applyFont="1" applyBorder="1"/>
    <xf numFmtId="1" fontId="6" fillId="0" borderId="689" xfId="0" applyNumberFormat="1" applyFont="1" applyBorder="1"/>
    <xf numFmtId="1" fontId="6" fillId="0" borderId="690" xfId="0" applyNumberFormat="1" applyFont="1" applyBorder="1"/>
    <xf numFmtId="1" fontId="3" fillId="0" borderId="692" xfId="0" applyNumberFormat="1" applyFont="1" applyBorder="1" applyAlignment="1">
      <alignment horizontal="center" vertical="center" wrapText="1"/>
    </xf>
    <xf numFmtId="1" fontId="3" fillId="0" borderId="693" xfId="0" applyNumberFormat="1" applyFont="1" applyBorder="1" applyAlignment="1">
      <alignment horizontal="center" vertical="center" wrapText="1"/>
    </xf>
    <xf numFmtId="1" fontId="3" fillId="0" borderId="694" xfId="0" applyNumberFormat="1" applyFont="1" applyBorder="1" applyAlignment="1">
      <alignment horizontal="center" vertical="center" wrapText="1"/>
    </xf>
    <xf numFmtId="1" fontId="3" fillId="0" borderId="695" xfId="0" applyNumberFormat="1" applyFont="1" applyBorder="1" applyAlignment="1">
      <alignment horizontal="center" vertical="center" wrapText="1"/>
    </xf>
    <xf numFmtId="1" fontId="3" fillId="0" borderId="697" xfId="0" applyNumberFormat="1" applyFont="1" applyBorder="1" applyAlignment="1">
      <alignment horizontal="center" vertical="center" wrapText="1"/>
    </xf>
    <xf numFmtId="1" fontId="3" fillId="0" borderId="698" xfId="0" applyNumberFormat="1" applyFont="1" applyBorder="1" applyAlignment="1">
      <alignment horizontal="center" vertical="center" wrapText="1"/>
    </xf>
    <xf numFmtId="1" fontId="6" fillId="0" borderId="706" xfId="0" applyNumberFormat="1" applyFont="1" applyBorder="1"/>
    <xf numFmtId="1" fontId="6" fillId="0" borderId="707" xfId="0" applyNumberFormat="1" applyFont="1" applyBorder="1"/>
    <xf numFmtId="1" fontId="3" fillId="0" borderId="709" xfId="0" applyNumberFormat="1" applyFont="1" applyBorder="1" applyAlignment="1">
      <alignment horizontal="center" vertical="center" wrapText="1"/>
    </xf>
    <xf numFmtId="1" fontId="3" fillId="0" borderId="695" xfId="0" applyNumberFormat="1" applyFont="1" applyBorder="1"/>
    <xf numFmtId="1" fontId="3" fillId="0" borderId="705" xfId="0" applyNumberFormat="1" applyFont="1" applyBorder="1"/>
    <xf numFmtId="1" fontId="3" fillId="0" borderId="688" xfId="0" applyNumberFormat="1" applyFont="1" applyBorder="1"/>
    <xf numFmtId="1" fontId="3" fillId="0" borderId="674" xfId="0" applyNumberFormat="1" applyFont="1" applyBorder="1"/>
    <xf numFmtId="1" fontId="3" fillId="0" borderId="697" xfId="0" applyNumberFormat="1" applyFont="1" applyBorder="1" applyAlignment="1">
      <alignment horizontal="right"/>
    </xf>
    <xf numFmtId="1" fontId="3" fillId="0" borderId="698" xfId="0" applyNumberFormat="1" applyFont="1" applyBorder="1" applyAlignment="1">
      <alignment horizontal="right"/>
    </xf>
    <xf numFmtId="1" fontId="3" fillId="0" borderId="694" xfId="0" applyNumberFormat="1" applyFont="1" applyBorder="1" applyAlignment="1">
      <alignment horizontal="right"/>
    </xf>
    <xf numFmtId="1" fontId="3" fillId="0" borderId="693" xfId="0" applyNumberFormat="1" applyFont="1" applyBorder="1" applyAlignment="1">
      <alignment horizontal="right"/>
    </xf>
    <xf numFmtId="1" fontId="3" fillId="0" borderId="709" xfId="0" applyNumberFormat="1" applyFont="1" applyBorder="1" applyAlignment="1">
      <alignment horizontal="right"/>
    </xf>
    <xf numFmtId="1" fontId="3" fillId="0" borderId="695" xfId="0" applyNumberFormat="1" applyFont="1" applyBorder="1" applyAlignment="1">
      <alignment horizontal="right"/>
    </xf>
    <xf numFmtId="1" fontId="3" fillId="0" borderId="651" xfId="0" applyNumberFormat="1" applyFont="1" applyBorder="1" applyAlignment="1">
      <alignment horizontal="right"/>
    </xf>
    <xf numFmtId="1" fontId="3" fillId="0" borderId="511" xfId="0" applyNumberFormat="1" applyFont="1" applyBorder="1" applyAlignment="1">
      <alignment horizontal="right"/>
    </xf>
    <xf numFmtId="1" fontId="3" fillId="0" borderId="652" xfId="0" applyNumberFormat="1" applyFont="1" applyBorder="1" applyAlignment="1">
      <alignment horizontal="right"/>
    </xf>
    <xf numFmtId="1" fontId="3" fillId="0" borderId="524" xfId="0" applyNumberFormat="1" applyFont="1" applyBorder="1" applyAlignment="1">
      <alignment horizontal="right"/>
    </xf>
    <xf numFmtId="1" fontId="3" fillId="0" borderId="713" xfId="0" applyNumberFormat="1" applyFont="1" applyBorder="1" applyAlignment="1">
      <alignment horizontal="right"/>
    </xf>
    <xf numFmtId="1" fontId="3" fillId="0" borderId="688" xfId="0" applyNumberFormat="1" applyFont="1" applyBorder="1" applyAlignment="1">
      <alignment horizontal="right"/>
    </xf>
    <xf numFmtId="1" fontId="3" fillId="0" borderId="714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vertical="top" wrapText="1"/>
    </xf>
    <xf numFmtId="1" fontId="3" fillId="0" borderId="704" xfId="0" applyNumberFormat="1" applyFont="1" applyBorder="1" applyAlignment="1">
      <alignment horizontal="center" vertical="center"/>
    </xf>
    <xf numFmtId="1" fontId="3" fillId="0" borderId="694" xfId="0" applyNumberFormat="1" applyFont="1" applyBorder="1" applyAlignment="1">
      <alignment horizontal="center" vertical="center"/>
    </xf>
    <xf numFmtId="1" fontId="3" fillId="0" borderId="704" xfId="0" applyNumberFormat="1" applyFont="1" applyBorder="1" applyAlignment="1">
      <alignment horizontal="center" vertical="center" wrapText="1"/>
    </xf>
    <xf numFmtId="1" fontId="3" fillId="0" borderId="697" xfId="0" applyNumberFormat="1" applyFont="1" applyBorder="1" applyAlignment="1">
      <alignment horizontal="center" vertical="center"/>
    </xf>
    <xf numFmtId="1" fontId="3" fillId="0" borderId="698" xfId="0" applyNumberFormat="1" applyFont="1" applyBorder="1" applyAlignment="1">
      <alignment horizontal="center" vertical="center"/>
    </xf>
    <xf numFmtId="1" fontId="3" fillId="0" borderId="652" xfId="0" applyNumberFormat="1" applyFont="1" applyBorder="1" applyAlignment="1">
      <alignment horizontal="center" vertical="center"/>
    </xf>
    <xf numFmtId="1" fontId="3" fillId="0" borderId="524" xfId="0" applyNumberFormat="1" applyFont="1" applyBorder="1" applyAlignment="1">
      <alignment horizontal="center" vertical="center"/>
    </xf>
    <xf numFmtId="1" fontId="3" fillId="0" borderId="717" xfId="0" applyNumberFormat="1" applyFont="1" applyBorder="1" applyAlignment="1">
      <alignment horizontal="center" vertical="center" wrapText="1"/>
    </xf>
    <xf numFmtId="1" fontId="3" fillId="0" borderId="724" xfId="0" applyNumberFormat="1" applyFont="1" applyBorder="1" applyAlignment="1">
      <alignment horizontal="center" vertical="center"/>
    </xf>
    <xf numFmtId="1" fontId="3" fillId="0" borderId="724" xfId="0" applyNumberFormat="1" applyFont="1" applyBorder="1" applyAlignment="1">
      <alignment horizontal="center" vertical="center" wrapText="1"/>
    </xf>
    <xf numFmtId="1" fontId="3" fillId="4" borderId="777" xfId="0" applyNumberFormat="1" applyFont="1" applyFill="1" applyBorder="1" applyProtection="1">
      <protection locked="0"/>
    </xf>
    <xf numFmtId="1" fontId="3" fillId="4" borderId="36" xfId="0" applyNumberFormat="1" applyFont="1" applyFill="1" applyBorder="1" applyProtection="1">
      <protection locked="0"/>
    </xf>
    <xf numFmtId="1" fontId="3" fillId="4" borderId="750" xfId="0" applyNumberFormat="1" applyFont="1" applyFill="1" applyBorder="1" applyProtection="1">
      <protection locked="0"/>
    </xf>
    <xf numFmtId="1" fontId="3" fillId="4" borderId="451" xfId="0" applyNumberFormat="1" applyFont="1" applyFill="1" applyBorder="1" applyProtection="1">
      <protection locked="0"/>
    </xf>
    <xf numFmtId="1" fontId="3" fillId="4" borderId="748" xfId="0" applyNumberFormat="1" applyFont="1" applyFill="1" applyBorder="1" applyProtection="1">
      <protection locked="0"/>
    </xf>
    <xf numFmtId="1" fontId="3" fillId="0" borderId="699" xfId="0" applyNumberFormat="1" applyFont="1" applyBorder="1" applyAlignment="1" applyProtection="1">
      <alignment horizontal="center" vertical="center"/>
      <protection hidden="1"/>
    </xf>
    <xf numFmtId="1" fontId="3" fillId="0" borderId="725" xfId="0" applyNumberFormat="1" applyFont="1" applyBorder="1" applyAlignment="1" applyProtection="1">
      <alignment horizontal="center" vertical="center" wrapText="1"/>
      <protection hidden="1"/>
    </xf>
    <xf numFmtId="1" fontId="3" fillId="0" borderId="727" xfId="0" applyNumberFormat="1" applyFont="1" applyBorder="1" applyAlignment="1" applyProtection="1">
      <alignment horizontal="center" vertical="center" wrapText="1"/>
      <protection hidden="1"/>
    </xf>
    <xf numFmtId="1" fontId="3" fillId="0" borderId="725" xfId="0" applyNumberFormat="1" applyFont="1" applyBorder="1" applyAlignment="1" applyProtection="1">
      <alignment horizontal="center" vertical="center"/>
      <protection hidden="1"/>
    </xf>
    <xf numFmtId="1" fontId="3" fillId="0" borderId="555" xfId="0" applyNumberFormat="1" applyFont="1" applyBorder="1" applyAlignment="1" applyProtection="1">
      <alignment horizontal="center" vertical="center"/>
      <protection hidden="1"/>
    </xf>
    <xf numFmtId="1" fontId="3" fillId="0" borderId="697" xfId="0" applyNumberFormat="1" applyFont="1" applyBorder="1" applyAlignment="1" applyProtection="1">
      <alignment horizontal="center" vertical="center"/>
      <protection hidden="1"/>
    </xf>
    <xf numFmtId="1" fontId="3" fillId="0" borderId="719" xfId="0" applyNumberFormat="1" applyFont="1" applyBorder="1" applyAlignment="1" applyProtection="1">
      <alignment horizontal="center" vertical="center"/>
      <protection hidden="1"/>
    </xf>
    <xf numFmtId="1" fontId="3" fillId="0" borderId="729" xfId="0" applyNumberFormat="1" applyFont="1" applyBorder="1" applyAlignment="1">
      <alignment horizontal="center" vertical="center" wrapText="1"/>
    </xf>
    <xf numFmtId="1" fontId="6" fillId="0" borderId="524" xfId="0" applyNumberFormat="1" applyFont="1" applyBorder="1"/>
    <xf numFmtId="1" fontId="3" fillId="0" borderId="555" xfId="0" applyNumberFormat="1" applyFont="1" applyBorder="1" applyAlignment="1">
      <alignment horizontal="center" vertical="center"/>
    </xf>
    <xf numFmtId="1" fontId="3" fillId="0" borderId="737" xfId="0" applyNumberFormat="1" applyFont="1" applyBorder="1" applyAlignment="1">
      <alignment horizontal="center" vertical="center" wrapText="1"/>
    </xf>
    <xf numFmtId="1" fontId="3" fillId="0" borderId="727" xfId="0" applyNumberFormat="1" applyFont="1" applyBorder="1" applyAlignment="1">
      <alignment horizontal="center" vertical="center" wrapText="1"/>
    </xf>
    <xf numFmtId="1" fontId="3" fillId="7" borderId="503" xfId="0" applyNumberFormat="1" applyFont="1" applyFill="1" applyBorder="1"/>
    <xf numFmtId="1" fontId="3" fillId="0" borderId="725" xfId="0" applyNumberFormat="1" applyFont="1" applyBorder="1" applyAlignment="1">
      <alignment horizontal="center" vertical="center" wrapText="1"/>
    </xf>
    <xf numFmtId="1" fontId="2" fillId="0" borderId="741" xfId="0" applyNumberFormat="1" applyFont="1" applyBorder="1"/>
    <xf numFmtId="1" fontId="6" fillId="0" borderId="742" xfId="0" applyNumberFormat="1" applyFont="1" applyBorder="1"/>
    <xf numFmtId="1" fontId="3" fillId="0" borderId="26" xfId="0" applyNumberFormat="1" applyFont="1" applyBorder="1" applyAlignment="1">
      <alignment horizontal="center" vertical="center"/>
    </xf>
    <xf numFmtId="1" fontId="3" fillId="0" borderId="739" xfId="0" applyNumberFormat="1" applyFont="1" applyBorder="1" applyAlignment="1">
      <alignment horizontal="center" vertical="center"/>
    </xf>
    <xf numFmtId="0" fontId="36" fillId="0" borderId="0" xfId="0" applyFont="1"/>
    <xf numFmtId="1" fontId="3" fillId="0" borderId="729" xfId="0" applyNumberFormat="1" applyFont="1" applyBorder="1"/>
    <xf numFmtId="1" fontId="3" fillId="0" borderId="692" xfId="0" applyNumberFormat="1" applyFont="1" applyBorder="1"/>
    <xf numFmtId="1" fontId="3" fillId="0" borderId="714" xfId="0" applyNumberFormat="1" applyFont="1" applyBorder="1"/>
    <xf numFmtId="1" fontId="5" fillId="0" borderId="676" xfId="0" applyNumberFormat="1" applyFont="1" applyBorder="1"/>
    <xf numFmtId="1" fontId="15" fillId="0" borderId="220" xfId="0" applyNumberFormat="1" applyFont="1" applyBorder="1"/>
    <xf numFmtId="1" fontId="5" fillId="0" borderId="752" xfId="0" applyNumberFormat="1" applyFont="1" applyBorder="1" applyAlignment="1">
      <alignment horizontal="center" vertical="center" wrapText="1"/>
    </xf>
    <xf numFmtId="1" fontId="5" fillId="0" borderId="753" xfId="0" applyNumberFormat="1" applyFont="1" applyBorder="1" applyAlignment="1">
      <alignment horizontal="center" vertical="center" wrapText="1"/>
    </xf>
    <xf numFmtId="1" fontId="5" fillId="0" borderId="657" xfId="0" applyNumberFormat="1" applyFont="1" applyBorder="1"/>
    <xf numFmtId="1" fontId="5" fillId="0" borderId="651" xfId="0" applyNumberFormat="1" applyFont="1" applyBorder="1" applyAlignment="1">
      <alignment horizontal="right" wrapText="1"/>
    </xf>
    <xf numFmtId="1" fontId="5" fillId="0" borderId="511" xfId="0" applyNumberFormat="1" applyFont="1" applyBorder="1" applyAlignment="1">
      <alignment horizontal="right" wrapText="1"/>
    </xf>
    <xf numFmtId="1" fontId="5" fillId="0" borderId="750" xfId="0" applyNumberFormat="1" applyFont="1" applyBorder="1" applyAlignment="1">
      <alignment horizontal="center" vertical="center" wrapText="1"/>
    </xf>
    <xf numFmtId="1" fontId="15" fillId="0" borderId="271" xfId="0" applyNumberFormat="1" applyFont="1" applyBorder="1"/>
    <xf numFmtId="1" fontId="3" fillId="0" borderId="276" xfId="0" applyNumberFormat="1" applyFont="1" applyBorder="1" applyAlignment="1">
      <alignment horizontal="center" vertical="center"/>
    </xf>
    <xf numFmtId="1" fontId="3" fillId="0" borderId="758" xfId="0" applyNumberFormat="1" applyFont="1" applyBorder="1" applyAlignment="1">
      <alignment horizontal="center" vertical="center"/>
    </xf>
    <xf numFmtId="1" fontId="3" fillId="0" borderId="758" xfId="0" applyNumberFormat="1" applyFont="1" applyBorder="1" applyAlignment="1">
      <alignment horizontal="center" vertical="center" wrapText="1"/>
    </xf>
    <xf numFmtId="1" fontId="3" fillId="0" borderId="757" xfId="0" applyNumberFormat="1" applyFont="1" applyBorder="1" applyAlignment="1">
      <alignment horizontal="center" vertical="center" wrapText="1"/>
    </xf>
    <xf numFmtId="1" fontId="3" fillId="4" borderId="781" xfId="0" applyNumberFormat="1" applyFont="1" applyFill="1" applyBorder="1" applyProtection="1">
      <protection locked="0"/>
    </xf>
    <xf numFmtId="1" fontId="3" fillId="0" borderId="768" xfId="0" applyNumberFormat="1" applyFont="1" applyBorder="1" applyAlignment="1">
      <alignment horizontal="center" vertical="center" wrapText="1"/>
    </xf>
    <xf numFmtId="1" fontId="5" fillId="0" borderId="737" xfId="0" applyNumberFormat="1" applyFont="1" applyBorder="1" applyAlignment="1">
      <alignment horizontal="center" vertical="center" wrapText="1"/>
    </xf>
    <xf numFmtId="1" fontId="5" fillId="0" borderId="676" xfId="0" applyNumberFormat="1" applyFont="1" applyBorder="1" applyAlignment="1">
      <alignment horizontal="center" vertical="center"/>
    </xf>
    <xf numFmtId="1" fontId="3" fillId="0" borderId="782" xfId="0" applyNumberFormat="1" applyFont="1" applyBorder="1" applyAlignment="1">
      <alignment horizontal="center" vertical="center" wrapText="1"/>
    </xf>
    <xf numFmtId="1" fontId="3" fillId="0" borderId="770" xfId="0" applyNumberFormat="1" applyFont="1" applyBorder="1" applyAlignment="1">
      <alignment horizontal="center" vertical="center" wrapText="1"/>
    </xf>
    <xf numFmtId="1" fontId="3" fillId="0" borderId="785" xfId="0" applyNumberFormat="1" applyFont="1" applyBorder="1" applyAlignment="1">
      <alignment horizontal="center" vertical="center" wrapText="1"/>
    </xf>
    <xf numFmtId="1" fontId="3" fillId="0" borderId="771" xfId="0" applyNumberFormat="1" applyFont="1" applyBorder="1" applyAlignment="1">
      <alignment horizontal="center" vertical="center" wrapText="1"/>
    </xf>
    <xf numFmtId="1" fontId="3" fillId="0" borderId="772" xfId="0" applyNumberFormat="1" applyFont="1" applyBorder="1" applyAlignment="1">
      <alignment horizontal="center" vertical="center" wrapText="1"/>
    </xf>
    <xf numFmtId="1" fontId="5" fillId="0" borderId="779" xfId="0" applyNumberFormat="1" applyFont="1" applyBorder="1" applyAlignment="1">
      <alignment horizontal="center" vertical="center" wrapText="1"/>
    </xf>
    <xf numFmtId="1" fontId="5" fillId="0" borderId="772" xfId="0" applyNumberFormat="1" applyFont="1" applyBorder="1" applyAlignment="1">
      <alignment horizontal="center" vertical="center" wrapText="1"/>
    </xf>
    <xf numFmtId="1" fontId="3" fillId="0" borderId="787" xfId="0" applyNumberFormat="1" applyFont="1" applyBorder="1" applyAlignment="1">
      <alignment horizontal="center" vertical="center" wrapText="1"/>
    </xf>
    <xf numFmtId="1" fontId="3" fillId="0" borderId="788" xfId="0" applyNumberFormat="1" applyFont="1" applyBorder="1" applyAlignment="1">
      <alignment horizontal="center" vertical="center" wrapText="1"/>
    </xf>
    <xf numFmtId="1" fontId="3" fillId="0" borderId="789" xfId="0" applyNumberFormat="1" applyFont="1" applyBorder="1" applyAlignment="1">
      <alignment horizontal="center" vertical="center" wrapText="1"/>
    </xf>
    <xf numFmtId="1" fontId="5" fillId="0" borderId="770" xfId="0" applyNumberFormat="1" applyFont="1" applyBorder="1" applyAlignment="1">
      <alignment horizontal="center" vertical="center" wrapText="1"/>
    </xf>
    <xf numFmtId="1" fontId="3" fillId="0" borderId="756" xfId="0" applyNumberFormat="1" applyFont="1" applyBorder="1"/>
    <xf numFmtId="1" fontId="3" fillId="0" borderId="754" xfId="0" applyNumberFormat="1" applyFont="1" applyBorder="1"/>
    <xf numFmtId="1" fontId="3" fillId="0" borderId="723" xfId="0" applyNumberFormat="1" applyFont="1" applyBorder="1"/>
    <xf numFmtId="1" fontId="3" fillId="4" borderId="754" xfId="0" applyNumberFormat="1" applyFont="1" applyFill="1" applyBorder="1" applyProtection="1">
      <protection locked="0"/>
    </xf>
    <xf numFmtId="1" fontId="3" fillId="4" borderId="790" xfId="0" applyNumberFormat="1" applyFont="1" applyFill="1" applyBorder="1" applyProtection="1">
      <protection locked="0"/>
    </xf>
    <xf numFmtId="1" fontId="3" fillId="4" borderId="791" xfId="0" applyNumberFormat="1" applyFont="1" applyFill="1" applyBorder="1" applyProtection="1">
      <protection locked="0"/>
    </xf>
    <xf numFmtId="1" fontId="3" fillId="4" borderId="756" xfId="0" applyNumberFormat="1" applyFont="1" applyFill="1" applyBorder="1" applyProtection="1">
      <protection locked="0"/>
    </xf>
    <xf numFmtId="1" fontId="3" fillId="0" borderId="738" xfId="0" applyNumberFormat="1" applyFont="1" applyBorder="1"/>
    <xf numFmtId="1" fontId="3" fillId="4" borderId="792" xfId="0" applyNumberFormat="1" applyFont="1" applyFill="1" applyBorder="1" applyProtection="1">
      <protection locked="0"/>
    </xf>
    <xf numFmtId="1" fontId="3" fillId="0" borderId="793" xfId="0" applyNumberFormat="1" applyFont="1" applyBorder="1" applyAlignment="1">
      <alignment horizontal="center" vertical="center" wrapText="1"/>
    </xf>
    <xf numFmtId="1" fontId="3" fillId="0" borderId="791" xfId="0" applyNumberFormat="1" applyFont="1" applyBorder="1"/>
    <xf numFmtId="1" fontId="15" fillId="3" borderId="777" xfId="0" applyNumberFormat="1" applyFont="1" applyFill="1" applyBorder="1"/>
    <xf numFmtId="1" fontId="15" fillId="3" borderId="0" xfId="0" applyNumberFormat="1" applyFont="1" applyFill="1" applyAlignment="1">
      <alignment wrapText="1"/>
    </xf>
    <xf numFmtId="1" fontId="5" fillId="0" borderId="771" xfId="0" applyNumberFormat="1" applyFont="1" applyBorder="1" applyAlignment="1">
      <alignment horizontal="center" vertical="center" wrapText="1"/>
    </xf>
    <xf numFmtId="1" fontId="5" fillId="0" borderId="789" xfId="0" applyNumberFormat="1" applyFont="1" applyBorder="1" applyAlignment="1">
      <alignment horizontal="center" vertical="center" wrapText="1"/>
    </xf>
    <xf numFmtId="1" fontId="5" fillId="0" borderId="794" xfId="0" applyNumberFormat="1" applyFont="1" applyBorder="1" applyAlignment="1">
      <alignment horizontal="center" vertical="center" wrapText="1"/>
    </xf>
    <xf numFmtId="1" fontId="5" fillId="0" borderId="788" xfId="0" applyNumberFormat="1" applyFont="1" applyBorder="1" applyAlignment="1">
      <alignment horizontal="center" vertical="center" wrapText="1"/>
    </xf>
    <xf numFmtId="1" fontId="5" fillId="0" borderId="795" xfId="0" applyNumberFormat="1" applyFont="1" applyBorder="1" applyAlignment="1">
      <alignment horizontal="center" vertical="center" wrapText="1"/>
    </xf>
    <xf numFmtId="1" fontId="5" fillId="0" borderId="797" xfId="0" applyNumberFormat="1" applyFont="1" applyBorder="1" applyAlignment="1">
      <alignment horizontal="center" vertical="center" wrapText="1"/>
    </xf>
    <xf numFmtId="1" fontId="5" fillId="0" borderId="798" xfId="0" applyNumberFormat="1" applyFont="1" applyBorder="1" applyAlignment="1">
      <alignment horizontal="center" vertical="center" wrapText="1"/>
    </xf>
    <xf numFmtId="1" fontId="5" fillId="0" borderId="768" xfId="0" applyNumberFormat="1" applyFont="1" applyBorder="1"/>
    <xf numFmtId="1" fontId="5" fillId="4" borderId="789" xfId="0" applyNumberFormat="1" applyFont="1" applyFill="1" applyBorder="1" applyProtection="1">
      <protection locked="0"/>
    </xf>
    <xf numFmtId="1" fontId="5" fillId="4" borderId="794" xfId="0" applyNumberFormat="1" applyFont="1" applyFill="1" applyBorder="1" applyProtection="1">
      <protection locked="0"/>
    </xf>
    <xf numFmtId="1" fontId="5" fillId="7" borderId="728" xfId="0" applyNumberFormat="1" applyFont="1" applyFill="1" applyBorder="1"/>
    <xf numFmtId="1" fontId="5" fillId="7" borderId="786" xfId="0" applyNumberFormat="1" applyFont="1" applyFill="1" applyBorder="1"/>
    <xf numFmtId="1" fontId="5" fillId="7" borderId="794" xfId="0" applyNumberFormat="1" applyFont="1" applyFill="1" applyBorder="1"/>
    <xf numFmtId="1" fontId="5" fillId="7" borderId="799" xfId="0" applyNumberFormat="1" applyFont="1" applyFill="1" applyBorder="1"/>
    <xf numFmtId="1" fontId="5" fillId="7" borderId="773" xfId="0" applyNumberFormat="1" applyFont="1" applyFill="1" applyBorder="1"/>
    <xf numFmtId="1" fontId="5" fillId="7" borderId="796" xfId="0" applyNumberFormat="1" applyFont="1" applyFill="1" applyBorder="1"/>
    <xf numFmtId="1" fontId="5" fillId="7" borderId="751" xfId="0" applyNumberFormat="1" applyFont="1" applyFill="1" applyBorder="1"/>
    <xf numFmtId="1" fontId="5" fillId="4" borderId="781" xfId="0" applyNumberFormat="1" applyFont="1" applyFill="1" applyBorder="1" applyProtection="1">
      <protection locked="0"/>
    </xf>
    <xf numFmtId="0" fontId="0" fillId="31" borderId="0" xfId="0" applyFill="1"/>
    <xf numFmtId="1" fontId="26" fillId="16" borderId="0" xfId="0" applyNumberFormat="1" applyFont="1" applyFill="1"/>
    <xf numFmtId="1" fontId="5" fillId="0" borderId="781" xfId="0" applyNumberFormat="1" applyFont="1" applyBorder="1" applyAlignment="1">
      <alignment vertical="center" wrapText="1"/>
    </xf>
    <xf numFmtId="1" fontId="5" fillId="0" borderId="769" xfId="0" applyNumberFormat="1" applyFont="1" applyBorder="1"/>
    <xf numFmtId="1" fontId="5" fillId="6" borderId="791" xfId="0" applyNumberFormat="1" applyFont="1" applyFill="1" applyBorder="1"/>
    <xf numFmtId="1" fontId="5" fillId="6" borderId="620" xfId="0" applyNumberFormat="1" applyFont="1" applyFill="1" applyBorder="1"/>
    <xf numFmtId="1" fontId="5" fillId="6" borderId="374" xfId="0" applyNumberFormat="1" applyFont="1" applyFill="1" applyBorder="1"/>
    <xf numFmtId="1" fontId="5" fillId="6" borderId="407" xfId="0" applyNumberFormat="1" applyFont="1" applyFill="1" applyBorder="1"/>
    <xf numFmtId="1" fontId="5" fillId="6" borderId="616" xfId="0" applyNumberFormat="1" applyFont="1" applyFill="1" applyBorder="1"/>
    <xf numFmtId="1" fontId="5" fillId="0" borderId="676" xfId="0" applyNumberFormat="1" applyFont="1" applyBorder="1" applyAlignment="1">
      <alignment horizontal="left" vertical="center"/>
    </xf>
    <xf numFmtId="1" fontId="5" fillId="4" borderId="662" xfId="0" applyNumberFormat="1" applyFont="1" applyFill="1" applyBorder="1" applyProtection="1">
      <protection locked="0"/>
    </xf>
    <xf numFmtId="1" fontId="5" fillId="6" borderId="739" xfId="0" applyNumberFormat="1" applyFont="1" applyFill="1" applyBorder="1"/>
    <xf numFmtId="1" fontId="5" fillId="6" borderId="657" xfId="0" applyNumberFormat="1" applyFont="1" applyFill="1" applyBorder="1"/>
    <xf numFmtId="1" fontId="5" fillId="6" borderId="255" xfId="0" applyNumberFormat="1" applyFont="1" applyFill="1" applyBorder="1"/>
    <xf numFmtId="1" fontId="5" fillId="6" borderId="256" xfId="0" applyNumberFormat="1" applyFont="1" applyFill="1" applyBorder="1"/>
    <xf numFmtId="1" fontId="5" fillId="6" borderId="376" xfId="0" applyNumberFormat="1" applyFont="1" applyFill="1" applyBorder="1"/>
    <xf numFmtId="1" fontId="5" fillId="0" borderId="25" xfId="0" applyNumberFormat="1" applyFont="1" applyBorder="1" applyAlignment="1">
      <alignment horizontal="left" vertical="center"/>
    </xf>
    <xf numFmtId="1" fontId="5" fillId="4" borderId="792" xfId="0" applyNumberFormat="1" applyFont="1" applyFill="1" applyBorder="1" applyProtection="1">
      <protection locked="0"/>
    </xf>
    <xf numFmtId="1" fontId="5" fillId="0" borderId="769" xfId="0" applyNumberFormat="1" applyFont="1" applyBorder="1" applyAlignment="1">
      <alignment vertical="center"/>
    </xf>
    <xf numFmtId="1" fontId="5" fillId="4" borderId="255" xfId="0" applyNumberFormat="1" applyFont="1" applyFill="1" applyBorder="1" applyProtection="1">
      <protection locked="0"/>
    </xf>
    <xf numFmtId="1" fontId="5" fillId="7" borderId="466" xfId="0" applyNumberFormat="1" applyFont="1" applyFill="1" applyBorder="1"/>
    <xf numFmtId="1" fontId="5" fillId="7" borderId="377" xfId="0" applyNumberFormat="1" applyFont="1" applyFill="1" applyBorder="1"/>
    <xf numFmtId="1" fontId="5" fillId="0" borderId="751" xfId="0" applyNumberFormat="1" applyFont="1" applyBorder="1" applyAlignment="1">
      <alignment horizontal="left" vertical="center"/>
    </xf>
    <xf numFmtId="1" fontId="5" fillId="7" borderId="29" xfId="0" applyNumberFormat="1" applyFont="1" applyFill="1" applyBorder="1"/>
    <xf numFmtId="1" fontId="5" fillId="7" borderId="451" xfId="0" applyNumberFormat="1" applyFont="1" applyFill="1" applyBorder="1"/>
    <xf numFmtId="1" fontId="5" fillId="7" borderId="63" xfId="0" applyNumberFormat="1" applyFont="1" applyFill="1" applyBorder="1"/>
    <xf numFmtId="1" fontId="5" fillId="7" borderId="452" xfId="0" applyNumberFormat="1" applyFont="1" applyFill="1" applyBorder="1"/>
    <xf numFmtId="1" fontId="5" fillId="4" borderId="716" xfId="0" applyNumberFormat="1" applyFont="1" applyFill="1" applyBorder="1" applyProtection="1">
      <protection locked="0"/>
    </xf>
    <xf numFmtId="1" fontId="5" fillId="7" borderId="616" xfId="0" applyNumberFormat="1" applyFont="1" applyFill="1" applyBorder="1"/>
    <xf numFmtId="1" fontId="5" fillId="7" borderId="54" xfId="0" applyNumberFormat="1" applyFont="1" applyFill="1" applyBorder="1"/>
    <xf numFmtId="1" fontId="5" fillId="7" borderId="40" xfId="0" applyNumberFormat="1" applyFont="1" applyFill="1" applyBorder="1"/>
    <xf numFmtId="1" fontId="5" fillId="0" borderId="792" xfId="0" applyNumberFormat="1" applyFont="1" applyBorder="1" applyAlignment="1">
      <alignment vertical="center" wrapText="1"/>
    </xf>
    <xf numFmtId="1" fontId="5" fillId="4" borderId="739" xfId="0" applyNumberFormat="1" applyFont="1" applyFill="1" applyBorder="1" applyProtection="1">
      <protection locked="0"/>
    </xf>
    <xf numFmtId="1" fontId="5" fillId="7" borderId="62" xfId="0" applyNumberFormat="1" applyFont="1" applyFill="1" applyBorder="1"/>
    <xf numFmtId="1" fontId="5" fillId="7" borderId="17" xfId="0" applyNumberFormat="1" applyFont="1" applyFill="1" applyBorder="1"/>
    <xf numFmtId="1" fontId="5" fillId="7" borderId="781" xfId="0" applyNumberFormat="1" applyFont="1" applyFill="1" applyBorder="1"/>
    <xf numFmtId="1" fontId="5" fillId="7" borderId="791" xfId="0" applyNumberFormat="1" applyFont="1" applyFill="1" applyBorder="1"/>
    <xf numFmtId="1" fontId="5" fillId="7" borderId="103" xfId="0" applyNumberFormat="1" applyFont="1" applyFill="1" applyBorder="1"/>
    <xf numFmtId="1" fontId="5" fillId="7" borderId="648" xfId="0" applyNumberFormat="1" applyFont="1" applyFill="1" applyBorder="1"/>
    <xf numFmtId="1" fontId="5" fillId="7" borderId="800" xfId="0" applyNumberFormat="1" applyFont="1" applyFill="1" applyBorder="1"/>
    <xf numFmtId="1" fontId="5" fillId="0" borderId="10" xfId="0" applyNumberFormat="1" applyFont="1" applyBorder="1" applyAlignment="1">
      <alignment vertical="center" wrapText="1"/>
    </xf>
    <xf numFmtId="1" fontId="5" fillId="0" borderId="770" xfId="0" applyNumberFormat="1" applyFont="1" applyBorder="1"/>
    <xf numFmtId="1" fontId="5" fillId="4" borderId="787" xfId="0" applyNumberFormat="1" applyFont="1" applyFill="1" applyBorder="1" applyProtection="1">
      <protection locked="0"/>
    </xf>
    <xf numFmtId="1" fontId="5" fillId="4" borderId="788" xfId="0" applyNumberFormat="1" applyFont="1" applyFill="1" applyBorder="1" applyProtection="1">
      <protection locked="0"/>
    </xf>
    <xf numFmtId="1" fontId="5" fillId="4" borderId="772" xfId="0" applyNumberFormat="1" applyFont="1" applyFill="1" applyBorder="1" applyProtection="1">
      <protection locked="0"/>
    </xf>
    <xf numFmtId="1" fontId="5" fillId="4" borderId="801" xfId="0" applyNumberFormat="1" applyFont="1" applyFill="1" applyBorder="1" applyProtection="1">
      <protection locked="0"/>
    </xf>
    <xf numFmtId="1" fontId="5" fillId="4" borderId="802" xfId="0" applyNumberFormat="1" applyFont="1" applyFill="1" applyBorder="1" applyProtection="1">
      <protection locked="0"/>
    </xf>
    <xf numFmtId="1" fontId="5" fillId="4" borderId="797" xfId="0" applyNumberFormat="1" applyFont="1" applyFill="1" applyBorder="1" applyProtection="1">
      <protection locked="0"/>
    </xf>
    <xf numFmtId="1" fontId="5" fillId="4" borderId="798" xfId="0" applyNumberFormat="1" applyFont="1" applyFill="1" applyBorder="1" applyProtection="1">
      <protection locked="0"/>
    </xf>
    <xf numFmtId="1" fontId="5" fillId="0" borderId="500" xfId="0" applyNumberFormat="1" applyFont="1" applyBorder="1"/>
    <xf numFmtId="1" fontId="5" fillId="4" borderId="54" xfId="0" applyNumberFormat="1" applyFont="1" applyFill="1" applyBorder="1" applyProtection="1">
      <protection locked="0"/>
    </xf>
    <xf numFmtId="1" fontId="5" fillId="0" borderId="778" xfId="0" applyNumberFormat="1" applyFont="1" applyBorder="1" applyAlignment="1">
      <alignment horizontal="left" wrapText="1"/>
    </xf>
    <xf numFmtId="1" fontId="5" fillId="4" borderId="648" xfId="0" applyNumberFormat="1" applyFont="1" applyFill="1" applyBorder="1" applyProtection="1">
      <protection locked="0"/>
    </xf>
    <xf numFmtId="1" fontId="5" fillId="7" borderId="712" xfId="0" applyNumberFormat="1" applyFont="1" applyFill="1" applyBorder="1"/>
    <xf numFmtId="1" fontId="5" fillId="7" borderId="620" xfId="0" applyNumberFormat="1" applyFont="1" applyFill="1" applyBorder="1"/>
    <xf numFmtId="1" fontId="5" fillId="3" borderId="52" xfId="0" applyNumberFormat="1" applyFont="1" applyFill="1" applyBorder="1" applyAlignment="1">
      <alignment horizontal="left" wrapText="1"/>
    </xf>
    <xf numFmtId="1" fontId="5" fillId="7" borderId="376" xfId="0" applyNumberFormat="1" applyFont="1" applyFill="1" applyBorder="1"/>
    <xf numFmtId="1" fontId="5" fillId="0" borderId="378" xfId="0" applyNumberFormat="1" applyFont="1" applyBorder="1" applyAlignment="1">
      <alignment horizontal="left" wrapText="1"/>
    </xf>
    <xf numFmtId="1" fontId="5" fillId="7" borderId="718" xfId="0" applyNumberFormat="1" applyFont="1" applyFill="1" applyBorder="1"/>
    <xf numFmtId="1" fontId="5" fillId="7" borderId="30" xfId="0" applyNumberFormat="1" applyFont="1" applyFill="1" applyBorder="1"/>
    <xf numFmtId="1" fontId="5" fillId="0" borderId="0" xfId="0" applyNumberFormat="1" applyFont="1" applyAlignment="1">
      <alignment horizontal="left" wrapText="1"/>
    </xf>
    <xf numFmtId="1" fontId="5" fillId="4" borderId="791" xfId="0" applyNumberFormat="1" applyFont="1" applyFill="1" applyBorder="1" applyProtection="1">
      <protection locked="0"/>
    </xf>
    <xf numFmtId="1" fontId="5" fillId="4" borderId="803" xfId="0" applyNumberFormat="1" applyFont="1" applyFill="1" applyBorder="1" applyProtection="1">
      <protection locked="0"/>
    </xf>
    <xf numFmtId="1" fontId="5" fillId="7" borderId="713" xfId="0" applyNumberFormat="1" applyFont="1" applyFill="1" applyBorder="1"/>
    <xf numFmtId="1" fontId="5" fillId="7" borderId="557" xfId="0" applyNumberFormat="1" applyFont="1" applyFill="1" applyBorder="1"/>
    <xf numFmtId="1" fontId="5" fillId="7" borderId="804" xfId="0" applyNumberFormat="1" applyFont="1" applyFill="1" applyBorder="1"/>
    <xf numFmtId="1" fontId="5" fillId="0" borderId="787" xfId="0" applyNumberFormat="1" applyFont="1" applyBorder="1"/>
    <xf numFmtId="1" fontId="5" fillId="0" borderId="788" xfId="0" applyNumberFormat="1" applyFont="1" applyBorder="1"/>
    <xf numFmtId="1" fontId="5" fillId="0" borderId="772" xfId="0" applyNumberFormat="1" applyFont="1" applyBorder="1"/>
    <xf numFmtId="1" fontId="5" fillId="0" borderId="801" xfId="0" applyNumberFormat="1" applyFont="1" applyBorder="1"/>
    <xf numFmtId="1" fontId="5" fillId="0" borderId="802" xfId="0" applyNumberFormat="1" applyFont="1" applyBorder="1"/>
    <xf numFmtId="1" fontId="5" fillId="0" borderId="797" xfId="0" applyNumberFormat="1" applyFont="1" applyBorder="1"/>
    <xf numFmtId="1" fontId="16" fillId="3" borderId="777" xfId="0" applyNumberFormat="1" applyFont="1" applyFill="1" applyBorder="1"/>
    <xf numFmtId="1" fontId="5" fillId="0" borderId="805" xfId="0" applyNumberFormat="1" applyFont="1" applyBorder="1" applyAlignment="1">
      <alignment horizontal="center" vertical="center" wrapText="1"/>
    </xf>
    <xf numFmtId="1" fontId="5" fillId="4" borderId="799" xfId="0" applyNumberFormat="1" applyFont="1" applyFill="1" applyBorder="1" applyProtection="1">
      <protection locked="0"/>
    </xf>
    <xf numFmtId="1" fontId="5" fillId="4" borderId="806" xfId="0" applyNumberFormat="1" applyFont="1" applyFill="1" applyBorder="1" applyProtection="1">
      <protection locked="0"/>
    </xf>
    <xf numFmtId="1" fontId="5" fillId="4" borderId="557" xfId="0" applyNumberFormat="1" applyFont="1" applyFill="1" applyBorder="1" applyProtection="1">
      <protection locked="0"/>
    </xf>
    <xf numFmtId="1" fontId="5" fillId="4" borderId="674" xfId="0" applyNumberFormat="1" applyFont="1" applyFill="1" applyBorder="1" applyProtection="1">
      <protection locked="0"/>
    </xf>
    <xf numFmtId="1" fontId="5" fillId="4" borderId="805" xfId="0" applyNumberFormat="1" applyFont="1" applyFill="1" applyBorder="1" applyProtection="1">
      <protection locked="0"/>
    </xf>
    <xf numFmtId="1" fontId="5" fillId="4" borderId="778" xfId="0" applyNumberFormat="1" applyFont="1" applyFill="1" applyBorder="1" applyProtection="1">
      <protection locked="0"/>
    </xf>
    <xf numFmtId="1" fontId="5" fillId="4" borderId="777" xfId="0" applyNumberFormat="1" applyFont="1" applyFill="1" applyBorder="1" applyProtection="1">
      <protection locked="0"/>
    </xf>
    <xf numFmtId="1" fontId="5" fillId="0" borderId="780" xfId="0" applyNumberFormat="1" applyFont="1" applyBorder="1"/>
    <xf numFmtId="1" fontId="5" fillId="0" borderId="805" xfId="0" applyNumberFormat="1" applyFont="1" applyBorder="1"/>
    <xf numFmtId="1" fontId="16" fillId="3" borderId="0" xfId="0" applyNumberFormat="1" applyFont="1" applyFill="1" applyAlignment="1">
      <alignment wrapText="1"/>
    </xf>
    <xf numFmtId="1" fontId="16" fillId="4" borderId="31" xfId="0" applyNumberFormat="1" applyFont="1" applyFill="1" applyBorder="1" applyProtection="1">
      <protection locked="0"/>
    </xf>
    <xf numFmtId="1" fontId="16" fillId="4" borderId="13" xfId="0" applyNumberFormat="1" applyFont="1" applyFill="1" applyBorder="1" applyProtection="1">
      <protection locked="0"/>
    </xf>
    <xf numFmtId="1" fontId="15" fillId="3" borderId="779" xfId="0" applyNumberFormat="1" applyFont="1" applyFill="1" applyBorder="1"/>
    <xf numFmtId="1" fontId="20" fillId="3" borderId="779" xfId="0" applyNumberFormat="1" applyFont="1" applyFill="1" applyBorder="1"/>
    <xf numFmtId="1" fontId="39" fillId="3" borderId="779" xfId="0" applyNumberFormat="1" applyFont="1" applyFill="1" applyBorder="1"/>
    <xf numFmtId="1" fontId="33" fillId="0" borderId="0" xfId="0" applyNumberFormat="1" applyFont="1" applyAlignment="1">
      <alignment wrapText="1"/>
    </xf>
    <xf numFmtId="1" fontId="5" fillId="0" borderId="770" xfId="0" applyNumberFormat="1" applyFont="1" applyBorder="1" applyAlignment="1">
      <alignment horizontal="center" vertical="center"/>
    </xf>
    <xf numFmtId="1" fontId="5" fillId="0" borderId="787" xfId="0" applyNumberFormat="1" applyFont="1" applyBorder="1" applyAlignment="1">
      <alignment horizontal="center" vertical="center" wrapText="1"/>
    </xf>
    <xf numFmtId="1" fontId="5" fillId="4" borderId="754" xfId="0" applyNumberFormat="1" applyFont="1" applyFill="1" applyBorder="1" applyAlignment="1" applyProtection="1">
      <alignment vertical="center"/>
      <protection locked="0"/>
    </xf>
    <xf numFmtId="1" fontId="5" fillId="4" borderId="723" xfId="0" applyNumberFormat="1" applyFont="1" applyFill="1" applyBorder="1" applyAlignment="1" applyProtection="1">
      <alignment vertical="center"/>
      <protection locked="0"/>
    </xf>
    <xf numFmtId="1" fontId="5" fillId="4" borderId="371" xfId="0" applyNumberFormat="1" applyFont="1" applyFill="1" applyBorder="1" applyAlignment="1" applyProtection="1">
      <alignment vertical="center"/>
      <protection locked="0"/>
    </xf>
    <xf numFmtId="1" fontId="5" fillId="4" borderId="372" xfId="0" applyNumberFormat="1" applyFont="1" applyFill="1" applyBorder="1" applyAlignment="1" applyProtection="1">
      <alignment vertical="center"/>
      <protection locked="0"/>
    </xf>
    <xf numFmtId="1" fontId="5" fillId="4" borderId="14" xfId="0" applyNumberFormat="1" applyFont="1" applyFill="1" applyBorder="1" applyAlignment="1" applyProtection="1">
      <alignment vertical="center"/>
      <protection locked="0"/>
    </xf>
    <xf numFmtId="1" fontId="5" fillId="4" borderId="18" xfId="0" applyNumberFormat="1" applyFont="1" applyFill="1" applyBorder="1" applyAlignment="1" applyProtection="1">
      <alignment vertical="center"/>
      <protection locked="0"/>
    </xf>
    <xf numFmtId="1" fontId="5" fillId="0" borderId="801" xfId="0" applyNumberFormat="1" applyFont="1" applyBorder="1" applyAlignment="1">
      <alignment horizontal="center" vertical="center" wrapText="1"/>
    </xf>
    <xf numFmtId="1" fontId="5" fillId="0" borderId="788" xfId="0" applyNumberFormat="1" applyFont="1" applyBorder="1" applyAlignment="1">
      <alignment horizontal="center" vertical="center"/>
    </xf>
    <xf numFmtId="1" fontId="5" fillId="0" borderId="798" xfId="0" applyNumberFormat="1" applyFont="1" applyBorder="1" applyAlignment="1">
      <alignment horizontal="center" vertical="center"/>
    </xf>
    <xf numFmtId="1" fontId="5" fillId="5" borderId="781" xfId="0" applyNumberFormat="1" applyFont="1" applyFill="1" applyBorder="1" applyAlignment="1">
      <alignment vertical="center"/>
    </xf>
    <xf numFmtId="1" fontId="5" fillId="4" borderId="781" xfId="0" applyNumberFormat="1" applyFont="1" applyFill="1" applyBorder="1" applyAlignment="1" applyProtection="1">
      <alignment vertical="center"/>
      <protection locked="0"/>
    </xf>
    <xf numFmtId="1" fontId="5" fillId="4" borderId="791" xfId="0" applyNumberFormat="1" applyFont="1" applyFill="1" applyBorder="1" applyAlignment="1" applyProtection="1">
      <alignment vertical="center"/>
      <protection locked="0"/>
    </xf>
    <xf numFmtId="1" fontId="5" fillId="4" borderId="103" xfId="0" applyNumberFormat="1" applyFont="1" applyFill="1" applyBorder="1" applyAlignment="1" applyProtection="1">
      <alignment vertical="center"/>
      <protection locked="0"/>
    </xf>
    <xf numFmtId="1" fontId="5" fillId="4" borderId="620" xfId="0" applyNumberFormat="1" applyFont="1" applyFill="1" applyBorder="1" applyAlignment="1" applyProtection="1">
      <alignment vertical="center"/>
      <protection locked="0"/>
    </xf>
    <xf numFmtId="1" fontId="5" fillId="4" borderId="10" xfId="0" applyNumberFormat="1" applyFont="1" applyFill="1" applyBorder="1" applyAlignment="1" applyProtection="1">
      <alignment vertical="center"/>
      <protection locked="0"/>
    </xf>
    <xf numFmtId="1" fontId="5" fillId="4" borderId="616" xfId="0" applyNumberFormat="1" applyFont="1" applyFill="1" applyBorder="1" applyAlignment="1" applyProtection="1">
      <alignment vertical="center"/>
      <protection locked="0"/>
    </xf>
    <xf numFmtId="1" fontId="5" fillId="4" borderId="374" xfId="0" applyNumberFormat="1" applyFont="1" applyFill="1" applyBorder="1" applyAlignment="1" applyProtection="1">
      <alignment vertical="center"/>
      <protection locked="0"/>
    </xf>
    <xf numFmtId="1" fontId="5" fillId="4" borderId="407" xfId="0" applyNumberFormat="1" applyFont="1" applyFill="1" applyBorder="1" applyAlignment="1" applyProtection="1">
      <alignment vertical="center"/>
      <protection locked="0"/>
    </xf>
    <xf numFmtId="1" fontId="5" fillId="5" borderId="12" xfId="0" applyNumberFormat="1" applyFont="1" applyFill="1" applyBorder="1" applyAlignment="1">
      <alignment vertical="center"/>
    </xf>
    <xf numFmtId="1" fontId="5" fillId="4" borderId="12" xfId="0" applyNumberFormat="1" applyFont="1" applyFill="1" applyBorder="1" applyAlignment="1" applyProtection="1">
      <alignment vertical="center"/>
      <protection locked="0"/>
    </xf>
    <xf numFmtId="1" fontId="5" fillId="4" borderId="27" xfId="0" applyNumberFormat="1" applyFont="1" applyFill="1" applyBorder="1" applyAlignment="1" applyProtection="1">
      <alignment vertical="center"/>
      <protection locked="0"/>
    </xf>
    <xf numFmtId="1" fontId="5" fillId="4" borderId="15" xfId="0" applyNumberFormat="1" applyFont="1" applyFill="1" applyBorder="1" applyAlignment="1" applyProtection="1">
      <alignment vertical="center"/>
      <protection locked="0"/>
    </xf>
    <xf numFmtId="1" fontId="5" fillId="4" borderId="17" xfId="0" applyNumberFormat="1" applyFont="1" applyFill="1" applyBorder="1" applyAlignment="1" applyProtection="1">
      <alignment vertical="center"/>
      <protection locked="0"/>
    </xf>
    <xf numFmtId="1" fontId="40" fillId="0" borderId="0" xfId="0" applyNumberFormat="1" applyFont="1" applyAlignment="1">
      <alignment wrapText="1"/>
    </xf>
    <xf numFmtId="1" fontId="5" fillId="4" borderId="790" xfId="0" applyNumberFormat="1" applyFont="1" applyFill="1" applyBorder="1" applyProtection="1">
      <protection locked="0"/>
    </xf>
    <xf numFmtId="1" fontId="5" fillId="5" borderId="663" xfId="0" applyNumberFormat="1" applyFont="1" applyFill="1" applyBorder="1" applyAlignment="1">
      <alignment vertical="center"/>
    </xf>
    <xf numFmtId="1" fontId="5" fillId="0" borderId="373" xfId="0" applyNumberFormat="1" applyFont="1" applyBorder="1" applyAlignment="1">
      <alignment vertical="center"/>
    </xf>
    <xf numFmtId="1" fontId="5" fillId="4" borderId="602" xfId="0" applyNumberFormat="1" applyFont="1" applyFill="1" applyBorder="1" applyProtection="1">
      <protection locked="0"/>
    </xf>
    <xf numFmtId="1" fontId="20" fillId="3" borderId="36" xfId="0" applyNumberFormat="1" applyFont="1" applyFill="1" applyBorder="1"/>
    <xf numFmtId="1" fontId="5" fillId="0" borderId="785" xfId="0" applyNumberFormat="1" applyFont="1" applyBorder="1" applyAlignment="1">
      <alignment horizontal="center" vertical="center" wrapText="1"/>
    </xf>
    <xf numFmtId="1" fontId="5" fillId="0" borderId="770" xfId="0" applyNumberFormat="1" applyFont="1" applyBorder="1" applyAlignment="1">
      <alignment vertical="center"/>
    </xf>
    <xf numFmtId="1" fontId="5" fillId="4" borderId="785" xfId="0" applyNumberFormat="1" applyFont="1" applyFill="1" applyBorder="1" applyProtection="1">
      <protection locked="0"/>
    </xf>
    <xf numFmtId="1" fontId="5" fillId="4" borderId="770" xfId="0" applyNumberFormat="1" applyFont="1" applyFill="1" applyBorder="1" applyProtection="1">
      <protection locked="0"/>
    </xf>
    <xf numFmtId="1" fontId="26" fillId="3" borderId="663" xfId="0" applyNumberFormat="1" applyFont="1" applyFill="1" applyBorder="1"/>
    <xf numFmtId="1" fontId="20" fillId="3" borderId="777" xfId="0" applyNumberFormat="1" applyFont="1" applyFill="1" applyBorder="1"/>
    <xf numFmtId="1" fontId="5" fillId="0" borderId="769" xfId="0" applyNumberFormat="1" applyFont="1" applyBorder="1" applyAlignment="1">
      <alignment vertical="center" wrapText="1"/>
    </xf>
    <xf numFmtId="1" fontId="5" fillId="3" borderId="769" xfId="0" applyNumberFormat="1" applyFont="1" applyFill="1" applyBorder="1"/>
    <xf numFmtId="1" fontId="5" fillId="4" borderId="769" xfId="0" applyNumberFormat="1" applyFont="1" applyFill="1" applyBorder="1" applyProtection="1">
      <protection locked="0"/>
    </xf>
    <xf numFmtId="1" fontId="5" fillId="0" borderId="676" xfId="0" applyNumberFormat="1" applyFont="1" applyBorder="1" applyAlignment="1">
      <alignment vertical="center" wrapText="1"/>
    </xf>
    <xf numFmtId="1" fontId="5" fillId="3" borderId="676" xfId="0" applyNumberFormat="1" applyFont="1" applyFill="1" applyBorder="1"/>
    <xf numFmtId="1" fontId="5" fillId="4" borderId="738" xfId="0" applyNumberFormat="1" applyFont="1" applyFill="1" applyBorder="1" applyProtection="1">
      <protection locked="0"/>
    </xf>
    <xf numFmtId="1" fontId="5" fillId="4" borderId="676" xfId="0" applyNumberFormat="1" applyFont="1" applyFill="1" applyBorder="1" applyProtection="1">
      <protection locked="0"/>
    </xf>
    <xf numFmtId="1" fontId="5" fillId="4" borderId="686" xfId="0" applyNumberFormat="1" applyFont="1" applyFill="1" applyBorder="1" applyProtection="1">
      <protection locked="0"/>
    </xf>
    <xf numFmtId="1" fontId="5" fillId="4" borderId="712" xfId="0" applyNumberFormat="1" applyFont="1" applyFill="1" applyBorder="1" applyProtection="1">
      <protection locked="0"/>
    </xf>
    <xf numFmtId="1" fontId="26" fillId="10" borderId="0" xfId="0" applyNumberFormat="1" applyFont="1" applyFill="1"/>
    <xf numFmtId="1" fontId="26" fillId="26" borderId="0" xfId="0" applyNumberFormat="1" applyFont="1" applyFill="1"/>
    <xf numFmtId="0" fontId="18" fillId="6" borderId="675" xfId="10" applyFont="1" applyFill="1" applyBorder="1" applyProtection="1"/>
    <xf numFmtId="1" fontId="5" fillId="4" borderId="713" xfId="0" applyNumberFormat="1" applyFont="1" applyFill="1" applyBorder="1" applyProtection="1">
      <protection locked="0"/>
    </xf>
    <xf numFmtId="1" fontId="5" fillId="4" borderId="804" xfId="0" applyNumberFormat="1" applyFont="1" applyFill="1" applyBorder="1" applyProtection="1">
      <protection locked="0"/>
    </xf>
    <xf numFmtId="1" fontId="5" fillId="4" borderId="807" xfId="0" applyNumberFormat="1" applyFont="1" applyFill="1" applyBorder="1" applyProtection="1">
      <protection locked="0"/>
    </xf>
    <xf numFmtId="1" fontId="39" fillId="32" borderId="303" xfId="2" applyNumberFormat="1" applyFont="1" applyFill="1" applyBorder="1"/>
    <xf numFmtId="1" fontId="40" fillId="0" borderId="0" xfId="2" applyNumberFormat="1" applyFont="1" applyAlignment="1">
      <alignment wrapText="1"/>
    </xf>
    <xf numFmtId="1" fontId="37" fillId="32" borderId="0" xfId="2" applyNumberFormat="1" applyFont="1" applyFill="1"/>
    <xf numFmtId="1" fontId="16" fillId="0" borderId="0" xfId="2" applyNumberFormat="1" applyFont="1"/>
    <xf numFmtId="1" fontId="5" fillId="0" borderId="758" xfId="2" applyNumberFormat="1" applyFont="1" applyBorder="1" applyAlignment="1">
      <alignment horizontal="center" vertical="center" wrapText="1"/>
    </xf>
    <xf numFmtId="1" fontId="5" fillId="0" borderId="808" xfId="2" applyNumberFormat="1" applyFont="1" applyBorder="1" applyAlignment="1">
      <alignment horizontal="center" vertical="center" wrapText="1"/>
    </xf>
    <xf numFmtId="1" fontId="5" fillId="0" borderId="757" xfId="2" applyNumberFormat="1" applyFont="1" applyBorder="1" applyAlignment="1">
      <alignment horizontal="center" vertical="center" wrapText="1"/>
    </xf>
    <xf numFmtId="1" fontId="5" fillId="0" borderId="277" xfId="2" applyNumberFormat="1" applyFont="1" applyBorder="1" applyAlignment="1">
      <alignment horizontal="center" vertical="center" wrapText="1"/>
    </xf>
    <xf numFmtId="1" fontId="5" fillId="0" borderId="278" xfId="2" applyNumberFormat="1" applyFont="1" applyBorder="1" applyAlignment="1">
      <alignment horizontal="center" vertical="center" wrapText="1"/>
    </xf>
    <xf numFmtId="1" fontId="5" fillId="0" borderId="281" xfId="2" applyNumberFormat="1" applyFont="1" applyBorder="1" applyAlignment="1">
      <alignment vertical="center"/>
    </xf>
    <xf numFmtId="1" fontId="5" fillId="0" borderId="309" xfId="2" applyNumberFormat="1" applyFont="1" applyBorder="1"/>
    <xf numFmtId="1" fontId="5" fillId="19" borderId="283" xfId="2" applyNumberFormat="1" applyFont="1" applyFill="1" applyBorder="1" applyProtection="1">
      <protection locked="0"/>
    </xf>
    <xf numFmtId="1" fontId="5" fillId="33" borderId="331" xfId="2" applyNumberFormat="1" applyFont="1" applyFill="1" applyBorder="1"/>
    <xf numFmtId="1" fontId="5" fillId="33" borderId="329" xfId="2" applyNumberFormat="1" applyFont="1" applyFill="1" applyBorder="1"/>
    <xf numFmtId="1" fontId="5" fillId="19" borderId="809" xfId="2" applyNumberFormat="1" applyFont="1" applyFill="1" applyBorder="1" applyProtection="1">
      <protection locked="0"/>
    </xf>
    <xf numFmtId="1" fontId="5" fillId="19" borderId="760" xfId="2" applyNumberFormat="1" applyFont="1" applyFill="1" applyBorder="1" applyProtection="1">
      <protection locked="0"/>
    </xf>
    <xf numFmtId="1" fontId="5" fillId="0" borderId="290" xfId="2" applyNumberFormat="1" applyFont="1" applyBorder="1" applyAlignment="1">
      <alignment vertical="center"/>
    </xf>
    <xf numFmtId="1" fontId="5" fillId="33" borderId="291" xfId="2" applyNumberFormat="1" applyFont="1" applyFill="1" applyBorder="1"/>
    <xf numFmtId="1" fontId="5" fillId="19" borderId="336" xfId="2" applyNumberFormat="1" applyFont="1" applyFill="1" applyBorder="1" applyProtection="1">
      <protection locked="0"/>
    </xf>
    <xf numFmtId="1" fontId="5" fillId="33" borderId="336" xfId="2" applyNumberFormat="1" applyFont="1" applyFill="1" applyBorder="1"/>
    <xf numFmtId="1" fontId="5" fillId="33" borderId="287" xfId="2" applyNumberFormat="1" applyFont="1" applyFill="1" applyBorder="1"/>
    <xf numFmtId="1" fontId="5" fillId="19" borderId="288" xfId="2" applyNumberFormat="1" applyFont="1" applyFill="1" applyBorder="1" applyProtection="1">
      <protection locked="0"/>
    </xf>
    <xf numFmtId="1" fontId="5" fillId="19" borderId="810" xfId="2" applyNumberFormat="1" applyFont="1" applyFill="1" applyBorder="1" applyProtection="1">
      <protection locked="0"/>
    </xf>
    <xf numFmtId="1" fontId="5" fillId="0" borderId="309" xfId="2" applyNumberFormat="1" applyFont="1" applyBorder="1" applyAlignment="1">
      <alignment vertical="center" wrapText="1"/>
    </xf>
    <xf numFmtId="1" fontId="5" fillId="0" borderId="309" xfId="2" applyNumberFormat="1" applyFont="1" applyBorder="1" applyAlignment="1">
      <alignment vertical="center"/>
    </xf>
    <xf numFmtId="1" fontId="5" fillId="19" borderId="341" xfId="2" applyNumberFormat="1" applyFont="1" applyFill="1" applyBorder="1" applyProtection="1">
      <protection locked="0"/>
    </xf>
    <xf numFmtId="1" fontId="5" fillId="19" borderId="811" xfId="2" applyNumberFormat="1" applyFont="1" applyFill="1" applyBorder="1" applyProtection="1">
      <protection locked="0"/>
    </xf>
    <xf numFmtId="1" fontId="5" fillId="33" borderId="294" xfId="2" applyNumberFormat="1" applyFont="1" applyFill="1" applyBorder="1"/>
    <xf numFmtId="1" fontId="5" fillId="33" borderId="763" xfId="2" applyNumberFormat="1" applyFont="1" applyFill="1" applyBorder="1"/>
    <xf numFmtId="1" fontId="5" fillId="19" borderId="763" xfId="2" applyNumberFormat="1" applyFont="1" applyFill="1" applyBorder="1" applyProtection="1">
      <protection locked="0"/>
    </xf>
    <xf numFmtId="1" fontId="5" fillId="19" borderId="296" xfId="2" applyNumberFormat="1" applyFont="1" applyFill="1" applyBorder="1" applyProtection="1">
      <protection locked="0"/>
    </xf>
    <xf numFmtId="1" fontId="5" fillId="19" borderId="297" xfId="2" applyNumberFormat="1" applyFont="1" applyFill="1" applyBorder="1" applyProtection="1">
      <protection locked="0"/>
    </xf>
    <xf numFmtId="1" fontId="5" fillId="19" borderId="762" xfId="2" applyNumberFormat="1" applyFont="1" applyFill="1" applyBorder="1" applyProtection="1">
      <protection locked="0"/>
    </xf>
    <xf numFmtId="1" fontId="5" fillId="19" borderId="299" xfId="2" applyNumberFormat="1" applyFont="1" applyFill="1" applyBorder="1" applyProtection="1">
      <protection locked="0"/>
    </xf>
    <xf numFmtId="1" fontId="5" fillId="33" borderId="812" xfId="2" applyNumberFormat="1" applyFont="1" applyFill="1" applyBorder="1"/>
    <xf numFmtId="1" fontId="5" fillId="33" borderId="301" xfId="2" applyNumberFormat="1" applyFont="1" applyFill="1" applyBorder="1"/>
    <xf numFmtId="1" fontId="5" fillId="19" borderId="813" xfId="2" applyNumberFormat="1" applyFont="1" applyFill="1" applyBorder="1" applyProtection="1">
      <protection locked="0"/>
    </xf>
    <xf numFmtId="1" fontId="5" fillId="19" borderId="814" xfId="2" applyNumberFormat="1" applyFont="1" applyFill="1" applyBorder="1" applyProtection="1">
      <protection locked="0"/>
    </xf>
    <xf numFmtId="1" fontId="5" fillId="19" borderId="815" xfId="2" applyNumberFormat="1" applyFont="1" applyFill="1" applyBorder="1" applyProtection="1">
      <protection locked="0"/>
    </xf>
    <xf numFmtId="1" fontId="5" fillId="19" borderId="816" xfId="2" applyNumberFormat="1" applyFont="1" applyFill="1" applyBorder="1" applyProtection="1">
      <protection locked="0"/>
    </xf>
    <xf numFmtId="1" fontId="39" fillId="0" borderId="0" xfId="0" applyNumberFormat="1" applyFont="1"/>
    <xf numFmtId="1" fontId="20" fillId="3" borderId="817" xfId="0" applyNumberFormat="1" applyFont="1" applyFill="1" applyBorder="1"/>
    <xf numFmtId="1" fontId="5" fillId="3" borderId="777" xfId="0" applyNumberFormat="1" applyFont="1" applyFill="1" applyBorder="1"/>
    <xf numFmtId="1" fontId="5" fillId="0" borderId="780" xfId="0" applyNumberFormat="1" applyFont="1" applyBorder="1" applyAlignment="1">
      <alignment horizontal="center" vertical="center" wrapText="1"/>
    </xf>
    <xf numFmtId="0" fontId="0" fillId="0" borderId="663" xfId="0" applyBorder="1"/>
    <xf numFmtId="1" fontId="5" fillId="0" borderId="769" xfId="0" applyNumberFormat="1" applyFont="1" applyBorder="1" applyAlignment="1">
      <alignment horizontal="left"/>
    </xf>
    <xf numFmtId="1" fontId="5" fillId="3" borderId="821" xfId="1" applyNumberFormat="1" applyFont="1" applyFill="1" applyBorder="1" applyAlignment="1">
      <alignment horizontal="right"/>
    </xf>
    <xf numFmtId="1" fontId="5" fillId="3" borderId="616" xfId="1" applyNumberFormat="1" applyFont="1" applyFill="1" applyBorder="1" applyAlignment="1">
      <alignment horizontal="right"/>
    </xf>
    <xf numFmtId="1" fontId="5" fillId="3" borderId="10" xfId="1" applyNumberFormat="1" applyFont="1" applyFill="1" applyBorder="1" applyAlignment="1">
      <alignment horizontal="right"/>
    </xf>
    <xf numFmtId="1" fontId="5" fillId="3" borderId="823" xfId="1" applyNumberFormat="1" applyFont="1" applyFill="1" applyBorder="1" applyAlignment="1">
      <alignment horizontal="right"/>
    </xf>
    <xf numFmtId="1" fontId="5" fillId="3" borderId="41" xfId="1" applyNumberFormat="1" applyFont="1" applyFill="1" applyBorder="1" applyAlignment="1">
      <alignment horizontal="right"/>
    </xf>
    <xf numFmtId="1" fontId="5" fillId="3" borderId="25" xfId="1" applyNumberFormat="1" applyFont="1" applyFill="1" applyBorder="1" applyAlignment="1">
      <alignment horizontal="right"/>
    </xf>
    <xf numFmtId="1" fontId="5" fillId="3" borderId="373" xfId="1" applyNumberFormat="1" applyFont="1" applyFill="1" applyBorder="1" applyAlignment="1">
      <alignment horizontal="right"/>
    </xf>
    <xf numFmtId="1" fontId="5" fillId="0" borderId="824" xfId="0" applyNumberFormat="1" applyFont="1" applyBorder="1" applyAlignment="1">
      <alignment horizontal="left" vertical="center" wrapText="1"/>
    </xf>
    <xf numFmtId="1" fontId="5" fillId="0" borderId="676" xfId="0" applyNumberFormat="1" applyFont="1" applyBorder="1" applyAlignment="1">
      <alignment horizontal="left"/>
    </xf>
    <xf numFmtId="1" fontId="5" fillId="3" borderId="825" xfId="1" applyNumberFormat="1" applyFont="1" applyFill="1" applyBorder="1" applyAlignment="1">
      <alignment horizontal="right"/>
    </xf>
    <xf numFmtId="1" fontId="5" fillId="3" borderId="826" xfId="1" applyNumberFormat="1" applyFont="1" applyFill="1" applyBorder="1" applyAlignment="1">
      <alignment horizontal="right"/>
    </xf>
    <xf numFmtId="1" fontId="5" fillId="3" borderId="827" xfId="1" applyNumberFormat="1" applyFont="1" applyFill="1" applyBorder="1" applyAlignment="1">
      <alignment horizontal="right"/>
    </xf>
    <xf numFmtId="1" fontId="5" fillId="4" borderId="828" xfId="0" applyNumberFormat="1" applyFont="1" applyFill="1" applyBorder="1" applyProtection="1">
      <protection locked="0"/>
    </xf>
    <xf numFmtId="1" fontId="5" fillId="4" borderId="829" xfId="0" applyNumberFormat="1" applyFont="1" applyFill="1" applyBorder="1" applyProtection="1">
      <protection locked="0"/>
    </xf>
    <xf numFmtId="1" fontId="5" fillId="4" borderId="830" xfId="0" applyNumberFormat="1" applyFont="1" applyFill="1" applyBorder="1" applyProtection="1">
      <protection locked="0"/>
    </xf>
    <xf numFmtId="1" fontId="5" fillId="4" borderId="827" xfId="0" applyNumberFormat="1" applyFont="1" applyFill="1" applyBorder="1" applyProtection="1">
      <protection locked="0"/>
    </xf>
    <xf numFmtId="1" fontId="26" fillId="34" borderId="0" xfId="0" applyNumberFormat="1" applyFont="1" applyFill="1"/>
    <xf numFmtId="1" fontId="5" fillId="0" borderId="220" xfId="0" applyNumberFormat="1" applyFont="1" applyBorder="1" applyAlignment="1">
      <alignment horizontal="center" vertical="center" wrapText="1"/>
    </xf>
    <xf numFmtId="1" fontId="5" fillId="0" borderId="434" xfId="0" applyNumberFormat="1" applyFont="1" applyBorder="1" applyAlignment="1">
      <alignment horizontal="center" vertical="center" wrapText="1"/>
    </xf>
    <xf numFmtId="1" fontId="5" fillId="0" borderId="581" xfId="0" applyNumberFormat="1" applyFont="1" applyBorder="1" applyAlignment="1">
      <alignment horizontal="center" vertical="center" wrapText="1"/>
    </xf>
    <xf numFmtId="1" fontId="5" fillId="0" borderId="555" xfId="0" applyNumberFormat="1" applyFont="1" applyBorder="1" applyAlignment="1">
      <alignment horizontal="center" vertical="center"/>
    </xf>
    <xf numFmtId="1" fontId="5" fillId="0" borderId="777" xfId="0" applyNumberFormat="1" applyFont="1" applyBorder="1" applyAlignment="1">
      <alignment horizontal="center" vertical="center" wrapText="1"/>
    </xf>
    <xf numFmtId="1" fontId="5" fillId="0" borderId="738" xfId="0" applyNumberFormat="1" applyFont="1" applyBorder="1" applyAlignment="1">
      <alignment horizontal="center" vertical="center" wrapText="1"/>
    </xf>
    <xf numFmtId="1" fontId="5" fillId="0" borderId="676" xfId="0" applyNumberFormat="1" applyFont="1" applyBorder="1" applyAlignment="1">
      <alignment horizontal="left" vertical="center" wrapText="1"/>
    </xf>
    <xf numFmtId="1" fontId="5" fillId="0" borderId="11" xfId="0" applyNumberFormat="1" applyFont="1" applyBorder="1" applyAlignment="1">
      <alignment horizontal="left"/>
    </xf>
    <xf numFmtId="1" fontId="5" fillId="0" borderId="435" xfId="0" applyNumberFormat="1" applyFont="1" applyBorder="1" applyAlignment="1">
      <alignment horizontal="left" vertical="center" wrapText="1"/>
    </xf>
    <xf numFmtId="1" fontId="5" fillId="5" borderId="59" xfId="0" applyNumberFormat="1" applyFont="1" applyFill="1" applyBorder="1" applyAlignment="1">
      <alignment horizontal="left" vertical="center" wrapText="1"/>
    </xf>
    <xf numFmtId="1" fontId="5" fillId="0" borderId="59" xfId="0" applyNumberFormat="1" applyFont="1" applyBorder="1" applyAlignment="1">
      <alignment horizontal="left" vertical="center" wrapText="1"/>
    </xf>
    <xf numFmtId="1" fontId="5" fillId="0" borderId="756" xfId="0" applyNumberFormat="1" applyFont="1" applyBorder="1"/>
    <xf numFmtId="1" fontId="5" fillId="0" borderId="713" xfId="0" applyNumberFormat="1" applyFont="1" applyBorder="1" applyAlignment="1">
      <alignment horizontal="center" vertical="center" wrapText="1"/>
    </xf>
    <xf numFmtId="1" fontId="5" fillId="0" borderId="568" xfId="0" applyNumberFormat="1" applyFont="1" applyBorder="1" applyAlignment="1">
      <alignment horizontal="center" vertical="center" wrapText="1"/>
    </xf>
    <xf numFmtId="1" fontId="5" fillId="0" borderId="435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left" wrapText="1"/>
    </xf>
    <xf numFmtId="1" fontId="5" fillId="0" borderId="11" xfId="0" applyNumberFormat="1" applyFont="1" applyBorder="1" applyAlignment="1">
      <alignment horizontal="left" vertical="center" wrapText="1"/>
    </xf>
    <xf numFmtId="1" fontId="5" fillId="5" borderId="25" xfId="0" applyNumberFormat="1" applyFont="1" applyFill="1" applyBorder="1" applyAlignment="1">
      <alignment horizontal="left" vertical="center" wrapText="1"/>
    </xf>
    <xf numFmtId="1" fontId="5" fillId="0" borderId="264" xfId="0" applyNumberFormat="1" applyFont="1" applyBorder="1"/>
    <xf numFmtId="1" fontId="3" fillId="0" borderId="435" xfId="0" applyNumberFormat="1" applyFont="1" applyBorder="1" applyAlignment="1">
      <alignment horizontal="center" vertical="center" wrapText="1"/>
    </xf>
    <xf numFmtId="1" fontId="15" fillId="3" borderId="524" xfId="0" applyNumberFormat="1" applyFont="1" applyFill="1" applyBorder="1" applyAlignment="1">
      <alignment horizontal="left"/>
    </xf>
    <xf numFmtId="1" fontId="17" fillId="3" borderId="0" xfId="0" applyNumberFormat="1" applyFont="1" applyFill="1" applyAlignment="1">
      <alignment vertical="center" wrapText="1"/>
    </xf>
    <xf numFmtId="1" fontId="17" fillId="3" borderId="777" xfId="0" applyNumberFormat="1" applyFont="1" applyFill="1" applyBorder="1"/>
    <xf numFmtId="1" fontId="42" fillId="3" borderId="0" xfId="0" applyNumberFormat="1" applyFont="1" applyFill="1"/>
    <xf numFmtId="1" fontId="5" fillId="5" borderId="828" xfId="0" applyNumberFormat="1" applyFont="1" applyFill="1" applyBorder="1" applyAlignment="1">
      <alignment horizontal="center" vertical="center" wrapText="1"/>
    </xf>
    <xf numFmtId="1" fontId="5" fillId="5" borderId="788" xfId="0" applyNumberFormat="1" applyFont="1" applyFill="1" applyBorder="1" applyAlignment="1">
      <alignment horizontal="center" vertical="center" wrapText="1"/>
    </xf>
    <xf numFmtId="1" fontId="5" fillId="0" borderId="828" xfId="0" applyNumberFormat="1" applyFont="1" applyBorder="1" applyAlignment="1">
      <alignment horizontal="center" vertical="center"/>
    </xf>
    <xf numFmtId="1" fontId="5" fillId="0" borderId="830" xfId="0" applyNumberFormat="1" applyFont="1" applyBorder="1" applyAlignment="1">
      <alignment horizontal="center" vertical="center"/>
    </xf>
    <xf numFmtId="1" fontId="5" fillId="31" borderId="471" xfId="0" applyNumberFormat="1" applyFont="1" applyFill="1" applyBorder="1"/>
    <xf numFmtId="1" fontId="5" fillId="7" borderId="769" xfId="0" applyNumberFormat="1" applyFont="1" applyFill="1" applyBorder="1"/>
    <xf numFmtId="1" fontId="26" fillId="31" borderId="0" xfId="0" applyNumberFormat="1" applyFont="1" applyFill="1"/>
    <xf numFmtId="1" fontId="5" fillId="7" borderId="831" xfId="0" applyNumberFormat="1" applyFont="1" applyFill="1" applyBorder="1"/>
    <xf numFmtId="1" fontId="5" fillId="4" borderId="832" xfId="0" applyNumberFormat="1" applyFont="1" applyFill="1" applyBorder="1" applyProtection="1">
      <protection locked="0"/>
    </xf>
    <xf numFmtId="1" fontId="5" fillId="7" borderId="832" xfId="0" applyNumberFormat="1" applyFont="1" applyFill="1" applyBorder="1"/>
    <xf numFmtId="1" fontId="5" fillId="7" borderId="833" xfId="0" applyNumberFormat="1" applyFont="1" applyFill="1" applyBorder="1"/>
    <xf numFmtId="1" fontId="5" fillId="4" borderId="831" xfId="0" applyNumberFormat="1" applyFont="1" applyFill="1" applyBorder="1" applyProtection="1">
      <protection locked="0"/>
    </xf>
    <xf numFmtId="1" fontId="5" fillId="7" borderId="226" xfId="0" applyNumberFormat="1" applyFont="1" applyFill="1" applyBorder="1"/>
    <xf numFmtId="1" fontId="5" fillId="7" borderId="31" xfId="0" applyNumberFormat="1" applyFont="1" applyFill="1" applyBorder="1"/>
    <xf numFmtId="1" fontId="5" fillId="4" borderId="500" xfId="0" applyNumberFormat="1" applyFont="1" applyFill="1" applyBorder="1" applyProtection="1">
      <protection locked="0"/>
    </xf>
    <xf numFmtId="1" fontId="5" fillId="3" borderId="500" xfId="0" applyNumberFormat="1" applyFont="1" applyFill="1" applyBorder="1"/>
    <xf numFmtId="1" fontId="5" fillId="7" borderId="471" xfId="0" applyNumberFormat="1" applyFont="1" applyFill="1" applyBorder="1"/>
    <xf numFmtId="1" fontId="5" fillId="7" borderId="651" xfId="0" applyNumberFormat="1" applyFont="1" applyFill="1" applyBorder="1"/>
    <xf numFmtId="1" fontId="5" fillId="4" borderId="58" xfId="0" applyNumberFormat="1" applyFont="1" applyFill="1" applyBorder="1" applyProtection="1">
      <protection locked="0"/>
    </xf>
    <xf numFmtId="1" fontId="5" fillId="4" borderId="740" xfId="0" applyNumberFormat="1" applyFont="1" applyFill="1" applyBorder="1" applyProtection="1">
      <protection locked="0"/>
    </xf>
    <xf numFmtId="1" fontId="5" fillId="4" borderId="768" xfId="0" applyNumberFormat="1" applyFont="1" applyFill="1" applyBorder="1" applyProtection="1">
      <protection locked="0"/>
    </xf>
    <xf numFmtId="1" fontId="5" fillId="7" borderId="807" xfId="0" applyNumberFormat="1" applyFont="1" applyFill="1" applyBorder="1"/>
    <xf numFmtId="1" fontId="5" fillId="4" borderId="471" xfId="0" applyNumberFormat="1" applyFont="1" applyFill="1" applyBorder="1" applyProtection="1">
      <protection locked="0"/>
    </xf>
    <xf numFmtId="1" fontId="5" fillId="4" borderId="833" xfId="0" applyNumberFormat="1" applyFont="1" applyFill="1" applyBorder="1" applyProtection="1">
      <protection locked="0"/>
    </xf>
    <xf numFmtId="1" fontId="42" fillId="5" borderId="0" xfId="0" applyNumberFormat="1" applyFont="1" applyFill="1"/>
    <xf numFmtId="1" fontId="5" fillId="0" borderId="827" xfId="0" applyNumberFormat="1" applyFont="1" applyBorder="1" applyAlignment="1">
      <alignment horizontal="center" vertical="center" wrapText="1"/>
    </xf>
    <xf numFmtId="1" fontId="5" fillId="0" borderId="826" xfId="0" applyNumberFormat="1" applyFont="1" applyBorder="1" applyAlignment="1">
      <alignment horizontal="center" vertical="center" wrapText="1"/>
    </xf>
    <xf numFmtId="1" fontId="5" fillId="3" borderId="828" xfId="0" applyNumberFormat="1" applyFont="1" applyFill="1" applyBorder="1" applyAlignment="1">
      <alignment horizontal="center" vertical="center"/>
    </xf>
    <xf numFmtId="1" fontId="5" fillId="3" borderId="829" xfId="0" applyNumberFormat="1" applyFont="1" applyFill="1" applyBorder="1" applyAlignment="1">
      <alignment horizontal="center" vertical="center" wrapText="1"/>
    </xf>
    <xf numFmtId="1" fontId="5" fillId="2" borderId="834" xfId="1" applyNumberFormat="1" applyFont="1" applyBorder="1" applyProtection="1">
      <protection locked="0"/>
    </xf>
    <xf numFmtId="1" fontId="5" fillId="2" borderId="173" xfId="1" applyNumberFormat="1" applyFont="1" applyBorder="1" applyProtection="1">
      <protection locked="0"/>
    </xf>
    <xf numFmtId="1" fontId="5" fillId="2" borderId="103" xfId="1" applyNumberFormat="1" applyFont="1" applyBorder="1" applyProtection="1">
      <protection locked="0"/>
    </xf>
    <xf numFmtId="1" fontId="5" fillId="2" borderId="791" xfId="1" applyNumberFormat="1" applyFont="1" applyBorder="1" applyProtection="1">
      <protection locked="0"/>
    </xf>
    <xf numFmtId="1" fontId="5" fillId="2" borderId="790" xfId="1" applyNumberFormat="1" applyFont="1" applyBorder="1" applyProtection="1">
      <protection locked="0"/>
    </xf>
    <xf numFmtId="1" fontId="5" fillId="0" borderId="835" xfId="0" applyNumberFormat="1" applyFont="1" applyBorder="1"/>
    <xf numFmtId="1" fontId="5" fillId="2" borderId="836" xfId="1" applyNumberFormat="1" applyFont="1" applyBorder="1" applyProtection="1">
      <protection locked="0"/>
    </xf>
    <xf numFmtId="1" fontId="5" fillId="2" borderId="837" xfId="1" applyNumberFormat="1" applyFont="1" applyBorder="1" applyProtection="1">
      <protection locked="0"/>
    </xf>
    <xf numFmtId="1" fontId="5" fillId="2" borderId="244" xfId="1" applyNumberFormat="1" applyFont="1" applyBorder="1" applyProtection="1">
      <protection locked="0"/>
    </xf>
    <xf numFmtId="1" fontId="5" fillId="2" borderId="248" xfId="1" applyNumberFormat="1" applyFont="1" applyBorder="1" applyProtection="1">
      <protection locked="0"/>
    </xf>
    <xf numFmtId="1" fontId="5" fillId="2" borderId="838" xfId="1" applyNumberFormat="1" applyFont="1" applyBorder="1" applyProtection="1">
      <protection locked="0"/>
    </xf>
    <xf numFmtId="1" fontId="5" fillId="7" borderId="244" xfId="0" applyNumberFormat="1" applyFont="1" applyFill="1" applyBorder="1"/>
    <xf numFmtId="1" fontId="5" fillId="7" borderId="838" xfId="0" applyNumberFormat="1" applyFont="1" applyFill="1" applyBorder="1"/>
    <xf numFmtId="1" fontId="5" fillId="2" borderId="839" xfId="1" applyNumberFormat="1" applyFont="1" applyBorder="1" applyProtection="1">
      <protection locked="0"/>
    </xf>
    <xf numFmtId="1" fontId="5" fillId="2" borderId="840" xfId="1" applyNumberFormat="1" applyFont="1" applyBorder="1" applyProtection="1">
      <protection locked="0"/>
    </xf>
    <xf numFmtId="1" fontId="5" fillId="7" borderId="739" xfId="0" applyNumberFormat="1" applyFont="1" applyFill="1" applyBorder="1"/>
    <xf numFmtId="1" fontId="5" fillId="2" borderId="832" xfId="1" applyNumberFormat="1" applyFont="1" applyBorder="1" applyProtection="1">
      <protection locked="0"/>
    </xf>
    <xf numFmtId="1" fontId="5" fillId="7" borderId="803" xfId="0" applyNumberFormat="1" applyFont="1" applyFill="1" applyBorder="1"/>
    <xf numFmtId="1" fontId="5" fillId="21" borderId="841" xfId="0" applyNumberFormat="1" applyFont="1" applyFill="1" applyBorder="1"/>
    <xf numFmtId="1" fontId="5" fillId="2" borderId="12" xfId="1" applyNumberFormat="1" applyFont="1" applyBorder="1" applyProtection="1">
      <protection locked="0"/>
    </xf>
    <xf numFmtId="1" fontId="15" fillId="0" borderId="777" xfId="0" applyNumberFormat="1" applyFont="1" applyBorder="1"/>
    <xf numFmtId="1" fontId="19" fillId="0" borderId="817" xfId="0" applyNumberFormat="1" applyFont="1" applyBorder="1"/>
    <xf numFmtId="1" fontId="19" fillId="0" borderId="842" xfId="0" applyNumberFormat="1" applyFont="1" applyBorder="1"/>
    <xf numFmtId="1" fontId="19" fillId="0" borderId="777" xfId="0" applyNumberFormat="1" applyFont="1" applyBorder="1"/>
    <xf numFmtId="1" fontId="19" fillId="0" borderId="843" xfId="0" applyNumberFormat="1" applyFont="1" applyBorder="1"/>
    <xf numFmtId="1" fontId="19" fillId="0" borderId="844" xfId="0" applyNumberFormat="1" applyFont="1" applyBorder="1"/>
    <xf numFmtId="1" fontId="19" fillId="5" borderId="843" xfId="0" applyNumberFormat="1" applyFont="1" applyFill="1" applyBorder="1"/>
    <xf numFmtId="1" fontId="19" fillId="5" borderId="845" xfId="0" applyNumberFormat="1" applyFont="1" applyFill="1" applyBorder="1"/>
    <xf numFmtId="1" fontId="33" fillId="5" borderId="0" xfId="0" applyNumberFormat="1" applyFont="1" applyFill="1"/>
    <xf numFmtId="1" fontId="5" fillId="0" borderId="585" xfId="0" applyNumberFormat="1" applyFont="1" applyBorder="1" applyAlignment="1">
      <alignment horizontal="center" vertical="center" wrapText="1"/>
    </xf>
    <xf numFmtId="1" fontId="5" fillId="0" borderId="829" xfId="0" applyNumberFormat="1" applyFont="1" applyBorder="1" applyAlignment="1">
      <alignment horizontal="center" vertical="center" wrapText="1"/>
    </xf>
    <xf numFmtId="1" fontId="5" fillId="0" borderId="828" xfId="0" applyNumberFormat="1" applyFont="1" applyBorder="1" applyAlignment="1">
      <alignment horizontal="center" vertical="center" wrapText="1"/>
    </xf>
    <xf numFmtId="1" fontId="5" fillId="3" borderId="848" xfId="1" applyNumberFormat="1" applyFont="1" applyFill="1" applyBorder="1" applyAlignment="1">
      <alignment horizontal="right"/>
    </xf>
    <xf numFmtId="1" fontId="5" fillId="3" borderId="849" xfId="1" applyNumberFormat="1" applyFont="1" applyFill="1" applyBorder="1" applyAlignment="1">
      <alignment horizontal="right"/>
    </xf>
    <xf numFmtId="1" fontId="5" fillId="3" borderId="850" xfId="1" applyNumberFormat="1" applyFont="1" applyFill="1" applyBorder="1" applyAlignment="1">
      <alignment horizontal="right"/>
    </xf>
    <xf numFmtId="1" fontId="5" fillId="3" borderId="851" xfId="1" applyNumberFormat="1" applyFont="1" applyFill="1" applyBorder="1" applyAlignment="1">
      <alignment horizontal="right"/>
    </xf>
    <xf numFmtId="1" fontId="5" fillId="4" borderId="838" xfId="0" applyNumberFormat="1" applyFont="1" applyFill="1" applyBorder="1" applyProtection="1">
      <protection locked="0"/>
    </xf>
    <xf numFmtId="1" fontId="5" fillId="3" borderId="852" xfId="1" applyNumberFormat="1" applyFont="1" applyFill="1" applyBorder="1" applyAlignment="1">
      <alignment horizontal="right"/>
    </xf>
    <xf numFmtId="1" fontId="5" fillId="3" borderId="853" xfId="1" applyNumberFormat="1" applyFont="1" applyFill="1" applyBorder="1" applyAlignment="1">
      <alignment horizontal="right"/>
    </xf>
    <xf numFmtId="1" fontId="5" fillId="4" borderId="854" xfId="0" applyNumberFormat="1" applyFont="1" applyFill="1" applyBorder="1" applyProtection="1">
      <protection locked="0"/>
    </xf>
    <xf numFmtId="1" fontId="5" fillId="0" borderId="855" xfId="0" applyNumberFormat="1" applyFont="1" applyBorder="1"/>
    <xf numFmtId="1" fontId="5" fillId="7" borderId="856" xfId="0" applyNumberFormat="1" applyFont="1" applyFill="1" applyBorder="1"/>
    <xf numFmtId="1" fontId="5" fillId="4" borderId="856" xfId="0" applyNumberFormat="1" applyFont="1" applyFill="1" applyBorder="1" applyProtection="1">
      <protection locked="0"/>
    </xf>
    <xf numFmtId="1" fontId="5" fillId="3" borderId="0" xfId="1" applyNumberFormat="1" applyFont="1" applyFill="1" applyBorder="1" applyAlignment="1">
      <alignment horizontal="right"/>
    </xf>
    <xf numFmtId="1" fontId="5" fillId="3" borderId="451" xfId="1" applyNumberFormat="1" applyFont="1" applyFill="1" applyBorder="1" applyAlignment="1">
      <alignment horizontal="right"/>
    </xf>
    <xf numFmtId="1" fontId="5" fillId="4" borderId="452" xfId="0" applyNumberFormat="1" applyFont="1" applyFill="1" applyBorder="1" applyProtection="1">
      <protection locked="0"/>
    </xf>
    <xf numFmtId="1" fontId="5" fillId="3" borderId="857" xfId="1" applyNumberFormat="1" applyFont="1" applyFill="1" applyBorder="1" applyAlignment="1">
      <alignment horizontal="right"/>
    </xf>
    <xf numFmtId="1" fontId="5" fillId="3" borderId="858" xfId="1" applyNumberFormat="1" applyFont="1" applyFill="1" applyBorder="1" applyAlignment="1">
      <alignment horizontal="right"/>
    </xf>
    <xf numFmtId="1" fontId="5" fillId="0" borderId="860" xfId="0" applyNumberFormat="1" applyFont="1" applyBorder="1"/>
    <xf numFmtId="1" fontId="5" fillId="3" borderId="861" xfId="1" applyNumberFormat="1" applyFont="1" applyFill="1" applyBorder="1" applyAlignment="1">
      <alignment horizontal="right"/>
    </xf>
    <xf numFmtId="1" fontId="5" fillId="3" borderId="862" xfId="1" applyNumberFormat="1" applyFont="1" applyFill="1" applyBorder="1" applyAlignment="1">
      <alignment horizontal="right"/>
    </xf>
    <xf numFmtId="1" fontId="5" fillId="7" borderId="863" xfId="0" applyNumberFormat="1" applyFont="1" applyFill="1" applyBorder="1"/>
    <xf numFmtId="1" fontId="5" fillId="7" borderId="864" xfId="0" applyNumberFormat="1" applyFont="1" applyFill="1" applyBorder="1"/>
    <xf numFmtId="1" fontId="5" fillId="7" borderId="865" xfId="0" applyNumberFormat="1" applyFont="1" applyFill="1" applyBorder="1"/>
    <xf numFmtId="1" fontId="5" fillId="4" borderId="863" xfId="0" applyNumberFormat="1" applyFont="1" applyFill="1" applyBorder="1" applyProtection="1">
      <protection locked="0"/>
    </xf>
    <xf numFmtId="1" fontId="5" fillId="4" borderId="865" xfId="0" applyNumberFormat="1" applyFont="1" applyFill="1" applyBorder="1" applyProtection="1">
      <protection locked="0"/>
    </xf>
    <xf numFmtId="1" fontId="5" fillId="4" borderId="866" xfId="0" applyNumberFormat="1" applyFont="1" applyFill="1" applyBorder="1" applyProtection="1">
      <protection locked="0"/>
    </xf>
    <xf numFmtId="1" fontId="5" fillId="4" borderId="864" xfId="0" applyNumberFormat="1" applyFont="1" applyFill="1" applyBorder="1" applyProtection="1">
      <protection locked="0"/>
    </xf>
    <xf numFmtId="1" fontId="5" fillId="3" borderId="867" xfId="1" applyNumberFormat="1" applyFont="1" applyFill="1" applyBorder="1" applyAlignment="1">
      <alignment horizontal="right"/>
    </xf>
    <xf numFmtId="1" fontId="5" fillId="3" borderId="868" xfId="1" applyNumberFormat="1" applyFont="1" applyFill="1" applyBorder="1" applyAlignment="1">
      <alignment horizontal="right"/>
    </xf>
    <xf numFmtId="1" fontId="5" fillId="0" borderId="870" xfId="0" applyNumberFormat="1" applyFont="1" applyBorder="1"/>
    <xf numFmtId="1" fontId="5" fillId="3" borderId="871" xfId="1" applyNumberFormat="1" applyFont="1" applyFill="1" applyBorder="1" applyAlignment="1">
      <alignment horizontal="right"/>
    </xf>
    <xf numFmtId="1" fontId="5" fillId="3" borderId="872" xfId="1" applyNumberFormat="1" applyFont="1" applyFill="1" applyBorder="1" applyAlignment="1">
      <alignment horizontal="right"/>
    </xf>
    <xf numFmtId="1" fontId="5" fillId="4" borderId="873" xfId="0" applyNumberFormat="1" applyFont="1" applyFill="1" applyBorder="1" applyProtection="1">
      <protection locked="0"/>
    </xf>
    <xf numFmtId="1" fontId="5" fillId="4" borderId="874" xfId="0" applyNumberFormat="1" applyFont="1" applyFill="1" applyBorder="1" applyProtection="1">
      <protection locked="0"/>
    </xf>
    <xf numFmtId="1" fontId="5" fillId="4" borderId="875" xfId="0" applyNumberFormat="1" applyFont="1" applyFill="1" applyBorder="1" applyProtection="1">
      <protection locked="0"/>
    </xf>
    <xf numFmtId="1" fontId="5" fillId="4" borderId="876" xfId="0" applyNumberFormat="1" applyFont="1" applyFill="1" applyBorder="1" applyProtection="1">
      <protection locked="0"/>
    </xf>
    <xf numFmtId="1" fontId="5" fillId="3" borderId="877" xfId="1" applyNumberFormat="1" applyFont="1" applyFill="1" applyBorder="1" applyAlignment="1">
      <alignment horizontal="right"/>
    </xf>
    <xf numFmtId="1" fontId="5" fillId="3" borderId="878" xfId="1" applyNumberFormat="1" applyFont="1" applyFill="1" applyBorder="1" applyAlignment="1">
      <alignment horizontal="right"/>
    </xf>
    <xf numFmtId="1" fontId="5" fillId="3" borderId="879" xfId="1" applyNumberFormat="1" applyFont="1" applyFill="1" applyBorder="1" applyAlignment="1">
      <alignment horizontal="right"/>
    </xf>
    <xf numFmtId="1" fontId="5" fillId="3" borderId="880" xfId="1" applyNumberFormat="1" applyFont="1" applyFill="1" applyBorder="1" applyAlignment="1">
      <alignment horizontal="right"/>
    </xf>
    <xf numFmtId="1" fontId="5" fillId="0" borderId="882" xfId="0" applyNumberFormat="1" applyFont="1" applyBorder="1"/>
    <xf numFmtId="1" fontId="5" fillId="3" borderId="883" xfId="1" applyNumberFormat="1" applyFont="1" applyFill="1" applyBorder="1" applyAlignment="1">
      <alignment horizontal="right"/>
    </xf>
    <xf numFmtId="1" fontId="5" fillId="3" borderId="884" xfId="1" applyNumberFormat="1" applyFont="1" applyFill="1" applyBorder="1" applyAlignment="1">
      <alignment horizontal="right"/>
    </xf>
    <xf numFmtId="1" fontId="5" fillId="4" borderId="885" xfId="0" applyNumberFormat="1" applyFont="1" applyFill="1" applyBorder="1" applyProtection="1">
      <protection locked="0"/>
    </xf>
    <xf numFmtId="1" fontId="5" fillId="4" borderId="886" xfId="0" applyNumberFormat="1" applyFont="1" applyFill="1" applyBorder="1" applyProtection="1">
      <protection locked="0"/>
    </xf>
    <xf numFmtId="1" fontId="5" fillId="4" borderId="887" xfId="0" applyNumberFormat="1" applyFont="1" applyFill="1" applyBorder="1" applyProtection="1">
      <protection locked="0"/>
    </xf>
    <xf numFmtId="1" fontId="5" fillId="4" borderId="888" xfId="0" applyNumberFormat="1" applyFont="1" applyFill="1" applyBorder="1" applyProtection="1">
      <protection locked="0"/>
    </xf>
    <xf numFmtId="1" fontId="5" fillId="3" borderId="889" xfId="1" applyNumberFormat="1" applyFont="1" applyFill="1" applyBorder="1" applyAlignment="1">
      <alignment horizontal="right"/>
    </xf>
    <xf numFmtId="1" fontId="5" fillId="3" borderId="890" xfId="1" applyNumberFormat="1" applyFont="1" applyFill="1" applyBorder="1" applyAlignment="1">
      <alignment horizontal="right"/>
    </xf>
    <xf numFmtId="1" fontId="5" fillId="3" borderId="891" xfId="1" applyNumberFormat="1" applyFont="1" applyFill="1" applyBorder="1" applyAlignment="1">
      <alignment horizontal="right"/>
    </xf>
    <xf numFmtId="1" fontId="5" fillId="3" borderId="892" xfId="1" applyNumberFormat="1" applyFont="1" applyFill="1" applyBorder="1" applyAlignment="1">
      <alignment horizontal="right"/>
    </xf>
    <xf numFmtId="1" fontId="5" fillId="3" borderId="833" xfId="1" applyNumberFormat="1" applyFont="1" applyFill="1" applyBorder="1" applyAlignment="1">
      <alignment horizontal="right"/>
    </xf>
    <xf numFmtId="1" fontId="5" fillId="0" borderId="894" xfId="0" applyNumberFormat="1" applyFont="1" applyBorder="1"/>
    <xf numFmtId="1" fontId="5" fillId="3" borderId="895" xfId="1" applyNumberFormat="1" applyFont="1" applyFill="1" applyBorder="1" applyAlignment="1">
      <alignment horizontal="right"/>
    </xf>
    <xf numFmtId="1" fontId="5" fillId="3" borderId="896" xfId="1" applyNumberFormat="1" applyFont="1" applyFill="1" applyBorder="1" applyAlignment="1">
      <alignment horizontal="right"/>
    </xf>
    <xf numFmtId="1" fontId="5" fillId="4" borderId="897" xfId="0" applyNumberFormat="1" applyFont="1" applyFill="1" applyBorder="1" applyProtection="1">
      <protection locked="0"/>
    </xf>
    <xf numFmtId="1" fontId="5" fillId="4" borderId="898" xfId="0" applyNumberFormat="1" applyFont="1" applyFill="1" applyBorder="1" applyProtection="1">
      <protection locked="0"/>
    </xf>
    <xf numFmtId="1" fontId="5" fillId="7" borderId="897" xfId="0" applyNumberFormat="1" applyFont="1" applyFill="1" applyBorder="1"/>
    <xf numFmtId="1" fontId="5" fillId="7" borderId="899" xfId="0" applyNumberFormat="1" applyFont="1" applyFill="1" applyBorder="1"/>
    <xf numFmtId="1" fontId="5" fillId="7" borderId="898" xfId="0" applyNumberFormat="1" applyFont="1" applyFill="1" applyBorder="1"/>
    <xf numFmtId="1" fontId="5" fillId="7" borderId="900" xfId="0" applyNumberFormat="1" applyFont="1" applyFill="1" applyBorder="1"/>
    <xf numFmtId="1" fontId="5" fillId="7" borderId="901" xfId="0" applyNumberFormat="1" applyFont="1" applyFill="1" applyBorder="1"/>
    <xf numFmtId="1" fontId="5" fillId="4" borderId="899" xfId="0" applyNumberFormat="1" applyFont="1" applyFill="1" applyBorder="1" applyProtection="1">
      <protection locked="0"/>
    </xf>
    <xf numFmtId="1" fontId="5" fillId="3" borderId="902" xfId="1" applyNumberFormat="1" applyFont="1" applyFill="1" applyBorder="1" applyAlignment="1">
      <alignment horizontal="right"/>
    </xf>
    <xf numFmtId="1" fontId="5" fillId="7" borderId="903" xfId="0" applyNumberFormat="1" applyFont="1" applyFill="1" applyBorder="1"/>
    <xf numFmtId="1" fontId="5" fillId="3" borderId="904" xfId="1" applyNumberFormat="1" applyFont="1" applyFill="1" applyBorder="1" applyAlignment="1">
      <alignment horizontal="right"/>
    </xf>
    <xf numFmtId="1" fontId="5" fillId="3" borderId="905" xfId="1" applyNumberFormat="1" applyFont="1" applyFill="1" applyBorder="1" applyAlignment="1">
      <alignment horizontal="right"/>
    </xf>
    <xf numFmtId="1" fontId="5" fillId="3" borderId="906" xfId="1" applyNumberFormat="1" applyFont="1" applyFill="1" applyBorder="1" applyAlignment="1">
      <alignment horizontal="right"/>
    </xf>
    <xf numFmtId="1" fontId="5" fillId="7" borderId="11" xfId="0" applyNumberFormat="1" applyFont="1" applyFill="1" applyBorder="1"/>
    <xf numFmtId="1" fontId="5" fillId="7" borderId="854" xfId="0" applyNumberFormat="1" applyFont="1" applyFill="1" applyBorder="1"/>
    <xf numFmtId="1" fontId="20" fillId="0" borderId="777" xfId="0" applyNumberFormat="1" applyFont="1" applyBorder="1"/>
    <xf numFmtId="1" fontId="5" fillId="4" borderId="911" xfId="0" applyNumberFormat="1" applyFont="1" applyFill="1" applyBorder="1" applyProtection="1">
      <protection locked="0"/>
    </xf>
    <xf numFmtId="1" fontId="5" fillId="4" borderId="912" xfId="0" applyNumberFormat="1" applyFont="1" applyFill="1" applyBorder="1" applyProtection="1">
      <protection locked="0"/>
    </xf>
    <xf numFmtId="1" fontId="5" fillId="4" borderId="835" xfId="0" applyNumberFormat="1" applyFont="1" applyFill="1" applyBorder="1" applyProtection="1">
      <protection locked="0"/>
    </xf>
    <xf numFmtId="0" fontId="0" fillId="16" borderId="0" xfId="0" applyFill="1" applyAlignment="1">
      <alignment vertical="center"/>
    </xf>
    <xf numFmtId="1" fontId="5" fillId="4" borderId="913" xfId="0" applyNumberFormat="1" applyFont="1" applyFill="1" applyBorder="1" applyProtection="1">
      <protection locked="0"/>
    </xf>
    <xf numFmtId="1" fontId="5" fillId="0" borderId="914" xfId="0" applyNumberFormat="1" applyFont="1" applyBorder="1"/>
    <xf numFmtId="1" fontId="5" fillId="0" borderId="915" xfId="0" applyNumberFormat="1" applyFont="1" applyBorder="1"/>
    <xf numFmtId="1" fontId="5" fillId="0" borderId="909" xfId="0" applyNumberFormat="1" applyFont="1" applyBorder="1"/>
    <xf numFmtId="1" fontId="15" fillId="3" borderId="36" xfId="0" applyNumberFormat="1" applyFont="1" applyFill="1" applyBorder="1"/>
    <xf numFmtId="1" fontId="5" fillId="3" borderId="36" xfId="0" applyNumberFormat="1" applyFont="1" applyFill="1" applyBorder="1" applyAlignment="1">
      <alignment horizontal="left" vertical="center" wrapText="1"/>
    </xf>
    <xf numFmtId="1" fontId="5" fillId="0" borderId="919" xfId="0" applyNumberFormat="1" applyFont="1" applyBorder="1" applyAlignment="1">
      <alignment horizontal="center" vertical="center" wrapText="1"/>
    </xf>
    <xf numFmtId="1" fontId="5" fillId="3" borderId="835" xfId="0" applyNumberFormat="1" applyFont="1" applyFill="1" applyBorder="1"/>
    <xf numFmtId="1" fontId="5" fillId="4" borderId="920" xfId="0" applyNumberFormat="1" applyFont="1" applyFill="1" applyBorder="1" applyProtection="1">
      <protection locked="0"/>
    </xf>
    <xf numFmtId="1" fontId="43" fillId="3" borderId="0" xfId="0" applyNumberFormat="1" applyFont="1" applyFill="1"/>
    <xf numFmtId="1" fontId="43" fillId="0" borderId="0" xfId="0" applyNumberFormat="1" applyFont="1"/>
    <xf numFmtId="1" fontId="38" fillId="3" borderId="0" xfId="0" applyNumberFormat="1" applyFont="1" applyFill="1"/>
    <xf numFmtId="1" fontId="5" fillId="0" borderId="919" xfId="0" applyNumberFormat="1" applyFont="1" applyBorder="1" applyAlignment="1">
      <alignment horizontal="center" vertical="center"/>
    </xf>
    <xf numFmtId="1" fontId="5" fillId="0" borderId="921" xfId="0" applyNumberFormat="1" applyFont="1" applyBorder="1" applyAlignment="1">
      <alignment horizontal="center" vertical="center" wrapText="1"/>
    </xf>
    <xf numFmtId="1" fontId="5" fillId="0" borderId="915" xfId="0" applyNumberFormat="1" applyFont="1" applyBorder="1" applyAlignment="1">
      <alignment horizontal="center" vertical="center" wrapText="1"/>
    </xf>
    <xf numFmtId="1" fontId="5" fillId="0" borderId="918" xfId="0" applyNumberFormat="1" applyFont="1" applyBorder="1" applyAlignment="1">
      <alignment horizontal="center" vertical="center" wrapText="1"/>
    </xf>
    <xf numFmtId="1" fontId="5" fillId="3" borderId="245" xfId="1" applyNumberFormat="1" applyFont="1" applyFill="1" applyBorder="1" applyAlignment="1">
      <alignment horizontal="right"/>
    </xf>
    <xf numFmtId="1" fontId="5" fillId="3" borderId="244" xfId="1" applyNumberFormat="1" applyFont="1" applyFill="1" applyBorder="1" applyAlignment="1">
      <alignment horizontal="right"/>
    </xf>
    <xf numFmtId="1" fontId="5" fillId="3" borderId="246" xfId="1" applyNumberFormat="1" applyFont="1" applyFill="1" applyBorder="1" applyAlignment="1">
      <alignment horizontal="right"/>
    </xf>
    <xf numFmtId="1" fontId="5" fillId="8" borderId="911" xfId="0" applyNumberFormat="1" applyFont="1" applyFill="1" applyBorder="1" applyProtection="1">
      <protection locked="0"/>
    </xf>
    <xf numFmtId="1" fontId="5" fillId="8" borderId="248" xfId="0" applyNumberFormat="1" applyFont="1" applyFill="1" applyBorder="1" applyProtection="1">
      <protection locked="0"/>
    </xf>
    <xf numFmtId="1" fontId="5" fillId="3" borderId="831" xfId="1" applyNumberFormat="1" applyFont="1" applyFill="1" applyBorder="1" applyAlignment="1">
      <alignment horizontal="right"/>
    </xf>
    <xf numFmtId="1" fontId="5" fillId="3" borderId="832" xfId="1" applyNumberFormat="1" applyFont="1" applyFill="1" applyBorder="1" applyAlignment="1">
      <alignment horizontal="right"/>
    </xf>
    <xf numFmtId="1" fontId="5" fillId="8" borderId="739" xfId="0" applyNumberFormat="1" applyFont="1" applyFill="1" applyBorder="1" applyProtection="1">
      <protection locked="0"/>
    </xf>
    <xf numFmtId="1" fontId="5" fillId="8" borderId="807" xfId="0" applyNumberFormat="1" applyFont="1" applyFill="1" applyBorder="1" applyProtection="1">
      <protection locked="0"/>
    </xf>
    <xf numFmtId="1" fontId="5" fillId="8" borderId="651" xfId="0" applyNumberFormat="1" applyFont="1" applyFill="1" applyBorder="1" applyProtection="1">
      <protection locked="0"/>
    </xf>
    <xf numFmtId="1" fontId="5" fillId="8" borderId="804" xfId="0" applyNumberFormat="1" applyFont="1" applyFill="1" applyBorder="1" applyProtection="1">
      <protection locked="0"/>
    </xf>
    <xf numFmtId="1" fontId="5" fillId="3" borderId="20" xfId="1" applyNumberFormat="1" applyFont="1" applyFill="1" applyBorder="1" applyAlignment="1">
      <alignment horizontal="right"/>
    </xf>
    <xf numFmtId="1" fontId="5" fillId="3" borderId="251" xfId="1" applyNumberFormat="1" applyFont="1" applyFill="1" applyBorder="1" applyAlignment="1">
      <alignment horizontal="right"/>
    </xf>
    <xf numFmtId="1" fontId="5" fillId="3" borderId="226" xfId="1" applyNumberFormat="1" applyFont="1" applyFill="1" applyBorder="1" applyAlignment="1">
      <alignment horizontal="right"/>
    </xf>
    <xf numFmtId="1" fontId="33" fillId="34" borderId="0" xfId="0" applyNumberFormat="1" applyFont="1" applyFill="1"/>
    <xf numFmtId="1" fontId="44" fillId="3" borderId="0" xfId="0" applyNumberFormat="1" applyFont="1" applyFill="1"/>
    <xf numFmtId="1" fontId="5" fillId="0" borderId="918" xfId="0" applyNumberFormat="1" applyFont="1" applyBorder="1" applyAlignment="1">
      <alignment horizontal="center" vertical="center"/>
    </xf>
    <xf numFmtId="1" fontId="5" fillId="0" borderId="914" xfId="0" applyNumberFormat="1" applyFont="1" applyBorder="1" applyAlignment="1">
      <alignment horizontal="center" vertical="center"/>
    </xf>
    <xf numFmtId="1" fontId="5" fillId="0" borderId="919" xfId="0" applyNumberFormat="1" applyFont="1" applyBorder="1"/>
    <xf numFmtId="1" fontId="5" fillId="0" borderId="918" xfId="0" applyNumberFormat="1" applyFont="1" applyBorder="1"/>
    <xf numFmtId="1" fontId="5" fillId="0" borderId="910" xfId="0" applyNumberFormat="1" applyFont="1" applyBorder="1"/>
    <xf numFmtId="1" fontId="5" fillId="0" borderId="835" xfId="0" applyNumberFormat="1" applyFont="1" applyBorder="1" applyAlignment="1">
      <alignment horizontal="left" vertical="center"/>
    </xf>
    <xf numFmtId="1" fontId="5" fillId="3" borderId="13" xfId="0" applyNumberFormat="1" applyFont="1" applyFill="1" applyBorder="1" applyAlignment="1">
      <alignment horizontal="left" vertical="center"/>
    </xf>
    <xf numFmtId="1" fontId="5" fillId="0" borderId="915" xfId="0" applyNumberFormat="1" applyFont="1" applyBorder="1" applyAlignment="1">
      <alignment horizontal="center" vertical="center"/>
    </xf>
    <xf numFmtId="1" fontId="5" fillId="0" borderId="922" xfId="0" applyNumberFormat="1" applyFont="1" applyBorder="1" applyAlignment="1">
      <alignment horizontal="center" vertical="center"/>
    </xf>
    <xf numFmtId="1" fontId="5" fillId="0" borderId="909" xfId="0" applyNumberFormat="1" applyFont="1" applyBorder="1" applyAlignment="1">
      <alignment horizontal="center" vertical="center"/>
    </xf>
    <xf numFmtId="1" fontId="5" fillId="0" borderId="922" xfId="0" applyNumberFormat="1" applyFont="1" applyBorder="1"/>
    <xf numFmtId="1" fontId="5" fillId="0" borderId="245" xfId="0" applyNumberFormat="1" applyFont="1" applyBorder="1"/>
    <xf numFmtId="1" fontId="5" fillId="0" borderId="838" xfId="0" applyNumberFormat="1" applyFont="1" applyBorder="1"/>
    <xf numFmtId="1" fontId="5" fillId="0" borderId="831" xfId="0" applyNumberFormat="1" applyFont="1" applyBorder="1"/>
    <xf numFmtId="1" fontId="5" fillId="0" borderId="894" xfId="0" applyNumberFormat="1" applyFont="1" applyBorder="1" applyAlignment="1">
      <alignment horizontal="left" vertical="center"/>
    </xf>
    <xf numFmtId="1" fontId="5" fillId="0" borderId="897" xfId="0" applyNumberFormat="1" applyFont="1" applyBorder="1"/>
    <xf numFmtId="1" fontId="5" fillId="0" borderId="899" xfId="0" applyNumberFormat="1" applyFont="1" applyBorder="1"/>
    <xf numFmtId="1" fontId="5" fillId="4" borderId="901" xfId="0" applyNumberFormat="1" applyFont="1" applyFill="1" applyBorder="1" applyProtection="1">
      <protection locked="0"/>
    </xf>
    <xf numFmtId="1" fontId="5" fillId="5" borderId="0" xfId="0" applyNumberFormat="1" applyFont="1" applyFill="1"/>
    <xf numFmtId="1" fontId="5" fillId="0" borderId="894" xfId="0" applyNumberFormat="1" applyFont="1" applyBorder="1" applyAlignment="1">
      <alignment horizontal="left" vertical="center" wrapText="1"/>
    </xf>
    <xf numFmtId="1" fontId="26" fillId="5" borderId="0" xfId="0" applyNumberFormat="1" applyFont="1" applyFill="1"/>
    <xf numFmtId="1" fontId="26" fillId="5" borderId="0" xfId="0" applyNumberFormat="1" applyFont="1" applyFill="1" applyProtection="1">
      <protection locked="0"/>
    </xf>
    <xf numFmtId="1" fontId="26" fillId="0" borderId="0" xfId="0" applyNumberFormat="1" applyFont="1" applyProtection="1">
      <protection locked="0"/>
    </xf>
    <xf numFmtId="1" fontId="17" fillId="3" borderId="0" xfId="0" applyNumberFormat="1" applyFont="1" applyFill="1" applyAlignment="1">
      <alignment wrapText="1"/>
    </xf>
    <xf numFmtId="1" fontId="42" fillId="3" borderId="159" xfId="0" applyNumberFormat="1" applyFont="1" applyFill="1" applyBorder="1" applyAlignment="1">
      <alignment wrapText="1"/>
    </xf>
    <xf numFmtId="1" fontId="42" fillId="3" borderId="0" xfId="0" applyNumberFormat="1" applyFont="1" applyFill="1" applyAlignment="1">
      <alignment wrapText="1"/>
    </xf>
    <xf numFmtId="1" fontId="26" fillId="0" borderId="160" xfId="0" applyNumberFormat="1" applyFont="1" applyBorder="1"/>
    <xf numFmtId="1" fontId="26" fillId="0" borderId="923" xfId="0" applyNumberFormat="1" applyFont="1" applyBorder="1"/>
    <xf numFmtId="1" fontId="26" fillId="0" borderId="924" xfId="0" applyNumberFormat="1" applyFont="1" applyBorder="1"/>
    <xf numFmtId="1" fontId="26" fillId="0" borderId="925" xfId="0" applyNumberFormat="1" applyFont="1" applyBorder="1"/>
    <xf numFmtId="1" fontId="26" fillId="0" borderId="159" xfId="0" applyNumberFormat="1" applyFont="1" applyBorder="1"/>
    <xf numFmtId="1" fontId="5" fillId="0" borderId="919" xfId="0" applyNumberFormat="1" applyFont="1" applyBorder="1" applyAlignment="1">
      <alignment horizontal="right"/>
    </xf>
    <xf numFmtId="1" fontId="5" fillId="0" borderId="921" xfId="0" applyNumberFormat="1" applyFont="1" applyBorder="1" applyAlignment="1">
      <alignment horizontal="right"/>
    </xf>
    <xf numFmtId="1" fontId="5" fillId="0" borderId="915" xfId="0" applyNumberFormat="1" applyFont="1" applyBorder="1" applyAlignment="1">
      <alignment horizontal="right"/>
    </xf>
    <xf numFmtId="1" fontId="5" fillId="4" borderId="919" xfId="0" applyNumberFormat="1" applyFont="1" applyFill="1" applyBorder="1" applyProtection="1">
      <protection locked="0"/>
    </xf>
    <xf numFmtId="1" fontId="5" fillId="4" borderId="915" xfId="0" applyNumberFormat="1" applyFont="1" applyFill="1" applyBorder="1" applyProtection="1">
      <protection locked="0"/>
    </xf>
    <xf numFmtId="1" fontId="5" fillId="0" borderId="897" xfId="0" applyNumberFormat="1" applyFont="1" applyBorder="1" applyAlignment="1">
      <alignment horizontal="right" wrapText="1"/>
    </xf>
    <xf numFmtId="1" fontId="5" fillId="0" borderId="899" xfId="0" applyNumberFormat="1" applyFont="1" applyBorder="1" applyAlignment="1">
      <alignment horizontal="right"/>
    </xf>
    <xf numFmtId="1" fontId="5" fillId="0" borderId="831" xfId="0" applyNumberFormat="1" applyFont="1" applyBorder="1" applyAlignment="1">
      <alignment horizontal="right" wrapText="1"/>
    </xf>
    <xf numFmtId="1" fontId="5" fillId="0" borderId="739" xfId="0" applyNumberFormat="1" applyFont="1" applyBorder="1" applyAlignment="1">
      <alignment horizontal="right"/>
    </xf>
    <xf numFmtId="1" fontId="5" fillId="9" borderId="927" xfId="32" applyNumberFormat="1" applyFont="1" applyBorder="1" applyProtection="1">
      <protection locked="0"/>
    </xf>
    <xf numFmtId="1" fontId="5" fillId="9" borderId="928" xfId="32" applyNumberFormat="1" applyFont="1" applyBorder="1" applyProtection="1">
      <protection locked="0"/>
    </xf>
    <xf numFmtId="1" fontId="5" fillId="9" borderId="929" xfId="32" applyNumberFormat="1" applyFont="1" applyBorder="1" applyProtection="1">
      <protection locked="0"/>
    </xf>
    <xf numFmtId="1" fontId="20" fillId="3" borderId="0" xfId="0" applyNumberFormat="1" applyFont="1" applyFill="1" applyAlignment="1">
      <alignment wrapText="1"/>
    </xf>
    <xf numFmtId="1" fontId="17" fillId="5" borderId="0" xfId="0" applyNumberFormat="1" applyFont="1" applyFill="1" applyAlignment="1">
      <alignment wrapText="1"/>
    </xf>
    <xf numFmtId="1" fontId="5" fillId="0" borderId="502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horizontal="center" vertical="center" wrapText="1"/>
    </xf>
    <xf numFmtId="1" fontId="5" fillId="0" borderId="932" xfId="0" applyNumberFormat="1" applyFont="1" applyBorder="1" applyAlignment="1">
      <alignment horizontal="center" vertical="center" wrapText="1"/>
    </xf>
    <xf numFmtId="1" fontId="5" fillId="0" borderId="933" xfId="0" applyNumberFormat="1" applyFont="1" applyBorder="1" applyAlignment="1">
      <alignment horizontal="center" vertical="center" wrapText="1"/>
    </xf>
    <xf numFmtId="1" fontId="5" fillId="0" borderId="502" xfId="0" applyNumberFormat="1" applyFont="1" applyBorder="1" applyAlignment="1">
      <alignment horizontal="right" wrapText="1"/>
    </xf>
    <xf numFmtId="1" fontId="5" fillId="0" borderId="458" xfId="0" applyNumberFormat="1" applyFont="1" applyBorder="1" applyAlignment="1">
      <alignment horizontal="right" wrapText="1"/>
    </xf>
    <xf numFmtId="1" fontId="5" fillId="0" borderId="932" xfId="0" applyNumberFormat="1" applyFont="1" applyBorder="1" applyAlignment="1">
      <alignment horizontal="right" wrapText="1"/>
    </xf>
    <xf numFmtId="1" fontId="5" fillId="4" borderId="922" xfId="0" applyNumberFormat="1" applyFont="1" applyFill="1" applyBorder="1" applyProtection="1">
      <protection locked="0"/>
    </xf>
    <xf numFmtId="1" fontId="5" fillId="4" borderId="935" xfId="0" applyNumberFormat="1" applyFont="1" applyFill="1" applyBorder="1" applyProtection="1">
      <protection locked="0"/>
    </xf>
    <xf numFmtId="1" fontId="5" fillId="4" borderId="910" xfId="0" applyNumberFormat="1" applyFont="1" applyFill="1" applyBorder="1" applyProtection="1">
      <protection locked="0"/>
    </xf>
    <xf numFmtId="1" fontId="5" fillId="4" borderId="932" xfId="0" applyNumberFormat="1" applyFont="1" applyFill="1" applyBorder="1" applyProtection="1">
      <protection locked="0"/>
    </xf>
    <xf numFmtId="1" fontId="16" fillId="5" borderId="0" xfId="0" applyNumberFormat="1" applyFont="1" applyFill="1" applyAlignment="1">
      <alignment vertical="center"/>
    </xf>
    <xf numFmtId="1" fontId="22" fillId="0" borderId="0" xfId="0" applyNumberFormat="1" applyFont="1"/>
    <xf numFmtId="1" fontId="22" fillId="16" borderId="0" xfId="0" applyNumberFormat="1" applyFont="1" applyFill="1"/>
    <xf numFmtId="0" fontId="7" fillId="0" borderId="0" xfId="0" applyFont="1" applyAlignment="1">
      <alignment vertical="center"/>
    </xf>
    <xf numFmtId="1" fontId="5" fillId="0" borderId="835" xfId="0" applyNumberFormat="1" applyFont="1" applyBorder="1" applyAlignment="1">
      <alignment horizontal="left" vertical="center" wrapText="1"/>
    </xf>
    <xf numFmtId="1" fontId="5" fillId="4" borderId="903" xfId="0" applyNumberFormat="1" applyFont="1" applyFill="1" applyBorder="1" applyProtection="1">
      <protection locked="0"/>
    </xf>
    <xf numFmtId="1" fontId="5" fillId="0" borderId="244" xfId="0" applyNumberFormat="1" applyFont="1" applyBorder="1" applyAlignment="1">
      <alignment horizontal="right" wrapText="1"/>
    </xf>
    <xf numFmtId="1" fontId="5" fillId="0" borderId="838" xfId="0" applyNumberFormat="1" applyFont="1" applyBorder="1" applyAlignment="1">
      <alignment horizontal="right"/>
    </xf>
    <xf numFmtId="1" fontId="5" fillId="0" borderId="832" xfId="0" applyNumberFormat="1" applyFont="1" applyBorder="1" applyAlignment="1">
      <alignment horizontal="right" wrapText="1"/>
    </xf>
    <xf numFmtId="1" fontId="5" fillId="4" borderId="936" xfId="0" applyNumberFormat="1" applyFont="1" applyFill="1" applyBorder="1" applyProtection="1">
      <protection locked="0"/>
    </xf>
    <xf numFmtId="1" fontId="5" fillId="4" borderId="900" xfId="0" applyNumberFormat="1" applyFont="1" applyFill="1" applyBorder="1" applyProtection="1">
      <protection locked="0"/>
    </xf>
    <xf numFmtId="1" fontId="5" fillId="4" borderId="937" xfId="0" applyNumberFormat="1" applyFont="1" applyFill="1" applyBorder="1" applyProtection="1">
      <protection locked="0"/>
    </xf>
    <xf numFmtId="1" fontId="5" fillId="4" borderId="938" xfId="0" applyNumberFormat="1" applyFont="1" applyFill="1" applyBorder="1" applyProtection="1">
      <protection locked="0"/>
    </xf>
    <xf numFmtId="1" fontId="5" fillId="5" borderId="20" xfId="0" applyNumberFormat="1" applyFont="1" applyFill="1" applyBorder="1" applyAlignment="1">
      <alignment horizontal="right" wrapText="1"/>
    </xf>
    <xf numFmtId="1" fontId="5" fillId="5" borderId="251" xfId="0" applyNumberFormat="1" applyFont="1" applyFill="1" applyBorder="1" applyAlignment="1">
      <alignment horizontal="right" wrapText="1"/>
    </xf>
    <xf numFmtId="1" fontId="5" fillId="5" borderId="22" xfId="0" applyNumberFormat="1" applyFont="1" applyFill="1" applyBorder="1" applyAlignment="1">
      <alignment horizontal="right"/>
    </xf>
    <xf numFmtId="0" fontId="5" fillId="0" borderId="0" xfId="0" applyFont="1"/>
    <xf numFmtId="0" fontId="5" fillId="0" borderId="835" xfId="0" applyFont="1" applyBorder="1"/>
    <xf numFmtId="1" fontId="5" fillId="0" borderId="718" xfId="0" applyNumberFormat="1" applyFont="1" applyBorder="1" applyAlignment="1">
      <alignment horizontal="right" wrapText="1"/>
    </xf>
    <xf numFmtId="1" fontId="5" fillId="0" borderId="220" xfId="0" applyNumberFormat="1" applyFont="1" applyBorder="1" applyAlignment="1">
      <alignment horizontal="right"/>
    </xf>
    <xf numFmtId="0" fontId="5" fillId="0" borderId="13" xfId="0" applyFont="1" applyBorder="1"/>
    <xf numFmtId="1" fontId="15" fillId="0" borderId="585" xfId="0" applyNumberFormat="1" applyFont="1" applyBorder="1"/>
    <xf numFmtId="1" fontId="20" fillId="0" borderId="585" xfId="0" applyNumberFormat="1" applyFont="1" applyBorder="1"/>
    <xf numFmtId="1" fontId="5" fillId="0" borderId="900" xfId="0" applyNumberFormat="1" applyFont="1" applyBorder="1" applyAlignment="1">
      <alignment vertical="center" wrapText="1"/>
    </xf>
    <xf numFmtId="1" fontId="5" fillId="0" borderId="940" xfId="0" applyNumberFormat="1" applyFont="1" applyBorder="1" applyAlignment="1">
      <alignment vertical="center" wrapText="1"/>
    </xf>
    <xf numFmtId="1" fontId="5" fillId="4" borderId="940" xfId="0" applyNumberFormat="1" applyFont="1" applyFill="1" applyBorder="1" applyProtection="1">
      <protection locked="0"/>
    </xf>
    <xf numFmtId="1" fontId="5" fillId="0" borderId="903" xfId="0" applyNumberFormat="1" applyFont="1" applyBorder="1" applyAlignment="1">
      <alignment vertical="center" wrapText="1"/>
    </xf>
    <xf numFmtId="1" fontId="5" fillId="0" borderId="225" xfId="0" applyNumberFormat="1" applyFont="1" applyBorder="1" applyAlignment="1">
      <alignment vertical="center" wrapText="1"/>
    </xf>
    <xf numFmtId="1" fontId="5" fillId="0" borderId="917" xfId="0" applyNumberFormat="1" applyFont="1" applyBorder="1" applyAlignment="1">
      <alignment vertical="center" wrapText="1"/>
    </xf>
    <xf numFmtId="1" fontId="5" fillId="0" borderId="932" xfId="0" applyNumberFormat="1" applyFont="1" applyBorder="1"/>
    <xf numFmtId="1" fontId="5" fillId="0" borderId="921" xfId="0" applyNumberFormat="1" applyFont="1" applyBorder="1" applyAlignment="1">
      <alignment horizontal="right" wrapText="1"/>
    </xf>
    <xf numFmtId="1" fontId="5" fillId="0" borderId="917" xfId="0" applyNumberFormat="1" applyFont="1" applyBorder="1"/>
    <xf numFmtId="1" fontId="5" fillId="0" borderId="59" xfId="0" applyNumberFormat="1" applyFont="1" applyBorder="1" applyAlignment="1">
      <alignment vertical="center"/>
    </xf>
    <xf numFmtId="1" fontId="5" fillId="0" borderId="225" xfId="0" applyNumberFormat="1" applyFont="1" applyBorder="1" applyAlignment="1">
      <alignment horizontal="right"/>
    </xf>
    <xf numFmtId="1" fontId="5" fillId="0" borderId="835" xfId="0" applyNumberFormat="1" applyFont="1" applyBorder="1" applyAlignment="1">
      <alignment horizontal="right" wrapText="1"/>
    </xf>
    <xf numFmtId="1" fontId="5" fillId="0" borderId="911" xfId="0" applyNumberFormat="1" applyFont="1" applyBorder="1" applyAlignment="1">
      <alignment horizontal="right" wrapText="1"/>
    </xf>
    <xf numFmtId="1" fontId="5" fillId="0" borderId="914" xfId="0" applyNumberFormat="1" applyFont="1" applyBorder="1" applyAlignment="1">
      <alignment horizontal="center" vertical="center" wrapText="1"/>
    </xf>
    <xf numFmtId="1" fontId="5" fillId="0" borderId="917" xfId="0" applyNumberFormat="1" applyFont="1" applyBorder="1" applyAlignment="1">
      <alignment horizontal="center" vertical="center" wrapText="1"/>
    </xf>
    <xf numFmtId="1" fontId="5" fillId="0" borderId="916" xfId="0" applyNumberFormat="1" applyFont="1" applyBorder="1" applyAlignment="1">
      <alignment horizontal="center" vertical="center" wrapText="1"/>
    </xf>
    <xf numFmtId="1" fontId="5" fillId="0" borderId="894" xfId="0" applyNumberFormat="1" applyFont="1" applyBorder="1" applyAlignment="1">
      <alignment horizontal="right" wrapText="1"/>
    </xf>
    <xf numFmtId="1" fontId="5" fillId="4" borderId="894" xfId="0" applyNumberFormat="1" applyFont="1" applyFill="1" applyBorder="1" applyProtection="1">
      <protection locked="0"/>
    </xf>
    <xf numFmtId="1" fontId="5" fillId="6" borderId="894" xfId="0" applyNumberFormat="1" applyFont="1" applyFill="1" applyBorder="1"/>
    <xf numFmtId="1" fontId="5" fillId="6" borderId="941" xfId="0" applyNumberFormat="1" applyFont="1" applyFill="1" applyBorder="1"/>
    <xf numFmtId="1" fontId="5" fillId="0" borderId="838" xfId="0" applyNumberFormat="1" applyFont="1" applyBorder="1" applyAlignment="1">
      <alignment horizontal="left" vertical="center" wrapText="1"/>
    </xf>
    <xf numFmtId="1" fontId="5" fillId="7" borderId="262" xfId="0" applyNumberFormat="1" applyFont="1" applyFill="1" applyBorder="1"/>
    <xf numFmtId="1" fontId="5" fillId="7" borderId="835" xfId="0" applyNumberFormat="1" applyFont="1" applyFill="1" applyBorder="1"/>
    <xf numFmtId="1" fontId="5" fillId="7" borderId="913" xfId="0" applyNumberFormat="1" applyFont="1" applyFill="1" applyBorder="1"/>
    <xf numFmtId="1" fontId="5" fillId="6" borderId="31" xfId="0" applyNumberFormat="1" applyFont="1" applyFill="1" applyBorder="1"/>
    <xf numFmtId="1" fontId="5" fillId="9" borderId="943" xfId="32" applyNumberFormat="1" applyFont="1" applyBorder="1" applyProtection="1">
      <protection locked="0"/>
    </xf>
    <xf numFmtId="1" fontId="5" fillId="9" borderId="668" xfId="32" applyNumberFormat="1" applyFont="1" applyBorder="1" applyProtection="1">
      <protection locked="0"/>
    </xf>
    <xf numFmtId="1" fontId="5" fillId="9" borderId="676" xfId="32" applyNumberFormat="1" applyFont="1" applyBorder="1" applyProtection="1">
      <protection locked="0"/>
    </xf>
    <xf numFmtId="1" fontId="5" fillId="4" borderId="675" xfId="0" applyNumberFormat="1" applyFont="1" applyFill="1" applyBorder="1" applyProtection="1">
      <protection locked="0"/>
    </xf>
    <xf numFmtId="1" fontId="45" fillId="3" borderId="777" xfId="0" applyNumberFormat="1" applyFont="1" applyFill="1" applyBorder="1"/>
    <xf numFmtId="1" fontId="45" fillId="3" borderId="0" xfId="0" applyNumberFormat="1" applyFont="1" applyFill="1"/>
    <xf numFmtId="1" fontId="38" fillId="5" borderId="0" xfId="0" applyNumberFormat="1" applyFont="1" applyFill="1" applyProtection="1">
      <protection locked="0"/>
    </xf>
    <xf numFmtId="0" fontId="41" fillId="0" borderId="0" xfId="0" applyFont="1"/>
    <xf numFmtId="1" fontId="5" fillId="0" borderId="59" xfId="0" applyNumberFormat="1" applyFont="1" applyBorder="1" applyAlignment="1">
      <alignment vertical="center" wrapText="1"/>
    </xf>
    <xf numFmtId="1" fontId="5" fillId="5" borderId="225" xfId="0" applyNumberFormat="1" applyFont="1" applyFill="1" applyBorder="1"/>
    <xf numFmtId="1" fontId="5" fillId="5" borderId="22" xfId="0" applyNumberFormat="1" applyFont="1" applyFill="1" applyBorder="1"/>
    <xf numFmtId="1" fontId="5" fillId="0" borderId="942" xfId="0" applyNumberFormat="1" applyFont="1" applyBorder="1" applyAlignment="1">
      <alignment vertical="center" wrapText="1"/>
    </xf>
    <xf numFmtId="1" fontId="5" fillId="5" borderId="911" xfId="0" applyNumberFormat="1" applyFont="1" applyFill="1" applyBorder="1"/>
    <xf numFmtId="1" fontId="5" fillId="5" borderId="838" xfId="0" applyNumberFormat="1" applyFont="1" applyFill="1" applyBorder="1"/>
    <xf numFmtId="1" fontId="5" fillId="5" borderId="27" xfId="0" applyNumberFormat="1" applyFont="1" applyFill="1" applyBorder="1"/>
    <xf numFmtId="1" fontId="5" fillId="5" borderId="12" xfId="0" applyNumberFormat="1" applyFont="1" applyFill="1" applyBorder="1"/>
    <xf numFmtId="1" fontId="20" fillId="5" borderId="0" xfId="0" applyNumberFormat="1" applyFont="1" applyFill="1"/>
    <xf numFmtId="1" fontId="5" fillId="0" borderId="900" xfId="0" applyNumberFormat="1" applyFont="1" applyBorder="1" applyAlignment="1">
      <alignment vertical="center"/>
    </xf>
    <xf numFmtId="1" fontId="5" fillId="0" borderId="738" xfId="0" applyNumberFormat="1" applyFont="1" applyBorder="1" applyAlignment="1">
      <alignment vertical="center"/>
    </xf>
    <xf numFmtId="1" fontId="5" fillId="0" borderId="0" xfId="0" applyNumberFormat="1" applyFont="1" applyAlignment="1">
      <alignment wrapText="1"/>
    </xf>
    <xf numFmtId="1" fontId="18" fillId="5" borderId="0" xfId="0" applyNumberFormat="1" applyFont="1" applyFill="1" applyAlignment="1">
      <alignment wrapText="1"/>
    </xf>
    <xf numFmtId="1" fontId="5" fillId="0" borderId="922" xfId="0" applyNumberFormat="1" applyFont="1" applyBorder="1" applyAlignment="1">
      <alignment horizontal="center" vertical="center" wrapText="1"/>
    </xf>
    <xf numFmtId="1" fontId="5" fillId="0" borderId="921" xfId="0" applyNumberFormat="1" applyFont="1" applyBorder="1"/>
    <xf numFmtId="1" fontId="5" fillId="0" borderId="940" xfId="0" applyNumberFormat="1" applyFont="1" applyBorder="1"/>
    <xf numFmtId="1" fontId="5" fillId="0" borderId="225" xfId="0" applyNumberFormat="1" applyFont="1" applyBorder="1"/>
    <xf numFmtId="1" fontId="5" fillId="0" borderId="23" xfId="0" applyNumberFormat="1" applyFont="1" applyBorder="1"/>
    <xf numFmtId="1" fontId="5" fillId="0" borderId="41" xfId="0" applyNumberFormat="1" applyFont="1" applyBorder="1"/>
    <xf numFmtId="1" fontId="5" fillId="0" borderId="25" xfId="0" applyNumberFormat="1" applyFont="1" applyBorder="1"/>
    <xf numFmtId="1" fontId="46" fillId="0" borderId="0" xfId="0" applyNumberFormat="1" applyFont="1"/>
    <xf numFmtId="1" fontId="5" fillId="0" borderId="897" xfId="0" applyNumberFormat="1" applyFont="1" applyBorder="1" applyAlignment="1">
      <alignment horizontal="right"/>
    </xf>
    <xf numFmtId="1" fontId="5" fillId="6" borderId="897" xfId="0" applyNumberFormat="1" applyFont="1" applyFill="1" applyBorder="1"/>
    <xf numFmtId="1" fontId="5" fillId="6" borderId="944" xfId="0" applyNumberFormat="1" applyFont="1" applyFill="1" applyBorder="1"/>
    <xf numFmtId="1" fontId="5" fillId="0" borderId="245" xfId="0" applyNumberFormat="1" applyFont="1" applyBorder="1" applyAlignment="1">
      <alignment horizontal="right"/>
    </xf>
    <xf numFmtId="1" fontId="5" fillId="6" borderId="942" xfId="0" applyNumberFormat="1" applyFont="1" applyFill="1" applyBorder="1"/>
    <xf numFmtId="1" fontId="5" fillId="6" borderId="53" xfId="0" applyNumberFormat="1" applyFont="1" applyFill="1" applyBorder="1"/>
    <xf numFmtId="1" fontId="5" fillId="6" borderId="903" xfId="0" applyNumberFormat="1" applyFont="1" applyFill="1" applyBorder="1"/>
    <xf numFmtId="1" fontId="5" fillId="0" borderId="718" xfId="0" applyNumberFormat="1" applyFont="1" applyBorder="1" applyAlignment="1">
      <alignment horizontal="right"/>
    </xf>
    <xf numFmtId="1" fontId="5" fillId="6" borderId="718" xfId="0" applyNumberFormat="1" applyFont="1" applyFill="1" applyBorder="1"/>
    <xf numFmtId="1" fontId="5" fillId="6" borderId="939" xfId="0" applyNumberFormat="1" applyFont="1" applyFill="1" applyBorder="1"/>
    <xf numFmtId="1" fontId="5" fillId="0" borderId="502" xfId="0" applyNumberFormat="1" applyFont="1" applyBorder="1" applyAlignment="1">
      <alignment vertical="center" wrapText="1"/>
    </xf>
    <xf numFmtId="1" fontId="5" fillId="8" borderId="944" xfId="0" applyNumberFormat="1" applyFont="1" applyFill="1" applyBorder="1" applyProtection="1">
      <protection locked="0"/>
    </xf>
    <xf numFmtId="1" fontId="5" fillId="0" borderId="245" xfId="0" applyNumberFormat="1" applyFont="1" applyBorder="1" applyAlignment="1">
      <alignment vertical="center" wrapText="1"/>
    </xf>
    <xf numFmtId="1" fontId="5" fillId="0" borderId="25" xfId="0" applyNumberFormat="1" applyFont="1" applyBorder="1" applyAlignment="1">
      <alignment horizontal="right" wrapText="1"/>
    </xf>
    <xf numFmtId="1" fontId="5" fillId="0" borderId="831" xfId="0" applyNumberFormat="1" applyFont="1" applyBorder="1" applyAlignment="1">
      <alignment vertical="center" wrapText="1"/>
    </xf>
    <xf numFmtId="1" fontId="5" fillId="0" borderId="777" xfId="0" applyNumberFormat="1" applyFont="1" applyBorder="1" applyAlignment="1">
      <alignment wrapText="1"/>
    </xf>
    <xf numFmtId="1" fontId="18" fillId="0" borderId="777" xfId="0" applyNumberFormat="1" applyFont="1" applyBorder="1" applyAlignment="1">
      <alignment wrapText="1"/>
    </xf>
    <xf numFmtId="1" fontId="18" fillId="3" borderId="842" xfId="0" applyNumberFormat="1" applyFont="1" applyFill="1" applyBorder="1" applyAlignment="1">
      <alignment wrapText="1"/>
    </xf>
    <xf numFmtId="1" fontId="18" fillId="0" borderId="843" xfId="0" applyNumberFormat="1" applyFont="1" applyBorder="1" applyAlignment="1">
      <alignment wrapText="1"/>
    </xf>
    <xf numFmtId="1" fontId="18" fillId="0" borderId="842" xfId="0" applyNumberFormat="1" applyFont="1" applyBorder="1" applyAlignment="1">
      <alignment wrapText="1"/>
    </xf>
    <xf numFmtId="1" fontId="5" fillId="0" borderId="842" xfId="0" applyNumberFormat="1" applyFont="1" applyBorder="1" applyAlignment="1">
      <alignment wrapText="1"/>
    </xf>
    <xf numFmtId="1" fontId="5" fillId="0" borderId="945" xfId="0" applyNumberFormat="1" applyFont="1" applyBorder="1" applyAlignment="1">
      <alignment wrapText="1"/>
    </xf>
    <xf numFmtId="1" fontId="5" fillId="0" borderId="843" xfId="0" applyNumberFormat="1" applyFont="1" applyBorder="1" applyAlignment="1">
      <alignment wrapText="1"/>
    </xf>
    <xf numFmtId="1" fontId="5" fillId="5" borderId="842" xfId="0" applyNumberFormat="1" applyFont="1" applyFill="1" applyBorder="1" applyAlignment="1">
      <alignment wrapText="1"/>
    </xf>
    <xf numFmtId="1" fontId="5" fillId="5" borderId="777" xfId="0" applyNumberFormat="1" applyFont="1" applyFill="1" applyBorder="1" applyAlignment="1">
      <alignment wrapText="1"/>
    </xf>
    <xf numFmtId="1" fontId="5" fillId="0" borderId="946" xfId="0" applyNumberFormat="1" applyFont="1" applyBorder="1" applyAlignment="1">
      <alignment horizontal="center" vertical="center" wrapText="1"/>
    </xf>
    <xf numFmtId="1" fontId="5" fillId="0" borderId="947" xfId="0" applyNumberFormat="1" applyFont="1" applyBorder="1" applyAlignment="1">
      <alignment horizontal="center" vertical="center" wrapText="1"/>
    </xf>
    <xf numFmtId="1" fontId="5" fillId="5" borderId="919" xfId="0" applyNumberFormat="1" applyFont="1" applyFill="1" applyBorder="1" applyAlignment="1">
      <alignment horizontal="center" vertical="center" wrapText="1"/>
    </xf>
    <xf numFmtId="1" fontId="5" fillId="5" borderId="947" xfId="0" applyNumberFormat="1" applyFont="1" applyFill="1" applyBorder="1" applyAlignment="1">
      <alignment horizontal="center" vertical="center" wrapText="1"/>
    </xf>
    <xf numFmtId="1" fontId="5" fillId="0" borderId="898" xfId="0" applyNumberFormat="1" applyFont="1" applyBorder="1"/>
    <xf numFmtId="1" fontId="5" fillId="4" borderId="944" xfId="0" applyNumberFormat="1" applyFont="1" applyFill="1" applyBorder="1" applyProtection="1">
      <protection locked="0"/>
    </xf>
    <xf numFmtId="1" fontId="5" fillId="8" borderId="898" xfId="0" applyNumberFormat="1" applyFont="1" applyFill="1" applyBorder="1" applyProtection="1">
      <protection locked="0"/>
    </xf>
    <xf numFmtId="1" fontId="5" fillId="0" borderId="251" xfId="0" applyNumberFormat="1" applyFont="1" applyBorder="1"/>
    <xf numFmtId="1" fontId="5" fillId="0" borderId="226" xfId="0" applyNumberFormat="1" applyFont="1" applyBorder="1"/>
    <xf numFmtId="1" fontId="5" fillId="4" borderId="942" xfId="0" applyNumberFormat="1" applyFont="1" applyFill="1" applyBorder="1" applyProtection="1">
      <protection locked="0"/>
    </xf>
    <xf numFmtId="1" fontId="5" fillId="8" borderId="942" xfId="0" applyNumberFormat="1" applyFont="1" applyFill="1" applyBorder="1" applyProtection="1">
      <protection locked="0"/>
    </xf>
    <xf numFmtId="1" fontId="5" fillId="0" borderId="832" xfId="0" applyNumberFormat="1" applyFont="1" applyBorder="1"/>
    <xf numFmtId="1" fontId="5" fillId="0" borderId="833" xfId="0" applyNumberFormat="1" applyFont="1" applyBorder="1"/>
    <xf numFmtId="1" fontId="5" fillId="8" borderId="57" xfId="0" applyNumberFormat="1" applyFont="1" applyFill="1" applyBorder="1" applyProtection="1">
      <protection locked="0"/>
    </xf>
    <xf numFmtId="1" fontId="5" fillId="8" borderId="833" xfId="0" applyNumberFormat="1" applyFont="1" applyFill="1" applyBorder="1" applyProtection="1">
      <protection locked="0"/>
    </xf>
    <xf numFmtId="1" fontId="5" fillId="0" borderId="24" xfId="0" applyNumberFormat="1" applyFont="1" applyBorder="1"/>
    <xf numFmtId="1" fontId="5" fillId="0" borderId="42" xfId="0" applyNumberFormat="1" applyFont="1" applyBorder="1"/>
    <xf numFmtId="1" fontId="5" fillId="8" borderId="53" xfId="0" applyNumberFormat="1" applyFont="1" applyFill="1" applyBorder="1" applyProtection="1">
      <protection locked="0"/>
    </xf>
    <xf numFmtId="1" fontId="5" fillId="8" borderId="42" xfId="0" applyNumberFormat="1" applyFont="1" applyFill="1" applyBorder="1" applyProtection="1">
      <protection locked="0"/>
    </xf>
    <xf numFmtId="1" fontId="5" fillId="0" borderId="919" xfId="0" applyNumberFormat="1" applyFont="1" applyBorder="1" applyAlignment="1">
      <alignment vertical="center"/>
    </xf>
    <xf numFmtId="1" fontId="5" fillId="0" borderId="934" xfId="0" applyNumberFormat="1" applyFont="1" applyBorder="1" applyAlignment="1">
      <alignment vertical="center"/>
    </xf>
    <xf numFmtId="1" fontId="5" fillId="0" borderId="922" xfId="0" applyNumberFormat="1" applyFont="1" applyBorder="1" applyAlignment="1">
      <alignment vertical="center"/>
    </xf>
    <xf numFmtId="1" fontId="5" fillId="0" borderId="932" xfId="0" applyNumberFormat="1" applyFont="1" applyBorder="1" applyAlignment="1">
      <alignment vertical="center"/>
    </xf>
    <xf numFmtId="1" fontId="5" fillId="5" borderId="932" xfId="0" applyNumberFormat="1" applyFont="1" applyFill="1" applyBorder="1" applyAlignment="1">
      <alignment vertical="center"/>
    </xf>
    <xf numFmtId="1" fontId="5" fillId="8" borderId="55" xfId="0" applyNumberFormat="1" applyFont="1" applyFill="1" applyBorder="1" applyProtection="1">
      <protection locked="0"/>
    </xf>
    <xf numFmtId="1" fontId="5" fillId="0" borderId="718" xfId="0" applyNumberFormat="1" applyFont="1" applyBorder="1"/>
    <xf numFmtId="1" fontId="5" fillId="0" borderId="29" xfId="0" applyNumberFormat="1" applyFont="1" applyBorder="1"/>
    <xf numFmtId="1" fontId="5" fillId="0" borderId="451" xfId="0" applyNumberFormat="1" applyFont="1" applyBorder="1"/>
    <xf numFmtId="1" fontId="5" fillId="4" borderId="939" xfId="0" applyNumberFormat="1" applyFont="1" applyFill="1" applyBorder="1" applyProtection="1">
      <protection locked="0"/>
    </xf>
    <xf numFmtId="1" fontId="5" fillId="8" borderId="0" xfId="0" applyNumberFormat="1" applyFont="1" applyFill="1" applyProtection="1">
      <protection locked="0"/>
    </xf>
    <xf numFmtId="1" fontId="5" fillId="8" borderId="451" xfId="0" applyNumberFormat="1" applyFont="1" applyFill="1" applyBorder="1" applyProtection="1">
      <protection locked="0"/>
    </xf>
    <xf numFmtId="1" fontId="5" fillId="0" borderId="807" xfId="0" applyNumberFormat="1" applyFont="1" applyBorder="1"/>
    <xf numFmtId="1" fontId="5" fillId="4" borderId="947" xfId="0" applyNumberFormat="1" applyFont="1" applyFill="1" applyBorder="1" applyProtection="1">
      <protection locked="0"/>
    </xf>
    <xf numFmtId="1" fontId="5" fillId="4" borderId="946" xfId="0" applyNumberFormat="1" applyFont="1" applyFill="1" applyBorder="1" applyProtection="1">
      <protection locked="0"/>
    </xf>
    <xf numFmtId="1" fontId="5" fillId="8" borderId="777" xfId="0" applyNumberFormat="1" applyFont="1" applyFill="1" applyBorder="1" applyProtection="1">
      <protection locked="0"/>
    </xf>
    <xf numFmtId="1" fontId="5" fillId="5" borderId="919" xfId="0" applyNumberFormat="1" applyFont="1" applyFill="1" applyBorder="1" applyAlignment="1">
      <alignment vertical="center"/>
    </xf>
    <xf numFmtId="1" fontId="5" fillId="0" borderId="777" xfId="0" applyNumberFormat="1" applyFont="1" applyBorder="1"/>
    <xf numFmtId="1" fontId="5" fillId="3" borderId="0" xfId="0" applyNumberFormat="1" applyFont="1" applyFill="1" applyAlignment="1">
      <alignment wrapText="1"/>
    </xf>
    <xf numFmtId="1" fontId="5" fillId="0" borderId="458" xfId="0" applyNumberFormat="1" applyFont="1" applyBorder="1" applyAlignment="1">
      <alignment horizontal="center" vertical="center"/>
    </xf>
    <xf numFmtId="1" fontId="5" fillId="0" borderId="511" xfId="0" applyNumberFormat="1" applyFont="1" applyBorder="1" applyAlignment="1">
      <alignment horizontal="center" vertical="center" wrapText="1"/>
    </xf>
    <xf numFmtId="1" fontId="5" fillId="5" borderId="921" xfId="0" applyNumberFormat="1" applyFont="1" applyFill="1" applyBorder="1" applyAlignment="1">
      <alignment horizontal="center" vertical="center" wrapText="1"/>
    </xf>
    <xf numFmtId="1" fontId="5" fillId="0" borderId="900" xfId="0" applyNumberFormat="1" applyFont="1" applyBorder="1"/>
    <xf numFmtId="1" fontId="5" fillId="8" borderId="897" xfId="0" applyNumberFormat="1" applyFont="1" applyFill="1" applyBorder="1" applyProtection="1">
      <protection locked="0"/>
    </xf>
    <xf numFmtId="1" fontId="5" fillId="8" borderId="940" xfId="0" applyNumberFormat="1" applyFont="1" applyFill="1" applyBorder="1" applyProtection="1">
      <protection locked="0"/>
    </xf>
    <xf numFmtId="1" fontId="5" fillId="0" borderId="903" xfId="0" applyNumberFormat="1" applyFont="1" applyBorder="1"/>
    <xf numFmtId="1" fontId="5" fillId="0" borderId="947" xfId="0" applyNumberFormat="1" applyFont="1" applyBorder="1" applyAlignment="1">
      <alignment horizontal="left" vertical="center"/>
    </xf>
    <xf numFmtId="1" fontId="5" fillId="0" borderId="947" xfId="0" applyNumberFormat="1" applyFont="1" applyBorder="1"/>
    <xf numFmtId="1" fontId="5" fillId="8" borderId="831" xfId="0" applyNumberFormat="1" applyFont="1" applyFill="1" applyBorder="1" applyProtection="1">
      <protection locked="0"/>
    </xf>
    <xf numFmtId="1" fontId="5" fillId="8" borderId="27" xfId="0" applyNumberFormat="1" applyFont="1" applyFill="1" applyBorder="1" applyProtection="1">
      <protection locked="0"/>
    </xf>
    <xf numFmtId="1" fontId="5" fillId="0" borderId="23" xfId="0" applyNumberFormat="1" applyFont="1" applyBorder="1" applyAlignment="1">
      <alignment wrapText="1"/>
    </xf>
    <xf numFmtId="1" fontId="5" fillId="0" borderId="245" xfId="0" applyNumberFormat="1" applyFont="1" applyBorder="1" applyAlignment="1">
      <alignment wrapText="1"/>
    </xf>
    <xf numFmtId="1" fontId="5" fillId="0" borderId="934" xfId="0" applyNumberFormat="1" applyFont="1" applyBorder="1"/>
    <xf numFmtId="1" fontId="47" fillId="0" borderId="0" xfId="0" applyNumberFormat="1" applyFont="1"/>
    <xf numFmtId="1" fontId="5" fillId="0" borderId="438" xfId="15" applyNumberFormat="1" applyFont="1" applyBorder="1" applyAlignment="1">
      <alignment horizontal="center" vertical="center" wrapText="1"/>
    </xf>
    <xf numFmtId="1" fontId="5" fillId="0" borderId="555" xfId="15" applyNumberFormat="1" applyFont="1" applyBorder="1" applyAlignment="1">
      <alignment horizontal="center" vertical="center" wrapText="1"/>
    </xf>
    <xf numFmtId="1" fontId="5" fillId="0" borderId="919" xfId="15" applyNumberFormat="1" applyFont="1" applyBorder="1" applyAlignment="1">
      <alignment horizontal="center" vertical="center" wrapText="1"/>
    </xf>
    <xf numFmtId="1" fontId="5" fillId="0" borderId="922" xfId="15" applyNumberFormat="1" applyFont="1" applyBorder="1" applyAlignment="1">
      <alignment horizontal="center" vertical="center" wrapText="1"/>
    </xf>
    <xf numFmtId="1" fontId="5" fillId="0" borderId="909" xfId="15" applyNumberFormat="1" applyFont="1" applyBorder="1" applyAlignment="1">
      <alignment horizontal="center" vertical="center" wrapText="1"/>
    </xf>
    <xf numFmtId="1" fontId="5" fillId="0" borderId="921" xfId="15" applyNumberFormat="1" applyFont="1" applyBorder="1" applyAlignment="1">
      <alignment horizontal="center" vertical="center" wrapText="1"/>
    </xf>
    <xf numFmtId="1" fontId="5" fillId="0" borderId="894" xfId="15" applyNumberFormat="1" applyFont="1" applyBorder="1"/>
    <xf numFmtId="1" fontId="5" fillId="0" borderId="940" xfId="15" applyNumberFormat="1" applyFont="1" applyBorder="1"/>
    <xf numFmtId="1" fontId="5" fillId="0" borderId="899" xfId="15" applyNumberFormat="1" applyFont="1" applyBorder="1"/>
    <xf numFmtId="1" fontId="5" fillId="4" borderId="897" xfId="15" applyNumberFormat="1" applyFont="1" applyFill="1" applyBorder="1" applyProtection="1">
      <protection locked="0"/>
    </xf>
    <xf numFmtId="1" fontId="5" fillId="4" borderId="940" xfId="15" applyNumberFormat="1" applyFont="1" applyFill="1" applyBorder="1" applyProtection="1">
      <protection locked="0"/>
    </xf>
    <xf numFmtId="1" fontId="5" fillId="4" borderId="899" xfId="15" applyNumberFormat="1" applyFont="1" applyFill="1" applyBorder="1" applyProtection="1">
      <protection locked="0"/>
    </xf>
    <xf numFmtId="1" fontId="5" fillId="4" borderId="949" xfId="15" applyNumberFormat="1" applyFont="1" applyFill="1" applyBorder="1" applyProtection="1">
      <protection locked="0"/>
    </xf>
    <xf numFmtId="1" fontId="5" fillId="4" borderId="894" xfId="15" applyNumberFormat="1" applyFont="1" applyFill="1" applyBorder="1" applyProtection="1">
      <protection locked="0"/>
    </xf>
    <xf numFmtId="1" fontId="5" fillId="0" borderId="13" xfId="15" applyNumberFormat="1" applyFont="1" applyBorder="1"/>
    <xf numFmtId="1" fontId="5" fillId="0" borderId="225" xfId="15" applyNumberFormat="1" applyFont="1" applyBorder="1"/>
    <xf numFmtId="1" fontId="5" fillId="0" borderId="22" xfId="15" applyNumberFormat="1" applyFont="1" applyBorder="1"/>
    <xf numFmtId="1" fontId="5" fillId="4" borderId="831" xfId="15" applyNumberFormat="1" applyFont="1" applyFill="1" applyBorder="1" applyProtection="1">
      <protection locked="0"/>
    </xf>
    <xf numFmtId="1" fontId="5" fillId="4" borderId="911" xfId="15" applyNumberFormat="1" applyFont="1" applyFill="1" applyBorder="1" applyProtection="1">
      <protection locked="0"/>
    </xf>
    <xf numFmtId="1" fontId="5" fillId="4" borderId="12" xfId="15" applyNumberFormat="1" applyFont="1" applyFill="1" applyBorder="1" applyProtection="1">
      <protection locked="0"/>
    </xf>
    <xf numFmtId="1" fontId="5" fillId="4" borderId="38" xfId="15" applyNumberFormat="1" applyFont="1" applyFill="1" applyBorder="1" applyProtection="1">
      <protection locked="0"/>
    </xf>
    <xf numFmtId="1" fontId="5" fillId="4" borderId="27" xfId="15" applyNumberFormat="1" applyFont="1" applyFill="1" applyBorder="1" applyProtection="1">
      <protection locked="0"/>
    </xf>
    <xf numFmtId="1" fontId="5" fillId="4" borderId="13" xfId="15" applyNumberFormat="1" applyFont="1" applyFill="1" applyBorder="1" applyProtection="1">
      <protection locked="0"/>
    </xf>
    <xf numFmtId="1" fontId="5" fillId="0" borderId="914" xfId="15" applyNumberFormat="1" applyFont="1" applyBorder="1"/>
    <xf numFmtId="1" fontId="5" fillId="0" borderId="921" xfId="15" applyNumberFormat="1" applyFont="1" applyBorder="1"/>
    <xf numFmtId="1" fontId="5" fillId="0" borderId="932" xfId="15" applyNumberFormat="1" applyFont="1" applyBorder="1"/>
    <xf numFmtId="1" fontId="5" fillId="0" borderId="919" xfId="15" applyNumberFormat="1" applyFont="1" applyBorder="1"/>
    <xf numFmtId="1" fontId="5" fillId="0" borderId="922" xfId="15" applyNumberFormat="1" applyFont="1" applyBorder="1"/>
    <xf numFmtId="1" fontId="5" fillId="0" borderId="909" xfId="15" applyNumberFormat="1" applyFont="1" applyBorder="1"/>
    <xf numFmtId="1" fontId="5" fillId="4" borderId="103" xfId="15" applyNumberFormat="1" applyFont="1" applyFill="1" applyBorder="1" applyProtection="1">
      <protection locked="0"/>
    </xf>
    <xf numFmtId="1" fontId="5" fillId="4" borderId="245" xfId="15" applyNumberFormat="1" applyFont="1" applyFill="1" applyBorder="1" applyProtection="1">
      <protection locked="0"/>
    </xf>
    <xf numFmtId="1" fontId="5" fillId="4" borderId="838" xfId="15" applyNumberFormat="1" applyFont="1" applyFill="1" applyBorder="1" applyProtection="1">
      <protection locked="0"/>
    </xf>
    <xf numFmtId="1" fontId="5" fillId="4" borderId="244" xfId="15" applyNumberFormat="1" applyFont="1" applyFill="1" applyBorder="1" applyProtection="1">
      <protection locked="0"/>
    </xf>
    <xf numFmtId="1" fontId="5" fillId="4" borderId="246" xfId="15" applyNumberFormat="1" applyFont="1" applyFill="1" applyBorder="1" applyProtection="1">
      <protection locked="0"/>
    </xf>
    <xf numFmtId="1" fontId="5" fillId="4" borderId="832" xfId="15" applyNumberFormat="1" applyFont="1" applyFill="1" applyBorder="1" applyProtection="1">
      <protection locked="0"/>
    </xf>
    <xf numFmtId="1" fontId="5" fillId="4" borderId="833" xfId="15" applyNumberFormat="1" applyFont="1" applyFill="1" applyBorder="1" applyProtection="1">
      <protection locked="0"/>
    </xf>
    <xf numFmtId="1" fontId="5" fillId="0" borderId="220" xfId="0" applyNumberFormat="1" applyFont="1" applyBorder="1" applyAlignment="1">
      <alignment horizontal="right" vertical="center" wrapText="1"/>
    </xf>
    <xf numFmtId="1" fontId="5" fillId="4" borderId="912" xfId="15" applyNumberFormat="1" applyFont="1" applyFill="1" applyBorder="1" applyProtection="1">
      <protection locked="0"/>
    </xf>
    <xf numFmtId="1" fontId="5" fillId="0" borderId="22" xfId="15" applyNumberFormat="1" applyFont="1" applyBorder="1" applyAlignment="1">
      <alignment horizontal="left" vertical="center" wrapText="1"/>
    </xf>
    <xf numFmtId="1" fontId="5" fillId="4" borderId="20" xfId="15" applyNumberFormat="1" applyFont="1" applyFill="1" applyBorder="1" applyProtection="1">
      <protection locked="0"/>
    </xf>
    <xf numFmtId="1" fontId="5" fillId="4" borderId="224" xfId="15" applyNumberFormat="1" applyFont="1" applyFill="1" applyBorder="1" applyProtection="1">
      <protection locked="0"/>
    </xf>
    <xf numFmtId="1" fontId="5" fillId="0" borderId="838" xfId="15" applyNumberFormat="1" applyFont="1" applyBorder="1" applyAlignment="1">
      <alignment horizontal="left" vertical="center" wrapText="1"/>
    </xf>
    <xf numFmtId="1" fontId="5" fillId="0" borderId="12" xfId="15" applyNumberFormat="1" applyFont="1" applyBorder="1" applyAlignment="1">
      <alignment horizontal="left" vertical="center" wrapText="1"/>
    </xf>
    <xf numFmtId="1" fontId="5" fillId="0" borderId="947" xfId="15" applyNumberFormat="1" applyFont="1" applyBorder="1" applyAlignment="1">
      <alignment horizontal="left" vertical="center" wrapText="1"/>
    </xf>
    <xf numFmtId="1" fontId="5" fillId="4" borderId="651" xfId="15" applyNumberFormat="1" applyFont="1" applyFill="1" applyBorder="1" applyProtection="1">
      <protection locked="0"/>
    </xf>
    <xf numFmtId="1" fontId="5" fillId="4" borderId="740" xfId="15" applyNumberFormat="1" applyFont="1" applyFill="1" applyBorder="1" applyProtection="1">
      <protection locked="0"/>
    </xf>
    <xf numFmtId="1" fontId="5" fillId="0" borderId="917" xfId="15" applyNumberFormat="1" applyFont="1" applyBorder="1" applyAlignment="1">
      <alignment horizontal="center" vertical="center" wrapText="1"/>
    </xf>
    <xf numFmtId="1" fontId="5" fillId="4" borderId="900" xfId="15" applyNumberFormat="1" applyFont="1" applyFill="1" applyBorder="1" applyProtection="1">
      <protection locked="0"/>
    </xf>
    <xf numFmtId="1" fontId="5" fillId="4" borderId="59" xfId="15" applyNumberFormat="1" applyFont="1" applyFill="1" applyBorder="1" applyProtection="1">
      <protection locked="0"/>
    </xf>
    <xf numFmtId="1" fontId="5" fillId="4" borderId="903" xfId="15" applyNumberFormat="1" applyFont="1" applyFill="1" applyBorder="1" applyProtection="1">
      <protection locked="0"/>
    </xf>
    <xf numFmtId="1" fontId="5" fillId="4" borderId="946" xfId="15" applyNumberFormat="1" applyFont="1" applyFill="1" applyBorder="1" applyProtection="1">
      <protection locked="0"/>
    </xf>
    <xf numFmtId="1" fontId="5" fillId="4" borderId="11" xfId="15" applyNumberFormat="1" applyFont="1" applyFill="1" applyBorder="1" applyProtection="1">
      <protection locked="0"/>
    </xf>
    <xf numFmtId="1" fontId="20" fillId="32" borderId="274" xfId="2" applyNumberFormat="1" applyFont="1" applyFill="1" applyBorder="1" applyAlignment="1">
      <alignment wrapText="1"/>
    </xf>
    <xf numFmtId="1" fontId="20" fillId="32" borderId="0" xfId="2" applyNumberFormat="1" applyFont="1" applyFill="1" applyAlignment="1">
      <alignment wrapText="1"/>
    </xf>
    <xf numFmtId="1" fontId="5" fillId="0" borderId="950" xfId="2" applyNumberFormat="1" applyFont="1" applyBorder="1" applyAlignment="1">
      <alignment horizontal="center" vertical="center" wrapText="1"/>
    </xf>
    <xf numFmtId="1" fontId="5" fillId="0" borderId="267" xfId="2" applyNumberFormat="1" applyFont="1" applyBorder="1" applyAlignment="1">
      <alignment horizontal="center" vertical="center" wrapText="1"/>
    </xf>
    <xf numFmtId="1" fontId="5" fillId="0" borderId="288" xfId="2" applyNumberFormat="1" applyFont="1" applyBorder="1" applyAlignment="1">
      <alignment horizontal="right"/>
    </xf>
    <xf numFmtId="1" fontId="5" fillId="19" borderId="291" xfId="2" applyNumberFormat="1" applyFont="1" applyFill="1" applyBorder="1" applyProtection="1">
      <protection locked="0"/>
    </xf>
    <xf numFmtId="1" fontId="5" fillId="33" borderId="283" xfId="2" applyNumberFormat="1" applyFont="1" applyFill="1" applyBorder="1"/>
    <xf numFmtId="1" fontId="5" fillId="33" borderId="760" xfId="2" applyNumberFormat="1" applyFont="1" applyFill="1" applyBorder="1"/>
    <xf numFmtId="1" fontId="5" fillId="33" borderId="810" xfId="2" applyNumberFormat="1" applyFont="1" applyFill="1" applyBorder="1"/>
    <xf numFmtId="1" fontId="5" fillId="33" borderId="762" xfId="2" applyNumberFormat="1" applyFont="1" applyFill="1" applyBorder="1"/>
    <xf numFmtId="1" fontId="5" fillId="33" borderId="297" xfId="2" applyNumberFormat="1" applyFont="1" applyFill="1" applyBorder="1"/>
    <xf numFmtId="1" fontId="5" fillId="19" borderId="294" xfId="2" applyNumberFormat="1" applyFont="1" applyFill="1" applyBorder="1" applyProtection="1">
      <protection locked="0"/>
    </xf>
    <xf numFmtId="1" fontId="5" fillId="0" borderId="307" xfId="2" applyNumberFormat="1" applyFont="1" applyBorder="1" applyAlignment="1">
      <alignment vertical="center" wrapText="1"/>
    </xf>
    <xf numFmtId="1" fontId="5" fillId="0" borderId="953" xfId="2" applyNumberFormat="1" applyFont="1" applyBorder="1" applyAlignment="1">
      <alignment horizontal="right" wrapText="1"/>
    </xf>
    <xf numFmtId="0" fontId="49" fillId="0" borderId="0" xfId="2" applyFont="1"/>
    <xf numFmtId="1" fontId="5" fillId="0" borderId="438" xfId="0" applyNumberFormat="1" applyFont="1" applyBorder="1" applyAlignment="1">
      <alignment horizontal="center" vertical="center"/>
    </xf>
    <xf numFmtId="1" fontId="5" fillId="0" borderId="807" xfId="0" applyNumberFormat="1" applyFont="1" applyBorder="1" applyAlignment="1">
      <alignment horizontal="center" vertical="center" wrapText="1"/>
    </xf>
    <xf numFmtId="0" fontId="5" fillId="0" borderId="894" xfId="0" applyFont="1" applyBorder="1" applyAlignment="1">
      <alignment vertical="center" wrapText="1"/>
    </xf>
    <xf numFmtId="0" fontId="5" fillId="0" borderId="83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6" fillId="5" borderId="0" xfId="0" applyFont="1" applyFill="1"/>
    <xf numFmtId="1" fontId="5" fillId="0" borderId="438" xfId="0" applyNumberFormat="1" applyFont="1" applyBorder="1" applyAlignment="1">
      <alignment horizontal="center" vertical="center" wrapText="1"/>
    </xf>
    <xf numFmtId="1" fontId="5" fillId="5" borderId="31" xfId="0" applyNumberFormat="1" applyFont="1" applyFill="1" applyBorder="1" applyAlignment="1">
      <alignment horizontal="right" wrapText="1"/>
    </xf>
    <xf numFmtId="1" fontId="5" fillId="5" borderId="225" xfId="0" applyNumberFormat="1" applyFont="1" applyFill="1" applyBorder="1" applyAlignment="1">
      <alignment horizontal="right" wrapText="1"/>
    </xf>
    <xf numFmtId="1" fontId="5" fillId="5" borderId="835" xfId="0" applyNumberFormat="1" applyFont="1" applyFill="1" applyBorder="1" applyAlignment="1">
      <alignment horizontal="right" wrapText="1"/>
    </xf>
    <xf numFmtId="0" fontId="50" fillId="0" borderId="0" xfId="0" applyFont="1"/>
    <xf numFmtId="0" fontId="51" fillId="0" borderId="0" xfId="0" applyFont="1"/>
    <xf numFmtId="1" fontId="3" fillId="5" borderId="919" xfId="0" applyNumberFormat="1" applyFont="1" applyFill="1" applyBorder="1" applyAlignment="1">
      <alignment horizontal="center" vertical="center" wrapText="1"/>
    </xf>
    <xf numFmtId="1" fontId="3" fillId="5" borderId="922" xfId="0" applyNumberFormat="1" applyFont="1" applyFill="1" applyBorder="1" applyAlignment="1">
      <alignment horizontal="center" vertical="center" wrapText="1"/>
    </xf>
    <xf numFmtId="1" fontId="3" fillId="5" borderId="909" xfId="0" applyNumberFormat="1" applyFont="1" applyFill="1" applyBorder="1" applyAlignment="1">
      <alignment horizontal="center" vertical="center" wrapText="1"/>
    </xf>
    <xf numFmtId="1" fontId="5" fillId="17" borderId="835" xfId="0" applyNumberFormat="1" applyFont="1" applyFill="1" applyBorder="1"/>
    <xf numFmtId="1" fontId="5" fillId="5" borderId="833" xfId="0" applyNumberFormat="1" applyFont="1" applyFill="1" applyBorder="1" applyAlignment="1">
      <alignment horizontal="right" wrapText="1"/>
    </xf>
    <xf numFmtId="1" fontId="5" fillId="17" borderId="13" xfId="0" applyNumberFormat="1" applyFont="1" applyFill="1" applyBorder="1"/>
    <xf numFmtId="1" fontId="52" fillId="34" borderId="0" xfId="0" applyNumberFormat="1" applyFont="1" applyFill="1"/>
    <xf numFmtId="1" fontId="47" fillId="3" borderId="0" xfId="0" applyNumberFormat="1" applyFont="1" applyFill="1"/>
    <xf numFmtId="1" fontId="15" fillId="5" borderId="0" xfId="0" applyNumberFormat="1" applyFont="1" applyFill="1" applyAlignment="1">
      <alignment vertical="center"/>
    </xf>
    <xf numFmtId="1" fontId="5" fillId="0" borderId="458" xfId="0" applyNumberFormat="1" applyFont="1" applyBorder="1" applyAlignment="1">
      <alignment horizontal="center" vertical="center" wrapText="1"/>
    </xf>
    <xf numFmtId="1" fontId="5" fillId="7" borderId="911" xfId="0" applyNumberFormat="1" applyFont="1" applyFill="1" applyBorder="1" applyAlignment="1">
      <alignment horizontal="right"/>
    </xf>
    <xf numFmtId="1" fontId="5" fillId="7" borderId="244" xfId="0" applyNumberFormat="1" applyFont="1" applyFill="1" applyBorder="1" applyAlignment="1">
      <alignment horizontal="right"/>
    </xf>
    <xf numFmtId="1" fontId="5" fillId="7" borderId="245" xfId="0" applyNumberFormat="1" applyFont="1" applyFill="1" applyBorder="1" applyAlignment="1">
      <alignment horizontal="right"/>
    </xf>
    <xf numFmtId="1" fontId="5" fillId="7" borderId="246" xfId="0" applyNumberFormat="1" applyFont="1" applyFill="1" applyBorder="1" applyAlignment="1">
      <alignment horizontal="right"/>
    </xf>
    <xf numFmtId="1" fontId="5" fillId="4" borderId="911" xfId="0" applyNumberFormat="1" applyFont="1" applyFill="1" applyBorder="1" applyAlignment="1" applyProtection="1">
      <alignment horizontal="right"/>
      <protection locked="0"/>
    </xf>
    <xf numFmtId="1" fontId="5" fillId="4" borderId="244" xfId="0" applyNumberFormat="1" applyFont="1" applyFill="1" applyBorder="1" applyAlignment="1" applyProtection="1">
      <alignment horizontal="right"/>
      <protection locked="0"/>
    </xf>
    <xf numFmtId="1" fontId="5" fillId="4" borderId="245" xfId="0" applyNumberFormat="1" applyFont="1" applyFill="1" applyBorder="1" applyAlignment="1" applyProtection="1">
      <alignment horizontal="right"/>
      <protection locked="0"/>
    </xf>
    <xf numFmtId="1" fontId="5" fillId="4" borderId="248" xfId="0" applyNumberFormat="1" applyFont="1" applyFill="1" applyBorder="1" applyAlignment="1" applyProtection="1">
      <alignment horizontal="right"/>
      <protection locked="0"/>
    </xf>
    <xf numFmtId="1" fontId="5" fillId="6" borderId="911" xfId="0" applyNumberFormat="1" applyFont="1" applyFill="1" applyBorder="1" applyAlignment="1">
      <alignment horizontal="right"/>
    </xf>
    <xf numFmtId="1" fontId="5" fillId="4" borderId="246" xfId="0" applyNumberFormat="1" applyFont="1" applyFill="1" applyBorder="1" applyAlignment="1" applyProtection="1">
      <alignment horizontal="right"/>
      <protection locked="0"/>
    </xf>
    <xf numFmtId="1" fontId="5" fillId="0" borderId="903" xfId="0" applyNumberFormat="1" applyFont="1" applyBorder="1" applyAlignment="1">
      <alignment horizontal="left" vertical="center"/>
    </xf>
    <xf numFmtId="1" fontId="5" fillId="0" borderId="903" xfId="0" applyNumberFormat="1" applyFont="1" applyBorder="1" applyAlignment="1">
      <alignment horizontal="left" vertical="center" wrapText="1"/>
    </xf>
    <xf numFmtId="1" fontId="5" fillId="6" borderId="245" xfId="0" applyNumberFormat="1" applyFont="1" applyFill="1" applyBorder="1" applyAlignment="1">
      <alignment horizontal="right"/>
    </xf>
    <xf numFmtId="0" fontId="0" fillId="31" borderId="0" xfId="0" applyFill="1" applyAlignment="1">
      <alignment vertical="center"/>
    </xf>
    <xf numFmtId="1" fontId="5" fillId="6" borderId="246" xfId="0" applyNumberFormat="1" applyFont="1" applyFill="1" applyBorder="1" applyAlignment="1">
      <alignment horizontal="right"/>
    </xf>
    <xf numFmtId="1" fontId="5" fillId="7" borderId="248" xfId="0" applyNumberFormat="1" applyFont="1" applyFill="1" applyBorder="1" applyAlignment="1">
      <alignment horizontal="right"/>
    </xf>
    <xf numFmtId="1" fontId="5" fillId="0" borderId="947" xfId="0" applyNumberFormat="1" applyFont="1" applyBorder="1" applyAlignment="1">
      <alignment horizontal="right"/>
    </xf>
    <xf numFmtId="1" fontId="5" fillId="4" borderId="832" xfId="0" applyNumberFormat="1" applyFont="1" applyFill="1" applyBorder="1" applyAlignment="1" applyProtection="1">
      <alignment horizontal="right"/>
      <protection locked="0"/>
    </xf>
    <xf numFmtId="1" fontId="5" fillId="4" borderId="831" xfId="0" applyNumberFormat="1" applyFont="1" applyFill="1" applyBorder="1" applyAlignment="1" applyProtection="1">
      <alignment horizontal="right"/>
      <protection locked="0"/>
    </xf>
    <xf numFmtId="1" fontId="5" fillId="4" borderId="833" xfId="0" applyNumberFormat="1" applyFont="1" applyFill="1" applyBorder="1" applyAlignment="1" applyProtection="1">
      <alignment horizontal="right"/>
      <protection locked="0"/>
    </xf>
    <xf numFmtId="1" fontId="5" fillId="4" borderId="854" xfId="0" applyNumberFormat="1" applyFont="1" applyFill="1" applyBorder="1" applyAlignment="1" applyProtection="1">
      <alignment horizontal="right"/>
      <protection locked="0"/>
    </xf>
    <xf numFmtId="1" fontId="5" fillId="4" borderId="841" xfId="0" applyNumberFormat="1" applyFont="1" applyFill="1" applyBorder="1" applyAlignment="1" applyProtection="1">
      <alignment horizontal="right"/>
      <protection locked="0"/>
    </xf>
    <xf numFmtId="1" fontId="5" fillId="4" borderId="502" xfId="0" applyNumberFormat="1" applyFont="1" applyFill="1" applyBorder="1" applyAlignment="1" applyProtection="1">
      <alignment horizontal="right"/>
      <protection locked="0"/>
    </xf>
    <xf numFmtId="1" fontId="5" fillId="4" borderId="458" xfId="0" applyNumberFormat="1" applyFont="1" applyFill="1" applyBorder="1" applyAlignment="1" applyProtection="1">
      <alignment horizontal="right"/>
      <protection locked="0"/>
    </xf>
    <xf numFmtId="1" fontId="5" fillId="4" borderId="220" xfId="0" applyNumberFormat="1" applyFont="1" applyFill="1" applyBorder="1" applyAlignment="1" applyProtection="1">
      <alignment horizontal="right"/>
      <protection locked="0"/>
    </xf>
    <xf numFmtId="1" fontId="5" fillId="4" borderId="454" xfId="0" applyNumberFormat="1" applyFont="1" applyFill="1" applyBorder="1" applyAlignment="1" applyProtection="1">
      <alignment horizontal="right"/>
      <protection locked="0"/>
    </xf>
    <xf numFmtId="1" fontId="5" fillId="4" borderId="897" xfId="0" applyNumberFormat="1" applyFont="1" applyFill="1" applyBorder="1" applyAlignment="1" applyProtection="1">
      <alignment horizontal="right"/>
      <protection locked="0"/>
    </xf>
    <xf numFmtId="1" fontId="5" fillId="4" borderId="103" xfId="0" applyNumberFormat="1" applyFont="1" applyFill="1" applyBorder="1" applyAlignment="1" applyProtection="1">
      <alignment horizontal="right"/>
      <protection locked="0"/>
    </xf>
    <xf numFmtId="1" fontId="5" fillId="4" borderId="899" xfId="0" applyNumberFormat="1" applyFont="1" applyFill="1" applyBorder="1" applyAlignment="1" applyProtection="1">
      <alignment horizontal="right"/>
      <protection locked="0"/>
    </xf>
    <xf numFmtId="1" fontId="5" fillId="4" borderId="898" xfId="0" applyNumberFormat="1" applyFont="1" applyFill="1" applyBorder="1" applyAlignment="1" applyProtection="1">
      <alignment horizontal="right"/>
      <protection locked="0"/>
    </xf>
    <xf numFmtId="1" fontId="5" fillId="4" borderId="251" xfId="0" applyNumberFormat="1" applyFont="1" applyFill="1" applyBorder="1" applyAlignment="1" applyProtection="1">
      <alignment horizontal="right"/>
      <protection locked="0"/>
    </xf>
    <xf numFmtId="1" fontId="5" fillId="4" borderId="651" xfId="0" applyNumberFormat="1" applyFont="1" applyFill="1" applyBorder="1" applyAlignment="1" applyProtection="1">
      <alignment horizontal="right"/>
      <protection locked="0"/>
    </xf>
    <xf numFmtId="1" fontId="5" fillId="4" borderId="511" xfId="0" applyNumberFormat="1" applyFont="1" applyFill="1" applyBorder="1" applyAlignment="1" applyProtection="1">
      <alignment horizontal="right"/>
      <protection locked="0"/>
    </xf>
    <xf numFmtId="1" fontId="5" fillId="4" borderId="947" xfId="0" applyNumberFormat="1" applyFont="1" applyFill="1" applyBorder="1" applyAlignment="1" applyProtection="1">
      <alignment horizontal="right"/>
      <protection locked="0"/>
    </xf>
    <xf numFmtId="1" fontId="5" fillId="4" borderId="807" xfId="0" applyNumberFormat="1" applyFont="1" applyFill="1" applyBorder="1" applyAlignment="1" applyProtection="1">
      <alignment horizontal="right"/>
      <protection locked="0"/>
    </xf>
    <xf numFmtId="1" fontId="5" fillId="0" borderId="835" xfId="0" applyNumberFormat="1" applyFont="1" applyBorder="1" applyAlignment="1">
      <alignment vertical="center" wrapText="1"/>
    </xf>
    <xf numFmtId="1" fontId="5" fillId="7" borderId="897" xfId="0" applyNumberFormat="1" applyFont="1" applyFill="1" applyBorder="1" applyAlignment="1">
      <alignment horizontal="right"/>
    </xf>
    <xf numFmtId="1" fontId="5" fillId="7" borderId="898" xfId="0" applyNumberFormat="1" applyFont="1" applyFill="1" applyBorder="1" applyAlignment="1">
      <alignment horizontal="right"/>
    </xf>
    <xf numFmtId="1" fontId="5" fillId="7" borderId="901" xfId="0" applyNumberFormat="1" applyFont="1" applyFill="1" applyBorder="1" applyAlignment="1">
      <alignment horizontal="right"/>
    </xf>
    <xf numFmtId="1" fontId="5" fillId="6" borderId="225" xfId="0" applyNumberFormat="1" applyFont="1" applyFill="1" applyBorder="1" applyAlignment="1">
      <alignment horizontal="right"/>
    </xf>
    <xf numFmtId="1" fontId="5" fillId="4" borderId="224" xfId="0" applyNumberFormat="1" applyFont="1" applyFill="1" applyBorder="1" applyAlignment="1" applyProtection="1">
      <alignment horizontal="right"/>
      <protection locked="0"/>
    </xf>
    <xf numFmtId="1" fontId="5" fillId="4" borderId="838" xfId="0" applyNumberFormat="1" applyFont="1" applyFill="1" applyBorder="1" applyAlignment="1" applyProtection="1">
      <alignment horizontal="right"/>
      <protection locked="0"/>
    </xf>
    <xf numFmtId="1" fontId="5" fillId="4" borderId="912" xfId="0" applyNumberFormat="1" applyFont="1" applyFill="1" applyBorder="1" applyAlignment="1" applyProtection="1">
      <alignment horizontal="right"/>
      <protection locked="0"/>
    </xf>
    <xf numFmtId="0" fontId="0" fillId="35" borderId="0" xfId="0" applyFill="1"/>
    <xf numFmtId="1" fontId="5" fillId="6" borderId="838" xfId="0" applyNumberFormat="1" applyFont="1" applyFill="1" applyBorder="1" applyAlignment="1">
      <alignment horizontal="right"/>
    </xf>
    <xf numFmtId="1" fontId="5" fillId="4" borderId="838" xfId="0" applyNumberFormat="1" applyFont="1" applyFill="1" applyBorder="1" applyAlignment="1" applyProtection="1">
      <alignment horizontal="right" wrapText="1"/>
      <protection locked="0"/>
    </xf>
    <xf numFmtId="1" fontId="5" fillId="0" borderId="831" xfId="0" applyNumberFormat="1" applyFont="1" applyBorder="1" applyAlignment="1">
      <alignment horizontal="right"/>
    </xf>
    <xf numFmtId="1" fontId="5" fillId="0" borderId="451" xfId="0" applyNumberFormat="1" applyFont="1" applyBorder="1" applyAlignment="1">
      <alignment horizontal="right"/>
    </xf>
    <xf numFmtId="1" fontId="5" fillId="4" borderId="24" xfId="0" applyNumberFormat="1" applyFont="1" applyFill="1" applyBorder="1" applyAlignment="1" applyProtection="1">
      <alignment horizontal="right"/>
      <protection locked="0"/>
    </xf>
    <xf numFmtId="1" fontId="5" fillId="4" borderId="54" xfId="0" applyNumberFormat="1" applyFont="1" applyFill="1" applyBorder="1" applyAlignment="1" applyProtection="1">
      <alignment horizontal="right"/>
      <protection locked="0"/>
    </xf>
    <xf numFmtId="1" fontId="5" fillId="7" borderId="502" xfId="0" applyNumberFormat="1" applyFont="1" applyFill="1" applyBorder="1" applyAlignment="1">
      <alignment horizontal="right"/>
    </xf>
    <xf numFmtId="1" fontId="5" fillId="4" borderId="961" xfId="0" applyNumberFormat="1" applyFont="1" applyFill="1" applyBorder="1" applyAlignment="1" applyProtection="1">
      <alignment horizontal="right"/>
      <protection locked="0"/>
    </xf>
    <xf numFmtId="1" fontId="5" fillId="4" borderId="940" xfId="0" applyNumberFormat="1" applyFont="1" applyFill="1" applyBorder="1" applyAlignment="1" applyProtection="1">
      <alignment horizontal="right"/>
      <protection locked="0"/>
    </xf>
    <xf numFmtId="1" fontId="5" fillId="4" borderId="255" xfId="0" applyNumberFormat="1" applyFont="1" applyFill="1" applyBorder="1" applyAlignment="1" applyProtection="1">
      <alignment horizontal="right"/>
      <protection locked="0"/>
    </xf>
    <xf numFmtId="1" fontId="5" fillId="0" borderId="833" xfId="0" applyNumberFormat="1" applyFont="1" applyBorder="1" applyAlignment="1">
      <alignment horizontal="right"/>
    </xf>
    <xf numFmtId="1" fontId="5" fillId="7" borderId="831" xfId="0" applyNumberFormat="1" applyFont="1" applyFill="1" applyBorder="1" applyAlignment="1">
      <alignment horizontal="right"/>
    </xf>
    <xf numFmtId="1" fontId="5" fillId="7" borderId="832" xfId="0" applyNumberFormat="1" applyFont="1" applyFill="1" applyBorder="1" applyAlignment="1">
      <alignment horizontal="right"/>
    </xf>
    <xf numFmtId="1" fontId="5" fillId="7" borderId="854" xfId="0" applyNumberFormat="1" applyFont="1" applyFill="1" applyBorder="1" applyAlignment="1">
      <alignment horizontal="right"/>
    </xf>
    <xf numFmtId="1" fontId="5" fillId="6" borderId="841" xfId="0" applyNumberFormat="1" applyFont="1" applyFill="1" applyBorder="1" applyAlignment="1">
      <alignment horizontal="right"/>
    </xf>
    <xf numFmtId="1" fontId="5" fillId="4" borderId="718" xfId="0" applyNumberFormat="1" applyFont="1" applyFill="1" applyBorder="1" applyAlignment="1" applyProtection="1">
      <alignment horizontal="right"/>
      <protection locked="0"/>
    </xf>
    <xf numFmtId="1" fontId="5" fillId="4" borderId="29" xfId="0" applyNumberFormat="1" applyFont="1" applyFill="1" applyBorder="1" applyAlignment="1" applyProtection="1">
      <alignment horizontal="right"/>
      <protection locked="0"/>
    </xf>
    <xf numFmtId="1" fontId="5" fillId="4" borderId="466" xfId="0" applyNumberFormat="1" applyFont="1" applyFill="1" applyBorder="1" applyAlignment="1" applyProtection="1">
      <alignment horizontal="right"/>
      <protection locked="0"/>
    </xf>
    <xf numFmtId="1" fontId="5" fillId="4" borderId="86" xfId="0" applyNumberFormat="1" applyFont="1" applyFill="1" applyBorder="1" applyAlignment="1" applyProtection="1">
      <alignment horizontal="right"/>
      <protection locked="0"/>
    </xf>
    <xf numFmtId="1" fontId="5" fillId="0" borderId="42" xfId="0" applyNumberFormat="1" applyFont="1" applyBorder="1" applyAlignment="1">
      <alignment horizontal="right"/>
    </xf>
    <xf numFmtId="1" fontId="5" fillId="4" borderId="936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horizontal="left" vertical="center"/>
    </xf>
    <xf numFmtId="0" fontId="5" fillId="0" borderId="932" xfId="0" applyFont="1" applyBorder="1" applyAlignment="1">
      <alignment horizontal="center" vertical="center" wrapText="1"/>
    </xf>
    <xf numFmtId="1" fontId="5" fillId="0" borderId="903" xfId="0" applyNumberFormat="1" applyFont="1" applyBorder="1" applyAlignment="1">
      <alignment horizontal="left"/>
    </xf>
    <xf numFmtId="1" fontId="5" fillId="4" borderId="901" xfId="0" applyNumberFormat="1" applyFont="1" applyFill="1" applyBorder="1" applyAlignment="1" applyProtection="1">
      <alignment horizontal="right"/>
      <protection locked="0"/>
    </xf>
    <xf numFmtId="1" fontId="5" fillId="4" borderId="835" xfId="0" applyNumberFormat="1" applyFont="1" applyFill="1" applyBorder="1" applyAlignment="1" applyProtection="1">
      <alignment horizontal="right"/>
      <protection locked="0"/>
    </xf>
    <xf numFmtId="1" fontId="5" fillId="0" borderId="903" xfId="0" applyNumberFormat="1" applyFont="1" applyBorder="1" applyAlignment="1">
      <alignment horizontal="left" wrapText="1"/>
    </xf>
    <xf numFmtId="1" fontId="5" fillId="0" borderId="940" xfId="0" applyNumberFormat="1" applyFont="1" applyBorder="1" applyAlignment="1">
      <alignment horizontal="right"/>
    </xf>
    <xf numFmtId="0" fontId="47" fillId="6" borderId="962" xfId="10" applyFont="1" applyFill="1" applyBorder="1" applyAlignment="1">
      <alignment horizontal="right"/>
    </xf>
    <xf numFmtId="0" fontId="47" fillId="6" borderId="963" xfId="10" applyFont="1" applyFill="1" applyBorder="1" applyAlignment="1">
      <alignment horizontal="right"/>
    </xf>
    <xf numFmtId="0" fontId="47" fillId="6" borderId="964" xfId="10" applyFont="1" applyFill="1" applyBorder="1" applyAlignment="1">
      <alignment horizontal="right"/>
    </xf>
    <xf numFmtId="1" fontId="5" fillId="6" borderId="912" xfId="0" applyNumberFormat="1" applyFont="1" applyFill="1" applyBorder="1" applyAlignment="1">
      <alignment horizontal="right"/>
    </xf>
    <xf numFmtId="1" fontId="5" fillId="0" borderId="911" xfId="0" applyNumberFormat="1" applyFont="1" applyBorder="1" applyAlignment="1">
      <alignment horizontal="right"/>
    </xf>
    <xf numFmtId="0" fontId="47" fillId="6" borderId="965" xfId="10" applyFont="1" applyFill="1" applyBorder="1" applyAlignment="1">
      <alignment horizontal="right"/>
    </xf>
    <xf numFmtId="0" fontId="47" fillId="6" borderId="966" xfId="10" applyFont="1" applyFill="1" applyBorder="1" applyAlignment="1">
      <alignment horizontal="right"/>
    </xf>
    <xf numFmtId="0" fontId="47" fillId="6" borderId="967" xfId="10" applyFont="1" applyFill="1" applyBorder="1" applyAlignment="1">
      <alignment horizontal="right"/>
    </xf>
    <xf numFmtId="1" fontId="5" fillId="0" borderId="835" xfId="0" applyNumberFormat="1" applyFont="1" applyBorder="1" applyAlignment="1">
      <alignment wrapText="1"/>
    </xf>
    <xf numFmtId="1" fontId="5" fillId="4" borderId="968" xfId="0" applyNumberFormat="1" applyFont="1" applyFill="1" applyBorder="1" applyAlignment="1" applyProtection="1">
      <alignment horizontal="right"/>
      <protection locked="0"/>
    </xf>
    <xf numFmtId="1" fontId="5" fillId="4" borderId="969" xfId="0" applyNumberFormat="1" applyFont="1" applyFill="1" applyBorder="1" applyAlignment="1" applyProtection="1">
      <alignment horizontal="right"/>
      <protection locked="0"/>
    </xf>
    <xf numFmtId="0" fontId="47" fillId="6" borderId="970" xfId="10" applyFont="1" applyFill="1" applyBorder="1" applyAlignment="1">
      <alignment horizontal="right"/>
    </xf>
    <xf numFmtId="0" fontId="47" fillId="6" borderId="971" xfId="10" applyFont="1" applyFill="1" applyBorder="1" applyAlignment="1">
      <alignment horizontal="right"/>
    </xf>
    <xf numFmtId="1" fontId="5" fillId="0" borderId="835" xfId="0" applyNumberFormat="1" applyFont="1" applyBorder="1" applyAlignment="1">
      <alignment vertical="top" wrapText="1"/>
    </xf>
    <xf numFmtId="0" fontId="47" fillId="6" borderId="972" xfId="10" applyFont="1" applyFill="1" applyBorder="1" applyAlignment="1">
      <alignment horizontal="right"/>
    </xf>
    <xf numFmtId="0" fontId="47" fillId="6" borderId="973" xfId="10" applyFont="1" applyFill="1" applyBorder="1" applyAlignment="1">
      <alignment horizontal="right"/>
    </xf>
    <xf numFmtId="0" fontId="5" fillId="0" borderId="911" xfId="0" applyFont="1" applyBorder="1" applyAlignment="1">
      <alignment horizontal="right"/>
    </xf>
    <xf numFmtId="0" fontId="47" fillId="6" borderId="974" xfId="10" applyFont="1" applyFill="1" applyBorder="1" applyAlignment="1">
      <alignment horizontal="right"/>
    </xf>
    <xf numFmtId="1" fontId="0" fillId="0" borderId="0" xfId="0" applyNumberFormat="1"/>
    <xf numFmtId="0" fontId="5" fillId="0" borderId="835" xfId="0" applyFont="1" applyBorder="1" applyAlignment="1">
      <alignment horizontal="left" vertical="center" wrapText="1"/>
    </xf>
    <xf numFmtId="3" fontId="5" fillId="0" borderId="835" xfId="0" applyNumberFormat="1" applyFont="1" applyBorder="1" applyAlignment="1">
      <alignment horizontal="right" wrapText="1"/>
    </xf>
    <xf numFmtId="0" fontId="5" fillId="0" borderId="835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1" fontId="5" fillId="4" borderId="949" xfId="0" applyNumberFormat="1" applyFont="1" applyFill="1" applyBorder="1" applyProtection="1">
      <protection locked="0"/>
    </xf>
    <xf numFmtId="0" fontId="5" fillId="0" borderId="835" xfId="0" applyFont="1" applyBorder="1" applyAlignment="1">
      <alignment horizontal="right" vertical="center" wrapText="1"/>
    </xf>
    <xf numFmtId="0" fontId="5" fillId="0" borderId="835" xfId="0" applyFont="1" applyBorder="1" applyAlignment="1">
      <alignment horizontal="left" wrapText="1"/>
    </xf>
    <xf numFmtId="0" fontId="5" fillId="0" borderId="835" xfId="0" applyFont="1" applyBorder="1" applyAlignment="1">
      <alignment wrapText="1"/>
    </xf>
    <xf numFmtId="0" fontId="5" fillId="0" borderId="676" xfId="0" applyFont="1" applyBorder="1" applyAlignment="1">
      <alignment wrapText="1"/>
    </xf>
    <xf numFmtId="0" fontId="5" fillId="0" borderId="894" xfId="0" applyFont="1" applyBorder="1" applyAlignment="1">
      <alignment wrapText="1"/>
    </xf>
    <xf numFmtId="1" fontId="5" fillId="6" borderId="911" xfId="0" applyNumberFormat="1" applyFont="1" applyFill="1" applyBorder="1"/>
    <xf numFmtId="0" fontId="5" fillId="0" borderId="13" xfId="0" applyFont="1" applyBorder="1" applyAlignment="1">
      <alignment horizontal="left" wrapText="1"/>
    </xf>
    <xf numFmtId="0" fontId="20" fillId="5" borderId="777" xfId="0" applyFont="1" applyFill="1" applyBorder="1" applyAlignment="1">
      <alignment wrapText="1"/>
    </xf>
    <xf numFmtId="0" fontId="5" fillId="0" borderId="919" xfId="0" applyFont="1" applyBorder="1" applyAlignment="1">
      <alignment horizontal="center" vertical="center"/>
    </xf>
    <xf numFmtId="0" fontId="5" fillId="0" borderId="934" xfId="0" applyFont="1" applyBorder="1" applyAlignment="1">
      <alignment horizontal="center" vertical="center"/>
    </xf>
    <xf numFmtId="0" fontId="5" fillId="0" borderId="918" xfId="0" applyFont="1" applyBorder="1" applyAlignment="1">
      <alignment horizontal="center" vertical="center"/>
    </xf>
    <xf numFmtId="1" fontId="5" fillId="4" borderId="740" xfId="0" applyNumberFormat="1" applyFont="1" applyFill="1" applyBorder="1" applyAlignment="1" applyProtection="1">
      <alignment horizontal="right"/>
      <protection locked="0"/>
    </xf>
    <xf numFmtId="1" fontId="5" fillId="4" borderId="713" xfId="0" applyNumberFormat="1" applyFont="1" applyFill="1" applyBorder="1" applyAlignment="1" applyProtection="1">
      <alignment horizontal="right"/>
      <protection locked="0"/>
    </xf>
    <xf numFmtId="0" fontId="5" fillId="0" borderId="31" xfId="0" applyFont="1" applyBorder="1" applyAlignment="1">
      <alignment wrapText="1"/>
    </xf>
    <xf numFmtId="0" fontId="26" fillId="0" borderId="914" xfId="0" applyFont="1" applyBorder="1" applyAlignment="1">
      <alignment horizontal="center" vertical="center" wrapText="1"/>
    </xf>
    <xf numFmtId="0" fontId="5" fillId="0" borderId="916" xfId="0" applyFont="1" applyBorder="1" applyAlignment="1">
      <alignment horizontal="center" vertical="center" wrapText="1"/>
    </xf>
    <xf numFmtId="0" fontId="5" fillId="0" borderId="960" xfId="0" applyFont="1" applyBorder="1" applyAlignment="1">
      <alignment horizontal="center" vertical="center" wrapText="1"/>
    </xf>
    <xf numFmtId="1" fontId="5" fillId="4" borderId="941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Alignment="1">
      <alignment wrapText="1"/>
    </xf>
    <xf numFmtId="1" fontId="5" fillId="4" borderId="675" xfId="0" applyNumberFormat="1" applyFont="1" applyFill="1" applyBorder="1" applyAlignment="1" applyProtection="1">
      <alignment horizontal="right"/>
      <protection locked="0"/>
    </xf>
    <xf numFmtId="0" fontId="47" fillId="0" borderId="914" xfId="0" applyFont="1" applyBorder="1" applyAlignment="1">
      <alignment wrapText="1"/>
    </xf>
    <xf numFmtId="1" fontId="5" fillId="4" borderId="262" xfId="0" applyNumberFormat="1" applyFont="1" applyFill="1" applyBorder="1" applyAlignment="1" applyProtection="1">
      <alignment horizontal="right"/>
      <protection locked="0"/>
    </xf>
    <xf numFmtId="1" fontId="5" fillId="4" borderId="49" xfId="0" applyNumberFormat="1" applyFont="1" applyFill="1" applyBorder="1" applyAlignment="1" applyProtection="1">
      <alignment horizontal="right"/>
      <protection locked="0"/>
    </xf>
    <xf numFmtId="1" fontId="5" fillId="0" borderId="835" xfId="0" applyNumberFormat="1" applyFont="1" applyBorder="1" applyAlignment="1">
      <alignment horizontal="right"/>
    </xf>
    <xf numFmtId="0" fontId="5" fillId="0" borderId="914" xfId="0" applyFont="1" applyBorder="1" applyAlignment="1">
      <alignment horizontal="center" vertical="center" wrapText="1"/>
    </xf>
    <xf numFmtId="0" fontId="53" fillId="0" borderId="914" xfId="0" applyFont="1" applyBorder="1" applyAlignment="1">
      <alignment horizontal="center" vertical="center" wrapText="1"/>
    </xf>
    <xf numFmtId="0" fontId="5" fillId="0" borderId="921" xfId="0" applyFont="1" applyBorder="1" applyAlignment="1">
      <alignment horizontal="center" vertical="center"/>
    </xf>
    <xf numFmtId="0" fontId="5" fillId="0" borderId="909" xfId="0" applyFont="1" applyBorder="1" applyAlignment="1">
      <alignment horizontal="center" vertical="center"/>
    </xf>
    <xf numFmtId="1" fontId="5" fillId="4" borderId="30" xfId="0" applyNumberFormat="1" applyFont="1" applyFill="1" applyBorder="1" applyAlignment="1" applyProtection="1">
      <alignment horizontal="right"/>
      <protection locked="0"/>
    </xf>
    <xf numFmtId="1" fontId="5" fillId="5" borderId="947" xfId="0" applyNumberFormat="1" applyFont="1" applyFill="1" applyBorder="1" applyAlignment="1">
      <alignment horizontal="right"/>
    </xf>
    <xf numFmtId="1" fontId="5" fillId="4" borderId="739" xfId="0" applyNumberFormat="1" applyFont="1" applyFill="1" applyBorder="1" applyAlignment="1" applyProtection="1">
      <alignment horizontal="right"/>
      <protection locked="0"/>
    </xf>
    <xf numFmtId="1" fontId="5" fillId="4" borderId="804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Alignment="1">
      <alignment vertical="top" wrapText="1"/>
    </xf>
    <xf numFmtId="1" fontId="5" fillId="4" borderId="452" xfId="0" applyNumberFormat="1" applyFont="1" applyFill="1" applyBorder="1" applyAlignment="1" applyProtection="1">
      <alignment horizontal="right"/>
      <protection locked="0"/>
    </xf>
    <xf numFmtId="0" fontId="5" fillId="0" borderId="921" xfId="0" applyFont="1" applyBorder="1" applyAlignment="1">
      <alignment horizontal="center" vertical="center" wrapText="1"/>
    </xf>
    <xf numFmtId="1" fontId="33" fillId="34" borderId="0" xfId="0" applyNumberFormat="1" applyFont="1" applyFill="1" applyAlignment="1">
      <alignment wrapText="1"/>
    </xf>
    <xf numFmtId="1" fontId="33" fillId="36" borderId="0" xfId="0" applyNumberFormat="1" applyFont="1" applyFill="1"/>
    <xf numFmtId="1" fontId="5" fillId="0" borderId="944" xfId="0" applyNumberFormat="1" applyFont="1" applyBorder="1" applyAlignment="1">
      <alignment horizontal="right"/>
    </xf>
    <xf numFmtId="1" fontId="5" fillId="4" borderId="555" xfId="0" applyNumberFormat="1" applyFont="1" applyFill="1" applyBorder="1" applyAlignment="1" applyProtection="1">
      <alignment horizontal="right"/>
      <protection locked="0"/>
    </xf>
    <xf numFmtId="1" fontId="5" fillId="4" borderId="432" xfId="0" applyNumberFormat="1" applyFont="1" applyFill="1" applyBorder="1" applyAlignment="1" applyProtection="1">
      <alignment horizontal="right"/>
      <protection locked="0"/>
    </xf>
    <xf numFmtId="1" fontId="5" fillId="4" borderId="440" xfId="0" applyNumberFormat="1" applyFont="1" applyFill="1" applyBorder="1" applyAlignment="1" applyProtection="1">
      <alignment horizontal="right"/>
      <protection locked="0"/>
    </xf>
    <xf numFmtId="1" fontId="5" fillId="4" borderId="938" xfId="0" applyNumberFormat="1" applyFont="1" applyFill="1" applyBorder="1" applyAlignment="1" applyProtection="1">
      <alignment horizontal="right"/>
      <protection locked="0"/>
    </xf>
    <xf numFmtId="1" fontId="5" fillId="4" borderId="438" xfId="0" applyNumberFormat="1" applyFont="1" applyFill="1" applyBorder="1" applyAlignment="1" applyProtection="1">
      <alignment horizontal="right"/>
      <protection locked="0"/>
    </xf>
    <xf numFmtId="1" fontId="5" fillId="4" borderId="894" xfId="0" applyNumberFormat="1" applyFont="1" applyFill="1" applyBorder="1" applyAlignment="1" applyProtection="1">
      <alignment horizontal="right"/>
      <protection locked="0"/>
    </xf>
    <xf numFmtId="1" fontId="5" fillId="6" borderId="894" xfId="0" applyNumberFormat="1" applyFont="1" applyFill="1" applyBorder="1" applyAlignment="1">
      <alignment horizontal="right"/>
    </xf>
    <xf numFmtId="1" fontId="5" fillId="0" borderId="942" xfId="0" applyNumberFormat="1" applyFont="1" applyBorder="1" applyAlignment="1">
      <alignment horizontal="right"/>
    </xf>
    <xf numFmtId="1" fontId="5" fillId="4" borderId="903" xfId="0" applyNumberFormat="1" applyFont="1" applyFill="1" applyBorder="1" applyAlignment="1" applyProtection="1">
      <alignment horizontal="right"/>
      <protection locked="0"/>
    </xf>
    <xf numFmtId="1" fontId="5" fillId="4" borderId="259" xfId="0" applyNumberFormat="1" applyFont="1" applyFill="1" applyBorder="1" applyAlignment="1" applyProtection="1">
      <alignment horizontal="right"/>
      <protection locked="0"/>
    </xf>
    <xf numFmtId="1" fontId="5" fillId="6" borderId="835" xfId="0" applyNumberFormat="1" applyFont="1" applyFill="1" applyBorder="1" applyAlignment="1">
      <alignment horizontal="right"/>
    </xf>
    <xf numFmtId="1" fontId="5" fillId="0" borderId="903" xfId="0" applyNumberFormat="1" applyFont="1" applyBorder="1" applyAlignment="1">
      <alignment wrapText="1"/>
    </xf>
    <xf numFmtId="1" fontId="5" fillId="0" borderId="942" xfId="0" applyNumberFormat="1" applyFont="1" applyBorder="1" applyAlignment="1">
      <alignment horizontal="right" wrapText="1"/>
    </xf>
    <xf numFmtId="1" fontId="5" fillId="4" borderId="70" xfId="0" applyNumberFormat="1" applyFont="1" applyFill="1" applyBorder="1" applyAlignment="1" applyProtection="1">
      <alignment horizontal="right"/>
      <protection locked="0"/>
    </xf>
    <xf numFmtId="1" fontId="5" fillId="0" borderId="53" xfId="0" applyNumberFormat="1" applyFont="1" applyBorder="1" applyAlignment="1">
      <alignment horizontal="right"/>
    </xf>
    <xf numFmtId="1" fontId="5" fillId="4" borderId="939" xfId="0" applyNumberFormat="1" applyFont="1" applyFill="1" applyBorder="1" applyAlignment="1" applyProtection="1">
      <alignment horizontal="right"/>
      <protection locked="0"/>
    </xf>
    <xf numFmtId="1" fontId="5" fillId="0" borderId="57" xfId="0" applyNumberFormat="1" applyFont="1" applyBorder="1" applyAlignment="1">
      <alignment horizontal="right"/>
    </xf>
    <xf numFmtId="1" fontId="5" fillId="4" borderId="920" xfId="0" applyNumberFormat="1" applyFont="1" applyFill="1" applyBorder="1" applyAlignment="1" applyProtection="1">
      <alignment horizontal="right"/>
      <protection locked="0"/>
    </xf>
    <xf numFmtId="1" fontId="5" fillId="7" borderId="555" xfId="0" applyNumberFormat="1" applyFont="1" applyFill="1" applyBorder="1" applyAlignment="1">
      <alignment horizontal="right"/>
    </xf>
    <xf numFmtId="1" fontId="5" fillId="7" borderId="23" xfId="0" applyNumberFormat="1" applyFont="1" applyFill="1" applyBorder="1" applyAlignment="1">
      <alignment horizontal="right"/>
    </xf>
    <xf numFmtId="1" fontId="5" fillId="7" borderId="25" xfId="0" applyNumberFormat="1" applyFont="1" applyFill="1" applyBorder="1" applyAlignment="1">
      <alignment horizontal="right"/>
    </xf>
    <xf numFmtId="1" fontId="5" fillId="7" borderId="226" xfId="0" applyNumberFormat="1" applyFont="1" applyFill="1" applyBorder="1" applyAlignment="1">
      <alignment horizontal="right"/>
    </xf>
    <xf numFmtId="1" fontId="5" fillId="7" borderId="947" xfId="0" applyNumberFormat="1" applyFont="1" applyFill="1" applyBorder="1" applyAlignment="1">
      <alignment horizontal="right"/>
    </xf>
    <xf numFmtId="1" fontId="5" fillId="4" borderId="946" xfId="0" applyNumberFormat="1" applyFont="1" applyFill="1" applyBorder="1" applyAlignment="1" applyProtection="1">
      <alignment horizontal="right"/>
      <protection locked="0"/>
    </xf>
    <xf numFmtId="1" fontId="5" fillId="6" borderId="31" xfId="0" applyNumberFormat="1" applyFont="1" applyFill="1" applyBorder="1" applyAlignment="1">
      <alignment horizontal="right"/>
    </xf>
    <xf numFmtId="1" fontId="5" fillId="4" borderId="264" xfId="0" applyNumberFormat="1" applyFont="1" applyFill="1" applyBorder="1" applyAlignment="1" applyProtection="1">
      <alignment horizontal="right"/>
      <protection locked="0"/>
    </xf>
    <xf numFmtId="1" fontId="5" fillId="4" borderId="435" xfId="0" applyNumberFormat="1" applyFont="1" applyFill="1" applyBorder="1" applyAlignment="1" applyProtection="1">
      <alignment horizontal="right"/>
      <protection locked="0"/>
    </xf>
    <xf numFmtId="1" fontId="5" fillId="7" borderId="12" xfId="0" applyNumberFormat="1" applyFont="1" applyFill="1" applyBorder="1" applyAlignment="1">
      <alignment horizontal="right"/>
    </xf>
    <xf numFmtId="1" fontId="5" fillId="4" borderId="11" xfId="0" applyNumberFormat="1" applyFont="1" applyFill="1" applyBorder="1" applyAlignment="1" applyProtection="1">
      <alignment horizontal="right"/>
      <protection locked="0"/>
    </xf>
    <xf numFmtId="1" fontId="5" fillId="7" borderId="900" xfId="0" applyNumberFormat="1" applyFont="1" applyFill="1" applyBorder="1" applyAlignment="1">
      <alignment horizontal="right"/>
    </xf>
    <xf numFmtId="1" fontId="5" fillId="7" borderId="903" xfId="0" applyNumberFormat="1" applyFont="1" applyFill="1" applyBorder="1" applyAlignment="1">
      <alignment horizontal="right"/>
    </xf>
    <xf numFmtId="1" fontId="5" fillId="7" borderId="42" xfId="0" applyNumberFormat="1" applyFont="1" applyFill="1" applyBorder="1" applyAlignment="1">
      <alignment horizontal="right"/>
    </xf>
    <xf numFmtId="1" fontId="5" fillId="7" borderId="70" xfId="0" applyNumberFormat="1" applyFont="1" applyFill="1" applyBorder="1" applyAlignment="1">
      <alignment horizontal="right"/>
    </xf>
    <xf numFmtId="1" fontId="5" fillId="7" borderId="40" xfId="0" applyNumberFormat="1" applyFont="1" applyFill="1" applyBorder="1" applyAlignment="1">
      <alignment horizontal="right"/>
    </xf>
    <xf numFmtId="1" fontId="5" fillId="7" borderId="833" xfId="0" applyNumberFormat="1" applyFont="1" applyFill="1" applyBorder="1" applyAlignment="1">
      <alignment horizontal="right"/>
    </xf>
    <xf numFmtId="1" fontId="5" fillId="7" borderId="11" xfId="0" applyNumberFormat="1" applyFont="1" applyFill="1" applyBorder="1" applyAlignment="1">
      <alignment horizontal="right"/>
    </xf>
    <xf numFmtId="1" fontId="5" fillId="4" borderId="500" xfId="0" applyNumberFormat="1" applyFont="1" applyFill="1" applyBorder="1" applyAlignment="1" applyProtection="1">
      <alignment horizontal="right"/>
      <protection locked="0"/>
    </xf>
    <xf numFmtId="1" fontId="5" fillId="6" borderId="23" xfId="0" applyNumberFormat="1" applyFont="1" applyFill="1" applyBorder="1" applyAlignment="1">
      <alignment horizontal="right"/>
    </xf>
    <xf numFmtId="1" fontId="5" fillId="6" borderId="42" xfId="0" applyNumberFormat="1" applyFont="1" applyFill="1" applyBorder="1" applyAlignment="1">
      <alignment horizontal="right"/>
    </xf>
    <xf numFmtId="1" fontId="5" fillId="0" borderId="70" xfId="0" applyNumberFormat="1" applyFont="1" applyBorder="1"/>
    <xf numFmtId="1" fontId="5" fillId="7" borderId="838" xfId="0" applyNumberFormat="1" applyFont="1" applyFill="1" applyBorder="1" applyAlignment="1">
      <alignment horizontal="right"/>
    </xf>
    <xf numFmtId="1" fontId="5" fillId="7" borderId="27" xfId="0" applyNumberFormat="1" applyFont="1" applyFill="1" applyBorder="1" applyAlignment="1">
      <alignment horizontal="right"/>
    </xf>
    <xf numFmtId="1" fontId="5" fillId="6" borderId="831" xfId="0" applyNumberFormat="1" applyFont="1" applyFill="1" applyBorder="1" applyAlignment="1">
      <alignment horizontal="right"/>
    </xf>
    <xf numFmtId="1" fontId="5" fillId="6" borderId="833" xfId="0" applyNumberFormat="1" applyFont="1" applyFill="1" applyBorder="1" applyAlignment="1">
      <alignment horizontal="right"/>
    </xf>
    <xf numFmtId="1" fontId="5" fillId="0" borderId="900" xfId="0" applyNumberFormat="1" applyFont="1" applyBorder="1" applyAlignment="1">
      <alignment vertical="top" wrapText="1"/>
    </xf>
    <xf numFmtId="1" fontId="5" fillId="4" borderId="937" xfId="0" applyNumberFormat="1" applyFont="1" applyFill="1" applyBorder="1" applyAlignment="1" applyProtection="1">
      <alignment horizontal="right"/>
      <protection locked="0"/>
    </xf>
    <xf numFmtId="1" fontId="5" fillId="4" borderId="942" xfId="0" applyNumberFormat="1" applyFont="1" applyFill="1" applyBorder="1" applyAlignment="1" applyProtection="1">
      <alignment horizontal="right"/>
      <protection locked="0"/>
    </xf>
    <xf numFmtId="1" fontId="5" fillId="7" borderId="53" xfId="0" applyNumberFormat="1" applyFont="1" applyFill="1" applyBorder="1" applyAlignment="1">
      <alignment horizontal="right"/>
    </xf>
    <xf numFmtId="1" fontId="5" fillId="7" borderId="86" xfId="0" applyNumberFormat="1" applyFont="1" applyFill="1" applyBorder="1" applyAlignment="1">
      <alignment horizontal="right"/>
    </xf>
    <xf numFmtId="1" fontId="5" fillId="4" borderId="55" xfId="0" applyNumberFormat="1" applyFont="1" applyFill="1" applyBorder="1" applyAlignment="1" applyProtection="1">
      <alignment horizontal="right"/>
      <protection locked="0"/>
    </xf>
    <xf numFmtId="1" fontId="5" fillId="6" borderId="70" xfId="0" applyNumberFormat="1" applyFont="1" applyFill="1" applyBorder="1" applyAlignment="1">
      <alignment horizontal="right"/>
    </xf>
    <xf numFmtId="1" fontId="5" fillId="6" borderId="53" xfId="0" applyNumberFormat="1" applyFont="1" applyFill="1" applyBorder="1" applyAlignment="1">
      <alignment horizontal="right"/>
    </xf>
    <xf numFmtId="1" fontId="5" fillId="6" borderId="86" xfId="0" applyNumberFormat="1" applyFont="1" applyFill="1" applyBorder="1" applyAlignment="1">
      <alignment horizontal="right"/>
    </xf>
    <xf numFmtId="1" fontId="5" fillId="6" borderId="41" xfId="0" applyNumberFormat="1" applyFont="1" applyFill="1" applyBorder="1" applyAlignment="1">
      <alignment horizontal="right"/>
    </xf>
    <xf numFmtId="1" fontId="5" fillId="6" borderId="40" xfId="0" applyNumberFormat="1" applyFont="1" applyFill="1" applyBorder="1" applyAlignment="1">
      <alignment horizontal="right"/>
    </xf>
    <xf numFmtId="1" fontId="5" fillId="0" borderId="900" xfId="0" applyNumberFormat="1" applyFont="1" applyBorder="1" applyAlignment="1">
      <alignment horizontal="left" vertical="center" wrapText="1"/>
    </xf>
    <xf numFmtId="1" fontId="26" fillId="10" borderId="0" xfId="0" applyNumberFormat="1" applyFont="1" applyFill="1" applyProtection="1">
      <protection locked="0"/>
    </xf>
    <xf numFmtId="1" fontId="26" fillId="26" borderId="0" xfId="0" applyNumberFormat="1" applyFont="1" applyFill="1" applyProtection="1">
      <protection locked="0"/>
    </xf>
    <xf numFmtId="1" fontId="5" fillId="7" borderId="835" xfId="0" applyNumberFormat="1" applyFont="1" applyFill="1" applyBorder="1" applyAlignment="1">
      <alignment horizontal="right"/>
    </xf>
    <xf numFmtId="1" fontId="5" fillId="4" borderId="676" xfId="0" applyNumberFormat="1" applyFont="1" applyFill="1" applyBorder="1" applyAlignment="1" applyProtection="1">
      <alignment horizontal="right"/>
      <protection locked="0"/>
    </xf>
    <xf numFmtId="1" fontId="5" fillId="0" borderId="894" xfId="0" applyNumberFormat="1" applyFont="1" applyBorder="1" applyAlignment="1">
      <alignment horizontal="right"/>
    </xf>
    <xf numFmtId="1" fontId="5" fillId="4" borderId="36" xfId="0" applyNumberFormat="1" applyFont="1" applyFill="1" applyBorder="1" applyAlignment="1" applyProtection="1">
      <alignment horizontal="right"/>
      <protection locked="0"/>
    </xf>
    <xf numFmtId="1" fontId="5" fillId="4" borderId="975" xfId="0" applyNumberFormat="1" applyFont="1" applyFill="1" applyBorder="1" applyAlignment="1" applyProtection="1">
      <alignment horizontal="right"/>
      <protection locked="0"/>
    </xf>
    <xf numFmtId="1" fontId="15" fillId="3" borderId="36" xfId="0" applyNumberFormat="1" applyFont="1" applyFill="1" applyBorder="1" applyAlignment="1">
      <alignment horizontal="left"/>
    </xf>
    <xf numFmtId="1" fontId="5" fillId="0" borderId="975" xfId="0" applyNumberFormat="1" applyFont="1" applyBorder="1" applyAlignment="1">
      <alignment horizontal="center" vertical="center" wrapText="1"/>
    </xf>
    <xf numFmtId="1" fontId="5" fillId="0" borderId="440" xfId="0" applyNumberFormat="1" applyFont="1" applyBorder="1" applyAlignment="1">
      <alignment horizontal="center" vertical="center" wrapText="1"/>
    </xf>
    <xf numFmtId="1" fontId="5" fillId="0" borderId="435" xfId="0" applyNumberFormat="1" applyFont="1" applyBorder="1" applyAlignment="1">
      <alignment horizontal="right"/>
    </xf>
    <xf numFmtId="1" fontId="5" fillId="4" borderId="803" xfId="0" applyNumberFormat="1" applyFont="1" applyFill="1" applyBorder="1" applyAlignment="1" applyProtection="1">
      <alignment horizontal="right"/>
      <protection locked="0"/>
    </xf>
    <xf numFmtId="1" fontId="5" fillId="37" borderId="103" xfId="0" applyNumberFormat="1" applyFont="1" applyFill="1" applyBorder="1" applyAlignment="1" applyProtection="1">
      <alignment horizontal="right"/>
      <protection locked="0"/>
    </xf>
    <xf numFmtId="1" fontId="5" fillId="37" borderId="898" xfId="0" applyNumberFormat="1" applyFont="1" applyFill="1" applyBorder="1" applyAlignment="1" applyProtection="1">
      <alignment horizontal="right"/>
      <protection locked="0"/>
    </xf>
    <xf numFmtId="1" fontId="5" fillId="4" borderId="451" xfId="0" applyNumberFormat="1" applyFont="1" applyFill="1" applyBorder="1" applyAlignment="1" applyProtection="1">
      <alignment horizontal="right"/>
      <protection locked="0"/>
    </xf>
    <xf numFmtId="1" fontId="5" fillId="37" borderId="894" xfId="0" applyNumberFormat="1" applyFont="1" applyFill="1" applyBorder="1" applyProtection="1">
      <protection locked="0"/>
    </xf>
    <xf numFmtId="1" fontId="5" fillId="37" borderId="103" xfId="0" applyNumberFormat="1" applyFont="1" applyFill="1" applyBorder="1" applyProtection="1">
      <protection locked="0"/>
    </xf>
    <xf numFmtId="1" fontId="5" fillId="37" borderId="899" xfId="0" applyNumberFormat="1" applyFont="1" applyFill="1" applyBorder="1" applyProtection="1">
      <protection locked="0"/>
    </xf>
    <xf numFmtId="1" fontId="3" fillId="0" borderId="502" xfId="0" applyNumberFormat="1" applyFont="1" applyBorder="1" applyAlignment="1">
      <alignment horizontal="center" vertical="center" wrapText="1"/>
    </xf>
    <xf numFmtId="1" fontId="3" fillId="0" borderId="975" xfId="0" applyNumberFormat="1" applyFont="1" applyBorder="1" applyAlignment="1">
      <alignment horizontal="center" vertical="center" wrapText="1"/>
    </xf>
    <xf numFmtId="1" fontId="3" fillId="0" borderId="440" xfId="0" applyNumberFormat="1" applyFont="1" applyBorder="1" applyAlignment="1">
      <alignment horizontal="center" vertical="center" wrapText="1"/>
    </xf>
    <xf numFmtId="1" fontId="3" fillId="0" borderId="894" xfId="0" applyNumberFormat="1" applyFont="1" applyBorder="1" applyAlignment="1">
      <alignment horizontal="left" vertical="center" wrapText="1"/>
    </xf>
    <xf numFmtId="1" fontId="3" fillId="0" borderId="435" xfId="0" applyNumberFormat="1" applyFont="1" applyBorder="1" applyAlignment="1">
      <alignment horizontal="right"/>
    </xf>
    <xf numFmtId="1" fontId="3" fillId="4" borderId="502" xfId="0" applyNumberFormat="1" applyFont="1" applyFill="1" applyBorder="1" applyAlignment="1" applyProtection="1">
      <alignment horizontal="right"/>
      <protection locked="0"/>
    </xf>
    <xf numFmtId="1" fontId="3" fillId="4" borderId="458" xfId="0" applyNumberFormat="1" applyFont="1" applyFill="1" applyBorder="1" applyAlignment="1" applyProtection="1">
      <alignment horizontal="right"/>
      <protection locked="0"/>
    </xf>
    <xf numFmtId="1" fontId="3" fillId="4" borderId="975" xfId="0" applyNumberFormat="1" applyFont="1" applyFill="1" applyBorder="1" applyAlignment="1" applyProtection="1">
      <alignment horizontal="right"/>
      <protection locked="0"/>
    </xf>
    <xf numFmtId="1" fontId="3" fillId="4" borderId="440" xfId="0" applyNumberFormat="1" applyFont="1" applyFill="1" applyBorder="1" applyAlignment="1" applyProtection="1">
      <alignment horizontal="right"/>
      <protection locked="0"/>
    </xf>
    <xf numFmtId="1" fontId="3" fillId="4" borderId="438" xfId="0" applyNumberFormat="1" applyFont="1" applyFill="1" applyBorder="1" applyAlignment="1" applyProtection="1">
      <alignment horizontal="right"/>
      <protection locked="0"/>
    </xf>
    <xf numFmtId="1" fontId="3" fillId="0" borderId="835" xfId="0" applyNumberFormat="1" applyFont="1" applyBorder="1" applyAlignment="1">
      <alignment horizontal="left" vertical="center" wrapText="1"/>
    </xf>
    <xf numFmtId="1" fontId="3" fillId="0" borderId="835" xfId="0" applyNumberFormat="1" applyFont="1" applyBorder="1" applyAlignment="1">
      <alignment horizontal="right"/>
    </xf>
    <xf numFmtId="1" fontId="3" fillId="4" borderId="245" xfId="0" applyNumberFormat="1" applyFont="1" applyFill="1" applyBorder="1" applyAlignment="1" applyProtection="1">
      <alignment horizontal="right"/>
      <protection locked="0"/>
    </xf>
    <xf numFmtId="1" fontId="3" fillId="4" borderId="244" xfId="0" applyNumberFormat="1" applyFont="1" applyFill="1" applyBorder="1" applyAlignment="1" applyProtection="1">
      <alignment horizontal="right"/>
      <protection locked="0"/>
    </xf>
    <xf numFmtId="1" fontId="3" fillId="4" borderId="264" xfId="0" applyNumberFormat="1" applyFont="1" applyFill="1" applyBorder="1" applyAlignment="1" applyProtection="1">
      <alignment horizontal="right"/>
      <protection locked="0"/>
    </xf>
    <xf numFmtId="1" fontId="3" fillId="4" borderId="248" xfId="0" applyNumberFormat="1" applyFont="1" applyFill="1" applyBorder="1" applyAlignment="1" applyProtection="1">
      <alignment horizontal="right"/>
      <protection locked="0"/>
    </xf>
    <xf numFmtId="1" fontId="3" fillId="4" borderId="911" xfId="0" applyNumberFormat="1" applyFont="1" applyFill="1" applyBorder="1" applyAlignment="1" applyProtection="1">
      <alignment horizontal="right"/>
      <protection locked="0"/>
    </xf>
    <xf numFmtId="1" fontId="3" fillId="4" borderId="835" xfId="0" applyNumberFormat="1" applyFont="1" applyFill="1" applyBorder="1" applyAlignment="1" applyProtection="1">
      <alignment horizontal="right"/>
      <protection locked="0"/>
    </xf>
    <xf numFmtId="1" fontId="3" fillId="4" borderId="651" xfId="0" applyNumberFormat="1" applyFont="1" applyFill="1" applyBorder="1" applyAlignment="1" applyProtection="1">
      <alignment horizontal="right"/>
      <protection locked="0"/>
    </xf>
    <xf numFmtId="1" fontId="3" fillId="4" borderId="511" xfId="0" applyNumberFormat="1" applyFont="1" applyFill="1" applyBorder="1" applyAlignment="1" applyProtection="1">
      <alignment horizontal="right"/>
      <protection locked="0"/>
    </xf>
    <xf numFmtId="1" fontId="3" fillId="4" borderId="803" xfId="0" applyNumberFormat="1" applyFont="1" applyFill="1" applyBorder="1" applyAlignment="1" applyProtection="1">
      <alignment horizontal="right"/>
      <protection locked="0"/>
    </xf>
    <xf numFmtId="1" fontId="3" fillId="4" borderId="804" xfId="0" applyNumberFormat="1" applyFont="1" applyFill="1" applyBorder="1" applyAlignment="1" applyProtection="1">
      <alignment horizontal="right"/>
      <protection locked="0"/>
    </xf>
    <xf numFmtId="1" fontId="3" fillId="4" borderId="739" xfId="0" applyNumberFormat="1" applyFont="1" applyFill="1" applyBorder="1" applyAlignment="1" applyProtection="1">
      <alignment horizontal="right"/>
      <protection locked="0"/>
    </xf>
    <xf numFmtId="1" fontId="3" fillId="4" borderId="676" xfId="0" applyNumberFormat="1" applyFont="1" applyFill="1" applyBorder="1" applyAlignment="1" applyProtection="1">
      <alignment horizontal="right"/>
      <protection locked="0"/>
    </xf>
    <xf numFmtId="1" fontId="3" fillId="0" borderId="894" xfId="0" applyNumberFormat="1" applyFont="1" applyBorder="1" applyAlignment="1">
      <alignment horizontal="right"/>
    </xf>
    <xf numFmtId="1" fontId="3" fillId="4" borderId="897" xfId="0" applyNumberFormat="1" applyFont="1" applyFill="1" applyBorder="1" applyAlignment="1" applyProtection="1">
      <alignment horizontal="right"/>
      <protection locked="0"/>
    </xf>
    <xf numFmtId="1" fontId="3" fillId="4" borderId="937" xfId="0" applyNumberFormat="1" applyFont="1" applyFill="1" applyBorder="1" applyAlignment="1" applyProtection="1">
      <alignment horizontal="right"/>
      <protection locked="0"/>
    </xf>
    <xf numFmtId="1" fontId="3" fillId="4" borderId="901" xfId="0" applyNumberFormat="1" applyFont="1" applyFill="1" applyBorder="1" applyAlignment="1" applyProtection="1">
      <alignment horizontal="right"/>
      <protection locked="0"/>
    </xf>
    <xf numFmtId="1" fontId="3" fillId="4" borderId="940" xfId="0" applyNumberFormat="1" applyFont="1" applyFill="1" applyBorder="1" applyAlignment="1" applyProtection="1">
      <alignment horizontal="right"/>
      <protection locked="0"/>
    </xf>
    <xf numFmtId="1" fontId="3" fillId="4" borderId="894" xfId="0" applyNumberFormat="1" applyFont="1" applyFill="1" applyBorder="1" applyAlignment="1" applyProtection="1">
      <alignment horizontal="right"/>
      <protection locked="0"/>
    </xf>
    <xf numFmtId="1" fontId="3" fillId="0" borderId="31" xfId="0" applyNumberFormat="1" applyFont="1" applyBorder="1" applyAlignment="1">
      <alignment horizontal="right"/>
    </xf>
    <xf numFmtId="1" fontId="3" fillId="4" borderId="718" xfId="0" applyNumberFormat="1" applyFont="1" applyFill="1" applyBorder="1" applyAlignment="1" applyProtection="1">
      <alignment horizontal="right"/>
      <protection locked="0"/>
    </xf>
    <xf numFmtId="1" fontId="3" fillId="4" borderId="29" xfId="0" applyNumberFormat="1" applyFont="1" applyFill="1" applyBorder="1" applyAlignment="1" applyProtection="1">
      <alignment horizontal="right"/>
      <protection locked="0"/>
    </xf>
    <xf numFmtId="1" fontId="3" fillId="4" borderId="466" xfId="0" applyNumberFormat="1" applyFont="1" applyFill="1" applyBorder="1" applyAlignment="1" applyProtection="1">
      <alignment horizontal="right"/>
      <protection locked="0"/>
    </xf>
    <xf numFmtId="1" fontId="3" fillId="4" borderId="452" xfId="0" applyNumberFormat="1" applyFont="1" applyFill="1" applyBorder="1" applyAlignment="1" applyProtection="1">
      <alignment horizontal="right"/>
      <protection locked="0"/>
    </xf>
    <xf numFmtId="1" fontId="3" fillId="4" borderId="500" xfId="0" applyNumberFormat="1" applyFont="1" applyFill="1" applyBorder="1" applyAlignment="1" applyProtection="1">
      <alignment horizontal="right"/>
      <protection locked="0"/>
    </xf>
    <xf numFmtId="1" fontId="3" fillId="4" borderId="831" xfId="0" applyNumberFormat="1" applyFont="1" applyFill="1" applyBorder="1" applyAlignment="1" applyProtection="1">
      <alignment horizontal="right"/>
      <protection locked="0"/>
    </xf>
    <xf numFmtId="1" fontId="3" fillId="4" borderId="832" xfId="0" applyNumberFormat="1" applyFont="1" applyFill="1" applyBorder="1" applyAlignment="1" applyProtection="1">
      <alignment horizontal="right"/>
      <protection locked="0"/>
    </xf>
    <xf numFmtId="1" fontId="3" fillId="4" borderId="936" xfId="0" applyNumberFormat="1" applyFont="1" applyFill="1" applyBorder="1" applyAlignment="1" applyProtection="1">
      <alignment horizontal="right"/>
      <protection locked="0"/>
    </xf>
    <xf numFmtId="1" fontId="3" fillId="4" borderId="854" xfId="0" applyNumberFormat="1" applyFont="1" applyFill="1" applyBorder="1" applyAlignment="1" applyProtection="1">
      <alignment horizontal="right"/>
      <protection locked="0"/>
    </xf>
    <xf numFmtId="1" fontId="3" fillId="0" borderId="914" xfId="0" applyNumberFormat="1" applyFont="1" applyBorder="1" applyAlignment="1">
      <alignment horizontal="center" vertical="center" wrapText="1"/>
    </xf>
    <xf numFmtId="1" fontId="3" fillId="0" borderId="919" xfId="0" applyNumberFormat="1" applyFont="1" applyBorder="1" applyAlignment="1">
      <alignment horizontal="center" vertical="center" wrapText="1"/>
    </xf>
    <xf numFmtId="1" fontId="3" fillId="0" borderId="922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vertical="center" wrapText="1"/>
    </xf>
    <xf numFmtId="1" fontId="3" fillId="4" borderId="31" xfId="0" applyNumberFormat="1" applyFont="1" applyFill="1" applyBorder="1" applyAlignment="1" applyProtection="1">
      <alignment horizontal="right" wrapText="1"/>
      <protection locked="0"/>
    </xf>
    <xf numFmtId="1" fontId="3" fillId="0" borderId="835" xfId="0" applyNumberFormat="1" applyFont="1" applyBorder="1" applyAlignment="1">
      <alignment vertical="center" wrapText="1"/>
    </xf>
    <xf numFmtId="1" fontId="3" fillId="4" borderId="835" xfId="0" applyNumberFormat="1" applyFont="1" applyFill="1" applyBorder="1" applyAlignment="1" applyProtection="1">
      <alignment horizontal="right" wrapText="1"/>
      <protection locked="0"/>
    </xf>
    <xf numFmtId="1" fontId="3" fillId="4" borderId="838" xfId="0" applyNumberFormat="1" applyFont="1" applyFill="1" applyBorder="1" applyAlignment="1" applyProtection="1">
      <alignment horizontal="right"/>
      <protection locked="0"/>
    </xf>
    <xf numFmtId="1" fontId="3" fillId="3" borderId="835" xfId="0" applyNumberFormat="1" applyFont="1" applyFill="1" applyBorder="1" applyAlignment="1">
      <alignment vertical="center" wrapText="1"/>
    </xf>
    <xf numFmtId="1" fontId="3" fillId="0" borderId="835" xfId="0" applyNumberFormat="1" applyFont="1" applyBorder="1" applyAlignment="1">
      <alignment wrapText="1"/>
    </xf>
    <xf numFmtId="1" fontId="3" fillId="4" borderId="838" xfId="0" applyNumberFormat="1" applyFont="1" applyFill="1" applyBorder="1" applyAlignment="1" applyProtection="1">
      <alignment horizontal="right" wrapText="1"/>
      <protection locked="0"/>
    </xf>
    <xf numFmtId="1" fontId="3" fillId="4" borderId="12" xfId="0" applyNumberFormat="1" applyFont="1" applyFill="1" applyBorder="1" applyAlignment="1" applyProtection="1">
      <alignment horizontal="right" wrapText="1"/>
      <protection locked="0"/>
    </xf>
    <xf numFmtId="1" fontId="5" fillId="0" borderId="454" xfId="0" applyNumberFormat="1" applyFont="1" applyBorder="1" applyAlignment="1">
      <alignment horizontal="center" vertical="center"/>
    </xf>
    <xf numFmtId="1" fontId="5" fillId="0" borderId="576" xfId="0" applyNumberFormat="1" applyFont="1" applyBorder="1" applyAlignment="1">
      <alignment horizontal="center" vertical="center"/>
    </xf>
    <xf numFmtId="1" fontId="5" fillId="0" borderId="576" xfId="0" applyNumberFormat="1" applyFont="1" applyBorder="1" applyAlignment="1">
      <alignment horizontal="center" vertical="center" wrapText="1"/>
    </xf>
    <xf numFmtId="1" fontId="5" fillId="3" borderId="568" xfId="0" applyNumberFormat="1" applyFont="1" applyFill="1" applyBorder="1" applyAlignment="1">
      <alignment horizontal="right"/>
    </xf>
    <xf numFmtId="1" fontId="5" fillId="3" borderId="572" xfId="0" applyNumberFormat="1" applyFont="1" applyFill="1" applyBorder="1" applyAlignment="1">
      <alignment horizontal="right"/>
    </xf>
    <xf numFmtId="1" fontId="5" fillId="3" borderId="750" xfId="0" applyNumberFormat="1" applyFont="1" applyFill="1" applyBorder="1" applyAlignment="1">
      <alignment horizontal="right"/>
    </xf>
    <xf numFmtId="1" fontId="5" fillId="3" borderId="596" xfId="0" applyNumberFormat="1" applyFont="1" applyFill="1" applyBorder="1" applyAlignment="1">
      <alignment horizontal="right"/>
    </xf>
    <xf numFmtId="1" fontId="5" fillId="3" borderId="752" xfId="0" applyNumberFormat="1" applyFont="1" applyFill="1" applyBorder="1" applyAlignment="1">
      <alignment horizontal="right"/>
    </xf>
    <xf numFmtId="1" fontId="5" fillId="0" borderId="903" xfId="0" applyNumberFormat="1" applyFont="1" applyBorder="1" applyAlignment="1">
      <alignment horizontal="right"/>
    </xf>
    <xf numFmtId="1" fontId="5" fillId="7" borderId="20" xfId="0" applyNumberFormat="1" applyFont="1" applyFill="1" applyBorder="1" applyAlignment="1">
      <alignment horizontal="right"/>
    </xf>
    <xf numFmtId="1" fontId="5" fillId="7" borderId="792" xfId="0" applyNumberFormat="1" applyFont="1" applyFill="1" applyBorder="1" applyAlignment="1">
      <alignment horizontal="right"/>
    </xf>
    <xf numFmtId="1" fontId="5" fillId="4" borderId="792" xfId="0" applyNumberFormat="1" applyFont="1" applyFill="1" applyBorder="1" applyAlignment="1" applyProtection="1">
      <alignment horizontal="right"/>
      <protection locked="0"/>
    </xf>
    <xf numFmtId="1" fontId="5" fillId="0" borderId="596" xfId="0" applyNumberFormat="1" applyFont="1" applyBorder="1" applyAlignment="1">
      <alignment horizontal="center" vertical="center" wrapText="1"/>
    </xf>
    <xf numFmtId="1" fontId="3" fillId="0" borderId="752" xfId="0" applyNumberFormat="1" applyFont="1" applyBorder="1" applyAlignment="1">
      <alignment horizontal="center" vertical="center" wrapText="1"/>
    </xf>
    <xf numFmtId="1" fontId="5" fillId="4" borderId="981" xfId="0" applyNumberFormat="1" applyFont="1" applyFill="1" applyBorder="1" applyAlignment="1" applyProtection="1">
      <alignment horizontal="right"/>
      <protection locked="0"/>
    </xf>
    <xf numFmtId="1" fontId="5" fillId="4" borderId="980" xfId="0" applyNumberFormat="1" applyFont="1" applyFill="1" applyBorder="1" applyAlignment="1" applyProtection="1">
      <alignment horizontal="right"/>
      <protection locked="0"/>
    </xf>
    <xf numFmtId="1" fontId="5" fillId="0" borderId="596" xfId="0" applyNumberFormat="1" applyFont="1" applyBorder="1" applyAlignment="1">
      <alignment horizontal="right"/>
    </xf>
    <xf numFmtId="1" fontId="5" fillId="4" borderId="572" xfId="0" applyNumberFormat="1" applyFont="1" applyFill="1" applyBorder="1" applyAlignment="1" applyProtection="1">
      <alignment horizontal="right"/>
      <protection locked="0"/>
    </xf>
    <xf numFmtId="1" fontId="5" fillId="4" borderId="596" xfId="0" applyNumberFormat="1" applyFont="1" applyFill="1" applyBorder="1" applyAlignment="1" applyProtection="1">
      <alignment horizontal="right"/>
      <protection locked="0"/>
    </xf>
    <xf numFmtId="1" fontId="15" fillId="3" borderId="925" xfId="0" applyNumberFormat="1" applyFont="1" applyFill="1" applyBorder="1" applyAlignment="1">
      <alignment horizontal="left"/>
    </xf>
    <xf numFmtId="1" fontId="5" fillId="5" borderId="561" xfId="0" applyNumberFormat="1" applyFont="1" applyFill="1" applyBorder="1" applyAlignment="1">
      <alignment horizontal="center" vertical="center" wrapText="1"/>
    </xf>
    <xf numFmtId="1" fontId="5" fillId="5" borderId="596" xfId="0" applyNumberFormat="1" applyFont="1" applyFill="1" applyBorder="1" applyAlignment="1">
      <alignment horizontal="center" vertical="center" wrapText="1"/>
    </xf>
    <xf numFmtId="1" fontId="5" fillId="0" borderId="597" xfId="0" applyNumberFormat="1" applyFont="1" applyBorder="1" applyAlignment="1">
      <alignment horizontal="center" vertical="center" wrapText="1"/>
    </xf>
    <xf numFmtId="1" fontId="5" fillId="0" borderId="568" xfId="0" applyNumberFormat="1" applyFont="1" applyBorder="1" applyAlignment="1">
      <alignment vertical="center"/>
    </xf>
    <xf numFmtId="1" fontId="5" fillId="0" borderId="596" xfId="0" applyNumberFormat="1" applyFont="1" applyBorder="1" applyAlignment="1">
      <alignment vertical="center"/>
    </xf>
    <xf numFmtId="1" fontId="5" fillId="0" borderId="572" xfId="0" applyNumberFormat="1" applyFont="1" applyBorder="1" applyAlignment="1">
      <alignment wrapText="1"/>
    </xf>
    <xf numFmtId="1" fontId="5" fillId="0" borderId="752" xfId="0" applyNumberFormat="1" applyFont="1" applyBorder="1" applyAlignment="1">
      <alignment wrapText="1"/>
    </xf>
    <xf numFmtId="1" fontId="5" fillId="0" borderId="574" xfId="0" applyNumberFormat="1" applyFont="1" applyBorder="1" applyAlignment="1">
      <alignment wrapText="1"/>
    </xf>
    <xf numFmtId="1" fontId="5" fillId="0" borderId="596" xfId="0" applyNumberFormat="1" applyFont="1" applyBorder="1" applyAlignment="1">
      <alignment wrapText="1"/>
    </xf>
    <xf numFmtId="1" fontId="5" fillId="0" borderId="989" xfId="0" applyNumberFormat="1" applyFont="1" applyBorder="1" applyAlignment="1">
      <alignment wrapText="1"/>
    </xf>
    <xf numFmtId="1" fontId="5" fillId="0" borderId="750" xfId="0" applyNumberFormat="1" applyFont="1" applyBorder="1" applyAlignment="1">
      <alignment wrapText="1"/>
    </xf>
    <xf numFmtId="1" fontId="5" fillId="0" borderId="576" xfId="0" applyNumberFormat="1" applyFont="1" applyBorder="1" applyAlignment="1">
      <alignment wrapText="1"/>
    </xf>
    <xf numFmtId="1" fontId="5" fillId="0" borderId="709" xfId="0" applyNumberFormat="1" applyFont="1" applyBorder="1" applyAlignment="1">
      <alignment wrapText="1"/>
    </xf>
    <xf numFmtId="1" fontId="5" fillId="0" borderId="569" xfId="0" applyNumberFormat="1" applyFont="1" applyBorder="1" applyAlignment="1">
      <alignment wrapText="1"/>
    </xf>
    <xf numFmtId="1" fontId="5" fillId="0" borderId="568" xfId="0" applyNumberFormat="1" applyFont="1" applyBorder="1" applyAlignment="1">
      <alignment wrapText="1"/>
    </xf>
    <xf numFmtId="1" fontId="5" fillId="0" borderId="705" xfId="0" applyNumberFormat="1" applyFont="1" applyBorder="1" applyAlignment="1">
      <alignment wrapText="1"/>
    </xf>
    <xf numFmtId="1" fontId="5" fillId="0" borderId="990" xfId="0" applyNumberFormat="1" applyFont="1" applyBorder="1" applyAlignment="1">
      <alignment wrapText="1"/>
    </xf>
    <xf numFmtId="1" fontId="5" fillId="0" borderId="980" xfId="0" applyNumberFormat="1" applyFont="1" applyBorder="1" applyAlignment="1">
      <alignment horizontal="left" vertical="center"/>
    </xf>
    <xf numFmtId="1" fontId="5" fillId="0" borderId="838" xfId="0" applyNumberFormat="1" applyFont="1" applyBorder="1" applyAlignment="1">
      <alignment horizontal="left" vertical="center"/>
    </xf>
    <xf numFmtId="1" fontId="5" fillId="4" borderId="977" xfId="0" applyNumberFormat="1" applyFont="1" applyFill="1" applyBorder="1" applyProtection="1">
      <protection locked="0"/>
    </xf>
    <xf numFmtId="1" fontId="5" fillId="4" borderId="63" xfId="0" applyNumberFormat="1" applyFont="1" applyFill="1" applyBorder="1" applyProtection="1">
      <protection locked="0"/>
    </xf>
    <xf numFmtId="1" fontId="5" fillId="4" borderId="841" xfId="0" applyNumberFormat="1" applyFont="1" applyFill="1" applyBorder="1" applyProtection="1">
      <protection locked="0"/>
    </xf>
    <xf numFmtId="1" fontId="16" fillId="3" borderId="0" xfId="0" applyNumberFormat="1" applyFont="1" applyFill="1" applyAlignment="1">
      <alignment horizontal="left" vertical="center"/>
    </xf>
    <xf numFmtId="1" fontId="16" fillId="3" borderId="0" xfId="0" applyNumberFormat="1" applyFont="1" applyFill="1" applyAlignment="1" applyProtection="1">
      <alignment horizontal="right"/>
      <protection locked="0"/>
    </xf>
    <xf numFmtId="1" fontId="16" fillId="3" borderId="0" xfId="0" applyNumberFormat="1" applyFont="1" applyFill="1" applyAlignment="1">
      <alignment horizontal="right"/>
    </xf>
    <xf numFmtId="1" fontId="5" fillId="3" borderId="576" xfId="0" applyNumberFormat="1" applyFont="1" applyFill="1" applyBorder="1" applyAlignment="1">
      <alignment horizontal="center" vertical="center"/>
    </xf>
    <xf numFmtId="1" fontId="5" fillId="3" borderId="576" xfId="0" applyNumberFormat="1" applyFont="1" applyFill="1" applyBorder="1" applyAlignment="1">
      <alignment horizontal="center" vertical="center" wrapText="1"/>
    </xf>
    <xf numFmtId="1" fontId="5" fillId="0" borderId="435" xfId="0" applyNumberFormat="1" applyFont="1" applyBorder="1"/>
    <xf numFmtId="1" fontId="5" fillId="4" borderId="576" xfId="0" applyNumberFormat="1" applyFont="1" applyFill="1" applyBorder="1" applyAlignment="1" applyProtection="1">
      <alignment vertical="center" wrapText="1"/>
      <protection locked="0"/>
    </xf>
    <xf numFmtId="1" fontId="5" fillId="0" borderId="983" xfId="0" applyNumberFormat="1" applyFont="1" applyBorder="1" applyAlignment="1">
      <alignment horizontal="left" vertical="center"/>
    </xf>
    <xf numFmtId="1" fontId="5" fillId="0" borderId="983" xfId="0" applyNumberFormat="1" applyFont="1" applyBorder="1"/>
    <xf numFmtId="1" fontId="5" fillId="4" borderId="983" xfId="0" applyNumberFormat="1" applyFont="1" applyFill="1" applyBorder="1" applyAlignment="1" applyProtection="1">
      <alignment vertical="center" wrapText="1"/>
      <protection locked="0"/>
    </xf>
    <xf numFmtId="1" fontId="5" fillId="0" borderId="986" xfId="0" applyNumberFormat="1" applyFont="1" applyBorder="1" applyAlignment="1">
      <alignment horizontal="left" vertical="center"/>
    </xf>
    <xf numFmtId="1" fontId="5" fillId="4" borderId="986" xfId="0" applyNumberFormat="1" applyFont="1" applyFill="1" applyBorder="1" applyAlignment="1" applyProtection="1">
      <alignment vertical="center" wrapText="1"/>
      <protection locked="0"/>
    </xf>
    <xf numFmtId="1" fontId="5" fillId="4" borderId="835" xfId="0" applyNumberFormat="1" applyFont="1" applyFill="1" applyBorder="1" applyAlignment="1" applyProtection="1">
      <alignment vertical="center" wrapText="1"/>
      <protection locked="0"/>
    </xf>
    <xf numFmtId="1" fontId="5" fillId="0" borderId="983" xfId="0" applyNumberFormat="1" applyFont="1" applyBorder="1" applyAlignment="1">
      <alignment vertical="center"/>
    </xf>
    <xf numFmtId="1" fontId="5" fillId="0" borderId="576" xfId="0" applyNumberFormat="1" applyFont="1" applyBorder="1"/>
    <xf numFmtId="1" fontId="5" fillId="0" borderId="983" xfId="0" applyNumberFormat="1" applyFont="1" applyBorder="1" applyAlignment="1">
      <alignment horizontal="left" vertical="center" wrapText="1"/>
    </xf>
    <xf numFmtId="1" fontId="15" fillId="5" borderId="0" xfId="0" applyNumberFormat="1" applyFont="1" applyFill="1" applyAlignment="1">
      <alignment horizontal="left"/>
    </xf>
    <xf numFmtId="1" fontId="16" fillId="5" borderId="0" xfId="0" applyNumberFormat="1" applyFont="1" applyFill="1" applyAlignment="1">
      <alignment horizontal="left" vertical="center"/>
    </xf>
    <xf numFmtId="1" fontId="16" fillId="5" borderId="0" xfId="0" applyNumberFormat="1" applyFont="1" applyFill="1" applyAlignment="1" applyProtection="1">
      <alignment horizontal="right"/>
      <protection locked="0"/>
    </xf>
    <xf numFmtId="1" fontId="5" fillId="5" borderId="576" xfId="0" applyNumberFormat="1" applyFont="1" applyFill="1" applyBorder="1" applyAlignment="1">
      <alignment horizontal="center" vertical="center" wrapText="1"/>
    </xf>
    <xf numFmtId="1" fontId="5" fillId="4" borderId="750" xfId="0" applyNumberFormat="1" applyFont="1" applyFill="1" applyBorder="1" applyProtection="1">
      <protection locked="0"/>
    </xf>
    <xf numFmtId="1" fontId="5" fillId="5" borderId="977" xfId="0" applyNumberFormat="1" applyFont="1" applyFill="1" applyBorder="1" applyAlignment="1">
      <alignment vertical="center"/>
    </xf>
    <xf numFmtId="1" fontId="5" fillId="5" borderId="986" xfId="0" applyNumberFormat="1" applyFont="1" applyFill="1" applyBorder="1" applyAlignment="1">
      <alignment horizontal="left" vertical="center" wrapText="1"/>
    </xf>
    <xf numFmtId="1" fontId="5" fillId="4" borderId="986" xfId="0" applyNumberFormat="1" applyFont="1" applyFill="1" applyBorder="1" applyProtection="1">
      <protection locked="0"/>
    </xf>
    <xf numFmtId="1" fontId="5" fillId="5" borderId="983" xfId="0" applyNumberFormat="1" applyFont="1" applyFill="1" applyBorder="1" applyAlignment="1">
      <alignment horizontal="left" vertical="center"/>
    </xf>
    <xf numFmtId="1" fontId="5" fillId="5" borderId="22" xfId="0" applyNumberFormat="1" applyFont="1" applyFill="1" applyBorder="1" applyAlignment="1">
      <alignment horizontal="left" vertical="center"/>
    </xf>
    <xf numFmtId="1" fontId="5" fillId="0" borderId="572" xfId="0" applyNumberFormat="1" applyFont="1" applyBorder="1" applyAlignment="1">
      <alignment horizontal="right" vertical="center" wrapText="1"/>
    </xf>
    <xf numFmtId="1" fontId="5" fillId="0" borderId="752" xfId="0" applyNumberFormat="1" applyFont="1" applyBorder="1" applyAlignment="1">
      <alignment horizontal="right" vertical="center" wrapText="1"/>
    </xf>
    <xf numFmtId="1" fontId="5" fillId="0" borderId="753" xfId="0" applyNumberFormat="1" applyFont="1" applyBorder="1" applyAlignment="1">
      <alignment horizontal="right" vertical="center" wrapText="1"/>
    </xf>
    <xf numFmtId="1" fontId="5" fillId="0" borderId="574" xfId="0" applyNumberFormat="1" applyFont="1" applyBorder="1" applyAlignment="1">
      <alignment horizontal="right" vertical="center" wrapText="1"/>
    </xf>
    <xf numFmtId="1" fontId="5" fillId="0" borderId="750" xfId="0" applyNumberFormat="1" applyFont="1" applyBorder="1" applyAlignment="1">
      <alignment horizontal="right" vertical="center" wrapText="1"/>
    </xf>
    <xf numFmtId="1" fontId="5" fillId="0" borderId="939" xfId="0" applyNumberFormat="1" applyFont="1" applyBorder="1" applyAlignment="1">
      <alignment horizontal="right" vertical="center" wrapText="1"/>
    </xf>
    <xf numFmtId="1" fontId="5" fillId="0" borderId="977" xfId="0" applyNumberFormat="1" applyFont="1" applyBorder="1" applyAlignment="1">
      <alignment horizontal="right" vertical="center" wrapText="1"/>
    </xf>
    <xf numFmtId="1" fontId="5" fillId="0" borderId="596" xfId="0" applyNumberFormat="1" applyFont="1" applyBorder="1" applyAlignment="1">
      <alignment horizontal="right" vertical="center" wrapText="1"/>
    </xf>
    <xf numFmtId="1" fontId="5" fillId="4" borderId="981" xfId="0" applyNumberFormat="1" applyFont="1" applyFill="1" applyBorder="1" applyProtection="1">
      <protection locked="0"/>
    </xf>
    <xf numFmtId="1" fontId="5" fillId="4" borderId="982" xfId="0" applyNumberFormat="1" applyFont="1" applyFill="1" applyBorder="1" applyProtection="1">
      <protection locked="0"/>
    </xf>
    <xf numFmtId="1" fontId="5" fillId="4" borderId="991" xfId="0" applyNumberFormat="1" applyFont="1" applyFill="1" applyBorder="1" applyProtection="1">
      <protection locked="0"/>
    </xf>
    <xf numFmtId="1" fontId="5" fillId="4" borderId="980" xfId="0" applyNumberFormat="1" applyFont="1" applyFill="1" applyBorder="1" applyProtection="1">
      <protection locked="0"/>
    </xf>
    <xf numFmtId="1" fontId="5" fillId="4" borderId="983" xfId="0" applyNumberFormat="1" applyFont="1" applyFill="1" applyBorder="1" applyProtection="1">
      <protection locked="0"/>
    </xf>
    <xf numFmtId="1" fontId="5" fillId="4" borderId="987" xfId="0" applyNumberFormat="1" applyFont="1" applyFill="1" applyBorder="1" applyProtection="1">
      <protection locked="0"/>
    </xf>
    <xf numFmtId="1" fontId="5" fillId="6" borderId="833" xfId="0" applyNumberFormat="1" applyFont="1" applyFill="1" applyBorder="1"/>
    <xf numFmtId="1" fontId="5" fillId="6" borderId="831" xfId="0" applyNumberFormat="1" applyFont="1" applyFill="1" applyBorder="1"/>
    <xf numFmtId="1" fontId="5" fillId="6" borderId="854" xfId="0" applyNumberFormat="1" applyFont="1" applyFill="1" applyBorder="1"/>
    <xf numFmtId="1" fontId="16" fillId="5" borderId="524" xfId="0" applyNumberFormat="1" applyFont="1" applyFill="1" applyBorder="1"/>
    <xf numFmtId="1" fontId="16" fillId="5" borderId="0" xfId="0" applyNumberFormat="1" applyFont="1" applyFill="1" applyAlignment="1">
      <alignment vertical="center" wrapText="1"/>
    </xf>
    <xf numFmtId="1" fontId="16" fillId="5" borderId="0" xfId="0" applyNumberFormat="1" applyFont="1" applyFill="1" applyAlignment="1">
      <alignment vertical="top" wrapText="1"/>
    </xf>
    <xf numFmtId="1" fontId="5" fillId="4" borderId="979" xfId="0" applyNumberFormat="1" applyFont="1" applyFill="1" applyBorder="1" applyProtection="1">
      <protection locked="0"/>
    </xf>
    <xf numFmtId="1" fontId="5" fillId="17" borderId="983" xfId="0" applyNumberFormat="1" applyFont="1" applyFill="1" applyBorder="1"/>
    <xf numFmtId="1" fontId="5" fillId="17" borderId="31" xfId="0" applyNumberFormat="1" applyFont="1" applyFill="1" applyBorder="1"/>
    <xf numFmtId="1" fontId="5" fillId="5" borderId="838" xfId="0" applyNumberFormat="1" applyFont="1" applyFill="1" applyBorder="1" applyAlignment="1">
      <alignment horizontal="left" vertical="center"/>
    </xf>
    <xf numFmtId="1" fontId="5" fillId="5" borderId="220" xfId="0" applyNumberFormat="1" applyFont="1" applyFill="1" applyBorder="1" applyAlignment="1">
      <alignment horizontal="left" vertical="center" wrapText="1"/>
    </xf>
    <xf numFmtId="1" fontId="5" fillId="17" borderId="986" xfId="0" applyNumberFormat="1" applyFont="1" applyFill="1" applyBorder="1"/>
    <xf numFmtId="1" fontId="5" fillId="4" borderId="572" xfId="0" applyNumberFormat="1" applyFont="1" applyFill="1" applyBorder="1" applyProtection="1">
      <protection locked="0"/>
    </xf>
    <xf numFmtId="1" fontId="5" fillId="23" borderId="572" xfId="0" applyNumberFormat="1" applyFont="1" applyFill="1" applyBorder="1"/>
    <xf numFmtId="1" fontId="5" fillId="4" borderId="576" xfId="0" applyNumberFormat="1" applyFont="1" applyFill="1" applyBorder="1" applyProtection="1">
      <protection locked="0"/>
    </xf>
    <xf numFmtId="1" fontId="5" fillId="5" borderId="987" xfId="0" applyNumberFormat="1" applyFont="1" applyFill="1" applyBorder="1"/>
    <xf numFmtId="1" fontId="5" fillId="5" borderId="576" xfId="0" applyNumberFormat="1" applyFont="1" applyFill="1" applyBorder="1"/>
    <xf numFmtId="1" fontId="15" fillId="5" borderId="0" xfId="0" applyNumberFormat="1" applyFont="1" applyFill="1" applyAlignment="1">
      <alignment horizontal="left" wrapText="1"/>
    </xf>
    <xf numFmtId="1" fontId="5" fillId="0" borderId="994" xfId="0" applyNumberFormat="1" applyFont="1" applyBorder="1" applyAlignment="1">
      <alignment horizontal="center" vertical="center"/>
    </xf>
    <xf numFmtId="1" fontId="5" fillId="4" borderId="752" xfId="0" applyNumberFormat="1" applyFont="1" applyFill="1" applyBorder="1" applyProtection="1">
      <protection locked="0"/>
    </xf>
    <xf numFmtId="1" fontId="5" fillId="4" borderId="753" xfId="0" applyNumberFormat="1" applyFont="1" applyFill="1" applyBorder="1" applyProtection="1">
      <protection locked="0"/>
    </xf>
    <xf numFmtId="1" fontId="5" fillId="4" borderId="596" xfId="0" applyNumberFormat="1" applyFont="1" applyFill="1" applyBorder="1" applyProtection="1">
      <protection locked="0"/>
    </xf>
    <xf numFmtId="1" fontId="18" fillId="5" borderId="0" xfId="0" applyNumberFormat="1" applyFont="1" applyFill="1"/>
    <xf numFmtId="1" fontId="5" fillId="0" borderId="994" xfId="0" applyNumberFormat="1" applyFont="1" applyBorder="1" applyAlignment="1">
      <alignment horizontal="center" vertical="center" wrapText="1"/>
    </xf>
    <xf numFmtId="1" fontId="16" fillId="4" borderId="596" xfId="0" applyNumberFormat="1" applyFont="1" applyFill="1" applyBorder="1" applyProtection="1">
      <protection locked="0"/>
    </xf>
    <xf numFmtId="1" fontId="16" fillId="4" borderId="576" xfId="0" applyNumberFormat="1" applyFont="1" applyFill="1" applyBorder="1" applyProtection="1">
      <protection locked="0"/>
    </xf>
    <xf numFmtId="1" fontId="5" fillId="0" borderId="979" xfId="0" applyNumberFormat="1" applyFont="1" applyBorder="1" applyAlignment="1">
      <alignment vertical="center" wrapText="1"/>
    </xf>
    <xf numFmtId="1" fontId="5" fillId="0" borderId="983" xfId="0" applyNumberFormat="1" applyFont="1" applyBorder="1" applyAlignment="1">
      <alignment horizontal="right" vertical="center"/>
    </xf>
    <xf numFmtId="1" fontId="5" fillId="6" borderId="20" xfId="0" applyNumberFormat="1" applyFont="1" applyFill="1" applyBorder="1"/>
    <xf numFmtId="1" fontId="5" fillId="0" borderId="57" xfId="0" applyNumberFormat="1" applyFont="1" applyBorder="1" applyAlignment="1">
      <alignment wrapText="1"/>
    </xf>
    <xf numFmtId="0" fontId="3" fillId="0" borderId="576" xfId="0" applyFont="1" applyBorder="1" applyAlignment="1">
      <alignment horizontal="center" vertical="center"/>
    </xf>
    <xf numFmtId="1" fontId="5" fillId="0" borderId="990" xfId="0" applyNumberFormat="1" applyFont="1" applyBorder="1" applyAlignment="1">
      <alignment horizontal="center" vertical="center" wrapText="1"/>
    </xf>
    <xf numFmtId="1" fontId="5" fillId="8" borderId="983" xfId="0" applyNumberFormat="1" applyFont="1" applyFill="1" applyBorder="1" applyProtection="1">
      <protection locked="0"/>
    </xf>
    <xf numFmtId="1" fontId="5" fillId="8" borderId="941" xfId="0" applyNumberFormat="1" applyFont="1" applyFill="1" applyBorder="1" applyProtection="1">
      <protection locked="0"/>
    </xf>
    <xf numFmtId="1" fontId="5" fillId="8" borderId="980" xfId="0" applyNumberFormat="1" applyFont="1" applyFill="1" applyBorder="1" applyProtection="1">
      <protection locked="0"/>
    </xf>
    <xf numFmtId="1" fontId="16" fillId="16" borderId="0" xfId="0" applyNumberFormat="1" applyFont="1" applyFill="1"/>
    <xf numFmtId="1" fontId="16" fillId="26" borderId="0" xfId="0" applyNumberFormat="1" applyFont="1" applyFill="1"/>
    <xf numFmtId="1" fontId="5" fillId="8" borderId="31" xfId="0" applyNumberFormat="1" applyFont="1" applyFill="1" applyBorder="1" applyProtection="1">
      <protection locked="0"/>
    </xf>
    <xf numFmtId="1" fontId="5" fillId="8" borderId="262" xfId="0" applyNumberFormat="1" applyFont="1" applyFill="1" applyBorder="1" applyProtection="1">
      <protection locked="0"/>
    </xf>
    <xf numFmtId="1" fontId="5" fillId="8" borderId="22" xfId="0" applyNumberFormat="1" applyFont="1" applyFill="1" applyBorder="1" applyProtection="1">
      <protection locked="0"/>
    </xf>
    <xf numFmtId="1" fontId="5" fillId="0" borderId="942" xfId="0" applyNumberFormat="1" applyFont="1" applyBorder="1" applyAlignment="1">
      <alignment wrapText="1"/>
    </xf>
    <xf numFmtId="1" fontId="5" fillId="8" borderId="835" xfId="0" applyNumberFormat="1" applyFont="1" applyFill="1" applyBorder="1" applyProtection="1">
      <protection locked="0"/>
    </xf>
    <xf numFmtId="1" fontId="5" fillId="8" borderId="913" xfId="0" applyNumberFormat="1" applyFont="1" applyFill="1" applyBorder="1" applyProtection="1">
      <protection locked="0"/>
    </xf>
    <xf numFmtId="1" fontId="5" fillId="8" borderId="838" xfId="0" applyNumberFormat="1" applyFont="1" applyFill="1" applyBorder="1" applyProtection="1">
      <protection locked="0"/>
    </xf>
    <xf numFmtId="1" fontId="5" fillId="0" borderId="524" xfId="0" applyNumberFormat="1" applyFont="1" applyBorder="1" applyAlignment="1">
      <alignment wrapText="1"/>
    </xf>
    <xf numFmtId="1" fontId="5" fillId="8" borderId="986" xfId="0" applyNumberFormat="1" applyFont="1" applyFill="1" applyBorder="1" applyProtection="1">
      <protection locked="0"/>
    </xf>
    <xf numFmtId="1" fontId="5" fillId="8" borderId="995" xfId="0" applyNumberFormat="1" applyFont="1" applyFill="1" applyBorder="1" applyProtection="1">
      <protection locked="0"/>
    </xf>
    <xf numFmtId="1" fontId="5" fillId="8" borderId="947" xfId="0" applyNumberFormat="1" applyFont="1" applyFill="1" applyBorder="1" applyProtection="1">
      <protection locked="0"/>
    </xf>
    <xf numFmtId="1" fontId="5" fillId="5" borderId="983" xfId="0" applyNumberFormat="1" applyFont="1" applyFill="1" applyBorder="1" applyAlignment="1">
      <alignment horizontal="left" wrapText="1"/>
    </xf>
    <xf numFmtId="1" fontId="5" fillId="5" borderId="994" xfId="0" applyNumberFormat="1" applyFont="1" applyFill="1" applyBorder="1" applyAlignment="1">
      <alignment horizontal="left" wrapText="1"/>
    </xf>
    <xf numFmtId="1" fontId="5" fillId="4" borderId="994" xfId="0" applyNumberFormat="1" applyFont="1" applyFill="1" applyBorder="1" applyProtection="1">
      <protection locked="0"/>
    </xf>
    <xf numFmtId="1" fontId="5" fillId="5" borderId="983" xfId="0" applyNumberFormat="1" applyFont="1" applyFill="1" applyBorder="1"/>
    <xf numFmtId="1" fontId="5" fillId="5" borderId="835" xfId="0" applyNumberFormat="1" applyFont="1" applyFill="1" applyBorder="1"/>
    <xf numFmtId="1" fontId="5" fillId="5" borderId="994" xfId="0" applyNumberFormat="1" applyFont="1" applyFill="1" applyBorder="1"/>
    <xf numFmtId="1" fontId="5" fillId="8" borderId="994" xfId="0" applyNumberFormat="1" applyFont="1" applyFill="1" applyBorder="1" applyProtection="1">
      <protection locked="0"/>
    </xf>
    <xf numFmtId="1" fontId="15" fillId="3" borderId="561" xfId="0" applyNumberFormat="1" applyFont="1" applyFill="1" applyBorder="1"/>
    <xf numFmtId="0" fontId="5" fillId="0" borderId="572" xfId="0" applyFont="1" applyBorder="1" applyAlignment="1">
      <alignment horizontal="center" vertical="center"/>
    </xf>
    <xf numFmtId="0" fontId="5" fillId="0" borderId="752" xfId="0" applyFont="1" applyBorder="1" applyAlignment="1">
      <alignment horizontal="center" vertical="center"/>
    </xf>
    <xf numFmtId="0" fontId="5" fillId="0" borderId="753" xfId="0" applyFont="1" applyBorder="1" applyAlignment="1">
      <alignment horizontal="center" vertical="center"/>
    </xf>
    <xf numFmtId="1" fontId="5" fillId="0" borderId="983" xfId="0" applyNumberFormat="1" applyFont="1" applyBorder="1" applyAlignment="1">
      <alignment vertical="center" wrapText="1"/>
    </xf>
    <xf numFmtId="1" fontId="5" fillId="4" borderId="524" xfId="0" applyNumberFormat="1" applyFont="1" applyFill="1" applyBorder="1" applyProtection="1">
      <protection locked="0"/>
    </xf>
    <xf numFmtId="1" fontId="5" fillId="0" borderId="568" xfId="0" applyNumberFormat="1" applyFont="1" applyBorder="1"/>
    <xf numFmtId="1" fontId="5" fillId="4" borderId="996" xfId="0" applyNumberFormat="1" applyFont="1" applyFill="1" applyBorder="1" applyProtection="1">
      <protection locked="0"/>
    </xf>
    <xf numFmtId="1" fontId="5" fillId="4" borderId="574" xfId="0" applyNumberFormat="1" applyFont="1" applyFill="1" applyBorder="1" applyProtection="1">
      <protection locked="0"/>
    </xf>
    <xf numFmtId="1" fontId="5" fillId="0" borderId="995" xfId="0" applyNumberFormat="1" applyFont="1" applyBorder="1" applyAlignment="1">
      <alignment horizontal="center" vertical="center" wrapText="1"/>
    </xf>
    <xf numFmtId="1" fontId="5" fillId="8" borderId="13" xfId="0" applyNumberFormat="1" applyFont="1" applyFill="1" applyBorder="1" applyProtection="1">
      <protection locked="0"/>
    </xf>
    <xf numFmtId="1" fontId="5" fillId="8" borderId="49" xfId="0" applyNumberFormat="1" applyFont="1" applyFill="1" applyBorder="1" applyProtection="1">
      <protection locked="0"/>
    </xf>
    <xf numFmtId="1" fontId="5" fillId="8" borderId="792" xfId="0" applyNumberFormat="1" applyFont="1" applyFill="1" applyBorder="1" applyProtection="1">
      <protection locked="0"/>
    </xf>
    <xf numFmtId="1" fontId="18" fillId="3" borderId="0" xfId="0" applyNumberFormat="1" applyFont="1" applyFill="1" applyAlignment="1">
      <alignment vertical="center" wrapText="1"/>
    </xf>
    <xf numFmtId="1" fontId="16" fillId="0" borderId="0" xfId="0" applyNumberFormat="1" applyFont="1" applyProtection="1">
      <protection locked="0"/>
    </xf>
    <xf numFmtId="1" fontId="15" fillId="5" borderId="923" xfId="0" applyNumberFormat="1" applyFont="1" applyFill="1" applyBorder="1"/>
    <xf numFmtId="1" fontId="15" fillId="0" borderId="923" xfId="0" applyNumberFormat="1" applyFont="1" applyBorder="1"/>
    <xf numFmtId="1" fontId="5" fillId="3" borderId="835" xfId="0" applyNumberFormat="1" applyFont="1" applyFill="1" applyBorder="1" applyAlignment="1">
      <alignment vertical="center" wrapText="1"/>
    </xf>
    <xf numFmtId="1" fontId="5" fillId="0" borderId="792" xfId="0" applyNumberFormat="1" applyFont="1" applyBorder="1"/>
    <xf numFmtId="1" fontId="5" fillId="0" borderId="0" xfId="0" applyNumberFormat="1" applyFont="1" applyAlignment="1">
      <alignment vertical="center"/>
    </xf>
    <xf numFmtId="1" fontId="5" fillId="0" borderId="33" xfId="0" applyNumberFormat="1" applyFont="1" applyBorder="1" applyAlignment="1">
      <alignment vertical="center" wrapText="1"/>
    </xf>
    <xf numFmtId="1" fontId="5" fillId="5" borderId="838" xfId="0" applyNumberFormat="1" applyFont="1" applyFill="1" applyBorder="1" applyAlignment="1">
      <alignment horizontal="left"/>
    </xf>
    <xf numFmtId="1" fontId="5" fillId="5" borderId="55" xfId="0" applyNumberFormat="1" applyFont="1" applyFill="1" applyBorder="1" applyAlignment="1">
      <alignment horizontal="right"/>
    </xf>
    <xf numFmtId="1" fontId="5" fillId="5" borderId="942" xfId="0" applyNumberFormat="1" applyFont="1" applyFill="1" applyBorder="1" applyAlignment="1">
      <alignment horizontal="right"/>
    </xf>
    <xf numFmtId="1" fontId="5" fillId="0" borderId="838" xfId="0" applyNumberFormat="1" applyFont="1" applyBorder="1" applyAlignment="1">
      <alignment wrapText="1"/>
    </xf>
    <xf numFmtId="1" fontId="5" fillId="5" borderId="838" xfId="0" applyNumberFormat="1" applyFont="1" applyFill="1" applyBorder="1" applyAlignment="1">
      <alignment horizontal="left" wrapText="1"/>
    </xf>
    <xf numFmtId="1" fontId="5" fillId="5" borderId="942" xfId="0" applyNumberFormat="1" applyFont="1" applyFill="1" applyBorder="1" applyAlignment="1">
      <alignment horizontal="right" wrapText="1"/>
    </xf>
    <xf numFmtId="1" fontId="5" fillId="0" borderId="942" xfId="0" applyNumberFormat="1" applyFont="1" applyBorder="1" applyAlignment="1">
      <alignment horizontal="right" vertical="center"/>
    </xf>
    <xf numFmtId="1" fontId="5" fillId="0" borderId="942" xfId="0" applyNumberFormat="1" applyFont="1" applyBorder="1" applyAlignment="1">
      <alignment horizontal="right" vertical="center" wrapText="1"/>
    </xf>
    <xf numFmtId="1" fontId="5" fillId="5" borderId="835" xfId="0" applyNumberFormat="1" applyFont="1" applyFill="1" applyBorder="1" applyAlignment="1">
      <alignment horizontal="right" vertical="center" wrapText="1"/>
    </xf>
    <xf numFmtId="1" fontId="5" fillId="5" borderId="835" xfId="0" applyNumberFormat="1" applyFont="1" applyFill="1" applyBorder="1" applyAlignment="1">
      <alignment horizontal="left"/>
    </xf>
    <xf numFmtId="1" fontId="5" fillId="0" borderId="835" xfId="0" applyNumberFormat="1" applyFont="1" applyBorder="1" applyAlignment="1">
      <alignment horizontal="left"/>
    </xf>
    <xf numFmtId="1" fontId="5" fillId="5" borderId="220" xfId="0" applyNumberFormat="1" applyFont="1" applyFill="1" applyBorder="1" applyAlignment="1">
      <alignment horizontal="right"/>
    </xf>
    <xf numFmtId="1" fontId="5" fillId="0" borderId="220" xfId="0" applyNumberFormat="1" applyFont="1" applyBorder="1" applyAlignment="1">
      <alignment horizontal="right" vertical="center"/>
    </xf>
    <xf numFmtId="1" fontId="5" fillId="5" borderId="13" xfId="0" applyNumberFormat="1" applyFont="1" applyFill="1" applyBorder="1" applyAlignment="1">
      <alignment horizontal="left"/>
    </xf>
    <xf numFmtId="1" fontId="5" fillId="0" borderId="55" xfId="0" applyNumberFormat="1" applyFont="1" applyBorder="1" applyAlignment="1">
      <alignment vertical="center"/>
    </xf>
    <xf numFmtId="1" fontId="5" fillId="0" borderId="57" xfId="0" applyNumberFormat="1" applyFont="1" applyBorder="1" applyAlignment="1">
      <alignment vertical="center"/>
    </xf>
    <xf numFmtId="1" fontId="5" fillId="0" borderId="0" xfId="0" applyNumberFormat="1" applyFont="1" applyAlignment="1">
      <alignment horizontal="left" vertical="center"/>
    </xf>
    <xf numFmtId="1" fontId="5" fillId="0" borderId="31" xfId="0" applyNumberFormat="1" applyFont="1" applyBorder="1" applyAlignment="1">
      <alignment horizontal="left"/>
    </xf>
    <xf numFmtId="1" fontId="5" fillId="4" borderId="838" xfId="0" applyNumberFormat="1" applyFont="1" applyFill="1" applyBorder="1" applyAlignment="1" applyProtection="1">
      <alignment wrapText="1"/>
      <protection locked="0"/>
    </xf>
    <xf numFmtId="1" fontId="5" fillId="4" borderId="832" xfId="0" applyNumberFormat="1" applyFont="1" applyFill="1" applyBorder="1" applyAlignment="1" applyProtection="1">
      <alignment wrapText="1"/>
      <protection locked="0"/>
    </xf>
    <xf numFmtId="1" fontId="5" fillId="4" borderId="854" xfId="0" applyNumberFormat="1" applyFont="1" applyFill="1" applyBorder="1" applyAlignment="1" applyProtection="1">
      <alignment wrapText="1"/>
      <protection locked="0"/>
    </xf>
    <xf numFmtId="1" fontId="5" fillId="0" borderId="832" xfId="0" applyNumberFormat="1" applyFont="1" applyBorder="1" applyAlignment="1">
      <alignment wrapText="1"/>
    </xf>
    <xf numFmtId="1" fontId="5" fillId="0" borderId="38" xfId="0" applyNumberFormat="1" applyFont="1" applyBorder="1" applyAlignment="1">
      <alignment wrapText="1"/>
    </xf>
    <xf numFmtId="1" fontId="5" fillId="4" borderId="835" xfId="0" applyNumberFormat="1" applyFont="1" applyFill="1" applyBorder="1" applyAlignment="1" applyProtection="1">
      <alignment wrapText="1"/>
      <protection locked="0"/>
    </xf>
    <xf numFmtId="1" fontId="5" fillId="4" borderId="912" xfId="0" applyNumberFormat="1" applyFont="1" applyFill="1" applyBorder="1" applyAlignment="1" applyProtection="1">
      <alignment wrapText="1"/>
      <protection locked="0"/>
    </xf>
    <xf numFmtId="1" fontId="16" fillId="3" borderId="0" xfId="0" applyNumberFormat="1" applyFont="1" applyFill="1" applyAlignment="1">
      <alignment horizontal="left" wrapText="1"/>
    </xf>
    <xf numFmtId="1" fontId="5" fillId="0" borderId="835" xfId="0" applyNumberFormat="1" applyFont="1" applyBorder="1" applyAlignment="1">
      <alignment horizontal="left" wrapText="1"/>
    </xf>
    <xf numFmtId="1" fontId="5" fillId="22" borderId="835" xfId="0" applyNumberFormat="1" applyFont="1" applyFill="1" applyBorder="1" applyAlignment="1">
      <alignment horizontal="left" wrapText="1"/>
    </xf>
    <xf numFmtId="1" fontId="5" fillId="0" borderId="977" xfId="0" applyNumberFormat="1" applyFont="1" applyBorder="1" applyAlignment="1">
      <alignment horizontal="left" wrapText="1"/>
    </xf>
    <xf numFmtId="1" fontId="5" fillId="3" borderId="13" xfId="0" applyNumberFormat="1" applyFont="1" applyFill="1" applyBorder="1" applyAlignment="1">
      <alignment wrapText="1"/>
    </xf>
    <xf numFmtId="0" fontId="16" fillId="0" borderId="0" xfId="0" applyFont="1"/>
    <xf numFmtId="1" fontId="15" fillId="3" borderId="0" xfId="0" applyNumberFormat="1" applyFont="1" applyFill="1" applyAlignment="1">
      <alignment horizontal="center" vertical="center" wrapText="1"/>
    </xf>
    <xf numFmtId="1" fontId="16" fillId="0" borderId="925" xfId="0" applyNumberFormat="1" applyFont="1" applyBorder="1"/>
    <xf numFmtId="1" fontId="5" fillId="0" borderId="977" xfId="0" applyNumberFormat="1" applyFont="1" applyBorder="1" applyAlignment="1">
      <alignment horizontal="left" vertical="center" wrapText="1"/>
    </xf>
    <xf numFmtId="1" fontId="5" fillId="3" borderId="31" xfId="0" applyNumberFormat="1" applyFont="1" applyFill="1" applyBorder="1" applyAlignment="1">
      <alignment horizontal="right" wrapText="1"/>
    </xf>
    <xf numFmtId="1" fontId="5" fillId="3" borderId="59" xfId="0" applyNumberFormat="1" applyFont="1" applyFill="1" applyBorder="1" applyAlignment="1">
      <alignment horizontal="right" wrapText="1"/>
    </xf>
    <xf numFmtId="1" fontId="5" fillId="3" borderId="835" xfId="0" applyNumberFormat="1" applyFont="1" applyFill="1" applyBorder="1" applyAlignment="1">
      <alignment horizontal="left" wrapText="1"/>
    </xf>
    <xf numFmtId="1" fontId="5" fillId="3" borderId="61" xfId="0" applyNumberFormat="1" applyFont="1" applyFill="1" applyBorder="1" applyAlignment="1">
      <alignment horizontal="right" wrapText="1"/>
    </xf>
    <xf numFmtId="1" fontId="5" fillId="3" borderId="11" xfId="0" applyNumberFormat="1" applyFont="1" applyFill="1" applyBorder="1" applyAlignment="1">
      <alignment horizontal="right" wrapText="1"/>
    </xf>
    <xf numFmtId="1" fontId="5" fillId="5" borderId="977" xfId="0" applyNumberFormat="1" applyFont="1" applyFill="1" applyBorder="1"/>
    <xf numFmtId="1" fontId="5" fillId="3" borderId="835" xfId="0" applyNumberFormat="1" applyFont="1" applyFill="1" applyBorder="1" applyAlignment="1">
      <alignment wrapText="1"/>
    </xf>
    <xf numFmtId="1" fontId="5" fillId="0" borderId="835" xfId="0" applyNumberFormat="1" applyFont="1" applyBorder="1" applyAlignment="1">
      <alignment horizontal="right" vertical="center" wrapText="1"/>
    </xf>
    <xf numFmtId="1" fontId="16" fillId="0" borderId="0" xfId="0" applyNumberFormat="1" applyFont="1" applyAlignment="1">
      <alignment horizontal="right" vertical="center" wrapText="1"/>
    </xf>
    <xf numFmtId="1" fontId="5" fillId="0" borderId="33" xfId="0" applyNumberFormat="1" applyFont="1" applyBorder="1" applyAlignment="1">
      <alignment horizontal="right" vertical="center" wrapText="1"/>
    </xf>
    <xf numFmtId="1" fontId="33" fillId="38" borderId="0" xfId="33" applyNumberFormat="1" applyFont="1"/>
    <xf numFmtId="1" fontId="2" fillId="0" borderId="524" xfId="0" applyNumberFormat="1" applyFont="1" applyBorder="1"/>
    <xf numFmtId="1" fontId="3" fillId="0" borderId="576" xfId="0" applyNumberFormat="1" applyFont="1" applyBorder="1" applyAlignment="1">
      <alignment horizontal="center" vertical="center"/>
    </xf>
    <xf numFmtId="0" fontId="3" fillId="0" borderId="596" xfId="0" applyFont="1" applyBorder="1" applyAlignment="1">
      <alignment horizontal="center" vertical="center" wrapText="1"/>
    </xf>
    <xf numFmtId="0" fontId="3" fillId="0" borderId="576" xfId="0" applyFont="1" applyBorder="1" applyAlignment="1">
      <alignment horizontal="center" vertical="center" wrapText="1"/>
    </xf>
    <xf numFmtId="0" fontId="3" fillId="0" borderId="435" xfId="0" applyFont="1" applyBorder="1" applyAlignment="1">
      <alignment horizontal="center" vertical="center" wrapText="1"/>
    </xf>
    <xf numFmtId="1" fontId="3" fillId="0" borderId="576" xfId="0" applyNumberFormat="1" applyFont="1" applyBorder="1" applyAlignment="1">
      <alignment horizontal="center" vertical="center" wrapText="1"/>
    </xf>
    <xf numFmtId="1" fontId="3" fillId="0" borderId="947" xfId="0" applyNumberFormat="1" applyFont="1" applyBorder="1" applyAlignment="1">
      <alignment horizontal="center" vertical="center"/>
    </xf>
    <xf numFmtId="1" fontId="3" fillId="0" borderId="572" xfId="0" applyNumberFormat="1" applyFont="1" applyBorder="1" applyAlignment="1">
      <alignment horizontal="center" vertical="center"/>
    </xf>
    <xf numFmtId="1" fontId="3" fillId="0" borderId="569" xfId="0" applyNumberFormat="1" applyFont="1" applyBorder="1" applyAlignment="1">
      <alignment horizontal="center" vertical="center"/>
    </xf>
    <xf numFmtId="0" fontId="3" fillId="0" borderId="467" xfId="0" applyFont="1" applyBorder="1" applyAlignment="1">
      <alignment horizontal="center" vertical="center" wrapText="1"/>
    </xf>
    <xf numFmtId="1" fontId="4" fillId="0" borderId="568" xfId="0" applyNumberFormat="1" applyFont="1" applyBorder="1" applyAlignment="1">
      <alignment vertical="center"/>
    </xf>
    <xf numFmtId="1" fontId="3" fillId="0" borderId="979" xfId="0" applyNumberFormat="1" applyFont="1" applyBorder="1" applyAlignment="1">
      <alignment vertical="center"/>
    </xf>
    <xf numFmtId="1" fontId="3" fillId="0" borderId="983" xfId="0" applyNumberFormat="1" applyFont="1" applyBorder="1" applyAlignment="1">
      <alignment wrapText="1"/>
    </xf>
    <xf numFmtId="1" fontId="3" fillId="0" borderId="980" xfId="0" applyNumberFormat="1" applyFont="1" applyBorder="1" applyAlignment="1">
      <alignment wrapText="1"/>
    </xf>
    <xf numFmtId="1" fontId="3" fillId="4" borderId="997" xfId="0" applyNumberFormat="1" applyFont="1" applyFill="1" applyBorder="1" applyProtection="1">
      <protection locked="0"/>
    </xf>
    <xf numFmtId="1" fontId="3" fillId="4" borderId="980" xfId="0" applyNumberFormat="1" applyFont="1" applyFill="1" applyBorder="1" applyProtection="1">
      <protection locked="0"/>
    </xf>
    <xf numFmtId="1" fontId="3" fillId="4" borderId="949" xfId="0" applyNumberFormat="1" applyFont="1" applyFill="1" applyBorder="1" applyProtection="1">
      <protection locked="0"/>
    </xf>
    <xf numFmtId="1" fontId="3" fillId="4" borderId="983" xfId="0" applyNumberFormat="1" applyFont="1" applyFill="1" applyBorder="1" applyProtection="1">
      <protection locked="0"/>
    </xf>
    <xf numFmtId="1" fontId="3" fillId="4" borderId="999" xfId="0" applyNumberFormat="1" applyFont="1" applyFill="1" applyBorder="1" applyProtection="1">
      <protection locked="0"/>
    </xf>
    <xf numFmtId="1" fontId="3" fillId="0" borderId="903" xfId="0" applyNumberFormat="1" applyFont="1" applyBorder="1" applyAlignment="1">
      <alignment vertical="center"/>
    </xf>
    <xf numFmtId="1" fontId="3" fillId="4" borderId="835" xfId="0" applyNumberFormat="1" applyFont="1" applyFill="1" applyBorder="1" applyProtection="1">
      <protection locked="0"/>
    </xf>
    <xf numFmtId="1" fontId="3" fillId="4" borderId="913" xfId="0" applyNumberFormat="1" applyFont="1" applyFill="1" applyBorder="1" applyProtection="1">
      <protection locked="0"/>
    </xf>
    <xf numFmtId="1" fontId="3" fillId="0" borderId="838" xfId="0" applyNumberFormat="1" applyFont="1" applyBorder="1" applyAlignment="1">
      <alignment wrapText="1"/>
    </xf>
    <xf numFmtId="1" fontId="3" fillId="4" borderId="245" xfId="0" applyNumberFormat="1" applyFont="1" applyFill="1" applyBorder="1" applyProtection="1">
      <protection locked="0"/>
    </xf>
    <xf numFmtId="1" fontId="3" fillId="4" borderId="838" xfId="0" applyNumberFormat="1" applyFont="1" applyFill="1" applyBorder="1" applyProtection="1">
      <protection locked="0"/>
    </xf>
    <xf numFmtId="1" fontId="3" fillId="4" borderId="912" xfId="0" applyNumberFormat="1" applyFont="1" applyFill="1" applyBorder="1" applyProtection="1">
      <protection locked="0"/>
    </xf>
    <xf numFmtId="1" fontId="3" fillId="6" borderId="913" xfId="0" applyNumberFormat="1" applyFont="1" applyFill="1" applyBorder="1"/>
    <xf numFmtId="1" fontId="3" fillId="0" borderId="576" xfId="0" applyNumberFormat="1" applyFont="1" applyBorder="1"/>
    <xf numFmtId="1" fontId="3" fillId="6" borderId="262" xfId="0" applyNumberFormat="1" applyFont="1" applyFill="1" applyBorder="1"/>
    <xf numFmtId="1" fontId="3" fillId="0" borderId="979" xfId="0" applyNumberFormat="1" applyFont="1" applyBorder="1" applyAlignment="1">
      <alignment vertical="center" wrapText="1"/>
    </xf>
    <xf numFmtId="1" fontId="3" fillId="0" borderId="998" xfId="0" applyNumberFormat="1" applyFont="1" applyBorder="1" applyAlignment="1">
      <alignment wrapText="1"/>
    </xf>
    <xf numFmtId="1" fontId="3" fillId="6" borderId="838" xfId="0" applyNumberFormat="1" applyFont="1" applyFill="1" applyBorder="1"/>
    <xf numFmtId="1" fontId="3" fillId="6" borderId="835" xfId="0" applyNumberFormat="1" applyFont="1" applyFill="1" applyBorder="1"/>
    <xf numFmtId="1" fontId="3" fillId="3" borderId="942" xfId="0" applyNumberFormat="1" applyFont="1" applyFill="1" applyBorder="1"/>
    <xf numFmtId="1" fontId="3" fillId="6" borderId="942" xfId="0" applyNumberFormat="1" applyFont="1" applyFill="1" applyBorder="1"/>
    <xf numFmtId="1" fontId="3" fillId="4" borderId="911" xfId="0" applyNumberFormat="1" applyFont="1" applyFill="1" applyBorder="1" applyProtection="1">
      <protection locked="0"/>
    </xf>
    <xf numFmtId="1" fontId="3" fillId="0" borderId="903" xfId="0" applyNumberFormat="1" applyFont="1" applyBorder="1" applyAlignment="1">
      <alignment wrapText="1"/>
    </xf>
    <xf numFmtId="1" fontId="3" fillId="4" borderId="942" xfId="0" applyNumberFormat="1" applyFont="1" applyFill="1" applyBorder="1" applyProtection="1">
      <protection locked="0"/>
    </xf>
    <xf numFmtId="1" fontId="3" fillId="4" borderId="246" xfId="0" applyNumberFormat="1" applyFont="1" applyFill="1" applyBorder="1" applyProtection="1">
      <protection locked="0"/>
    </xf>
    <xf numFmtId="1" fontId="3" fillId="4" borderId="248" xfId="0" applyNumberFormat="1" applyFont="1" applyFill="1" applyBorder="1" applyProtection="1">
      <protection locked="0"/>
    </xf>
    <xf numFmtId="0" fontId="3" fillId="0" borderId="942" xfId="0" applyFont="1" applyBorder="1"/>
    <xf numFmtId="0" fontId="3" fillId="0" borderId="57" xfId="0" applyFont="1" applyBorder="1"/>
    <xf numFmtId="1" fontId="3" fillId="4" borderId="833" xfId="0" applyNumberFormat="1" applyFont="1" applyFill="1" applyBorder="1" applyProtection="1">
      <protection locked="0"/>
    </xf>
    <xf numFmtId="1" fontId="3" fillId="4" borderId="854" xfId="0" applyNumberFormat="1" applyFont="1" applyFill="1" applyBorder="1" applyProtection="1">
      <protection locked="0"/>
    </xf>
    <xf numFmtId="1" fontId="3" fillId="6" borderId="33" xfId="0" applyNumberFormat="1" applyFont="1" applyFill="1" applyBorder="1"/>
    <xf numFmtId="1" fontId="4" fillId="3" borderId="561" xfId="0" applyNumberFormat="1" applyFont="1" applyFill="1" applyBorder="1"/>
    <xf numFmtId="1" fontId="3" fillId="6" borderId="792" xfId="0" applyNumberFormat="1" applyFont="1" applyFill="1" applyBorder="1"/>
    <xf numFmtId="1" fontId="3" fillId="6" borderId="13" xfId="0" applyNumberFormat="1" applyFont="1" applyFill="1" applyBorder="1"/>
    <xf numFmtId="1" fontId="3" fillId="3" borderId="944" xfId="0" applyNumberFormat="1" applyFont="1" applyFill="1" applyBorder="1"/>
    <xf numFmtId="1" fontId="3" fillId="0" borderId="435" xfId="0" applyNumberFormat="1" applyFont="1" applyBorder="1" applyAlignment="1">
      <alignment wrapText="1"/>
    </xf>
    <xf numFmtId="1" fontId="3" fillId="4" borderId="502" xfId="0" applyNumberFormat="1" applyFont="1" applyFill="1" applyBorder="1" applyProtection="1">
      <protection locked="0"/>
    </xf>
    <xf numFmtId="1" fontId="3" fillId="6" borderId="22" xfId="0" applyNumberFormat="1" applyFont="1" applyFill="1" applyBorder="1"/>
    <xf numFmtId="1" fontId="3" fillId="6" borderId="31" xfId="0" applyNumberFormat="1" applyFont="1" applyFill="1" applyBorder="1"/>
    <xf numFmtId="1" fontId="3" fillId="0" borderId="752" xfId="0" applyNumberFormat="1" applyFont="1" applyBorder="1" applyAlignment="1">
      <alignment horizontal="center" vertical="center"/>
    </xf>
    <xf numFmtId="1" fontId="3" fillId="0" borderId="467" xfId="0" applyNumberFormat="1" applyFont="1" applyBorder="1" applyAlignment="1">
      <alignment horizontal="center" vertical="center" wrapText="1"/>
    </xf>
    <xf numFmtId="1" fontId="3" fillId="0" borderId="568" xfId="0" applyNumberFormat="1" applyFont="1" applyBorder="1"/>
    <xf numFmtId="1" fontId="3" fillId="0" borderId="576" xfId="0" applyNumberFormat="1" applyFont="1" applyBorder="1" applyAlignment="1">
      <alignment wrapText="1"/>
    </xf>
    <xf numFmtId="1" fontId="3" fillId="9" borderId="572" xfId="24" applyNumberFormat="1" applyFont="1" applyBorder="1" applyProtection="1">
      <protection locked="0"/>
    </xf>
    <xf numFmtId="1" fontId="3" fillId="9" borderId="752" xfId="24" applyNumberFormat="1" applyFont="1" applyBorder="1" applyProtection="1">
      <protection locked="0"/>
    </xf>
    <xf numFmtId="1" fontId="3" fillId="9" borderId="569" xfId="24" applyNumberFormat="1" applyFont="1" applyBorder="1" applyProtection="1">
      <protection locked="0"/>
    </xf>
    <xf numFmtId="1" fontId="3" fillId="6" borderId="596" xfId="24" applyNumberFormat="1" applyFont="1" applyFill="1" applyBorder="1"/>
    <xf numFmtId="1" fontId="3" fillId="6" borderId="576" xfId="24" applyNumberFormat="1" applyFont="1" applyFill="1" applyBorder="1"/>
    <xf numFmtId="1" fontId="3" fillId="6" borderId="990" xfId="24" applyNumberFormat="1" applyFont="1" applyFill="1" applyBorder="1"/>
    <xf numFmtId="1" fontId="3" fillId="9" borderId="838" xfId="24" applyNumberFormat="1" applyFont="1" applyBorder="1" applyProtection="1">
      <protection locked="0"/>
    </xf>
    <xf numFmtId="1" fontId="3" fillId="9" borderId="835" xfId="24" applyNumberFormat="1" applyFont="1" applyBorder="1" applyProtection="1">
      <protection locked="0"/>
    </xf>
    <xf numFmtId="1" fontId="3" fillId="0" borderId="572" xfId="24" applyNumberFormat="1" applyFont="1" applyFill="1" applyBorder="1"/>
    <xf numFmtId="1" fontId="3" fillId="0" borderId="752" xfId="24" applyNumberFormat="1" applyFont="1" applyFill="1" applyBorder="1"/>
    <xf numFmtId="1" fontId="3" fillId="0" borderId="569" xfId="24" applyNumberFormat="1" applyFont="1" applyFill="1" applyBorder="1"/>
    <xf numFmtId="1" fontId="3" fillId="9" borderId="913" xfId="24" applyNumberFormat="1" applyFont="1" applyBorder="1" applyProtection="1">
      <protection locked="0"/>
    </xf>
    <xf numFmtId="1" fontId="3" fillId="0" borderId="31" xfId="0" applyNumberFormat="1" applyFont="1" applyBorder="1" applyAlignment="1">
      <alignment wrapText="1"/>
    </xf>
    <xf numFmtId="1" fontId="3" fillId="9" borderId="20" xfId="24" applyNumberFormat="1" applyFont="1" applyBorder="1" applyProtection="1">
      <protection locked="0"/>
    </xf>
    <xf numFmtId="1" fontId="3" fillId="9" borderId="251" xfId="24" applyNumberFormat="1" applyFont="1" applyBorder="1" applyProtection="1">
      <protection locked="0"/>
    </xf>
    <xf numFmtId="1" fontId="3" fillId="9" borderId="224" xfId="24" applyNumberFormat="1" applyFont="1" applyBorder="1" applyProtection="1">
      <protection locked="0"/>
    </xf>
    <xf numFmtId="1" fontId="3" fillId="6" borderId="22" xfId="24" applyNumberFormat="1" applyFont="1" applyFill="1" applyBorder="1"/>
    <xf numFmtId="1" fontId="3" fillId="6" borderId="31" xfId="24" applyNumberFormat="1" applyFont="1" applyFill="1" applyBorder="1"/>
    <xf numFmtId="1" fontId="3" fillId="6" borderId="262" xfId="24" applyNumberFormat="1" applyFont="1" applyFill="1" applyBorder="1"/>
    <xf numFmtId="1" fontId="3" fillId="0" borderId="835" xfId="0" applyNumberFormat="1" applyFont="1" applyBorder="1"/>
    <xf numFmtId="1" fontId="3" fillId="9" borderId="245" xfId="24" applyNumberFormat="1" applyFont="1" applyBorder="1" applyProtection="1">
      <protection locked="0"/>
    </xf>
    <xf numFmtId="1" fontId="3" fillId="9" borderId="244" xfId="24" applyNumberFormat="1" applyFont="1" applyBorder="1" applyProtection="1">
      <protection locked="0"/>
    </xf>
    <xf numFmtId="1" fontId="3" fillId="9" borderId="912" xfId="24" applyNumberFormat="1" applyFont="1" applyBorder="1" applyProtection="1">
      <protection locked="0"/>
    </xf>
    <xf numFmtId="1" fontId="3" fillId="6" borderId="838" xfId="24" applyNumberFormat="1" applyFont="1" applyFill="1" applyBorder="1"/>
    <xf numFmtId="1" fontId="3" fillId="6" borderId="835" xfId="24" applyNumberFormat="1" applyFont="1" applyFill="1" applyBorder="1"/>
    <xf numFmtId="1" fontId="3" fillId="6" borderId="913" xfId="24" applyNumberFormat="1" applyFont="1" applyFill="1" applyBorder="1"/>
    <xf numFmtId="1" fontId="3" fillId="9" borderId="1000" xfId="24" applyNumberFormat="1" applyFont="1" applyBorder="1" applyProtection="1">
      <protection locked="0"/>
    </xf>
    <xf numFmtId="1" fontId="3" fillId="9" borderId="1001" xfId="24" applyNumberFormat="1" applyFont="1" applyBorder="1" applyProtection="1">
      <protection locked="0"/>
    </xf>
    <xf numFmtId="1" fontId="3" fillId="9" borderId="1002" xfId="24" applyNumberFormat="1" applyFont="1" applyBorder="1" applyProtection="1">
      <protection locked="0"/>
    </xf>
    <xf numFmtId="1" fontId="3" fillId="6" borderId="1003" xfId="24" applyNumberFormat="1" applyFont="1" applyFill="1" applyBorder="1"/>
    <xf numFmtId="1" fontId="3" fillId="6" borderId="1004" xfId="24" applyNumberFormat="1" applyFont="1" applyFill="1" applyBorder="1"/>
    <xf numFmtId="1" fontId="3" fillId="6" borderId="1005" xfId="24" applyNumberFormat="1" applyFont="1" applyFill="1" applyBorder="1"/>
    <xf numFmtId="1" fontId="3" fillId="9" borderId="1006" xfId="24" applyNumberFormat="1" applyFont="1" applyBorder="1" applyProtection="1">
      <protection locked="0"/>
    </xf>
    <xf numFmtId="1" fontId="3" fillId="9" borderId="1007" xfId="24" applyNumberFormat="1" applyFont="1" applyBorder="1" applyProtection="1">
      <protection locked="0"/>
    </xf>
    <xf numFmtId="1" fontId="3" fillId="9" borderId="1008" xfId="24" applyNumberFormat="1" applyFont="1" applyBorder="1" applyProtection="1">
      <protection locked="0"/>
    </xf>
    <xf numFmtId="1" fontId="3" fillId="6" borderId="1009" xfId="24" applyNumberFormat="1" applyFont="1" applyFill="1" applyBorder="1"/>
    <xf numFmtId="1" fontId="3" fillId="6" borderId="1010" xfId="24" applyNumberFormat="1" applyFont="1" applyFill="1" applyBorder="1"/>
    <xf numFmtId="1" fontId="3" fillId="6" borderId="1011" xfId="24" applyNumberFormat="1" applyFont="1" applyFill="1" applyBorder="1"/>
    <xf numFmtId="1" fontId="3" fillId="0" borderId="676" xfId="0" applyNumberFormat="1" applyFont="1" applyBorder="1" applyAlignment="1">
      <alignment horizontal="left" vertical="center"/>
    </xf>
    <xf numFmtId="1" fontId="3" fillId="9" borderId="14" xfId="24" applyNumberFormat="1" applyFont="1" applyBorder="1" applyProtection="1">
      <protection locked="0"/>
    </xf>
    <xf numFmtId="1" fontId="3" fillId="9" borderId="29" xfId="24" applyNumberFormat="1" applyFont="1" applyBorder="1" applyProtection="1">
      <protection locked="0"/>
    </xf>
    <xf numFmtId="1" fontId="3" fillId="9" borderId="58" xfId="24" applyNumberFormat="1" applyFont="1" applyBorder="1" applyProtection="1">
      <protection locked="0"/>
    </xf>
    <xf numFmtId="1" fontId="3" fillId="6" borderId="220" xfId="24" applyNumberFormat="1" applyFont="1" applyFill="1" applyBorder="1"/>
    <xf numFmtId="1" fontId="3" fillId="6" borderId="977" xfId="24" applyNumberFormat="1" applyFont="1" applyFill="1" applyBorder="1"/>
    <xf numFmtId="1" fontId="3" fillId="6" borderId="985" xfId="24" applyNumberFormat="1" applyFont="1" applyFill="1" applyBorder="1"/>
    <xf numFmtId="1" fontId="3" fillId="9" borderId="920" xfId="24" applyNumberFormat="1" applyFont="1" applyBorder="1" applyProtection="1">
      <protection locked="0"/>
    </xf>
    <xf numFmtId="1" fontId="3" fillId="9" borderId="13" xfId="24" applyNumberFormat="1" applyFont="1" applyBorder="1" applyProtection="1">
      <protection locked="0"/>
    </xf>
    <xf numFmtId="1" fontId="3" fillId="0" borderId="998" xfId="0" applyNumberFormat="1" applyFont="1" applyBorder="1"/>
    <xf numFmtId="1" fontId="3" fillId="9" borderId="103" xfId="24" applyNumberFormat="1" applyFont="1" applyBorder="1" applyProtection="1">
      <protection locked="0"/>
    </xf>
    <xf numFmtId="1" fontId="3" fillId="9" borderId="949" xfId="24" applyNumberFormat="1" applyFont="1" applyBorder="1" applyProtection="1">
      <protection locked="0"/>
    </xf>
    <xf numFmtId="1" fontId="3" fillId="6" borderId="980" xfId="24" applyNumberFormat="1" applyFont="1" applyFill="1" applyBorder="1"/>
    <xf numFmtId="1" fontId="3" fillId="6" borderId="998" xfId="24" applyNumberFormat="1" applyFont="1" applyFill="1" applyBorder="1"/>
    <xf numFmtId="1" fontId="3" fillId="6" borderId="999" xfId="24" applyNumberFormat="1" applyFont="1" applyFill="1" applyBorder="1"/>
    <xf numFmtId="1" fontId="3" fillId="9" borderId="22" xfId="24" applyNumberFormat="1" applyFont="1" applyBorder="1" applyProtection="1">
      <protection locked="0"/>
    </xf>
    <xf numFmtId="1" fontId="3" fillId="9" borderId="31" xfId="24" applyNumberFormat="1" applyFont="1" applyBorder="1" applyProtection="1">
      <protection locked="0"/>
    </xf>
    <xf numFmtId="1" fontId="3" fillId="0" borderId="676" xfId="0" applyNumberFormat="1" applyFont="1" applyBorder="1" applyAlignment="1">
      <alignment vertical="center" wrapText="1"/>
    </xf>
    <xf numFmtId="1" fontId="3" fillId="9" borderId="996" xfId="24" applyNumberFormat="1" applyFont="1" applyBorder="1" applyProtection="1">
      <protection locked="0"/>
    </xf>
    <xf numFmtId="1" fontId="3" fillId="9" borderId="511" xfId="24" applyNumberFormat="1" applyFont="1" applyBorder="1" applyProtection="1">
      <protection locked="0"/>
    </xf>
    <xf numFmtId="1" fontId="3" fillId="9" borderId="1013" xfId="24" applyNumberFormat="1" applyFont="1" applyBorder="1" applyProtection="1">
      <protection locked="0"/>
    </xf>
    <xf numFmtId="1" fontId="3" fillId="6" borderId="1014" xfId="24" applyNumberFormat="1" applyFont="1" applyFill="1" applyBorder="1"/>
    <xf numFmtId="1" fontId="3" fillId="6" borderId="676" xfId="24" applyNumberFormat="1" applyFont="1" applyFill="1" applyBorder="1"/>
    <xf numFmtId="1" fontId="3" fillId="6" borderId="995" xfId="24" applyNumberFormat="1" applyFont="1" applyFill="1" applyBorder="1"/>
    <xf numFmtId="1" fontId="3" fillId="0" borderId="36" xfId="0" applyNumberFormat="1" applyFont="1" applyBorder="1"/>
    <xf numFmtId="1" fontId="3" fillId="9" borderId="997" xfId="24" applyNumberFormat="1" applyFont="1" applyBorder="1" applyProtection="1">
      <protection locked="0"/>
    </xf>
    <xf numFmtId="1" fontId="3" fillId="0" borderId="977" xfId="0" applyNumberFormat="1" applyFont="1" applyBorder="1" applyAlignment="1">
      <alignment wrapText="1"/>
    </xf>
    <xf numFmtId="1" fontId="3" fillId="9" borderId="61" xfId="24" applyNumberFormat="1" applyFont="1" applyBorder="1" applyProtection="1">
      <protection locked="0"/>
    </xf>
    <xf numFmtId="1" fontId="3" fillId="9" borderId="1015" xfId="24" applyNumberFormat="1" applyFont="1" applyBorder="1" applyProtection="1">
      <protection locked="0"/>
    </xf>
    <xf numFmtId="1" fontId="3" fillId="9" borderId="1016" xfId="24" applyNumberFormat="1" applyFont="1" applyBorder="1" applyProtection="1">
      <protection locked="0"/>
    </xf>
    <xf numFmtId="1" fontId="3" fillId="9" borderId="1017" xfId="24" applyNumberFormat="1" applyFont="1" applyBorder="1" applyProtection="1">
      <protection locked="0"/>
    </xf>
    <xf numFmtId="1" fontId="3" fillId="6" borderId="1018" xfId="24" applyNumberFormat="1" applyFont="1" applyFill="1" applyBorder="1"/>
    <xf numFmtId="1" fontId="3" fillId="6" borderId="1019" xfId="24" applyNumberFormat="1" applyFont="1" applyFill="1" applyBorder="1"/>
    <xf numFmtId="1" fontId="3" fillId="6" borderId="1020" xfId="24" applyNumberFormat="1" applyFont="1" applyFill="1" applyBorder="1"/>
    <xf numFmtId="1" fontId="3" fillId="9" borderId="1021" xfId="24" applyNumberFormat="1" applyFont="1" applyBorder="1" applyProtection="1">
      <protection locked="0"/>
    </xf>
    <xf numFmtId="1" fontId="3" fillId="9" borderId="1022" xfId="24" applyNumberFormat="1" applyFont="1" applyBorder="1" applyProtection="1">
      <protection locked="0"/>
    </xf>
    <xf numFmtId="1" fontId="3" fillId="9" borderId="1023" xfId="24" applyNumberFormat="1" applyFont="1" applyBorder="1" applyProtection="1">
      <protection locked="0"/>
    </xf>
    <xf numFmtId="1" fontId="3" fillId="9" borderId="1024" xfId="24" applyNumberFormat="1" applyFont="1" applyBorder="1" applyProtection="1">
      <protection locked="0"/>
    </xf>
    <xf numFmtId="1" fontId="3" fillId="9" borderId="1025" xfId="24" applyNumberFormat="1" applyFont="1" applyBorder="1" applyProtection="1">
      <protection locked="0"/>
    </xf>
    <xf numFmtId="1" fontId="3" fillId="9" borderId="1026" xfId="24" applyNumberFormat="1" applyFont="1" applyBorder="1" applyProtection="1">
      <protection locked="0"/>
    </xf>
    <xf numFmtId="1" fontId="3" fillId="0" borderId="1027" xfId="0" applyNumberFormat="1" applyFont="1" applyBorder="1"/>
    <xf numFmtId="1" fontId="3" fillId="0" borderId="1028" xfId="0" applyNumberFormat="1" applyFont="1" applyBorder="1" applyAlignment="1">
      <alignment wrapText="1"/>
    </xf>
    <xf numFmtId="1" fontId="3" fillId="9" borderId="1029" xfId="24" applyNumberFormat="1" applyFont="1" applyBorder="1" applyProtection="1">
      <protection locked="0"/>
    </xf>
    <xf numFmtId="1" fontId="3" fillId="6" borderId="1030" xfId="24" applyNumberFormat="1" applyFont="1" applyFill="1" applyBorder="1"/>
    <xf numFmtId="1" fontId="3" fillId="6" borderId="1028" xfId="24" applyNumberFormat="1" applyFont="1" applyFill="1" applyBorder="1"/>
    <xf numFmtId="1" fontId="3" fillId="6" borderId="1031" xfId="24" applyNumberFormat="1" applyFont="1" applyFill="1" applyBorder="1"/>
    <xf numFmtId="1" fontId="3" fillId="3" borderId="13" xfId="0" applyNumberFormat="1" applyFont="1" applyFill="1" applyBorder="1" applyAlignment="1">
      <alignment wrapText="1"/>
    </xf>
    <xf numFmtId="1" fontId="3" fillId="0" borderId="1032" xfId="0" applyNumberFormat="1" applyFont="1" applyBorder="1"/>
    <xf numFmtId="1" fontId="3" fillId="9" borderId="23" xfId="24" applyNumberFormat="1" applyFont="1" applyBorder="1" applyProtection="1">
      <protection locked="0"/>
    </xf>
    <xf numFmtId="1" fontId="3" fillId="6" borderId="1033" xfId="24" applyNumberFormat="1" applyFont="1" applyFill="1" applyBorder="1"/>
    <xf numFmtId="1" fontId="3" fillId="6" borderId="1034" xfId="24" applyNumberFormat="1" applyFont="1" applyFill="1" applyBorder="1"/>
    <xf numFmtId="1" fontId="3" fillId="6" borderId="436" xfId="24" applyNumberFormat="1" applyFont="1" applyFill="1" applyBorder="1"/>
    <xf numFmtId="1" fontId="3" fillId="6" borderId="555" xfId="24" applyNumberFormat="1" applyFont="1" applyFill="1" applyBorder="1"/>
    <xf numFmtId="1" fontId="3" fillId="6" borderId="1027" xfId="24" applyNumberFormat="1" applyFont="1" applyFill="1" applyBorder="1"/>
    <xf numFmtId="1" fontId="3" fillId="6" borderId="1035" xfId="24" applyNumberFormat="1" applyFont="1" applyFill="1" applyBorder="1"/>
    <xf numFmtId="1" fontId="3" fillId="0" borderId="1030" xfId="0" applyNumberFormat="1" applyFont="1" applyBorder="1"/>
    <xf numFmtId="1" fontId="3" fillId="0" borderId="1036" xfId="24" applyNumberFormat="1" applyFont="1" applyFill="1" applyBorder="1"/>
    <xf numFmtId="1" fontId="3" fillId="0" borderId="1037" xfId="24" applyNumberFormat="1" applyFont="1" applyFill="1" applyBorder="1"/>
    <xf numFmtId="1" fontId="3" fillId="0" borderId="1038" xfId="24" applyNumberFormat="1" applyFont="1" applyFill="1" applyBorder="1"/>
    <xf numFmtId="1" fontId="3" fillId="9" borderId="1039" xfId="24" applyNumberFormat="1" applyFont="1" applyBorder="1" applyProtection="1">
      <protection locked="0"/>
    </xf>
    <xf numFmtId="1" fontId="3" fillId="9" borderId="1032" xfId="24" applyNumberFormat="1" applyFont="1" applyBorder="1" applyProtection="1">
      <protection locked="0"/>
    </xf>
    <xf numFmtId="1" fontId="3" fillId="9" borderId="1040" xfId="24" applyNumberFormat="1" applyFont="1" applyBorder="1" applyProtection="1">
      <protection locked="0"/>
    </xf>
    <xf numFmtId="1" fontId="3" fillId="0" borderId="838" xfId="0" applyNumberFormat="1" applyFont="1" applyBorder="1"/>
    <xf numFmtId="1" fontId="3" fillId="0" borderId="977" xfId="0" applyNumberFormat="1" applyFont="1" applyBorder="1"/>
    <xf numFmtId="1" fontId="3" fillId="6" borderId="997" xfId="24" applyNumberFormat="1" applyFont="1" applyFill="1" applyBorder="1"/>
    <xf numFmtId="1" fontId="3" fillId="6" borderId="103" xfId="24" applyNumberFormat="1" applyFont="1" applyFill="1" applyBorder="1"/>
    <xf numFmtId="1" fontId="3" fillId="6" borderId="1029" xfId="24" applyNumberFormat="1" applyFont="1" applyFill="1" applyBorder="1"/>
    <xf numFmtId="1" fontId="3" fillId="6" borderId="14" xfId="24" applyNumberFormat="1" applyFont="1" applyFill="1" applyBorder="1"/>
    <xf numFmtId="1" fontId="3" fillId="6" borderId="832" xfId="24" applyNumberFormat="1" applyFont="1" applyFill="1" applyBorder="1"/>
    <xf numFmtId="1" fontId="3" fillId="6" borderId="38" xfId="24" applyNumberFormat="1" applyFont="1" applyFill="1" applyBorder="1"/>
    <xf numFmtId="1" fontId="3" fillId="9" borderId="792" xfId="24" applyNumberFormat="1" applyFont="1" applyBorder="1" applyProtection="1">
      <protection locked="0"/>
    </xf>
    <xf numFmtId="1" fontId="3" fillId="9" borderId="49" xfId="24" applyNumberFormat="1" applyFont="1" applyBorder="1" applyProtection="1">
      <protection locked="0"/>
    </xf>
    <xf numFmtId="1" fontId="2" fillId="0" borderId="1041" xfId="0" applyNumberFormat="1" applyFont="1" applyBorder="1"/>
    <xf numFmtId="1" fontId="3" fillId="0" borderId="1042" xfId="0" applyNumberFormat="1" applyFont="1" applyBorder="1" applyAlignment="1">
      <alignment horizontal="left" wrapText="1"/>
    </xf>
    <xf numFmtId="1" fontId="3" fillId="9" borderId="1043" xfId="24" applyNumberFormat="1" applyFont="1" applyBorder="1" applyAlignment="1" applyProtection="1">
      <alignment horizontal="right" vertical="center"/>
      <protection locked="0"/>
    </xf>
    <xf numFmtId="1" fontId="3" fillId="0" borderId="903" xfId="0" applyNumberFormat="1" applyFont="1" applyBorder="1" applyAlignment="1">
      <alignment horizontal="left" wrapText="1"/>
    </xf>
    <xf numFmtId="1" fontId="3" fillId="9" borderId="1044" xfId="24" applyNumberFormat="1" applyFont="1" applyBorder="1" applyAlignment="1" applyProtection="1">
      <alignment horizontal="right" vertical="center"/>
      <protection locked="0"/>
    </xf>
    <xf numFmtId="1" fontId="3" fillId="0" borderId="903" xfId="0" applyNumberFormat="1" applyFont="1" applyBorder="1" applyAlignment="1">
      <alignment horizontal="left"/>
    </xf>
    <xf numFmtId="1" fontId="3" fillId="9" borderId="1045" xfId="24" applyNumberFormat="1" applyFont="1" applyBorder="1" applyAlignment="1" applyProtection="1">
      <alignment horizontal="right" vertical="center"/>
      <protection locked="0"/>
    </xf>
    <xf numFmtId="1" fontId="3" fillId="9" borderId="1046" xfId="24" applyNumberFormat="1" applyFont="1" applyBorder="1" applyAlignment="1" applyProtection="1">
      <alignment horizontal="right" vertical="center"/>
      <protection locked="0"/>
    </xf>
    <xf numFmtId="1" fontId="3" fillId="0" borderId="1048" xfId="0" applyNumberFormat="1" applyFont="1" applyBorder="1" applyAlignment="1">
      <alignment horizontal="left" wrapText="1"/>
    </xf>
    <xf numFmtId="1" fontId="3" fillId="9" borderId="1049" xfId="24" applyNumberFormat="1" applyFont="1" applyBorder="1" applyAlignment="1" applyProtection="1">
      <alignment horizontal="right" vertical="center"/>
      <protection locked="0"/>
    </xf>
    <xf numFmtId="1" fontId="3" fillId="9" borderId="1050" xfId="24" applyNumberFormat="1" applyFont="1" applyBorder="1" applyAlignment="1" applyProtection="1">
      <alignment horizontal="right" vertical="center"/>
      <protection locked="0"/>
    </xf>
    <xf numFmtId="1" fontId="3" fillId="9" borderId="1051" xfId="24" applyNumberFormat="1" applyFont="1" applyBorder="1" applyAlignment="1" applyProtection="1">
      <alignment horizontal="right" vertical="center"/>
      <protection locked="0"/>
    </xf>
    <xf numFmtId="1" fontId="3" fillId="9" borderId="1052" xfId="24" applyNumberFormat="1" applyFont="1" applyBorder="1" applyAlignment="1" applyProtection="1">
      <alignment horizontal="right" vertical="center"/>
      <protection locked="0"/>
    </xf>
    <xf numFmtId="1" fontId="3" fillId="9" borderId="835" xfId="24" applyNumberFormat="1" applyFont="1" applyBorder="1" applyAlignment="1" applyProtection="1">
      <alignment horizontal="right" vertical="center"/>
      <protection locked="0"/>
    </xf>
    <xf numFmtId="1" fontId="3" fillId="9" borderId="838" xfId="24" applyNumberFormat="1" applyFont="1" applyBorder="1" applyAlignment="1" applyProtection="1">
      <alignment horizontal="right" vertical="center"/>
      <protection locked="0"/>
    </xf>
    <xf numFmtId="1" fontId="3" fillId="0" borderId="903" xfId="0" applyNumberFormat="1" applyFont="1" applyBorder="1" applyAlignment="1">
      <alignment horizontal="left" vertical="center" wrapText="1"/>
    </xf>
    <xf numFmtId="1" fontId="3" fillId="9" borderId="676" xfId="24" applyNumberFormat="1" applyFont="1" applyBorder="1" applyAlignment="1" applyProtection="1">
      <alignment horizontal="right" vertical="center"/>
      <protection locked="0"/>
    </xf>
    <xf numFmtId="1" fontId="3" fillId="9" borderId="13" xfId="24" applyNumberFormat="1" applyFont="1" applyBorder="1" applyAlignment="1" applyProtection="1">
      <alignment horizontal="right" vertical="center"/>
      <protection locked="0"/>
    </xf>
    <xf numFmtId="1" fontId="3" fillId="0" borderId="1058" xfId="0" applyNumberFormat="1" applyFont="1" applyBorder="1" applyAlignment="1">
      <alignment vertical="center"/>
    </xf>
    <xf numFmtId="1" fontId="3" fillId="0" borderId="1059" xfId="0" applyNumberFormat="1" applyFont="1" applyBorder="1" applyAlignment="1">
      <alignment wrapText="1"/>
    </xf>
    <xf numFmtId="1" fontId="3" fillId="9" borderId="1059" xfId="24" applyNumberFormat="1" applyFont="1" applyBorder="1" applyAlignment="1" applyProtection="1">
      <alignment wrapText="1"/>
      <protection locked="0"/>
    </xf>
    <xf numFmtId="1" fontId="3" fillId="9" borderId="676" xfId="24" applyNumberFormat="1" applyFont="1" applyBorder="1" applyProtection="1">
      <protection locked="0"/>
    </xf>
    <xf numFmtId="1" fontId="3" fillId="0" borderId="1059" xfId="0" applyNumberFormat="1" applyFont="1" applyBorder="1" applyAlignment="1">
      <alignment vertical="center"/>
    </xf>
    <xf numFmtId="1" fontId="3" fillId="9" borderId="1059" xfId="24" applyNumberFormat="1" applyFont="1" applyBorder="1" applyProtection="1">
      <protection locked="0"/>
    </xf>
    <xf numFmtId="1" fontId="3" fillId="0" borderId="835" xfId="0" applyNumberFormat="1" applyFont="1" applyBorder="1" applyAlignment="1">
      <alignment vertical="center"/>
    </xf>
    <xf numFmtId="1" fontId="3" fillId="0" borderId="13" xfId="0" applyNumberFormat="1" applyFont="1" applyBorder="1" applyAlignment="1">
      <alignment vertical="center"/>
    </xf>
    <xf numFmtId="164" fontId="3" fillId="0" borderId="676" xfId="25" applyFont="1" applyBorder="1" applyAlignment="1">
      <alignment horizontal="center" vertical="center" wrapText="1"/>
    </xf>
    <xf numFmtId="1" fontId="3" fillId="5" borderId="13" xfId="24" applyNumberFormat="1" applyFont="1" applyFill="1" applyBorder="1" applyProtection="1"/>
    <xf numFmtId="1" fontId="3" fillId="0" borderId="1061" xfId="0" applyNumberFormat="1" applyFont="1" applyBorder="1" applyAlignment="1">
      <alignment horizontal="center" vertical="center" wrapText="1"/>
    </xf>
    <xf numFmtId="1" fontId="3" fillId="0" borderId="1059" xfId="0" applyNumberFormat="1" applyFont="1" applyBorder="1" applyAlignment="1">
      <alignment horizontal="left" vertical="center"/>
    </xf>
    <xf numFmtId="1" fontId="3" fillId="6" borderId="1059" xfId="24" applyNumberFormat="1" applyFont="1" applyFill="1" applyBorder="1" applyProtection="1"/>
    <xf numFmtId="1" fontId="3" fillId="0" borderId="13" xfId="0" applyNumberFormat="1" applyFont="1" applyBorder="1" applyAlignment="1">
      <alignment horizontal="left" vertical="center"/>
    </xf>
    <xf numFmtId="1" fontId="3" fillId="6" borderId="13" xfId="24" applyNumberFormat="1" applyFont="1" applyFill="1" applyBorder="1" applyProtection="1"/>
    <xf numFmtId="1" fontId="3" fillId="0" borderId="1061" xfId="0" applyNumberFormat="1" applyFont="1" applyBorder="1" applyAlignment="1">
      <alignment horizontal="left" vertical="center"/>
    </xf>
    <xf numFmtId="1" fontId="3" fillId="6" borderId="31" xfId="24" applyNumberFormat="1" applyFont="1" applyFill="1" applyBorder="1" applyProtection="1"/>
    <xf numFmtId="1" fontId="3" fillId="0" borderId="31" xfId="0" applyNumberFormat="1" applyFont="1" applyBorder="1" applyAlignment="1">
      <alignment horizontal="left" vertical="center"/>
    </xf>
    <xf numFmtId="1" fontId="3" fillId="6" borderId="835" xfId="24" applyNumberFormat="1" applyFont="1" applyFill="1" applyBorder="1" applyProtection="1"/>
    <xf numFmtId="1" fontId="3" fillId="0" borderId="835" xfId="0" applyNumberFormat="1" applyFont="1" applyBorder="1" applyAlignment="1">
      <alignment horizontal="left" vertical="center"/>
    </xf>
    <xf numFmtId="1" fontId="3" fillId="0" borderId="1061" xfId="0" applyNumberFormat="1" applyFont="1" applyBorder="1" applyAlignment="1">
      <alignment horizontal="center" vertical="center"/>
    </xf>
    <xf numFmtId="1" fontId="3" fillId="0" borderId="1063" xfId="0" applyNumberFormat="1" applyFont="1" applyBorder="1" applyAlignment="1">
      <alignment horizontal="center" vertical="center"/>
    </xf>
    <xf numFmtId="0" fontId="3" fillId="0" borderId="1057" xfId="0" applyFont="1" applyBorder="1" applyAlignment="1">
      <alignment horizontal="center" vertical="center"/>
    </xf>
    <xf numFmtId="0" fontId="3" fillId="0" borderId="1061" xfId="0" applyFont="1" applyBorder="1" applyAlignment="1">
      <alignment horizontal="center" vertical="center"/>
    </xf>
    <xf numFmtId="1" fontId="3" fillId="0" borderId="1058" xfId="0" applyNumberFormat="1" applyFont="1" applyBorder="1" applyAlignment="1">
      <alignment horizontal="left" vertical="center"/>
    </xf>
    <xf numFmtId="1" fontId="3" fillId="6" borderId="1059" xfId="0" applyNumberFormat="1" applyFont="1" applyFill="1" applyBorder="1" applyAlignment="1">
      <alignment horizontal="center" vertical="center"/>
    </xf>
    <xf numFmtId="1" fontId="3" fillId="7" borderId="1059" xfId="0" applyNumberFormat="1" applyFont="1" applyFill="1" applyBorder="1"/>
    <xf numFmtId="1" fontId="3" fillId="7" borderId="1064" xfId="0" applyNumberFormat="1" applyFont="1" applyFill="1" applyBorder="1"/>
    <xf numFmtId="1" fontId="3" fillId="4" borderId="1065" xfId="0" applyNumberFormat="1" applyFont="1" applyFill="1" applyBorder="1" applyProtection="1">
      <protection locked="0"/>
    </xf>
    <xf numFmtId="1" fontId="3" fillId="4" borderId="1059" xfId="0" applyNumberFormat="1" applyFont="1" applyFill="1" applyBorder="1" applyProtection="1">
      <protection locked="0"/>
    </xf>
    <xf numFmtId="1" fontId="3" fillId="0" borderId="903" xfId="0" applyNumberFormat="1" applyFont="1" applyBorder="1" applyAlignment="1">
      <alignment horizontal="left" vertical="center"/>
    </xf>
    <xf numFmtId="1" fontId="3" fillId="0" borderId="1056" xfId="0" applyNumberFormat="1" applyFont="1" applyBorder="1" applyAlignment="1">
      <alignment vertical="center"/>
    </xf>
    <xf numFmtId="1" fontId="3" fillId="4" borderId="995" xfId="0" applyNumberFormat="1" applyFont="1" applyFill="1" applyBorder="1" applyProtection="1">
      <protection locked="0"/>
    </xf>
    <xf numFmtId="1" fontId="3" fillId="4" borderId="1014" xfId="0" applyNumberFormat="1" applyFont="1" applyFill="1" applyBorder="1" applyProtection="1">
      <protection locked="0"/>
    </xf>
    <xf numFmtId="1" fontId="3" fillId="4" borderId="1064" xfId="0" applyNumberFormat="1" applyFont="1" applyFill="1" applyBorder="1" applyProtection="1">
      <protection locked="0"/>
    </xf>
    <xf numFmtId="1" fontId="3" fillId="0" borderId="1041" xfId="0" applyNumberFormat="1" applyFont="1" applyBorder="1" applyAlignment="1">
      <alignment vertical="center"/>
    </xf>
    <xf numFmtId="1" fontId="55" fillId="34" borderId="0" xfId="0" applyNumberFormat="1" applyFont="1" applyFill="1"/>
    <xf numFmtId="1" fontId="17" fillId="3" borderId="0" xfId="0" applyNumberFormat="1" applyFont="1" applyFill="1" applyAlignment="1">
      <alignment horizontal="left"/>
    </xf>
    <xf numFmtId="1" fontId="5" fillId="0" borderId="1053" xfId="0" applyNumberFormat="1" applyFont="1" applyBorder="1" applyAlignment="1">
      <alignment horizontal="center" vertical="center" wrapText="1"/>
    </xf>
    <xf numFmtId="1" fontId="5" fillId="0" borderId="1057" xfId="0" applyNumberFormat="1" applyFont="1" applyBorder="1" applyAlignment="1">
      <alignment horizontal="center" vertical="center" wrapText="1"/>
    </xf>
    <xf numFmtId="1" fontId="5" fillId="0" borderId="1060" xfId="0" applyNumberFormat="1" applyFont="1" applyBorder="1" applyAlignment="1">
      <alignment horizontal="center" vertical="center"/>
    </xf>
    <xf numFmtId="1" fontId="5" fillId="0" borderId="1066" xfId="0" applyNumberFormat="1" applyFont="1" applyBorder="1" applyAlignment="1">
      <alignment horizontal="center" vertical="center"/>
    </xf>
    <xf numFmtId="1" fontId="5" fillId="0" borderId="1057" xfId="0" applyNumberFormat="1" applyFont="1" applyBorder="1" applyAlignment="1">
      <alignment horizontal="center" vertical="center"/>
    </xf>
    <xf numFmtId="1" fontId="5" fillId="0" borderId="1068" xfId="0" applyNumberFormat="1" applyFont="1" applyBorder="1" applyAlignment="1">
      <alignment horizontal="center" vertical="center" wrapText="1"/>
    </xf>
    <xf numFmtId="1" fontId="5" fillId="0" borderId="1071" xfId="0" applyNumberFormat="1" applyFont="1" applyBorder="1" applyAlignment="1">
      <alignment horizontal="center" vertical="center"/>
    </xf>
    <xf numFmtId="1" fontId="5" fillId="0" borderId="1072" xfId="0" applyNumberFormat="1" applyFont="1" applyBorder="1" applyAlignment="1">
      <alignment horizontal="center" vertical="center"/>
    </xf>
    <xf numFmtId="1" fontId="5" fillId="0" borderId="1073" xfId="0" applyNumberFormat="1" applyFont="1" applyBorder="1" applyAlignment="1">
      <alignment horizontal="center" vertical="center"/>
    </xf>
    <xf numFmtId="1" fontId="5" fillId="0" borderId="1074" xfId="0" applyNumberFormat="1" applyFont="1" applyBorder="1" applyAlignment="1">
      <alignment horizontal="center" vertical="center"/>
    </xf>
    <xf numFmtId="1" fontId="5" fillId="0" borderId="1076" xfId="0" applyNumberFormat="1" applyFont="1" applyBorder="1" applyAlignment="1">
      <alignment horizontal="center" vertical="center" wrapText="1"/>
    </xf>
    <xf numFmtId="1" fontId="5" fillId="0" borderId="1074" xfId="0" applyNumberFormat="1" applyFont="1" applyBorder="1" applyAlignment="1">
      <alignment vertical="center" wrapText="1"/>
    </xf>
    <xf numFmtId="1" fontId="5" fillId="0" borderId="1077" xfId="0" applyNumberFormat="1" applyFont="1" applyBorder="1" applyAlignment="1">
      <alignment horizontal="center" vertical="center"/>
    </xf>
    <xf numFmtId="1" fontId="5" fillId="0" borderId="1061" xfId="0" applyNumberFormat="1" applyFont="1" applyBorder="1" applyAlignment="1">
      <alignment horizontal="center" vertical="center"/>
    </xf>
    <xf numFmtId="1" fontId="5" fillId="0" borderId="854" xfId="0" applyNumberFormat="1" applyFont="1" applyBorder="1"/>
    <xf numFmtId="1" fontId="5" fillId="0" borderId="1071" xfId="0" applyNumberFormat="1" applyFont="1" applyBorder="1"/>
    <xf numFmtId="1" fontId="5" fillId="0" borderId="841" xfId="0" applyNumberFormat="1" applyFont="1" applyBorder="1"/>
    <xf numFmtId="1" fontId="5" fillId="0" borderId="1077" xfId="0" applyNumberFormat="1" applyFont="1" applyBorder="1"/>
    <xf numFmtId="1" fontId="5" fillId="4" borderId="1078" xfId="0" applyNumberFormat="1" applyFont="1" applyFill="1" applyBorder="1" applyProtection="1">
      <protection locked="0"/>
    </xf>
    <xf numFmtId="1" fontId="5" fillId="0" borderId="1079" xfId="0" applyNumberFormat="1" applyFont="1" applyBorder="1"/>
    <xf numFmtId="1" fontId="5" fillId="0" borderId="982" xfId="0" applyNumberFormat="1" applyFont="1" applyBorder="1"/>
    <xf numFmtId="1" fontId="5" fillId="0" borderId="1078" xfId="0" applyNumberFormat="1" applyFont="1" applyBorder="1"/>
    <xf numFmtId="1" fontId="5" fillId="0" borderId="1080" xfId="0" applyNumberFormat="1" applyFont="1" applyBorder="1"/>
    <xf numFmtId="1" fontId="5" fillId="4" borderId="1081" xfId="0" applyNumberFormat="1" applyFont="1" applyFill="1" applyBorder="1" applyProtection="1">
      <protection locked="0"/>
    </xf>
    <xf numFmtId="1" fontId="5" fillId="4" borderId="1082" xfId="0" applyNumberFormat="1" applyFont="1" applyFill="1" applyBorder="1" applyProtection="1">
      <protection locked="0"/>
    </xf>
    <xf numFmtId="1" fontId="5" fillId="4" borderId="1079" xfId="0" applyNumberFormat="1" applyFont="1" applyFill="1" applyBorder="1" applyProtection="1">
      <protection locked="0"/>
    </xf>
    <xf numFmtId="1" fontId="5" fillId="39" borderId="1081" xfId="0" applyNumberFormat="1" applyFont="1" applyFill="1" applyBorder="1" applyProtection="1">
      <protection locked="0"/>
    </xf>
    <xf numFmtId="1" fontId="5" fillId="39" borderId="982" xfId="0" applyNumberFormat="1" applyFont="1" applyFill="1" applyBorder="1" applyProtection="1">
      <protection locked="0"/>
    </xf>
    <xf numFmtId="1" fontId="5" fillId="39" borderId="1079" xfId="0" applyNumberFormat="1" applyFont="1" applyFill="1" applyBorder="1" applyProtection="1">
      <protection locked="0"/>
    </xf>
    <xf numFmtId="1" fontId="5" fillId="39" borderId="1078" xfId="0" applyNumberFormat="1" applyFont="1" applyFill="1" applyBorder="1" applyProtection="1">
      <protection locked="0"/>
    </xf>
    <xf numFmtId="1" fontId="5" fillId="0" borderId="86" xfId="0" applyNumberFormat="1" applyFont="1" applyBorder="1"/>
    <xf numFmtId="1" fontId="5" fillId="39" borderId="54" xfId="0" applyNumberFormat="1" applyFont="1" applyFill="1" applyBorder="1" applyProtection="1">
      <protection locked="0"/>
    </xf>
    <xf numFmtId="1" fontId="5" fillId="39" borderId="42" xfId="0" applyNumberFormat="1" applyFont="1" applyFill="1" applyBorder="1" applyProtection="1">
      <protection locked="0"/>
    </xf>
    <xf numFmtId="1" fontId="5" fillId="39" borderId="41" xfId="0" applyNumberFormat="1" applyFont="1" applyFill="1" applyBorder="1" applyProtection="1">
      <protection locked="0"/>
    </xf>
    <xf numFmtId="1" fontId="5" fillId="39" borderId="23" xfId="0" applyNumberFormat="1" applyFont="1" applyFill="1" applyBorder="1" applyProtection="1">
      <protection locked="0"/>
    </xf>
    <xf numFmtId="1" fontId="5" fillId="0" borderId="911" xfId="0" applyNumberFormat="1" applyFont="1" applyBorder="1"/>
    <xf numFmtId="1" fontId="5" fillId="39" borderId="253" xfId="0" applyNumberFormat="1" applyFont="1" applyFill="1" applyBorder="1" applyProtection="1">
      <protection locked="0"/>
    </xf>
    <xf numFmtId="1" fontId="5" fillId="39" borderId="246" xfId="0" applyNumberFormat="1" applyFont="1" applyFill="1" applyBorder="1" applyProtection="1">
      <protection locked="0"/>
    </xf>
    <xf numFmtId="1" fontId="5" fillId="39" borderId="911" xfId="0" applyNumberFormat="1" applyFont="1" applyFill="1" applyBorder="1" applyProtection="1">
      <protection locked="0"/>
    </xf>
    <xf numFmtId="1" fontId="5" fillId="39" borderId="245" xfId="0" applyNumberFormat="1" applyFont="1" applyFill="1" applyBorder="1" applyProtection="1">
      <protection locked="0"/>
    </xf>
    <xf numFmtId="1" fontId="5" fillId="0" borderId="936" xfId="0" applyNumberFormat="1" applyFont="1" applyBorder="1"/>
    <xf numFmtId="1" fontId="5" fillId="39" borderId="841" xfId="0" applyNumberFormat="1" applyFont="1" applyFill="1" applyBorder="1" applyProtection="1">
      <protection locked="0"/>
    </xf>
    <xf numFmtId="1" fontId="5" fillId="39" borderId="833" xfId="0" applyNumberFormat="1" applyFont="1" applyFill="1" applyBorder="1" applyProtection="1">
      <protection locked="0"/>
    </xf>
    <xf numFmtId="1" fontId="5" fillId="39" borderId="27" xfId="0" applyNumberFormat="1" applyFont="1" applyFill="1" applyBorder="1" applyProtection="1">
      <protection locked="0"/>
    </xf>
    <xf numFmtId="1" fontId="5" fillId="39" borderId="14" xfId="0" applyNumberFormat="1" applyFont="1" applyFill="1" applyBorder="1" applyProtection="1">
      <protection locked="0"/>
    </xf>
    <xf numFmtId="1" fontId="5" fillId="0" borderId="1073" xfId="0" applyNumberFormat="1" applyFont="1" applyBorder="1" applyAlignment="1">
      <alignment horizontal="center" vertical="center" wrapText="1"/>
    </xf>
    <xf numFmtId="1" fontId="5" fillId="0" borderId="1059" xfId="0" applyNumberFormat="1" applyFont="1" applyBorder="1" applyAlignment="1">
      <alignment horizontal="left" vertical="center"/>
    </xf>
    <xf numFmtId="1" fontId="5" fillId="4" borderId="1065" xfId="0" applyNumberFormat="1" applyFont="1" applyFill="1" applyBorder="1" applyProtection="1">
      <protection locked="0"/>
    </xf>
    <xf numFmtId="1" fontId="5" fillId="4" borderId="1075" xfId="0" applyNumberFormat="1" applyFont="1" applyFill="1" applyBorder="1" applyProtection="1">
      <protection locked="0"/>
    </xf>
    <xf numFmtId="1" fontId="5" fillId="3" borderId="0" xfId="0" applyNumberFormat="1" applyFont="1" applyFill="1" applyProtection="1">
      <protection hidden="1"/>
    </xf>
    <xf numFmtId="1" fontId="5" fillId="0" borderId="1055" xfId="0" applyNumberFormat="1" applyFont="1" applyBorder="1" applyAlignment="1">
      <alignment horizontal="center" vertical="center"/>
    </xf>
    <xf numFmtId="1" fontId="5" fillId="0" borderId="1014" xfId="0" applyNumberFormat="1" applyFont="1" applyBorder="1" applyAlignment="1">
      <alignment horizontal="center" vertical="center"/>
    </xf>
    <xf numFmtId="1" fontId="5" fillId="0" borderId="1085" xfId="0" applyNumberFormat="1" applyFont="1" applyBorder="1" applyAlignment="1">
      <alignment horizontal="center" vertical="center" wrapText="1"/>
    </xf>
    <xf numFmtId="1" fontId="5" fillId="0" borderId="1086" xfId="0" applyNumberFormat="1" applyFont="1" applyBorder="1" applyAlignment="1">
      <alignment horizontal="center" vertical="center" wrapText="1"/>
    </xf>
    <xf numFmtId="1" fontId="5" fillId="0" borderId="1073" xfId="0" applyNumberFormat="1" applyFont="1" applyBorder="1"/>
    <xf numFmtId="1" fontId="5" fillId="0" borderId="1072" xfId="0" applyNumberFormat="1" applyFont="1" applyBorder="1"/>
    <xf numFmtId="1" fontId="5" fillId="0" borderId="1074" xfId="0" applyNumberFormat="1" applyFont="1" applyBorder="1"/>
    <xf numFmtId="1" fontId="5" fillId="3" borderId="1077" xfId="0" applyNumberFormat="1" applyFont="1" applyFill="1" applyBorder="1"/>
    <xf numFmtId="1" fontId="5" fillId="3" borderId="1076" xfId="0" applyNumberFormat="1" applyFont="1" applyFill="1" applyBorder="1"/>
    <xf numFmtId="1" fontId="5" fillId="3" borderId="1066" xfId="0" applyNumberFormat="1" applyFont="1" applyFill="1" applyBorder="1"/>
    <xf numFmtId="1" fontId="5" fillId="3" borderId="1057" xfId="0" applyNumberFormat="1" applyFont="1" applyFill="1" applyBorder="1"/>
    <xf numFmtId="1" fontId="5" fillId="3" borderId="1073" xfId="0" applyNumberFormat="1" applyFont="1" applyFill="1" applyBorder="1"/>
    <xf numFmtId="1" fontId="3" fillId="3" borderId="1057" xfId="0" applyNumberFormat="1" applyFont="1" applyFill="1" applyBorder="1"/>
    <xf numFmtId="1" fontId="5" fillId="4" borderId="1085" xfId="0" applyNumberFormat="1" applyFont="1" applyFill="1" applyBorder="1" applyProtection="1">
      <protection locked="0"/>
    </xf>
    <xf numFmtId="1" fontId="5" fillId="4" borderId="1059" xfId="0" applyNumberFormat="1" applyFont="1" applyFill="1" applyBorder="1" applyProtection="1">
      <protection locked="0"/>
    </xf>
    <xf numFmtId="1" fontId="5" fillId="7" borderId="911" xfId="0" applyNumberFormat="1" applyFont="1" applyFill="1" applyBorder="1"/>
    <xf numFmtId="1" fontId="5" fillId="7" borderId="253" xfId="0" applyNumberFormat="1" applyFont="1" applyFill="1" applyBorder="1"/>
    <xf numFmtId="1" fontId="5" fillId="7" borderId="942" xfId="0" applyNumberFormat="1" applyFont="1" applyFill="1" applyBorder="1"/>
    <xf numFmtId="1" fontId="5" fillId="7" borderId="912" xfId="0" applyNumberFormat="1" applyFont="1" applyFill="1" applyBorder="1"/>
    <xf numFmtId="1" fontId="5" fillId="0" borderId="838" xfId="0" applyNumberFormat="1" applyFont="1" applyBorder="1" applyAlignment="1">
      <alignment vertical="center" wrapText="1"/>
    </xf>
    <xf numFmtId="1" fontId="5" fillId="7" borderId="792" xfId="0" applyNumberFormat="1" applyFont="1" applyFill="1" applyBorder="1"/>
    <xf numFmtId="1" fontId="5" fillId="7" borderId="841" xfId="0" applyNumberFormat="1" applyFont="1" applyFill="1" applyBorder="1"/>
    <xf numFmtId="1" fontId="5" fillId="7" borderId="57" xfId="0" applyNumberFormat="1" applyFont="1" applyFill="1" applyBorder="1"/>
    <xf numFmtId="1" fontId="5" fillId="0" borderId="1075" xfId="0" applyNumberFormat="1" applyFont="1" applyBorder="1"/>
    <xf numFmtId="1" fontId="5" fillId="0" borderId="804" xfId="0" applyNumberFormat="1" applyFont="1" applyBorder="1"/>
    <xf numFmtId="1" fontId="5" fillId="0" borderId="54" xfId="0" applyNumberFormat="1" applyFont="1" applyBorder="1"/>
    <xf numFmtId="1" fontId="5" fillId="0" borderId="40" xfId="0" applyNumberFormat="1" applyFont="1" applyBorder="1"/>
    <xf numFmtId="1" fontId="5" fillId="39" borderId="1070" xfId="0" applyNumberFormat="1" applyFont="1" applyFill="1" applyBorder="1" applyProtection="1">
      <protection locked="0"/>
    </xf>
    <xf numFmtId="1" fontId="5" fillId="39" borderId="1087" xfId="0" applyNumberFormat="1" applyFont="1" applyFill="1" applyBorder="1" applyProtection="1">
      <protection locked="0"/>
    </xf>
    <xf numFmtId="1" fontId="5" fillId="39" borderId="1068" xfId="0" applyNumberFormat="1" applyFont="1" applyFill="1" applyBorder="1" applyProtection="1">
      <protection locked="0"/>
    </xf>
    <xf numFmtId="1" fontId="5" fillId="39" borderId="1088" xfId="0" applyNumberFormat="1" applyFont="1" applyFill="1" applyBorder="1" applyProtection="1">
      <protection locked="0"/>
    </xf>
    <xf numFmtId="1" fontId="5" fillId="0" borderId="1055" xfId="0" applyNumberFormat="1" applyFont="1" applyBorder="1" applyAlignment="1">
      <alignment horizontal="center" vertical="center" wrapText="1"/>
    </xf>
    <xf numFmtId="1" fontId="5" fillId="0" borderId="1088" xfId="0" applyNumberFormat="1" applyFont="1" applyBorder="1" applyAlignment="1">
      <alignment horizontal="center" vertical="center"/>
    </xf>
    <xf numFmtId="1" fontId="5" fillId="0" borderId="1087" xfId="0" applyNumberFormat="1" applyFont="1" applyBorder="1" applyAlignment="1">
      <alignment vertical="center" wrapText="1"/>
    </xf>
    <xf numFmtId="1" fontId="5" fillId="3" borderId="1071" xfId="0" applyNumberFormat="1" applyFont="1" applyFill="1" applyBorder="1"/>
    <xf numFmtId="1" fontId="5" fillId="3" borderId="1072" xfId="0" applyNumberFormat="1" applyFont="1" applyFill="1" applyBorder="1"/>
    <xf numFmtId="1" fontId="5" fillId="0" borderId="1061" xfId="0" applyNumberFormat="1" applyFont="1" applyBorder="1" applyAlignment="1">
      <alignment horizontal="center" vertical="center" wrapText="1"/>
    </xf>
    <xf numFmtId="1" fontId="5" fillId="0" borderId="1071" xfId="0" applyNumberFormat="1" applyFont="1" applyBorder="1" applyAlignment="1">
      <alignment horizontal="center" vertical="center" wrapText="1"/>
    </xf>
    <xf numFmtId="1" fontId="5" fillId="0" borderId="1061" xfId="0" applyNumberFormat="1" applyFont="1" applyBorder="1"/>
    <xf numFmtId="1" fontId="5" fillId="0" borderId="1057" xfId="0" applyNumberFormat="1" applyFont="1" applyBorder="1"/>
    <xf numFmtId="1" fontId="5" fillId="0" borderId="1066" xfId="0" applyNumberFormat="1" applyFont="1" applyBorder="1"/>
    <xf numFmtId="0" fontId="3" fillId="0" borderId="1059" xfId="0" applyFont="1" applyBorder="1" applyAlignment="1">
      <alignment vertical="center"/>
    </xf>
    <xf numFmtId="1" fontId="5" fillId="0" borderId="1059" xfId="0" applyNumberFormat="1" applyFont="1" applyBorder="1"/>
    <xf numFmtId="1" fontId="5" fillId="39" borderId="25" xfId="0" applyNumberFormat="1" applyFont="1" applyFill="1" applyBorder="1" applyProtection="1">
      <protection locked="0"/>
    </xf>
    <xf numFmtId="0" fontId="3" fillId="0" borderId="83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" fontId="5" fillId="39" borderId="792" xfId="0" applyNumberFormat="1" applyFont="1" applyFill="1" applyBorder="1" applyProtection="1">
      <protection locked="0"/>
    </xf>
    <xf numFmtId="1" fontId="3" fillId="0" borderId="1062" xfId="0" applyNumberFormat="1" applyFont="1" applyBorder="1" applyAlignment="1">
      <alignment horizontal="center" vertical="center" wrapText="1"/>
    </xf>
    <xf numFmtId="1" fontId="3" fillId="0" borderId="1073" xfId="0" applyNumberFormat="1" applyFont="1" applyBorder="1" applyAlignment="1">
      <alignment horizontal="center" vertical="center" wrapText="1"/>
    </xf>
    <xf numFmtId="1" fontId="3" fillId="0" borderId="1057" xfId="0" applyNumberFormat="1" applyFont="1" applyBorder="1" applyAlignment="1">
      <alignment vertical="center" wrapText="1"/>
    </xf>
    <xf numFmtId="1" fontId="3" fillId="0" borderId="1061" xfId="0" applyNumberFormat="1" applyFont="1" applyBorder="1" applyAlignment="1">
      <alignment vertical="center" wrapText="1"/>
    </xf>
    <xf numFmtId="1" fontId="3" fillId="4" borderId="1061" xfId="0" applyNumberFormat="1" applyFont="1" applyFill="1" applyBorder="1" applyProtection="1">
      <protection locked="0"/>
    </xf>
    <xf numFmtId="1" fontId="3" fillId="4" borderId="1071" xfId="0" applyNumberFormat="1" applyFont="1" applyFill="1" applyBorder="1" applyProtection="1">
      <protection locked="0"/>
    </xf>
    <xf numFmtId="1" fontId="3" fillId="4" borderId="1072" xfId="0" applyNumberFormat="1" applyFont="1" applyFill="1" applyBorder="1" applyProtection="1">
      <protection locked="0"/>
    </xf>
    <xf numFmtId="0" fontId="8" fillId="0" borderId="0" xfId="0" applyFont="1"/>
    <xf numFmtId="1" fontId="17" fillId="3" borderId="0" xfId="0" applyNumberFormat="1" applyFont="1" applyFill="1" applyAlignment="1">
      <alignment horizontal="left" vertical="center"/>
    </xf>
    <xf numFmtId="1" fontId="5" fillId="0" borderId="1075" xfId="0" applyNumberFormat="1" applyFont="1" applyBorder="1" applyAlignment="1">
      <alignment horizontal="center" vertical="center"/>
    </xf>
    <xf numFmtId="1" fontId="5" fillId="0" borderId="1059" xfId="0" applyNumberFormat="1" applyFont="1" applyBorder="1" applyAlignment="1">
      <alignment horizontal="center" vertical="center"/>
    </xf>
    <xf numFmtId="1" fontId="5" fillId="5" borderId="1062" xfId="0" applyNumberFormat="1" applyFont="1" applyFill="1" applyBorder="1"/>
    <xf numFmtId="1" fontId="5" fillId="5" borderId="1072" xfId="0" applyNumberFormat="1" applyFont="1" applyFill="1" applyBorder="1"/>
    <xf numFmtId="1" fontId="5" fillId="5" borderId="1073" xfId="0" applyNumberFormat="1" applyFont="1" applyFill="1" applyBorder="1"/>
    <xf numFmtId="1" fontId="5" fillId="5" borderId="1071" xfId="0" applyNumberFormat="1" applyFont="1" applyFill="1" applyBorder="1"/>
    <xf numFmtId="1" fontId="5" fillId="6" borderId="1078" xfId="0" applyNumberFormat="1" applyFont="1" applyFill="1" applyBorder="1"/>
    <xf numFmtId="1" fontId="5" fillId="6" borderId="982" xfId="0" applyNumberFormat="1" applyFont="1" applyFill="1" applyBorder="1"/>
    <xf numFmtId="1" fontId="5" fillId="0" borderId="1054" xfId="0" applyNumberFormat="1" applyFont="1" applyBorder="1"/>
    <xf numFmtId="1" fontId="5" fillId="6" borderId="451" xfId="0" applyNumberFormat="1" applyFont="1" applyFill="1" applyBorder="1"/>
    <xf numFmtId="1" fontId="15" fillId="3" borderId="524" xfId="0" applyNumberFormat="1" applyFont="1" applyFill="1" applyBorder="1"/>
    <xf numFmtId="1" fontId="5" fillId="5" borderId="1057" xfId="0" applyNumberFormat="1" applyFont="1" applyFill="1" applyBorder="1"/>
    <xf numFmtId="1" fontId="5" fillId="5" borderId="1061" xfId="0" applyNumberFormat="1" applyFont="1" applyFill="1" applyBorder="1"/>
    <xf numFmtId="1" fontId="5" fillId="5" borderId="1078" xfId="0" applyNumberFormat="1" applyFont="1" applyFill="1" applyBorder="1"/>
    <xf numFmtId="1" fontId="5" fillId="5" borderId="982" xfId="0" applyNumberFormat="1" applyFont="1" applyFill="1" applyBorder="1"/>
    <xf numFmtId="1" fontId="5" fillId="5" borderId="245" xfId="0" applyNumberFormat="1" applyFont="1" applyFill="1" applyBorder="1"/>
    <xf numFmtId="1" fontId="5" fillId="5" borderId="246" xfId="0" applyNumberFormat="1" applyFont="1" applyFill="1" applyBorder="1"/>
    <xf numFmtId="1" fontId="5" fillId="39" borderId="61" xfId="0" applyNumberFormat="1" applyFont="1" applyFill="1" applyBorder="1" applyProtection="1">
      <protection locked="0"/>
    </xf>
    <xf numFmtId="1" fontId="5" fillId="5" borderId="14" xfId="0" applyNumberFormat="1" applyFont="1" applyFill="1" applyBorder="1"/>
    <xf numFmtId="1" fontId="5" fillId="5" borderId="833" xfId="0" applyNumberFormat="1" applyFont="1" applyFill="1" applyBorder="1"/>
    <xf numFmtId="1" fontId="5" fillId="39" borderId="807" xfId="0" applyNumberFormat="1" applyFont="1" applyFill="1" applyBorder="1" applyProtection="1">
      <protection locked="0"/>
    </xf>
    <xf numFmtId="1" fontId="16" fillId="3" borderId="0" xfId="0" applyNumberFormat="1" applyFont="1" applyFill="1" applyProtection="1">
      <protection hidden="1"/>
    </xf>
    <xf numFmtId="1" fontId="5" fillId="0" borderId="1068" xfId="0" applyNumberFormat="1" applyFont="1" applyBorder="1" applyAlignment="1">
      <alignment horizontal="center" vertical="center"/>
    </xf>
    <xf numFmtId="1" fontId="5" fillId="0" borderId="1087" xfId="0" applyNumberFormat="1" applyFont="1" applyBorder="1" applyAlignment="1">
      <alignment horizontal="center" vertical="center"/>
    </xf>
    <xf numFmtId="1" fontId="5" fillId="0" borderId="1061" xfId="8" applyNumberFormat="1" applyFont="1" applyBorder="1" applyAlignment="1" applyProtection="1">
      <alignment horizontal="center" vertical="center"/>
    </xf>
    <xf numFmtId="1" fontId="5" fillId="0" borderId="1062" xfId="0" applyNumberFormat="1" applyFont="1" applyBorder="1"/>
    <xf numFmtId="1" fontId="5" fillId="0" borderId="1059" xfId="0" applyNumberFormat="1" applyFont="1" applyBorder="1" applyAlignment="1">
      <alignment vertical="center" wrapText="1"/>
    </xf>
    <xf numFmtId="1" fontId="5" fillId="0" borderId="1065" xfId="0" applyNumberFormat="1" applyFont="1" applyBorder="1"/>
    <xf numFmtId="1" fontId="5" fillId="4" borderId="1080" xfId="0" applyNumberFormat="1" applyFont="1" applyFill="1" applyBorder="1" applyProtection="1">
      <protection locked="0"/>
    </xf>
    <xf numFmtId="1" fontId="5" fillId="6" borderId="838" xfId="0" applyNumberFormat="1" applyFont="1" applyFill="1" applyBorder="1"/>
    <xf numFmtId="1" fontId="5" fillId="0" borderId="996" xfId="0" applyNumberFormat="1" applyFont="1" applyBorder="1"/>
    <xf numFmtId="1" fontId="5" fillId="0" borderId="1014" xfId="0" applyNumberFormat="1" applyFont="1" applyBorder="1"/>
    <xf numFmtId="1" fontId="5" fillId="6" borderId="1056" xfId="0" applyNumberFormat="1" applyFont="1" applyFill="1" applyBorder="1"/>
    <xf numFmtId="1" fontId="5" fillId="6" borderId="1014" xfId="0" applyNumberFormat="1" applyFont="1" applyFill="1" applyBorder="1"/>
    <xf numFmtId="1" fontId="5" fillId="0" borderId="1088" xfId="0" applyNumberFormat="1" applyFont="1" applyBorder="1" applyAlignment="1">
      <alignment horizontal="right" vertical="center"/>
    </xf>
    <xf numFmtId="1" fontId="5" fillId="0" borderId="1055" xfId="0" applyNumberFormat="1" applyFont="1" applyBorder="1" applyAlignment="1">
      <alignment horizontal="right" vertical="center"/>
    </xf>
    <xf numFmtId="1" fontId="5" fillId="0" borderId="1068" xfId="0" applyNumberFormat="1" applyFont="1" applyBorder="1" applyAlignment="1">
      <alignment horizontal="right" vertical="center"/>
    </xf>
    <xf numFmtId="1" fontId="5" fillId="0" borderId="30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5" fillId="0" borderId="1073" xfId="0" applyNumberFormat="1" applyFont="1" applyBorder="1" applyAlignment="1">
      <alignment horizontal="right" vertical="center"/>
    </xf>
    <xf numFmtId="1" fontId="5" fillId="0" borderId="1057" xfId="0" applyNumberFormat="1" applyFont="1" applyBorder="1" applyAlignment="1">
      <alignment horizontal="right" vertical="center"/>
    </xf>
    <xf numFmtId="1" fontId="5" fillId="0" borderId="1071" xfId="0" applyNumberFormat="1" applyFont="1" applyBorder="1" applyAlignment="1">
      <alignment horizontal="right" vertical="center"/>
    </xf>
    <xf numFmtId="1" fontId="5" fillId="0" borderId="1072" xfId="0" applyNumberFormat="1" applyFont="1" applyBorder="1" applyAlignment="1">
      <alignment horizontal="right" vertical="center"/>
    </xf>
    <xf numFmtId="1" fontId="5" fillId="0" borderId="1059" xfId="34" applyNumberFormat="1" applyFont="1" applyBorder="1" applyAlignment="1">
      <alignment horizontal="left" vertical="center" wrapText="1"/>
    </xf>
    <xf numFmtId="1" fontId="5" fillId="0" borderId="835" xfId="34" applyNumberFormat="1" applyFont="1" applyBorder="1" applyAlignment="1">
      <alignment horizontal="left" vertical="center" wrapText="1"/>
    </xf>
    <xf numFmtId="1" fontId="5" fillId="39" borderId="996" xfId="0" applyNumberFormat="1" applyFont="1" applyFill="1" applyBorder="1" applyProtection="1">
      <protection locked="0"/>
    </xf>
    <xf numFmtId="1" fontId="5" fillId="39" borderId="1075" xfId="0" applyNumberFormat="1" applyFont="1" applyFill="1" applyBorder="1" applyProtection="1">
      <protection locked="0"/>
    </xf>
    <xf numFmtId="1" fontId="5" fillId="39" borderId="1014" xfId="0" applyNumberFormat="1" applyFont="1" applyFill="1" applyBorder="1" applyProtection="1">
      <protection locked="0"/>
    </xf>
    <xf numFmtId="1" fontId="5" fillId="0" borderId="1062" xfId="0" applyNumberFormat="1" applyFont="1" applyBorder="1" applyAlignment="1">
      <alignment horizontal="right" vertical="center"/>
    </xf>
    <xf numFmtId="1" fontId="22" fillId="3" borderId="0" xfId="0" applyNumberFormat="1" applyFont="1" applyFill="1" applyAlignment="1">
      <alignment vertical="center"/>
    </xf>
    <xf numFmtId="1" fontId="5" fillId="40" borderId="676" xfId="0" applyNumberFormat="1" applyFont="1" applyFill="1" applyBorder="1"/>
    <xf numFmtId="1" fontId="5" fillId="4" borderId="1014" xfId="0" applyNumberFormat="1" applyFont="1" applyFill="1" applyBorder="1" applyProtection="1">
      <protection locked="0"/>
    </xf>
    <xf numFmtId="1" fontId="15" fillId="3" borderId="1054" xfId="0" applyNumberFormat="1" applyFont="1" applyFill="1" applyBorder="1" applyAlignment="1">
      <alignment horizontal="left"/>
    </xf>
    <xf numFmtId="1" fontId="22" fillId="3" borderId="36" xfId="0" applyNumberFormat="1" applyFont="1" applyFill="1" applyBorder="1" applyAlignment="1">
      <alignment vertical="center"/>
    </xf>
    <xf numFmtId="1" fontId="22" fillId="3" borderId="1055" xfId="0" applyNumberFormat="1" applyFont="1" applyFill="1" applyBorder="1" applyAlignment="1">
      <alignment vertical="center"/>
    </xf>
    <xf numFmtId="1" fontId="5" fillId="0" borderId="1061" xfId="0" applyNumberFormat="1" applyFont="1" applyBorder="1" applyAlignment="1">
      <alignment vertical="center" wrapText="1"/>
    </xf>
    <xf numFmtId="1" fontId="5" fillId="3" borderId="1061" xfId="0" applyNumberFormat="1" applyFont="1" applyFill="1" applyBorder="1"/>
    <xf numFmtId="1" fontId="5" fillId="4" borderId="1071" xfId="0" applyNumberFormat="1" applyFont="1" applyFill="1" applyBorder="1" applyProtection="1">
      <protection locked="0"/>
    </xf>
    <xf numFmtId="1" fontId="5" fillId="4" borderId="1072" xfId="0" applyNumberFormat="1" applyFont="1" applyFill="1" applyBorder="1" applyProtection="1">
      <protection locked="0"/>
    </xf>
    <xf numFmtId="1" fontId="5" fillId="39" borderId="1059" xfId="0" applyNumberFormat="1" applyFont="1" applyFill="1" applyBorder="1" applyProtection="1">
      <protection locked="0"/>
    </xf>
    <xf numFmtId="1" fontId="5" fillId="39" borderId="835" xfId="0" applyNumberFormat="1" applyFont="1" applyFill="1" applyBorder="1" applyProtection="1">
      <protection locked="0"/>
    </xf>
    <xf numFmtId="1" fontId="5" fillId="39" borderId="13" xfId="0" applyNumberFormat="1" applyFont="1" applyFill="1" applyBorder="1" applyProtection="1">
      <protection locked="0"/>
    </xf>
    <xf numFmtId="1" fontId="5" fillId="3" borderId="1059" xfId="0" applyNumberFormat="1" applyFont="1" applyFill="1" applyBorder="1"/>
    <xf numFmtId="1" fontId="3" fillId="0" borderId="770" xfId="0" applyNumberFormat="1" applyFont="1" applyBorder="1"/>
    <xf numFmtId="1" fontId="3" fillId="0" borderId="1060" xfId="0" applyNumberFormat="1" applyFont="1" applyBorder="1" applyAlignment="1">
      <alignment horizontal="center" vertical="center" wrapText="1"/>
    </xf>
    <xf numFmtId="1" fontId="5" fillId="0" borderId="830" xfId="0" applyNumberFormat="1" applyFont="1" applyBorder="1" applyAlignment="1">
      <alignment horizontal="center" vertical="center" wrapText="1"/>
    </xf>
    <xf numFmtId="1" fontId="3" fillId="4" borderId="1082" xfId="0" applyNumberFormat="1" applyFont="1" applyFill="1" applyBorder="1" applyProtection="1">
      <protection locked="0"/>
    </xf>
    <xf numFmtId="1" fontId="3" fillId="0" borderId="1088" xfId="0" applyNumberFormat="1" applyFont="1" applyBorder="1" applyAlignment="1">
      <alignment horizontal="center" vertical="center" wrapText="1"/>
    </xf>
    <xf numFmtId="1" fontId="3" fillId="0" borderId="1066" xfId="0" applyNumberFormat="1" applyFont="1" applyBorder="1" applyAlignment="1">
      <alignment horizontal="center" vertical="center" wrapText="1"/>
    </xf>
    <xf numFmtId="1" fontId="3" fillId="4" borderId="1078" xfId="0" applyNumberFormat="1" applyFont="1" applyFill="1" applyBorder="1" applyProtection="1">
      <protection locked="0"/>
    </xf>
    <xf numFmtId="1" fontId="3" fillId="4" borderId="1090" xfId="0" applyNumberFormat="1" applyFont="1" applyFill="1" applyBorder="1" applyProtection="1">
      <protection locked="0"/>
    </xf>
    <xf numFmtId="1" fontId="3" fillId="4" borderId="831" xfId="0" applyNumberFormat="1" applyFont="1" applyFill="1" applyBorder="1" applyProtection="1">
      <protection locked="0"/>
    </xf>
    <xf numFmtId="1" fontId="5" fillId="0" borderId="1073" xfId="0" applyNumberFormat="1" applyFont="1" applyBorder="1" applyAlignment="1">
      <alignment horizontal="right"/>
    </xf>
    <xf numFmtId="1" fontId="5" fillId="0" borderId="1076" xfId="0" applyNumberFormat="1" applyFont="1" applyBorder="1" applyAlignment="1">
      <alignment horizontal="right"/>
    </xf>
    <xf numFmtId="1" fontId="5" fillId="0" borderId="1072" xfId="0" applyNumberFormat="1" applyFont="1" applyBorder="1" applyAlignment="1">
      <alignment horizontal="right"/>
    </xf>
    <xf numFmtId="1" fontId="5" fillId="4" borderId="835" xfId="0" applyNumberFormat="1" applyFont="1" applyFill="1" applyBorder="1" applyAlignment="1" applyProtection="1">
      <alignment horizontal="right" wrapText="1"/>
      <protection locked="0"/>
    </xf>
    <xf numFmtId="1" fontId="5" fillId="0" borderId="1069" xfId="15" applyNumberFormat="1" applyFont="1" applyBorder="1" applyAlignment="1">
      <alignment horizontal="center" vertical="center" wrapText="1"/>
    </xf>
    <xf numFmtId="1" fontId="5" fillId="4" borderId="1082" xfId="15" applyNumberFormat="1" applyFont="1" applyFill="1" applyBorder="1" applyProtection="1">
      <protection locked="0"/>
    </xf>
    <xf numFmtId="1" fontId="5" fillId="4" borderId="942" xfId="15" applyNumberFormat="1" applyFont="1" applyFill="1" applyBorder="1" applyProtection="1">
      <protection locked="0"/>
    </xf>
    <xf numFmtId="1" fontId="5" fillId="4" borderId="57" xfId="15" applyNumberFormat="1" applyFont="1" applyFill="1" applyBorder="1" applyProtection="1">
      <protection locked="0"/>
    </xf>
    <xf numFmtId="1" fontId="5" fillId="4" borderId="1081" xfId="15" applyNumberFormat="1" applyFont="1" applyFill="1" applyBorder="1" applyProtection="1">
      <protection locked="0"/>
    </xf>
    <xf numFmtId="1" fontId="5" fillId="4" borderId="982" xfId="15" applyNumberFormat="1" applyFont="1" applyFill="1" applyBorder="1" applyProtection="1">
      <protection locked="0"/>
    </xf>
    <xf numFmtId="1" fontId="5" fillId="4" borderId="253" xfId="15" applyNumberFormat="1" applyFont="1" applyFill="1" applyBorder="1" applyProtection="1">
      <protection locked="0"/>
    </xf>
    <xf numFmtId="1" fontId="5" fillId="4" borderId="841" xfId="15" applyNumberFormat="1" applyFont="1" applyFill="1" applyBorder="1" applyProtection="1">
      <protection locked="0"/>
    </xf>
    <xf numFmtId="1" fontId="5" fillId="4" borderId="1080" xfId="15" applyNumberFormat="1" applyFont="1" applyFill="1" applyBorder="1" applyProtection="1">
      <protection locked="0"/>
    </xf>
    <xf numFmtId="1" fontId="5" fillId="4" borderId="264" xfId="15" applyNumberFormat="1" applyFont="1" applyFill="1" applyBorder="1" applyProtection="1">
      <protection locked="0"/>
    </xf>
    <xf numFmtId="1" fontId="5" fillId="4" borderId="936" xfId="15" applyNumberFormat="1" applyFont="1" applyFill="1" applyBorder="1" applyProtection="1">
      <protection locked="0"/>
    </xf>
    <xf numFmtId="1" fontId="3" fillId="5" borderId="1087" xfId="0" applyNumberFormat="1" applyFont="1" applyFill="1" applyBorder="1" applyAlignment="1">
      <alignment horizontal="center" vertical="center" wrapText="1"/>
    </xf>
    <xf numFmtId="1" fontId="3" fillId="5" borderId="1073" xfId="0" applyNumberFormat="1" applyFont="1" applyFill="1" applyBorder="1" applyAlignment="1">
      <alignment horizontal="center" vertical="center" wrapText="1"/>
    </xf>
    <xf numFmtId="1" fontId="3" fillId="5" borderId="1072" xfId="0" applyNumberFormat="1" applyFont="1" applyFill="1" applyBorder="1" applyAlignment="1">
      <alignment horizontal="center" vertical="center" wrapText="1"/>
    </xf>
    <xf numFmtId="1" fontId="5" fillId="5" borderId="1059" xfId="0" applyNumberFormat="1" applyFont="1" applyFill="1" applyBorder="1" applyAlignment="1">
      <alignment horizontal="right" wrapText="1"/>
    </xf>
    <xf numFmtId="1" fontId="5" fillId="5" borderId="13" xfId="0" applyNumberFormat="1" applyFont="1" applyFill="1" applyBorder="1" applyAlignment="1">
      <alignment horizontal="right" wrapText="1"/>
    </xf>
    <xf numFmtId="1" fontId="5" fillId="5" borderId="226" xfId="0" applyNumberFormat="1" applyFont="1" applyFill="1" applyBorder="1" applyAlignment="1">
      <alignment horizontal="right" wrapText="1"/>
    </xf>
    <xf numFmtId="1" fontId="5" fillId="5" borderId="982" xfId="0" applyNumberFormat="1" applyFont="1" applyFill="1" applyBorder="1" applyAlignment="1">
      <alignment horizontal="right" wrapText="1"/>
    </xf>
    <xf numFmtId="1" fontId="3" fillId="5" borderId="1068" xfId="0" applyNumberFormat="1" applyFont="1" applyFill="1" applyBorder="1" applyAlignment="1">
      <alignment horizontal="center" vertical="center" wrapText="1"/>
    </xf>
    <xf numFmtId="1" fontId="5" fillId="5" borderId="27" xfId="0" applyNumberFormat="1" applyFont="1" applyFill="1" applyBorder="1" applyAlignment="1">
      <alignment horizontal="right" wrapText="1"/>
    </xf>
    <xf numFmtId="1" fontId="5" fillId="5" borderId="1079" xfId="0" applyNumberFormat="1" applyFont="1" applyFill="1" applyBorder="1" applyAlignment="1">
      <alignment horizontal="right" wrapText="1"/>
    </xf>
    <xf numFmtId="1" fontId="5" fillId="0" borderId="1057" xfId="0" applyNumberFormat="1" applyFont="1" applyBorder="1" applyAlignment="1">
      <alignment horizontal="right" wrapText="1"/>
    </xf>
    <xf numFmtId="1" fontId="5" fillId="0" borderId="1091" xfId="0" applyNumberFormat="1" applyFont="1" applyBorder="1" applyAlignment="1">
      <alignment horizontal="right" wrapText="1"/>
    </xf>
    <xf numFmtId="1" fontId="5" fillId="0" borderId="1071" xfId="0" applyNumberFormat="1" applyFont="1" applyBorder="1" applyAlignment="1">
      <alignment horizontal="right" wrapText="1"/>
    </xf>
    <xf numFmtId="1" fontId="3" fillId="0" borderId="1069" xfId="0" applyNumberFormat="1" applyFont="1" applyBorder="1" applyAlignment="1">
      <alignment horizontal="center" vertical="center" wrapText="1"/>
    </xf>
    <xf numFmtId="1" fontId="3" fillId="0" borderId="1092" xfId="0" applyNumberFormat="1" applyFont="1" applyBorder="1" applyAlignment="1">
      <alignment horizontal="center" vertical="center" wrapText="1"/>
    </xf>
    <xf numFmtId="1" fontId="3" fillId="0" borderId="1071" xfId="0" applyNumberFormat="1" applyFont="1" applyBorder="1" applyAlignment="1">
      <alignment horizontal="center" vertical="center" wrapText="1"/>
    </xf>
    <xf numFmtId="1" fontId="3" fillId="4" borderId="1093" xfId="0" applyNumberFormat="1" applyFont="1" applyFill="1" applyBorder="1" applyAlignment="1" applyProtection="1">
      <alignment horizontal="right"/>
      <protection locked="0"/>
    </xf>
    <xf numFmtId="1" fontId="5" fillId="19" borderId="759" xfId="0" applyNumberFormat="1" applyFont="1" applyFill="1" applyBorder="1" applyProtection="1">
      <protection locked="0"/>
    </xf>
    <xf numFmtId="1" fontId="5" fillId="19" borderId="281" xfId="0" applyNumberFormat="1" applyFont="1" applyFill="1" applyBorder="1" applyProtection="1">
      <protection locked="0"/>
    </xf>
    <xf numFmtId="1" fontId="5" fillId="28" borderId="281" xfId="0" applyNumberFormat="1" applyFont="1" applyFill="1" applyBorder="1"/>
    <xf numFmtId="1" fontId="5" fillId="19" borderId="760" xfId="0" applyNumberFormat="1" applyFont="1" applyFill="1" applyBorder="1" applyProtection="1">
      <protection locked="0"/>
    </xf>
    <xf numFmtId="1" fontId="5" fillId="19" borderId="761" xfId="0" applyNumberFormat="1" applyFont="1" applyFill="1" applyBorder="1" applyProtection="1">
      <protection locked="0"/>
    </xf>
    <xf numFmtId="1" fontId="5" fillId="19" borderId="302" xfId="0" applyNumberFormat="1" applyFont="1" applyFill="1" applyBorder="1" applyProtection="1">
      <protection locked="0"/>
    </xf>
    <xf numFmtId="1" fontId="5" fillId="28" borderId="302" xfId="0" applyNumberFormat="1" applyFont="1" applyFill="1" applyBorder="1"/>
    <xf numFmtId="1" fontId="5" fillId="19" borderId="762" xfId="0" applyNumberFormat="1" applyFont="1" applyFill="1" applyBorder="1" applyProtection="1">
      <protection locked="0"/>
    </xf>
    <xf numFmtId="1" fontId="5" fillId="28" borderId="307" xfId="0" applyNumberFormat="1" applyFont="1" applyFill="1" applyBorder="1" applyAlignment="1">
      <alignment horizontal="center"/>
    </xf>
    <xf numFmtId="1" fontId="5" fillId="28" borderId="310" xfId="0" applyNumberFormat="1" applyFont="1" applyFill="1" applyBorder="1" applyAlignment="1">
      <alignment horizontal="center"/>
    </xf>
    <xf numFmtId="1" fontId="5" fillId="29" borderId="307" xfId="0" applyNumberFormat="1" applyFont="1" applyFill="1" applyBorder="1"/>
    <xf numFmtId="1" fontId="5" fillId="29" borderId="302" xfId="0" applyNumberFormat="1" applyFont="1" applyFill="1" applyBorder="1" applyAlignment="1">
      <alignment horizontal="center"/>
    </xf>
    <xf numFmtId="1" fontId="5" fillId="19" borderId="299" xfId="0" applyNumberFormat="1" applyFont="1" applyFill="1" applyBorder="1" applyProtection="1">
      <protection locked="0"/>
    </xf>
    <xf numFmtId="1" fontId="5" fillId="19" borderId="298" xfId="0" applyNumberFormat="1" applyFont="1" applyFill="1" applyBorder="1" applyProtection="1">
      <protection locked="0"/>
    </xf>
    <xf numFmtId="1" fontId="5" fillId="19" borderId="301" xfId="0" applyNumberFormat="1" applyFont="1" applyFill="1" applyBorder="1" applyProtection="1">
      <protection locked="0"/>
    </xf>
    <xf numFmtId="1" fontId="5" fillId="30" borderId="759" xfId="0" applyNumberFormat="1" applyFont="1" applyFill="1" applyBorder="1"/>
    <xf numFmtId="1" fontId="5" fillId="30" borderId="281" xfId="0" applyNumberFormat="1" applyFont="1" applyFill="1" applyBorder="1"/>
    <xf numFmtId="1" fontId="5" fillId="29" borderId="307" xfId="0" applyNumberFormat="1" applyFont="1" applyFill="1" applyBorder="1" applyAlignment="1">
      <alignment horizontal="center"/>
    </xf>
    <xf numFmtId="1" fontId="5" fillId="30" borderId="766" xfId="0" applyNumberFormat="1" applyFont="1" applyFill="1" applyBorder="1"/>
    <xf numFmtId="1" fontId="5" fillId="30" borderId="348" xfId="0" applyNumberFormat="1" applyFont="1" applyFill="1" applyBorder="1"/>
    <xf numFmtId="1" fontId="5" fillId="29" borderId="767" xfId="0" applyNumberFormat="1" applyFont="1" applyFill="1" applyBorder="1" applyAlignment="1">
      <alignment horizontal="center"/>
    </xf>
    <xf numFmtId="1" fontId="5" fillId="28" borderId="348" xfId="0" applyNumberFormat="1" applyFont="1" applyFill="1" applyBorder="1"/>
    <xf numFmtId="1" fontId="3" fillId="0" borderId="1057" xfId="20" applyNumberFormat="1" applyFont="1" applyBorder="1" applyAlignment="1">
      <alignment horizontal="center" vertical="center" wrapText="1"/>
    </xf>
    <xf numFmtId="1" fontId="3" fillId="4" borderId="1065" xfId="20" applyNumberFormat="1" applyFont="1" applyFill="1" applyBorder="1" applyProtection="1">
      <protection locked="0"/>
    </xf>
    <xf numFmtId="1" fontId="3" fillId="4" borderId="838" xfId="20" applyNumberFormat="1" applyFont="1" applyFill="1" applyBorder="1" applyProtection="1">
      <protection locked="0"/>
    </xf>
    <xf numFmtId="1" fontId="3" fillId="4" borderId="792" xfId="20" applyNumberFormat="1" applyFont="1" applyFill="1" applyBorder="1" applyProtection="1">
      <protection locked="0"/>
    </xf>
    <xf numFmtId="1" fontId="3" fillId="0" borderId="1057" xfId="20" applyNumberFormat="1" applyFont="1" applyBorder="1" applyAlignment="1">
      <alignment horizontal="right" vertical="center" wrapText="1"/>
    </xf>
    <xf numFmtId="1" fontId="3" fillId="0" borderId="1073" xfId="20" applyNumberFormat="1" applyFont="1" applyBorder="1" applyAlignment="1">
      <alignment horizontal="center" vertical="center" wrapText="1"/>
    </xf>
    <xf numFmtId="1" fontId="3" fillId="4" borderId="1078" xfId="20" applyNumberFormat="1" applyFont="1" applyFill="1" applyBorder="1" applyProtection="1">
      <protection locked="0"/>
    </xf>
    <xf numFmtId="1" fontId="3" fillId="4" borderId="245" xfId="20" applyNumberFormat="1" applyFont="1" applyFill="1" applyBorder="1" applyProtection="1">
      <protection locked="0"/>
    </xf>
    <xf numFmtId="1" fontId="3" fillId="4" borderId="831" xfId="20" applyNumberFormat="1" applyFont="1" applyFill="1" applyBorder="1" applyProtection="1">
      <protection locked="0"/>
    </xf>
    <xf numFmtId="1" fontId="3" fillId="0" borderId="1073" xfId="20" applyNumberFormat="1" applyFont="1" applyBorder="1" applyAlignment="1">
      <alignment horizontal="right" vertical="center" wrapText="1"/>
    </xf>
    <xf numFmtId="1" fontId="3" fillId="4" borderId="1090" xfId="20" applyNumberFormat="1" applyFont="1" applyFill="1" applyBorder="1" applyProtection="1">
      <protection locked="0"/>
    </xf>
    <xf numFmtId="1" fontId="3" fillId="4" borderId="912" xfId="20" applyNumberFormat="1" applyFont="1" applyFill="1" applyBorder="1" applyProtection="1">
      <protection locked="0"/>
    </xf>
    <xf numFmtId="1" fontId="3" fillId="4" borderId="38" xfId="20" applyNumberFormat="1" applyFont="1" applyFill="1" applyBorder="1" applyProtection="1">
      <protection locked="0"/>
    </xf>
    <xf numFmtId="1" fontId="3" fillId="0" borderId="1066" xfId="20" applyNumberFormat="1" applyFont="1" applyBorder="1" applyAlignment="1">
      <alignment horizontal="right" vertical="center" wrapText="1"/>
    </xf>
    <xf numFmtId="1" fontId="3" fillId="0" borderId="1066" xfId="20" applyNumberFormat="1" applyFont="1" applyBorder="1" applyAlignment="1">
      <alignment horizontal="center" vertical="center" wrapText="1"/>
    </xf>
    <xf numFmtId="1" fontId="3" fillId="3" borderId="445" xfId="0" applyNumberFormat="1" applyFont="1" applyFill="1" applyBorder="1" applyAlignment="1">
      <alignment horizontal="center" vertical="center" wrapText="1"/>
    </xf>
    <xf numFmtId="1" fontId="3" fillId="4" borderId="1060" xfId="0" applyNumberFormat="1" applyFont="1" applyFill="1" applyBorder="1" applyProtection="1">
      <protection locked="0"/>
    </xf>
    <xf numFmtId="1" fontId="3" fillId="0" borderId="1060" xfId="0" applyNumberFormat="1" applyFont="1" applyBorder="1"/>
    <xf numFmtId="164" fontId="3" fillId="0" borderId="1094" xfId="18" applyNumberFormat="1" applyFont="1" applyBorder="1" applyAlignment="1" applyProtection="1">
      <alignment horizontal="center" vertical="center" wrapText="1"/>
    </xf>
    <xf numFmtId="164" fontId="3" fillId="0" borderId="1095" xfId="18" applyNumberFormat="1" applyFont="1" applyBorder="1" applyAlignment="1" applyProtection="1">
      <alignment horizontal="center" vertical="center" wrapText="1"/>
    </xf>
    <xf numFmtId="1" fontId="3" fillId="4" borderId="1077" xfId="0" applyNumberFormat="1" applyFont="1" applyFill="1" applyBorder="1" applyProtection="1">
      <protection locked="0"/>
    </xf>
    <xf numFmtId="1" fontId="3" fillId="4" borderId="1074" xfId="0" applyNumberFormat="1" applyFont="1" applyFill="1" applyBorder="1" applyProtection="1">
      <protection locked="0"/>
    </xf>
    <xf numFmtId="1" fontId="3" fillId="4" borderId="253" xfId="0" applyNumberFormat="1" applyFont="1" applyFill="1" applyBorder="1" applyProtection="1">
      <protection locked="0"/>
    </xf>
    <xf numFmtId="1" fontId="3" fillId="4" borderId="841" xfId="0" applyNumberFormat="1" applyFont="1" applyFill="1" applyBorder="1" applyProtection="1">
      <protection locked="0"/>
    </xf>
    <xf numFmtId="1" fontId="3" fillId="0" borderId="1077" xfId="0" applyNumberFormat="1" applyFont="1" applyBorder="1"/>
    <xf numFmtId="1" fontId="3" fillId="0" borderId="1013" xfId="0" applyNumberFormat="1" applyFont="1" applyBorder="1"/>
    <xf numFmtId="1" fontId="3" fillId="8" borderId="264" xfId="0" applyNumberFormat="1" applyFont="1" applyFill="1" applyBorder="1" applyProtection="1">
      <protection locked="0"/>
    </xf>
    <xf numFmtId="1" fontId="3" fillId="8" borderId="936" xfId="0" applyNumberFormat="1" applyFont="1" applyFill="1" applyBorder="1" applyProtection="1">
      <protection locked="0"/>
    </xf>
    <xf numFmtId="1" fontId="3" fillId="0" borderId="1041" xfId="0" applyNumberFormat="1" applyFont="1" applyBorder="1" applyAlignment="1">
      <alignment horizontal="right" vertical="center" wrapText="1"/>
    </xf>
    <xf numFmtId="1" fontId="3" fillId="8" borderId="259" xfId="0" applyNumberFormat="1" applyFont="1" applyFill="1" applyBorder="1" applyProtection="1">
      <protection locked="0"/>
    </xf>
    <xf numFmtId="1" fontId="3" fillId="8" borderId="246" xfId="0" applyNumberFormat="1" applyFont="1" applyFill="1" applyBorder="1" applyProtection="1">
      <protection locked="0"/>
    </xf>
    <xf numFmtId="1" fontId="3" fillId="8" borderId="920" xfId="0" applyNumberFormat="1" applyFont="1" applyFill="1" applyBorder="1" applyProtection="1">
      <protection locked="0"/>
    </xf>
    <xf numFmtId="1" fontId="3" fillId="8" borderId="833" xfId="0" applyNumberFormat="1" applyFont="1" applyFill="1" applyBorder="1" applyProtection="1">
      <protection locked="0"/>
    </xf>
    <xf numFmtId="1" fontId="3" fillId="0" borderId="674" xfId="0" applyNumberFormat="1" applyFont="1" applyBorder="1" applyAlignment="1">
      <alignment horizontal="right" vertical="center" wrapText="1"/>
    </xf>
    <xf numFmtId="1" fontId="3" fillId="0" borderId="1014" xfId="0" applyNumberFormat="1" applyFont="1" applyBorder="1" applyAlignment="1">
      <alignment horizontal="right" vertical="center" wrapText="1"/>
    </xf>
    <xf numFmtId="1" fontId="3" fillId="4" borderId="1080" xfId="0" applyNumberFormat="1" applyFont="1" applyFill="1" applyBorder="1" applyProtection="1">
      <protection locked="0"/>
    </xf>
    <xf numFmtId="1" fontId="3" fillId="4" borderId="264" xfId="0" applyNumberFormat="1" applyFont="1" applyFill="1" applyBorder="1" applyProtection="1">
      <protection locked="0"/>
    </xf>
    <xf numFmtId="1" fontId="3" fillId="17" borderId="803" xfId="0" applyNumberFormat="1" applyFont="1" applyFill="1" applyBorder="1"/>
    <xf numFmtId="1" fontId="3" fillId="4" borderId="1098" xfId="0" applyNumberFormat="1" applyFont="1" applyFill="1" applyBorder="1" applyProtection="1">
      <protection locked="0"/>
    </xf>
    <xf numFmtId="1" fontId="3" fillId="4" borderId="259" xfId="0" applyNumberFormat="1" applyFont="1" applyFill="1" applyBorder="1" applyProtection="1">
      <protection locked="0"/>
    </xf>
    <xf numFmtId="1" fontId="3" fillId="17" borderId="1089" xfId="0" applyNumberFormat="1" applyFont="1" applyFill="1" applyBorder="1"/>
    <xf numFmtId="1" fontId="3" fillId="4" borderId="936" xfId="0" applyNumberFormat="1" applyFont="1" applyFill="1" applyBorder="1" applyProtection="1">
      <protection locked="0"/>
    </xf>
    <xf numFmtId="1" fontId="3" fillId="4" borderId="920" xfId="0" applyNumberFormat="1" applyFont="1" applyFill="1" applyBorder="1" applyProtection="1">
      <protection locked="0"/>
    </xf>
    <xf numFmtId="1" fontId="3" fillId="4" borderId="903" xfId="0" applyNumberFormat="1" applyFont="1" applyFill="1" applyBorder="1" applyProtection="1">
      <protection locked="0"/>
    </xf>
    <xf numFmtId="1" fontId="3" fillId="0" borderId="1069" xfId="0" applyNumberFormat="1" applyFont="1" applyBorder="1" applyAlignment="1">
      <alignment horizontal="center" vertical="center"/>
    </xf>
    <xf numFmtId="1" fontId="3" fillId="8" borderId="942" xfId="0" applyNumberFormat="1" applyFont="1" applyFill="1" applyBorder="1" applyProtection="1">
      <protection locked="0"/>
    </xf>
    <xf numFmtId="1" fontId="3" fillId="8" borderId="1041" xfId="0" applyNumberFormat="1" applyFont="1" applyFill="1" applyBorder="1" applyProtection="1">
      <protection locked="0"/>
    </xf>
    <xf numFmtId="164" fontId="3" fillId="0" borderId="1077" xfId="18" applyNumberFormat="1" applyFont="1" applyBorder="1" applyAlignment="1" applyProtection="1">
      <alignment horizontal="center" vertical="center" wrapText="1"/>
    </xf>
    <xf numFmtId="164" fontId="3" fillId="0" borderId="1066" xfId="18" applyNumberFormat="1" applyFont="1" applyBorder="1" applyAlignment="1" applyProtection="1">
      <alignment horizontal="center" vertical="center"/>
    </xf>
    <xf numFmtId="1" fontId="3" fillId="8" borderId="255" xfId="0" applyNumberFormat="1" applyFont="1" applyFill="1" applyBorder="1" applyProtection="1">
      <protection locked="0"/>
    </xf>
    <xf numFmtId="1" fontId="3" fillId="8" borderId="253" xfId="0" applyNumberFormat="1" applyFont="1" applyFill="1" applyBorder="1" applyProtection="1">
      <protection locked="0"/>
    </xf>
    <xf numFmtId="1" fontId="3" fillId="8" borderId="912" xfId="0" applyNumberFormat="1" applyFont="1" applyFill="1" applyBorder="1" applyProtection="1">
      <protection locked="0"/>
    </xf>
    <xf numFmtId="1" fontId="3" fillId="8" borderId="713" xfId="0" applyNumberFormat="1" applyFont="1" applyFill="1" applyBorder="1" applyProtection="1">
      <protection locked="0"/>
    </xf>
    <xf numFmtId="1" fontId="3" fillId="8" borderId="1013" xfId="0" applyNumberFormat="1" applyFont="1" applyFill="1" applyBorder="1" applyProtection="1">
      <protection locked="0"/>
    </xf>
    <xf numFmtId="1" fontId="3" fillId="8" borderId="835" xfId="0" applyNumberFormat="1" applyFont="1" applyFill="1" applyBorder="1" applyProtection="1">
      <protection locked="0"/>
    </xf>
    <xf numFmtId="1" fontId="3" fillId="8" borderId="1089" xfId="0" applyNumberFormat="1" applyFont="1" applyFill="1" applyBorder="1" applyProtection="1">
      <protection locked="0"/>
    </xf>
    <xf numFmtId="1" fontId="3" fillId="8" borderId="838" xfId="0" applyNumberFormat="1" applyFont="1" applyFill="1" applyBorder="1" applyProtection="1">
      <protection locked="0"/>
    </xf>
    <xf numFmtId="1" fontId="3" fillId="8" borderId="1014" xfId="0" applyNumberFormat="1" applyFont="1" applyFill="1" applyBorder="1" applyProtection="1">
      <protection locked="0"/>
    </xf>
    <xf numFmtId="1" fontId="3" fillId="4" borderId="1099" xfId="0" applyNumberFormat="1" applyFont="1" applyFill="1" applyBorder="1" applyProtection="1">
      <protection locked="0"/>
    </xf>
    <xf numFmtId="1" fontId="3" fillId="0" borderId="1057" xfId="0" applyNumberFormat="1" applyFont="1" applyBorder="1" applyAlignment="1">
      <alignment horizontal="right"/>
    </xf>
    <xf numFmtId="1" fontId="3" fillId="0" borderId="1094" xfId="0" applyNumberFormat="1" applyFont="1" applyBorder="1" applyAlignment="1">
      <alignment horizontal="right"/>
    </xf>
    <xf numFmtId="1" fontId="3" fillId="0" borderId="1060" xfId="0" applyNumberFormat="1" applyFont="1" applyBorder="1" applyAlignment="1">
      <alignment horizontal="right" wrapText="1"/>
    </xf>
    <xf numFmtId="1" fontId="3" fillId="0" borderId="1072" xfId="0" applyNumberFormat="1" applyFont="1" applyBorder="1" applyAlignment="1">
      <alignment horizontal="center" vertical="center" wrapText="1"/>
    </xf>
    <xf numFmtId="1" fontId="3" fillId="0" borderId="1072" xfId="0" applyNumberFormat="1" applyFont="1" applyBorder="1" applyAlignment="1">
      <alignment horizontal="right"/>
    </xf>
    <xf numFmtId="1" fontId="3" fillId="0" borderId="1056" xfId="0" applyNumberFormat="1" applyFont="1" applyBorder="1" applyAlignment="1">
      <alignment horizontal="center" vertical="center" wrapText="1"/>
    </xf>
    <xf numFmtId="1" fontId="3" fillId="0" borderId="1062" xfId="0" applyNumberFormat="1" applyFont="1" applyBorder="1" applyAlignment="1">
      <alignment horizontal="right" wrapText="1"/>
    </xf>
    <xf numFmtId="1" fontId="3" fillId="3" borderId="453" xfId="0" applyNumberFormat="1" applyFont="1" applyFill="1" applyBorder="1" applyAlignment="1">
      <alignment horizontal="center" vertical="center" wrapText="1"/>
    </xf>
    <xf numFmtId="1" fontId="5" fillId="5" borderId="838" xfId="0" applyNumberFormat="1" applyFont="1" applyFill="1" applyBorder="1" applyAlignment="1">
      <alignment vertical="center"/>
    </xf>
    <xf numFmtId="1" fontId="5" fillId="5" borderId="792" xfId="0" applyNumberFormat="1" applyFont="1" applyFill="1" applyBorder="1" applyAlignment="1">
      <alignment vertical="center" wrapText="1"/>
    </xf>
    <xf numFmtId="1" fontId="5" fillId="5" borderId="576" xfId="0" applyNumberFormat="1" applyFont="1" applyFill="1" applyBorder="1" applyAlignment="1">
      <alignment vertical="center"/>
    </xf>
    <xf numFmtId="1" fontId="5" fillId="0" borderId="1062" xfId="0" applyNumberFormat="1" applyFont="1" applyBorder="1" applyAlignment="1">
      <alignment wrapText="1"/>
    </xf>
    <xf numFmtId="1" fontId="5" fillId="0" borderId="1073" xfId="0" applyNumberFormat="1" applyFont="1" applyBorder="1" applyAlignment="1">
      <alignment wrapText="1"/>
    </xf>
    <xf numFmtId="1" fontId="5" fillId="0" borderId="1076" xfId="0" applyNumberFormat="1" applyFont="1" applyBorder="1" applyAlignment="1">
      <alignment wrapText="1"/>
    </xf>
    <xf numFmtId="1" fontId="5" fillId="0" borderId="1071" xfId="0" applyNumberFormat="1" applyFont="1" applyBorder="1" applyAlignment="1">
      <alignment wrapText="1"/>
    </xf>
    <xf numFmtId="1" fontId="5" fillId="0" borderId="1057" xfId="0" applyNumberFormat="1" applyFont="1" applyBorder="1" applyAlignment="1">
      <alignment wrapText="1"/>
    </xf>
    <xf numFmtId="1" fontId="5" fillId="4" borderId="1099" xfId="0" applyNumberFormat="1" applyFont="1" applyFill="1" applyBorder="1" applyProtection="1">
      <protection locked="0"/>
    </xf>
    <xf numFmtId="1" fontId="5" fillId="4" borderId="1091" xfId="0" applyNumberFormat="1" applyFont="1" applyFill="1" applyBorder="1" applyProtection="1">
      <protection locked="0"/>
    </xf>
    <xf numFmtId="1" fontId="5" fillId="0" borderId="55" xfId="0" applyNumberFormat="1" applyFont="1" applyBorder="1" applyAlignment="1">
      <alignment vertical="center" wrapText="1"/>
    </xf>
    <xf numFmtId="0" fontId="0" fillId="36" borderId="0" xfId="0" applyFill="1"/>
    <xf numFmtId="1" fontId="0" fillId="36" borderId="0" xfId="0" applyNumberFormat="1" applyFill="1"/>
    <xf numFmtId="0" fontId="3" fillId="5" borderId="494" xfId="0" applyFont="1" applyFill="1" applyBorder="1" applyAlignment="1">
      <alignment horizontal="center" wrapText="1"/>
    </xf>
    <xf numFmtId="0" fontId="3" fillId="5" borderId="495" xfId="0" applyFont="1" applyFill="1" applyBorder="1" applyAlignment="1">
      <alignment horizontal="center" wrapText="1"/>
    </xf>
    <xf numFmtId="0" fontId="3" fillId="5" borderId="450" xfId="0" applyFont="1" applyFill="1" applyBorder="1" applyAlignment="1">
      <alignment horizontal="center" vertical="center" wrapText="1"/>
    </xf>
    <xf numFmtId="0" fontId="3" fillId="5" borderId="1069" xfId="0" applyFont="1" applyFill="1" applyBorder="1" applyAlignment="1">
      <alignment horizontal="center" vertical="center" wrapText="1"/>
    </xf>
    <xf numFmtId="0" fontId="3" fillId="0" borderId="495" xfId="0" applyFont="1" applyBorder="1" applyAlignment="1">
      <alignment horizontal="center" vertical="center" wrapText="1"/>
    </xf>
    <xf numFmtId="0" fontId="3" fillId="0" borderId="494" xfId="0" applyFont="1" applyBorder="1" applyAlignment="1">
      <alignment horizontal="center" vertical="center" wrapText="1"/>
    </xf>
    <xf numFmtId="0" fontId="3" fillId="0" borderId="450" xfId="0" applyFont="1" applyBorder="1" applyAlignment="1">
      <alignment horizontal="center" vertical="center" wrapText="1"/>
    </xf>
    <xf numFmtId="0" fontId="3" fillId="0" borderId="1060" xfId="0" applyFont="1" applyBorder="1" applyAlignment="1">
      <alignment horizontal="center" vertical="center" wrapText="1"/>
    </xf>
    <xf numFmtId="0" fontId="0" fillId="41" borderId="0" xfId="0" applyFill="1"/>
    <xf numFmtId="165" fontId="0" fillId="41" borderId="0" xfId="0" applyNumberFormat="1" applyFill="1"/>
    <xf numFmtId="1" fontId="3" fillId="6" borderId="691" xfId="0" applyNumberFormat="1" applyFont="1" applyFill="1" applyBorder="1"/>
    <xf numFmtId="1" fontId="3" fillId="6" borderId="36" xfId="0" applyNumberFormat="1" applyFont="1" applyFill="1" applyBorder="1"/>
    <xf numFmtId="1" fontId="3" fillId="7" borderId="1101" xfId="0" applyNumberFormat="1" applyFont="1" applyFill="1" applyBorder="1" applyAlignment="1">
      <alignment wrapText="1"/>
    </xf>
    <xf numFmtId="1" fontId="3" fillId="0" borderId="1099" xfId="0" applyNumberFormat="1" applyFont="1" applyBorder="1" applyAlignment="1">
      <alignment wrapText="1"/>
    </xf>
    <xf numFmtId="1" fontId="3" fillId="7" borderId="1091" xfId="0" applyNumberFormat="1" applyFont="1" applyFill="1" applyBorder="1"/>
    <xf numFmtId="1" fontId="3" fillId="7" borderId="61" xfId="0" applyNumberFormat="1" applyFont="1" applyFill="1" applyBorder="1"/>
    <xf numFmtId="1" fontId="3" fillId="0" borderId="1073" xfId="0" applyNumberFormat="1" applyFont="1" applyBorder="1" applyAlignment="1">
      <alignment wrapText="1"/>
    </xf>
    <xf numFmtId="1" fontId="3" fillId="0" borderId="1076" xfId="0" applyNumberFormat="1" applyFont="1" applyBorder="1" applyAlignment="1">
      <alignment wrapText="1"/>
    </xf>
    <xf numFmtId="1" fontId="3" fillId="0" borderId="1057" xfId="0" applyNumberFormat="1" applyFont="1" applyBorder="1" applyAlignment="1">
      <alignment wrapText="1"/>
    </xf>
    <xf numFmtId="1" fontId="3" fillId="0" borderId="1072" xfId="0" applyNumberFormat="1" applyFont="1" applyBorder="1" applyAlignment="1">
      <alignment wrapText="1"/>
    </xf>
    <xf numFmtId="1" fontId="3" fillId="0" borderId="1074" xfId="0" applyNumberFormat="1" applyFont="1" applyBorder="1" applyAlignment="1">
      <alignment wrapText="1"/>
    </xf>
    <xf numFmtId="1" fontId="3" fillId="0" borderId="1071" xfId="0" applyNumberFormat="1" applyFont="1" applyBorder="1" applyAlignment="1">
      <alignment wrapText="1"/>
    </xf>
    <xf numFmtId="1" fontId="3" fillId="0" borderId="1060" xfId="0" applyNumberFormat="1" applyFont="1" applyBorder="1" applyAlignment="1">
      <alignment wrapText="1"/>
    </xf>
    <xf numFmtId="1" fontId="3" fillId="0" borderId="1061" xfId="0" applyNumberFormat="1" applyFont="1" applyBorder="1" applyAlignment="1">
      <alignment wrapText="1"/>
    </xf>
    <xf numFmtId="1" fontId="3" fillId="0" borderId="640" xfId="0" applyNumberFormat="1" applyFont="1" applyBorder="1" applyAlignment="1" applyProtection="1">
      <alignment horizontal="left" wrapText="1"/>
      <protection hidden="1"/>
    </xf>
    <xf numFmtId="1" fontId="3" fillId="0" borderId="10" xfId="0" applyNumberFormat="1" applyFont="1" applyBorder="1" applyAlignment="1" applyProtection="1">
      <alignment horizontal="left" wrapText="1"/>
      <protection hidden="1"/>
    </xf>
    <xf numFmtId="1" fontId="3" fillId="0" borderId="25" xfId="0" applyNumberFormat="1" applyFont="1" applyBorder="1" applyAlignment="1" applyProtection="1">
      <alignment horizontal="left" wrapText="1"/>
      <protection hidden="1"/>
    </xf>
    <xf numFmtId="1" fontId="3" fillId="0" borderId="13" xfId="0" applyNumberFormat="1" applyFont="1" applyBorder="1" applyAlignment="1" applyProtection="1">
      <alignment horizontal="left" wrapText="1"/>
      <protection hidden="1"/>
    </xf>
    <xf numFmtId="1" fontId="5" fillId="0" borderId="638" xfId="0" applyNumberFormat="1" applyFont="1" applyBorder="1" applyAlignment="1" applyProtection="1">
      <alignment horizontal="left" wrapText="1"/>
      <protection hidden="1"/>
    </xf>
    <xf numFmtId="1" fontId="5" fillId="0" borderId="33" xfId="0" applyNumberFormat="1" applyFont="1" applyBorder="1" applyAlignment="1" applyProtection="1">
      <alignment horizontal="left" wrapText="1"/>
      <protection hidden="1"/>
    </xf>
    <xf numFmtId="1" fontId="3" fillId="0" borderId="638" xfId="0" applyNumberFormat="1" applyFont="1" applyBorder="1" applyAlignment="1" applyProtection="1">
      <alignment horizontal="left" wrapText="1"/>
      <protection hidden="1"/>
    </xf>
    <xf numFmtId="1" fontId="3" fillId="0" borderId="556" xfId="0" applyNumberFormat="1" applyFont="1" applyBorder="1" applyAlignment="1" applyProtection="1">
      <alignment horizontal="left" wrapText="1"/>
      <protection hidden="1"/>
    </xf>
    <xf numFmtId="0" fontId="0" fillId="42" borderId="0" xfId="0" applyFill="1"/>
    <xf numFmtId="1" fontId="0" fillId="42" borderId="0" xfId="0" applyNumberFormat="1" applyFill="1"/>
    <xf numFmtId="1" fontId="0" fillId="41" borderId="0" xfId="0" applyNumberFormat="1" applyFill="1"/>
    <xf numFmtId="1" fontId="5" fillId="6" borderId="835" xfId="0" applyNumberFormat="1" applyFont="1" applyFill="1" applyBorder="1"/>
    <xf numFmtId="1" fontId="5" fillId="4" borderId="1089" xfId="0" applyNumberFormat="1" applyFont="1" applyFill="1" applyBorder="1" applyProtection="1">
      <protection locked="0"/>
    </xf>
    <xf numFmtId="1" fontId="5" fillId="33" borderId="288" xfId="2" applyNumberFormat="1" applyFont="1" applyFill="1" applyBorder="1"/>
    <xf numFmtId="1" fontId="5" fillId="0" borderId="1102" xfId="2" applyNumberFormat="1" applyFont="1" applyBorder="1" applyAlignment="1">
      <alignment vertical="center" wrapText="1"/>
    </xf>
    <xf numFmtId="1" fontId="5" fillId="0" borderId="1103" xfId="2" applyNumberFormat="1" applyFont="1" applyBorder="1"/>
    <xf numFmtId="1" fontId="5" fillId="0" borderId="1105" xfId="2" applyNumberFormat="1" applyFont="1" applyBorder="1" applyAlignment="1">
      <alignment vertical="center"/>
    </xf>
    <xf numFmtId="1" fontId="5" fillId="0" borderId="1106" xfId="2" applyNumberFormat="1" applyFont="1" applyBorder="1"/>
    <xf numFmtId="1" fontId="5" fillId="0" borderId="951" xfId="2" applyNumberFormat="1" applyFont="1" applyBorder="1"/>
    <xf numFmtId="1" fontId="5" fillId="0" borderId="767" xfId="2" applyNumberFormat="1" applyFont="1" applyBorder="1" applyAlignment="1">
      <alignment vertical="center" wrapText="1"/>
    </xf>
    <xf numFmtId="1" fontId="5" fillId="0" borderId="1108" xfId="2" applyNumberFormat="1" applyFont="1" applyBorder="1"/>
    <xf numFmtId="1" fontId="5" fillId="0" borderId="218" xfId="6" applyNumberFormat="1" applyFont="1" applyBorder="1"/>
    <xf numFmtId="1" fontId="5" fillId="0" borderId="67" xfId="6" applyNumberFormat="1" applyFont="1" applyBorder="1"/>
    <xf numFmtId="1" fontId="5" fillId="0" borderId="111" xfId="6" applyNumberFormat="1" applyFont="1" applyBorder="1"/>
    <xf numFmtId="1" fontId="5" fillId="0" borderId="223" xfId="6" applyNumberFormat="1" applyFont="1" applyBorder="1"/>
    <xf numFmtId="1" fontId="5" fillId="0" borderId="218" xfId="6" applyNumberFormat="1" applyFont="1" applyBorder="1" applyAlignment="1">
      <alignment horizontal="right"/>
    </xf>
    <xf numFmtId="0" fontId="8" fillId="41" borderId="0" xfId="0" applyFont="1" applyFill="1"/>
    <xf numFmtId="1" fontId="8" fillId="41" borderId="0" xfId="0" applyNumberFormat="1" applyFont="1" applyFill="1"/>
    <xf numFmtId="1" fontId="5" fillId="2" borderId="1109" xfId="1" applyNumberFormat="1" applyFont="1" applyBorder="1" applyProtection="1">
      <protection locked="0"/>
    </xf>
    <xf numFmtId="1" fontId="5" fillId="2" borderId="1113" xfId="1" applyNumberFormat="1" applyFont="1" applyBorder="1" applyProtection="1">
      <protection locked="0"/>
    </xf>
    <xf numFmtId="1" fontId="5" fillId="2" borderId="1114" xfId="1" applyNumberFormat="1" applyFont="1" applyBorder="1" applyProtection="1">
      <protection locked="0"/>
    </xf>
    <xf numFmtId="1" fontId="5" fillId="2" borderId="1115" xfId="1" applyNumberFormat="1" applyFont="1" applyBorder="1" applyProtection="1">
      <protection locked="0"/>
    </xf>
    <xf numFmtId="1" fontId="5" fillId="2" borderId="1116" xfId="1" applyNumberFormat="1" applyFont="1" applyBorder="1" applyProtection="1">
      <protection locked="0"/>
    </xf>
    <xf numFmtId="1" fontId="5" fillId="2" borderId="1117" xfId="1" applyNumberFormat="1" applyFont="1" applyBorder="1" applyProtection="1">
      <protection locked="0"/>
    </xf>
    <xf numFmtId="1" fontId="5" fillId="2" borderId="1118" xfId="1" applyNumberFormat="1" applyFont="1" applyBorder="1" applyProtection="1">
      <protection locked="0"/>
    </xf>
    <xf numFmtId="1" fontId="5" fillId="2" borderId="1119" xfId="1" applyNumberFormat="1" applyFont="1" applyBorder="1" applyProtection="1">
      <protection locked="0"/>
    </xf>
    <xf numFmtId="1" fontId="5" fillId="2" borderId="1110" xfId="1" applyNumberFormat="1" applyFont="1" applyBorder="1" applyProtection="1">
      <protection locked="0"/>
    </xf>
    <xf numFmtId="1" fontId="5" fillId="2" borderId="1120" xfId="1" applyNumberFormat="1" applyFont="1" applyBorder="1" applyProtection="1">
      <protection locked="0"/>
    </xf>
    <xf numFmtId="1" fontId="5" fillId="2" borderId="1121" xfId="1" applyNumberFormat="1" applyFont="1" applyBorder="1" applyProtection="1">
      <protection locked="0"/>
    </xf>
    <xf numFmtId="1" fontId="5" fillId="6" borderId="55" xfId="8" applyNumberFormat="1" applyFont="1" applyFill="1" applyBorder="1" applyProtection="1"/>
    <xf numFmtId="1" fontId="5" fillId="2" borderId="1124" xfId="1" applyNumberFormat="1" applyFont="1" applyBorder="1" applyProtection="1">
      <protection locked="0"/>
    </xf>
    <xf numFmtId="1" fontId="5" fillId="6" borderId="777" xfId="8" applyNumberFormat="1" applyFont="1" applyFill="1" applyBorder="1" applyProtection="1"/>
    <xf numFmtId="1" fontId="5" fillId="2" borderId="1125" xfId="1" applyNumberFormat="1" applyFont="1" applyBorder="1" applyProtection="1">
      <protection locked="0"/>
    </xf>
    <xf numFmtId="1" fontId="5" fillId="2" borderId="1126" xfId="1" applyNumberFormat="1" applyFont="1" applyBorder="1" applyProtection="1">
      <protection locked="0"/>
    </xf>
    <xf numFmtId="1" fontId="5" fillId="2" borderId="1127" xfId="1" applyNumberFormat="1" applyFont="1" applyBorder="1" applyProtection="1">
      <protection locked="0"/>
    </xf>
    <xf numFmtId="1" fontId="5" fillId="0" borderId="1130" xfId="0" applyNumberFormat="1" applyFont="1" applyBorder="1" applyAlignment="1">
      <alignment horizontal="center" vertical="center"/>
    </xf>
    <xf numFmtId="1" fontId="5" fillId="0" borderId="1131" xfId="0" applyNumberFormat="1" applyFont="1" applyBorder="1" applyAlignment="1">
      <alignment horizontal="center" vertical="center"/>
    </xf>
    <xf numFmtId="1" fontId="5" fillId="0" borderId="1132" xfId="0" applyNumberFormat="1" applyFont="1" applyBorder="1" applyAlignment="1">
      <alignment horizontal="center" vertical="center" wrapText="1"/>
    </xf>
    <xf numFmtId="1" fontId="5" fillId="2" borderId="1133" xfId="1" applyNumberFormat="1" applyFont="1" applyBorder="1" applyProtection="1">
      <protection locked="0"/>
    </xf>
    <xf numFmtId="1" fontId="5" fillId="2" borderId="1134" xfId="1" applyNumberFormat="1" applyFont="1" applyBorder="1" applyProtection="1">
      <protection locked="0"/>
    </xf>
    <xf numFmtId="1" fontId="5" fillId="2" borderId="1135" xfId="1" applyNumberFormat="1" applyFont="1" applyBorder="1" applyProtection="1">
      <protection locked="0"/>
    </xf>
    <xf numFmtId="1" fontId="5" fillId="2" borderId="1136" xfId="1" applyNumberFormat="1" applyFont="1" applyBorder="1" applyProtection="1">
      <protection locked="0"/>
    </xf>
    <xf numFmtId="1" fontId="5" fillId="2" borderId="1137" xfId="1" applyNumberFormat="1" applyFont="1" applyBorder="1" applyProtection="1">
      <protection locked="0"/>
    </xf>
    <xf numFmtId="1" fontId="5" fillId="2" borderId="1138" xfId="1" applyNumberFormat="1" applyFont="1" applyBorder="1" applyProtection="1">
      <protection locked="0"/>
    </xf>
    <xf numFmtId="1" fontId="5" fillId="2" borderId="1139" xfId="1" applyNumberFormat="1" applyFont="1" applyBorder="1" applyProtection="1">
      <protection locked="0"/>
    </xf>
    <xf numFmtId="1" fontId="5" fillId="2" borderId="1140" xfId="1" applyNumberFormat="1" applyFont="1" applyBorder="1" applyProtection="1">
      <protection locked="0"/>
    </xf>
    <xf numFmtId="1" fontId="5" fillId="6" borderId="1141" xfId="8" applyNumberFormat="1" applyFont="1" applyFill="1" applyBorder="1" applyProtection="1"/>
    <xf numFmtId="1" fontId="5" fillId="6" borderId="1142" xfId="8" applyNumberFormat="1" applyFont="1" applyFill="1" applyBorder="1" applyProtection="1"/>
    <xf numFmtId="1" fontId="5" fillId="2" borderId="1143" xfId="1" applyNumberFormat="1" applyFont="1" applyBorder="1" applyProtection="1">
      <protection locked="0"/>
    </xf>
    <xf numFmtId="1" fontId="5" fillId="2" borderId="1144" xfId="1" applyNumberFormat="1" applyFont="1" applyBorder="1" applyProtection="1">
      <protection locked="0"/>
    </xf>
    <xf numFmtId="1" fontId="5" fillId="2" borderId="1145" xfId="1" applyNumberFormat="1" applyFont="1" applyBorder="1" applyProtection="1">
      <protection locked="0"/>
    </xf>
    <xf numFmtId="1" fontId="5" fillId="2" borderId="1146" xfId="1" applyNumberFormat="1" applyFont="1" applyBorder="1" applyProtection="1">
      <protection locked="0"/>
    </xf>
    <xf numFmtId="1" fontId="5" fillId="2" borderId="1147" xfId="1" applyNumberFormat="1" applyFont="1" applyBorder="1" applyProtection="1">
      <protection locked="0"/>
    </xf>
    <xf numFmtId="1" fontId="5" fillId="17" borderId="1148" xfId="0" applyNumberFormat="1" applyFont="1" applyFill="1" applyBorder="1"/>
    <xf numFmtId="1" fontId="5" fillId="17" borderId="1150" xfId="0" applyNumberFormat="1" applyFont="1" applyFill="1" applyBorder="1"/>
    <xf numFmtId="0" fontId="3" fillId="0" borderId="1151" xfId="0" applyFont="1" applyBorder="1" applyAlignment="1">
      <alignment vertical="center"/>
    </xf>
    <xf numFmtId="0" fontId="5" fillId="17" borderId="1152" xfId="0" applyFont="1" applyFill="1" applyBorder="1" applyAlignment="1">
      <alignment vertical="center"/>
    </xf>
    <xf numFmtId="0" fontId="5" fillId="17" borderId="1130" xfId="0" applyFont="1" applyFill="1" applyBorder="1" applyAlignment="1">
      <alignment horizontal="center" vertical="center" wrapText="1"/>
    </xf>
    <xf numFmtId="1" fontId="5" fillId="0" borderId="1099" xfId="0" applyNumberFormat="1" applyFont="1" applyBorder="1" applyAlignment="1">
      <alignment horizontal="right" wrapText="1"/>
    </xf>
    <xf numFmtId="1" fontId="5" fillId="4" borderId="1099" xfId="0" applyNumberFormat="1" applyFont="1" applyFill="1" applyBorder="1" applyAlignment="1" applyProtection="1">
      <alignment horizontal="right"/>
      <protection locked="0"/>
    </xf>
    <xf numFmtId="0" fontId="3" fillId="0" borderId="1154" xfId="0" applyFont="1" applyBorder="1" applyAlignment="1">
      <alignment vertical="center"/>
    </xf>
    <xf numFmtId="1" fontId="5" fillId="0" borderId="1099" xfId="0" applyNumberFormat="1" applyFont="1" applyBorder="1" applyAlignment="1">
      <alignment horizontal="right"/>
    </xf>
    <xf numFmtId="0" fontId="5" fillId="0" borderId="1152" xfId="0" applyFont="1" applyBorder="1" applyAlignment="1">
      <alignment horizontal="center" vertical="center"/>
    </xf>
    <xf numFmtId="0" fontId="5" fillId="0" borderId="1131" xfId="0" applyFont="1" applyBorder="1" applyAlignment="1">
      <alignment horizontal="center" vertical="center"/>
    </xf>
    <xf numFmtId="0" fontId="5" fillId="0" borderId="1132" xfId="0" applyFont="1" applyBorder="1" applyAlignment="1">
      <alignment horizontal="center" vertical="center"/>
    </xf>
    <xf numFmtId="0" fontId="5" fillId="0" borderId="1154" xfId="0" applyFont="1" applyBorder="1" applyAlignment="1">
      <alignment wrapText="1"/>
    </xf>
    <xf numFmtId="1" fontId="5" fillId="4" borderId="1157" xfId="0" applyNumberFormat="1" applyFont="1" applyFill="1" applyBorder="1" applyAlignment="1" applyProtection="1">
      <alignment horizontal="right"/>
      <protection locked="0"/>
    </xf>
    <xf numFmtId="1" fontId="5" fillId="4" borderId="1148" xfId="0" applyNumberFormat="1" applyFont="1" applyFill="1" applyBorder="1" applyAlignment="1" applyProtection="1">
      <alignment horizontal="right"/>
      <protection locked="0"/>
    </xf>
    <xf numFmtId="1" fontId="5" fillId="4" borderId="1149" xfId="0" applyNumberFormat="1" applyFont="1" applyFill="1" applyBorder="1" applyAlignment="1" applyProtection="1">
      <alignment horizontal="right"/>
      <protection locked="0"/>
    </xf>
    <xf numFmtId="1" fontId="5" fillId="4" borderId="1150" xfId="0" applyNumberFormat="1" applyFont="1" applyFill="1" applyBorder="1" applyAlignment="1" applyProtection="1">
      <alignment horizontal="right"/>
      <protection locked="0"/>
    </xf>
    <xf numFmtId="0" fontId="3" fillId="0" borderId="1154" xfId="0" applyFont="1" applyBorder="1" applyAlignment="1">
      <alignment vertical="center" wrapText="1"/>
    </xf>
    <xf numFmtId="1" fontId="5" fillId="17" borderId="1157" xfId="0" applyNumberFormat="1" applyFont="1" applyFill="1" applyBorder="1" applyAlignment="1">
      <alignment horizontal="right"/>
    </xf>
    <xf numFmtId="1" fontId="5" fillId="17" borderId="657" xfId="0" applyNumberFormat="1" applyFont="1" applyFill="1" applyBorder="1" applyAlignment="1">
      <alignment horizontal="right"/>
    </xf>
    <xf numFmtId="1" fontId="5" fillId="17" borderId="1150" xfId="0" applyNumberFormat="1" applyFont="1" applyFill="1" applyBorder="1" applyAlignment="1">
      <alignment horizontal="right"/>
    </xf>
    <xf numFmtId="0" fontId="5" fillId="17" borderId="1159" xfId="0" applyFont="1" applyFill="1" applyBorder="1" applyAlignment="1">
      <alignment horizontal="center" vertical="center"/>
    </xf>
    <xf numFmtId="1" fontId="5" fillId="5" borderId="1099" xfId="0" applyNumberFormat="1" applyFont="1" applyFill="1" applyBorder="1" applyAlignment="1">
      <alignment horizontal="right"/>
    </xf>
    <xf numFmtId="0" fontId="5" fillId="17" borderId="1152" xfId="0" applyFont="1" applyFill="1" applyBorder="1" applyAlignment="1">
      <alignment horizontal="center" vertical="center"/>
    </xf>
    <xf numFmtId="0" fontId="5" fillId="17" borderId="1129" xfId="0" applyFont="1" applyFill="1" applyBorder="1" applyAlignment="1">
      <alignment horizontal="center" vertical="center"/>
    </xf>
    <xf numFmtId="0" fontId="5" fillId="17" borderId="1128" xfId="0" applyFont="1" applyFill="1" applyBorder="1" applyAlignment="1">
      <alignment horizontal="center" vertical="center"/>
    </xf>
    <xf numFmtId="1" fontId="5" fillId="17" borderId="1148" xfId="0" applyNumberFormat="1" applyFont="1" applyFill="1" applyBorder="1" applyAlignment="1">
      <alignment horizontal="right"/>
    </xf>
    <xf numFmtId="0" fontId="5" fillId="17" borderId="1129" xfId="0" applyFont="1" applyFill="1" applyBorder="1" applyAlignment="1">
      <alignment horizontal="center" vertical="center" wrapText="1"/>
    </xf>
    <xf numFmtId="1" fontId="5" fillId="17" borderId="1160" xfId="0" applyNumberFormat="1" applyFont="1" applyFill="1" applyBorder="1" applyAlignment="1">
      <alignment horizontal="right"/>
    </xf>
    <xf numFmtId="0" fontId="5" fillId="17" borderId="1160" xfId="0" applyFont="1" applyFill="1" applyBorder="1" applyAlignment="1">
      <alignment horizontal="right" vertical="center"/>
    </xf>
    <xf numFmtId="0" fontId="5" fillId="17" borderId="1128" xfId="0" applyFont="1" applyFill="1" applyBorder="1" applyAlignment="1">
      <alignment horizontal="center"/>
    </xf>
    <xf numFmtId="1" fontId="5" fillId="17" borderId="1163" xfId="0" applyNumberFormat="1" applyFont="1" applyFill="1" applyBorder="1" applyAlignment="1">
      <alignment horizontal="right"/>
    </xf>
    <xf numFmtId="0" fontId="5" fillId="0" borderId="1158" xfId="0" applyFont="1" applyBorder="1" applyAlignment="1">
      <alignment horizontal="center" vertical="center"/>
    </xf>
    <xf numFmtId="0" fontId="5" fillId="0" borderId="1159" xfId="0" applyFont="1" applyBorder="1" applyAlignment="1">
      <alignment horizontal="center" vertical="center"/>
    </xf>
    <xf numFmtId="0" fontId="5" fillId="17" borderId="1128" xfId="0" applyFont="1" applyFill="1" applyBorder="1" applyAlignment="1">
      <alignment vertical="center"/>
    </xf>
    <xf numFmtId="0" fontId="5" fillId="17" borderId="1129" xfId="0" applyFont="1" applyFill="1" applyBorder="1" applyAlignment="1">
      <alignment vertical="center"/>
    </xf>
    <xf numFmtId="0" fontId="5" fillId="17" borderId="1161" xfId="0" applyFont="1" applyFill="1" applyBorder="1" applyAlignment="1">
      <alignment horizontal="center" vertical="center" wrapText="1"/>
    </xf>
    <xf numFmtId="0" fontId="5" fillId="17" borderId="1163" xfId="0" applyFont="1" applyFill="1" applyBorder="1" applyAlignment="1">
      <alignment vertical="center"/>
    </xf>
    <xf numFmtId="1" fontId="5" fillId="17" borderId="1160" xfId="0" applyNumberFormat="1" applyFont="1" applyFill="1" applyBorder="1"/>
    <xf numFmtId="1" fontId="5" fillId="17" borderId="1165" xfId="0" applyNumberFormat="1" applyFont="1" applyFill="1" applyBorder="1"/>
    <xf numFmtId="0" fontId="5" fillId="0" borderId="1122" xfId="0" applyFont="1" applyBorder="1" applyAlignment="1">
      <alignment vertical="center" wrapText="1"/>
    </xf>
    <xf numFmtId="0" fontId="5" fillId="0" borderId="1130" xfId="0" applyFont="1" applyBorder="1" applyAlignment="1">
      <alignment vertical="center" wrapText="1"/>
    </xf>
    <xf numFmtId="0" fontId="5" fillId="0" borderId="1154" xfId="0" applyFont="1" applyBorder="1" applyAlignment="1">
      <alignment vertical="center" wrapText="1"/>
    </xf>
    <xf numFmtId="1" fontId="5" fillId="0" borderId="1158" xfId="0" applyNumberFormat="1" applyFont="1" applyBorder="1" applyAlignment="1">
      <alignment horizontal="center" vertical="center" wrapText="1"/>
    </xf>
    <xf numFmtId="1" fontId="5" fillId="0" borderId="1166" xfId="0" applyNumberFormat="1" applyFont="1" applyBorder="1" applyAlignment="1">
      <alignment horizontal="right"/>
    </xf>
    <xf numFmtId="1" fontId="5" fillId="0" borderId="1122" xfId="0" applyNumberFormat="1" applyFont="1" applyBorder="1" applyAlignment="1">
      <alignment horizontal="center" vertical="center" wrapText="1"/>
    </xf>
    <xf numFmtId="1" fontId="5" fillId="0" borderId="1153" xfId="0" applyNumberFormat="1" applyFont="1" applyBorder="1" applyAlignment="1">
      <alignment horizontal="right"/>
    </xf>
    <xf numFmtId="1" fontId="5" fillId="0" borderId="1091" xfId="0" applyNumberFormat="1" applyFont="1" applyBorder="1" applyAlignment="1">
      <alignment horizontal="right"/>
    </xf>
    <xf numFmtId="1" fontId="5" fillId="7" borderId="1167" xfId="0" applyNumberFormat="1" applyFont="1" applyFill="1" applyBorder="1" applyAlignment="1">
      <alignment horizontal="right"/>
    </xf>
    <xf numFmtId="1" fontId="5" fillId="0" borderId="1158" xfId="0" applyNumberFormat="1" applyFont="1" applyBorder="1" applyAlignment="1">
      <alignment horizontal="right"/>
    </xf>
    <xf numFmtId="1" fontId="5" fillId="0" borderId="977" xfId="0" applyNumberFormat="1" applyFont="1" applyBorder="1" applyAlignment="1">
      <alignment horizontal="right"/>
    </xf>
    <xf numFmtId="1" fontId="5" fillId="0" borderId="1154" xfId="0" applyNumberFormat="1" applyFont="1" applyBorder="1" applyAlignment="1">
      <alignment horizontal="right"/>
    </xf>
    <xf numFmtId="1" fontId="5" fillId="0" borderId="911" xfId="0" applyNumberFormat="1" applyFont="1" applyBorder="1" applyAlignment="1">
      <alignment vertical="center" wrapText="1"/>
    </xf>
    <xf numFmtId="1" fontId="5" fillId="3" borderId="41" xfId="0" applyNumberFormat="1" applyFont="1" applyFill="1" applyBorder="1" applyAlignment="1">
      <alignment vertical="center" wrapText="1"/>
    </xf>
    <xf numFmtId="1" fontId="5" fillId="3" borderId="911" xfId="0" applyNumberFormat="1" applyFont="1" applyFill="1" applyBorder="1" applyAlignment="1">
      <alignment vertical="center" wrapText="1"/>
    </xf>
    <xf numFmtId="1" fontId="5" fillId="3" borderId="27" xfId="0" applyNumberFormat="1" applyFont="1" applyFill="1" applyBorder="1" applyAlignment="1">
      <alignment vertical="center" wrapText="1"/>
    </xf>
    <xf numFmtId="1" fontId="5" fillId="3" borderId="1091" xfId="0" applyNumberFormat="1" applyFont="1" applyFill="1" applyBorder="1" applyAlignment="1">
      <alignment vertical="center" wrapText="1"/>
    </xf>
    <xf numFmtId="1" fontId="5" fillId="3" borderId="33" xfId="0" applyNumberFormat="1" applyFont="1" applyFill="1" applyBorder="1" applyAlignment="1">
      <alignment vertical="center" wrapText="1"/>
    </xf>
    <xf numFmtId="1" fontId="5" fillId="3" borderId="13" xfId="0" applyNumberFormat="1" applyFont="1" applyFill="1" applyBorder="1" applyAlignment="1">
      <alignment vertical="center" wrapText="1"/>
    </xf>
    <xf numFmtId="1" fontId="5" fillId="3" borderId="977" xfId="0" applyNumberFormat="1" applyFont="1" applyFill="1" applyBorder="1" applyAlignment="1">
      <alignment vertical="center" wrapText="1"/>
    </xf>
    <xf numFmtId="1" fontId="5" fillId="0" borderId="838" xfId="0" applyNumberFormat="1" applyFont="1" applyBorder="1" applyAlignment="1">
      <alignment horizontal="right" vertical="center"/>
    </xf>
    <xf numFmtId="1" fontId="5" fillId="0" borderId="1099" xfId="0" applyNumberFormat="1" applyFont="1" applyBorder="1" applyAlignment="1">
      <alignment horizontal="right" vertical="center"/>
    </xf>
    <xf numFmtId="1" fontId="5" fillId="0" borderId="1131" xfId="0" applyNumberFormat="1" applyFont="1" applyBorder="1" applyAlignment="1">
      <alignment horizontal="center" vertical="center" wrapText="1"/>
    </xf>
    <xf numFmtId="1" fontId="5" fillId="0" borderId="371" xfId="0" applyNumberFormat="1" applyFont="1" applyBorder="1" applyAlignment="1">
      <alignment horizontal="right" vertical="center"/>
    </xf>
    <xf numFmtId="1" fontId="5" fillId="0" borderId="61" xfId="0" applyNumberFormat="1" applyFont="1" applyBorder="1" applyAlignment="1">
      <alignment horizontal="right" vertical="center"/>
    </xf>
    <xf numFmtId="1" fontId="5" fillId="0" borderId="831" xfId="0" applyNumberFormat="1" applyFont="1" applyBorder="1" applyAlignment="1">
      <alignment horizontal="right" vertical="center"/>
    </xf>
    <xf numFmtId="1" fontId="5" fillId="0" borderId="1159" xfId="0" applyNumberFormat="1" applyFont="1" applyBorder="1" applyAlignment="1">
      <alignment horizontal="center" vertical="center" wrapText="1"/>
    </xf>
    <xf numFmtId="1" fontId="5" fillId="0" borderId="57" xfId="0" applyNumberFormat="1" applyFont="1" applyBorder="1"/>
    <xf numFmtId="0" fontId="39" fillId="43" borderId="0" xfId="0" applyFont="1" applyFill="1" applyAlignment="1">
      <alignment horizontal="center" vertical="center" wrapText="1"/>
    </xf>
    <xf numFmtId="0" fontId="33" fillId="0" borderId="0" xfId="0" applyFont="1"/>
    <xf numFmtId="0" fontId="17" fillId="0" borderId="1122" xfId="0" applyFont="1" applyBorder="1" applyAlignment="1" applyProtection="1">
      <alignment horizontal="center" vertical="center"/>
      <protection hidden="1"/>
    </xf>
    <xf numFmtId="0" fontId="17" fillId="0" borderId="1122" xfId="0" applyFont="1" applyBorder="1" applyAlignment="1" applyProtection="1">
      <alignment horizontal="center" vertical="center" wrapText="1"/>
      <protection hidden="1"/>
    </xf>
    <xf numFmtId="0" fontId="42" fillId="0" borderId="1122" xfId="0" applyFont="1" applyBorder="1" applyProtection="1">
      <protection hidden="1"/>
    </xf>
    <xf numFmtId="0" fontId="59" fillId="0" borderId="1122" xfId="0" applyFont="1" applyBorder="1" applyAlignment="1" applyProtection="1">
      <alignment horizontal="center"/>
      <protection hidden="1"/>
    </xf>
    <xf numFmtId="0" fontId="42" fillId="0" borderId="1164" xfId="0" applyFont="1" applyBorder="1" applyProtection="1">
      <protection hidden="1"/>
    </xf>
    <xf numFmtId="0" fontId="33" fillId="44" borderId="0" xfId="0" applyFont="1" applyFill="1"/>
    <xf numFmtId="0" fontId="17" fillId="0" borderId="1162" xfId="0" applyFont="1" applyBorder="1" applyAlignment="1" applyProtection="1">
      <alignment horizontal="left" vertical="center"/>
      <protection hidden="1"/>
    </xf>
    <xf numFmtId="0" fontId="5" fillId="3" borderId="0" xfId="0" applyFont="1" applyFill="1"/>
    <xf numFmtId="0" fontId="39" fillId="0" borderId="784" xfId="0" applyFont="1" applyBorder="1" applyAlignment="1">
      <alignment horizontal="left" vertical="center"/>
    </xf>
    <xf numFmtId="0" fontId="39" fillId="4" borderId="1122" xfId="0" applyFont="1" applyFill="1" applyBorder="1" applyAlignment="1" applyProtection="1">
      <alignment horizontal="center"/>
      <protection locked="0"/>
    </xf>
    <xf numFmtId="0" fontId="20" fillId="46" borderId="1073" xfId="35" applyFont="1" applyFill="1" applyBorder="1" applyAlignment="1" applyProtection="1">
      <alignment horizontal="center"/>
      <protection locked="0"/>
    </xf>
    <xf numFmtId="0" fontId="20" fillId="46" borderId="1076" xfId="35" applyFont="1" applyFill="1" applyBorder="1" applyAlignment="1" applyProtection="1">
      <alignment horizontal="center"/>
      <protection locked="0"/>
    </xf>
    <xf numFmtId="0" fontId="20" fillId="46" borderId="1072" xfId="35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vertical="center"/>
    </xf>
    <xf numFmtId="0" fontId="60" fillId="0" borderId="939" xfId="0" applyFont="1" applyBorder="1" applyAlignment="1">
      <alignment vertical="center"/>
    </xf>
    <xf numFmtId="0" fontId="20" fillId="3" borderId="0" xfId="0" applyFont="1" applyFill="1" applyAlignment="1">
      <alignment horizontal="center"/>
    </xf>
    <xf numFmtId="0" fontId="6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7" fillId="0" borderId="1170" xfId="0" applyFont="1" applyBorder="1" applyAlignment="1">
      <alignment horizontal="center"/>
    </xf>
    <xf numFmtId="0" fontId="39" fillId="3" borderId="784" xfId="0" applyFont="1" applyFill="1" applyBorder="1" applyAlignment="1">
      <alignment horizontal="left" vertical="center"/>
    </xf>
    <xf numFmtId="0" fontId="39" fillId="3" borderId="784" xfId="0" applyFont="1" applyFill="1" applyBorder="1" applyAlignment="1">
      <alignment horizontal="centerContinuous" vertical="center"/>
    </xf>
    <xf numFmtId="0" fontId="33" fillId="3" borderId="0" xfId="0" applyFont="1" applyFill="1" applyAlignment="1">
      <alignment horizontal="left"/>
    </xf>
    <xf numFmtId="0" fontId="33" fillId="3" borderId="0" xfId="0" applyFont="1" applyFill="1"/>
    <xf numFmtId="0" fontId="39" fillId="0" borderId="1170" xfId="0" applyFont="1" applyBorder="1" applyAlignment="1">
      <alignment wrapText="1"/>
    </xf>
    <xf numFmtId="0" fontId="33" fillId="4" borderId="1170" xfId="0" applyFont="1" applyFill="1" applyBorder="1" applyAlignment="1" applyProtection="1">
      <alignment horizontal="center"/>
      <protection locked="0"/>
    </xf>
    <xf numFmtId="1" fontId="5" fillId="3" borderId="0" xfId="0" applyNumberFormat="1" applyFont="1" applyFill="1" applyAlignment="1">
      <alignment horizontal="right"/>
    </xf>
    <xf numFmtId="49" fontId="5" fillId="3" borderId="0" xfId="0" applyNumberFormat="1" applyFont="1" applyFill="1" applyAlignment="1">
      <alignment horizontal="center"/>
    </xf>
    <xf numFmtId="0" fontId="5" fillId="46" borderId="0" xfId="0" applyFont="1" applyFill="1"/>
    <xf numFmtId="0" fontId="39" fillId="0" borderId="1154" xfId="0" applyFont="1" applyBorder="1"/>
    <xf numFmtId="0" fontId="33" fillId="3" borderId="784" xfId="0" applyFont="1" applyFill="1" applyBorder="1"/>
    <xf numFmtId="0" fontId="5" fillId="3" borderId="0" xfId="0" applyFont="1" applyFill="1" applyAlignment="1">
      <alignment horizontal="left"/>
    </xf>
    <xf numFmtId="0" fontId="43" fillId="5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/>
    </xf>
    <xf numFmtId="0" fontId="63" fillId="3" borderId="0" xfId="0" applyFont="1" applyFill="1" applyAlignment="1">
      <alignment vertical="center" wrapText="1"/>
    </xf>
    <xf numFmtId="0" fontId="5" fillId="0" borderId="0" xfId="0" applyFont="1" applyAlignment="1">
      <alignment horizontal="left"/>
    </xf>
    <xf numFmtId="0" fontId="42" fillId="0" borderId="1122" xfId="0" applyFont="1" applyBorder="1" applyAlignment="1" applyProtection="1">
      <alignment horizontal="center"/>
      <protection hidden="1"/>
    </xf>
    <xf numFmtId="1" fontId="42" fillId="0" borderId="1122" xfId="0" applyNumberFormat="1" applyFont="1" applyBorder="1" applyAlignment="1" applyProtection="1">
      <alignment horizontal="center"/>
      <protection hidden="1"/>
    </xf>
    <xf numFmtId="3" fontId="42" fillId="0" borderId="1122" xfId="0" applyNumberFormat="1" applyFont="1" applyBorder="1" applyAlignment="1" applyProtection="1">
      <alignment horizontal="center"/>
      <protection hidden="1"/>
    </xf>
    <xf numFmtId="1" fontId="42" fillId="5" borderId="1122" xfId="0" applyNumberFormat="1" applyFont="1" applyFill="1" applyBorder="1" applyAlignment="1" applyProtection="1">
      <alignment horizontal="center"/>
      <protection hidden="1"/>
    </xf>
    <xf numFmtId="3" fontId="42" fillId="5" borderId="1122" xfId="0" applyNumberFormat="1" applyFont="1" applyFill="1" applyBorder="1" applyAlignment="1" applyProtection="1">
      <alignment horizontal="center"/>
      <protection hidden="1"/>
    </xf>
    <xf numFmtId="1" fontId="42" fillId="5" borderId="1164" xfId="0" applyNumberFormat="1" applyFont="1" applyFill="1" applyBorder="1" applyAlignment="1" applyProtection="1">
      <alignment horizontal="center"/>
      <protection hidden="1"/>
    </xf>
    <xf numFmtId="0" fontId="17" fillId="0" borderId="1162" xfId="0" applyFont="1" applyBorder="1" applyAlignment="1" applyProtection="1">
      <alignment horizontal="center" vertical="center"/>
      <protection hidden="1"/>
    </xf>
    <xf numFmtId="1" fontId="5" fillId="0" borderId="1060" xfId="0" applyNumberFormat="1" applyFont="1" applyBorder="1" applyAlignment="1">
      <alignment horizontal="right"/>
    </xf>
    <xf numFmtId="1" fontId="5" fillId="0" borderId="942" xfId="0" applyNumberFormat="1" applyFont="1" applyBorder="1"/>
    <xf numFmtId="1" fontId="5" fillId="0" borderId="53" xfId="0" applyNumberFormat="1" applyFont="1" applyBorder="1"/>
    <xf numFmtId="1" fontId="5" fillId="0" borderId="55" xfId="0" applyNumberFormat="1" applyFont="1" applyBorder="1"/>
    <xf numFmtId="1" fontId="5" fillId="0" borderId="1170" xfId="0" applyNumberFormat="1" applyFont="1" applyBorder="1" applyAlignment="1">
      <alignment horizontal="left" vertical="center" wrapText="1"/>
    </xf>
    <xf numFmtId="1" fontId="5" fillId="0" borderId="1170" xfId="0" applyNumberFormat="1" applyFont="1" applyBorder="1" applyAlignment="1">
      <alignment horizontal="right"/>
    </xf>
    <xf numFmtId="1" fontId="5" fillId="4" borderId="1171" xfId="0" applyNumberFormat="1" applyFont="1" applyFill="1" applyBorder="1" applyAlignment="1" applyProtection="1">
      <alignment horizontal="right"/>
      <protection locked="0"/>
    </xf>
    <xf numFmtId="1" fontId="5" fillId="4" borderId="1057" xfId="0" applyNumberFormat="1" applyFont="1" applyFill="1" applyBorder="1" applyAlignment="1" applyProtection="1">
      <alignment horizontal="right"/>
      <protection locked="0"/>
    </xf>
    <xf numFmtId="1" fontId="5" fillId="4" borderId="1172" xfId="0" applyNumberFormat="1" applyFont="1" applyFill="1" applyBorder="1" applyAlignment="1" applyProtection="1">
      <alignment horizontal="right"/>
      <protection locked="0"/>
    </xf>
    <xf numFmtId="1" fontId="5" fillId="7" borderId="1171" xfId="0" applyNumberFormat="1" applyFont="1" applyFill="1" applyBorder="1" applyAlignment="1">
      <alignment horizontal="right"/>
    </xf>
    <xf numFmtId="1" fontId="5" fillId="7" borderId="1172" xfId="0" applyNumberFormat="1" applyFont="1" applyFill="1" applyBorder="1" applyAlignment="1">
      <alignment horizontal="right"/>
    </xf>
    <xf numFmtId="1" fontId="5" fillId="6" borderId="1171" xfId="0" applyNumberFormat="1" applyFont="1" applyFill="1" applyBorder="1" applyAlignment="1">
      <alignment horizontal="right"/>
    </xf>
    <xf numFmtId="1" fontId="5" fillId="6" borderId="1172" xfId="0" applyNumberFormat="1" applyFont="1" applyFill="1" applyBorder="1" applyAlignment="1">
      <alignment horizontal="right"/>
    </xf>
    <xf numFmtId="1" fontId="5" fillId="7" borderId="1062" xfId="0" applyNumberFormat="1" applyFont="1" applyFill="1" applyBorder="1" applyAlignment="1">
      <alignment horizontal="right"/>
    </xf>
    <xf numFmtId="1" fontId="5" fillId="7" borderId="1159" xfId="0" applyNumberFormat="1" applyFont="1" applyFill="1" applyBorder="1" applyAlignment="1">
      <alignment horizontal="right"/>
    </xf>
    <xf numFmtId="1" fontId="5" fillId="4" borderId="1094" xfId="0" applyNumberFormat="1" applyFont="1" applyFill="1" applyBorder="1" applyAlignment="1" applyProtection="1">
      <alignment horizontal="right"/>
      <protection locked="0"/>
    </xf>
    <xf numFmtId="1" fontId="5" fillId="4" borderId="1158" xfId="0" applyNumberFormat="1" applyFont="1" applyFill="1" applyBorder="1" applyAlignment="1" applyProtection="1">
      <alignment horizontal="right"/>
      <protection locked="0"/>
    </xf>
    <xf numFmtId="1" fontId="5" fillId="4" borderId="1170" xfId="0" applyNumberFormat="1" applyFont="1" applyFill="1" applyBorder="1" applyAlignment="1" applyProtection="1">
      <alignment horizontal="right"/>
      <protection locked="0"/>
    </xf>
    <xf numFmtId="1" fontId="5" fillId="0" borderId="1153" xfId="0" applyNumberFormat="1" applyFont="1" applyBorder="1"/>
    <xf numFmtId="1" fontId="5" fillId="0" borderId="1112" xfId="0" applyNumberFormat="1" applyFont="1" applyBorder="1" applyAlignment="1">
      <alignment horizontal="center" vertical="center"/>
    </xf>
    <xf numFmtId="1" fontId="3" fillId="5" borderId="835" xfId="26" applyNumberFormat="1" applyFont="1" applyFill="1" applyBorder="1" applyAlignment="1" applyProtection="1">
      <alignment wrapText="1"/>
    </xf>
    <xf numFmtId="1" fontId="3" fillId="5" borderId="676" xfId="26" applyNumberFormat="1" applyFont="1" applyFill="1" applyBorder="1" applyAlignment="1" applyProtection="1">
      <alignment wrapText="1"/>
    </xf>
    <xf numFmtId="1" fontId="3" fillId="5" borderId="1059" xfId="0" applyNumberFormat="1" applyFont="1" applyFill="1" applyBorder="1" applyAlignment="1">
      <alignment horizontal="right" vertical="center"/>
    </xf>
    <xf numFmtId="1" fontId="3" fillId="5" borderId="835" xfId="27" applyNumberFormat="1" applyFont="1" applyFill="1" applyBorder="1" applyAlignment="1" applyProtection="1">
      <alignment horizontal="right" wrapText="1"/>
    </xf>
    <xf numFmtId="1" fontId="3" fillId="5" borderId="676" xfId="27" applyNumberFormat="1" applyFont="1" applyFill="1" applyBorder="1" applyAlignment="1" applyProtection="1">
      <alignment horizontal="right" wrapText="1"/>
    </xf>
    <xf numFmtId="1" fontId="5" fillId="0" borderId="1171" xfId="0" applyNumberFormat="1" applyFont="1" applyBorder="1" applyAlignment="1">
      <alignment horizontal="center" vertical="center"/>
    </xf>
    <xf numFmtId="1" fontId="5" fillId="3" borderId="1173" xfId="1" applyNumberFormat="1" applyFont="1" applyFill="1" applyBorder="1" applyAlignment="1">
      <alignment horizontal="right"/>
    </xf>
    <xf numFmtId="1" fontId="5" fillId="3" borderId="1136" xfId="1" applyNumberFormat="1" applyFont="1" applyFill="1" applyBorder="1" applyAlignment="1">
      <alignment horizontal="right"/>
    </xf>
    <xf numFmtId="1" fontId="5" fillId="3" borderId="1138" xfId="1" applyNumberFormat="1" applyFont="1" applyFill="1" applyBorder="1" applyAlignment="1">
      <alignment horizontal="right"/>
    </xf>
    <xf numFmtId="1" fontId="5" fillId="3" borderId="61" xfId="1" applyNumberFormat="1" applyFont="1" applyFill="1" applyBorder="1" applyAlignment="1">
      <alignment horizontal="right"/>
    </xf>
    <xf numFmtId="1" fontId="5" fillId="3" borderId="1174" xfId="1" applyNumberFormat="1" applyFont="1" applyFill="1" applyBorder="1" applyAlignment="1">
      <alignment horizontal="right"/>
    </xf>
    <xf numFmtId="1" fontId="5" fillId="3" borderId="1175" xfId="1" applyNumberFormat="1" applyFont="1" applyFill="1" applyBorder="1" applyAlignment="1">
      <alignment horizontal="right"/>
    </xf>
    <xf numFmtId="1" fontId="5" fillId="3" borderId="1176" xfId="1" applyNumberFormat="1" applyFont="1" applyFill="1" applyBorder="1" applyAlignment="1">
      <alignment horizontal="right"/>
    </xf>
    <xf numFmtId="1" fontId="5" fillId="0" borderId="1178" xfId="0" applyNumberFormat="1" applyFont="1" applyBorder="1" applyAlignment="1">
      <alignment horizontal="center" vertical="center"/>
    </xf>
    <xf numFmtId="1" fontId="5" fillId="0" borderId="1178" xfId="0" applyNumberFormat="1" applyFont="1" applyBorder="1"/>
    <xf numFmtId="1" fontId="5" fillId="0" borderId="1177" xfId="0" applyNumberFormat="1" applyFont="1" applyBorder="1" applyAlignment="1">
      <alignment horizontal="center" vertical="center"/>
    </xf>
    <xf numFmtId="1" fontId="5" fillId="0" borderId="1177" xfId="0" applyNumberFormat="1" applyFont="1" applyBorder="1"/>
    <xf numFmtId="1" fontId="5" fillId="0" borderId="1179" xfId="0" applyNumberFormat="1" applyFont="1" applyBorder="1"/>
    <xf numFmtId="1" fontId="5" fillId="0" borderId="1180" xfId="0" applyNumberFormat="1" applyFont="1" applyBorder="1" applyAlignment="1">
      <alignment horizontal="center" vertical="center"/>
    </xf>
    <xf numFmtId="1" fontId="5" fillId="0" borderId="1181" xfId="0" applyNumberFormat="1" applyFont="1" applyBorder="1" applyAlignment="1">
      <alignment horizontal="center" vertical="center"/>
    </xf>
    <xf numFmtId="1" fontId="5" fillId="0" borderId="1182" xfId="0" applyNumberFormat="1" applyFont="1" applyBorder="1"/>
    <xf numFmtId="1" fontId="5" fillId="0" borderId="1168" xfId="0" applyNumberFormat="1" applyFont="1" applyBorder="1" applyAlignment="1">
      <alignment horizontal="center" vertical="center" wrapText="1"/>
    </xf>
    <xf numFmtId="1" fontId="5" fillId="0" borderId="1182" xfId="0" applyNumberFormat="1" applyFont="1" applyBorder="1" applyAlignment="1">
      <alignment vertical="center" wrapText="1"/>
    </xf>
    <xf numFmtId="1" fontId="5" fillId="0" borderId="20" xfId="0" applyNumberFormat="1" applyFont="1" applyBorder="1" applyAlignment="1">
      <alignment vertical="center" wrapText="1"/>
    </xf>
    <xf numFmtId="1" fontId="5" fillId="0" borderId="1181" xfId="0" applyNumberFormat="1" applyFont="1" applyBorder="1" applyAlignment="1">
      <alignment horizontal="right" wrapText="1"/>
    </xf>
    <xf numFmtId="1" fontId="5" fillId="0" borderId="1181" xfId="0" applyNumberFormat="1" applyFont="1" applyBorder="1" applyAlignment="1">
      <alignment horizontal="center" vertical="center" wrapText="1"/>
    </xf>
    <xf numFmtId="1" fontId="5" fillId="0" borderId="1168" xfId="16" applyNumberFormat="1" applyFont="1" applyBorder="1" applyAlignment="1" applyProtection="1">
      <alignment horizontal="center" vertical="center"/>
      <protection hidden="1"/>
    </xf>
    <xf numFmtId="1" fontId="5" fillId="0" borderId="1182" xfId="15" applyNumberFormat="1" applyFont="1" applyBorder="1"/>
    <xf numFmtId="1" fontId="5" fillId="0" borderId="20" xfId="15" applyNumberFormat="1" applyFont="1" applyBorder="1"/>
    <xf numFmtId="1" fontId="5" fillId="0" borderId="1181" xfId="15" applyNumberFormat="1" applyFont="1" applyBorder="1"/>
    <xf numFmtId="1" fontId="5" fillId="0" borderId="1143" xfId="0" applyNumberFormat="1" applyFont="1" applyBorder="1"/>
    <xf numFmtId="1" fontId="5" fillId="5" borderId="1182" xfId="0" applyNumberFormat="1" applyFont="1" applyFill="1" applyBorder="1" applyAlignment="1">
      <alignment horizontal="right" wrapText="1"/>
    </xf>
    <xf numFmtId="1" fontId="3" fillId="5" borderId="1168" xfId="0" applyNumberFormat="1" applyFont="1" applyFill="1" applyBorder="1" applyAlignment="1">
      <alignment horizontal="center" vertical="center" wrapText="1"/>
    </xf>
    <xf numFmtId="1" fontId="5" fillId="5" borderId="831" xfId="0" applyNumberFormat="1" applyFont="1" applyFill="1" applyBorder="1" applyAlignment="1">
      <alignment horizontal="right" wrapText="1"/>
    </xf>
    <xf numFmtId="1" fontId="5" fillId="0" borderId="103" xfId="15" applyNumberFormat="1" applyFont="1" applyBorder="1"/>
    <xf numFmtId="1" fontId="5" fillId="0" borderId="1183" xfId="15" applyNumberFormat="1" applyFont="1" applyBorder="1"/>
    <xf numFmtId="1" fontId="5" fillId="0" borderId="244" xfId="15" applyNumberFormat="1" applyFont="1" applyBorder="1"/>
    <xf numFmtId="1" fontId="5" fillId="0" borderId="372" xfId="15" applyNumberFormat="1" applyFont="1" applyBorder="1"/>
    <xf numFmtId="1" fontId="5" fillId="0" borderId="832" xfId="15" applyNumberFormat="1" applyFont="1" applyBorder="1"/>
    <xf numFmtId="1" fontId="5" fillId="0" borderId="833" xfId="15" applyNumberFormat="1" applyFont="1" applyBorder="1"/>
    <xf numFmtId="1" fontId="5" fillId="0" borderId="1167" xfId="16" applyNumberFormat="1" applyFont="1" applyBorder="1" applyAlignment="1" applyProtection="1">
      <alignment horizontal="center" vertical="center"/>
      <protection hidden="1"/>
    </xf>
    <xf numFmtId="1" fontId="5" fillId="0" borderId="1179" xfId="15" applyNumberFormat="1" applyFont="1" applyBorder="1"/>
    <xf numFmtId="1" fontId="5" fillId="0" borderId="911" xfId="15" applyNumberFormat="1" applyFont="1" applyBorder="1"/>
    <xf numFmtId="1" fontId="5" fillId="0" borderId="27" xfId="15" applyNumberFormat="1" applyFont="1" applyBorder="1"/>
    <xf numFmtId="1" fontId="5" fillId="0" borderId="310" xfId="2" applyNumberFormat="1" applyFont="1" applyBorder="1" applyAlignment="1">
      <alignment vertical="center" wrapText="1"/>
    </xf>
    <xf numFmtId="1" fontId="5" fillId="0" borderId="61" xfId="2" applyNumberFormat="1" applyFont="1" applyBorder="1" applyAlignment="1">
      <alignment horizontal="right" wrapText="1"/>
    </xf>
    <xf numFmtId="1" fontId="5" fillId="0" borderId="346" xfId="2" applyNumberFormat="1" applyFont="1" applyBorder="1" applyAlignment="1">
      <alignment horizontal="right" wrapText="1"/>
    </xf>
    <xf numFmtId="1" fontId="5" fillId="0" borderId="1186" xfId="2" applyNumberFormat="1" applyFont="1" applyBorder="1" applyAlignment="1">
      <alignment horizontal="right" wrapText="1"/>
    </xf>
    <xf numFmtId="1" fontId="5" fillId="0" borderId="350" xfId="2" applyNumberFormat="1" applyFont="1" applyBorder="1" applyAlignment="1">
      <alignment horizontal="right" wrapText="1"/>
    </xf>
    <xf numFmtId="1" fontId="5" fillId="0" borderId="1188" xfId="2" applyNumberFormat="1" applyFont="1" applyBorder="1" applyAlignment="1">
      <alignment horizontal="right" wrapText="1"/>
    </xf>
    <xf numFmtId="1" fontId="5" fillId="0" borderId="1187" xfId="2" applyNumberFormat="1" applyFont="1" applyBorder="1" applyAlignment="1">
      <alignment horizontal="right" wrapText="1"/>
    </xf>
    <xf numFmtId="1" fontId="5" fillId="0" borderId="1190" xfId="2" applyNumberFormat="1" applyFont="1" applyBorder="1" applyAlignment="1">
      <alignment horizontal="center" vertical="center" wrapText="1"/>
    </xf>
    <xf numFmtId="1" fontId="5" fillId="0" borderId="319" xfId="2" applyNumberFormat="1" applyFont="1" applyBorder="1" applyAlignment="1">
      <alignment horizontal="center" vertical="center" wrapText="1"/>
    </xf>
    <xf numFmtId="1" fontId="5" fillId="0" borderId="272" xfId="2" applyNumberFormat="1" applyFont="1" applyBorder="1" applyAlignment="1">
      <alignment horizontal="center" vertical="center" wrapText="1"/>
    </xf>
    <xf numFmtId="1" fontId="5" fillId="0" borderId="1191" xfId="2" applyNumberFormat="1" applyFont="1" applyBorder="1" applyAlignment="1">
      <alignment horizontal="right" wrapText="1"/>
    </xf>
    <xf numFmtId="1" fontId="5" fillId="0" borderId="1192" xfId="2" applyNumberFormat="1" applyFont="1" applyBorder="1" applyAlignment="1">
      <alignment horizontal="right" wrapText="1"/>
    </xf>
    <xf numFmtId="1" fontId="5" fillId="0" borderId="1193" xfId="2" applyNumberFormat="1" applyFont="1" applyBorder="1" applyAlignment="1">
      <alignment horizontal="right" wrapText="1"/>
    </xf>
    <xf numFmtId="1" fontId="5" fillId="0" borderId="1184" xfId="2" applyNumberFormat="1" applyFont="1" applyBorder="1" applyAlignment="1">
      <alignment horizontal="right"/>
    </xf>
    <xf numFmtId="1" fontId="5" fillId="0" borderId="1185" xfId="2" applyNumberFormat="1" applyFont="1" applyBorder="1" applyAlignment="1">
      <alignment horizontal="right"/>
    </xf>
    <xf numFmtId="1" fontId="5" fillId="0" borderId="1194" xfId="2" applyNumberFormat="1" applyFont="1" applyBorder="1" applyAlignment="1">
      <alignment horizontal="right"/>
    </xf>
    <xf numFmtId="1" fontId="5" fillId="0" borderId="1195" xfId="2" applyNumberFormat="1" applyFont="1" applyBorder="1" applyAlignment="1">
      <alignment horizontal="right"/>
    </xf>
    <xf numFmtId="1" fontId="5" fillId="0" borderId="334" xfId="2" applyNumberFormat="1" applyFont="1" applyBorder="1" applyAlignment="1">
      <alignment horizontal="right"/>
    </xf>
    <xf numFmtId="1" fontId="5" fillId="0" borderId="1196" xfId="2" applyNumberFormat="1" applyFont="1" applyBorder="1" applyAlignment="1">
      <alignment horizontal="right" wrapText="1"/>
    </xf>
    <xf numFmtId="1" fontId="3" fillId="5" borderId="1181" xfId="0" applyNumberFormat="1" applyFont="1" applyFill="1" applyBorder="1" applyAlignment="1">
      <alignment horizontal="center" vertical="center" wrapText="1"/>
    </xf>
    <xf numFmtId="1" fontId="3" fillId="5" borderId="1041" xfId="0" applyNumberFormat="1" applyFont="1" applyFill="1" applyBorder="1" applyAlignment="1">
      <alignment horizontal="center" vertical="center" wrapText="1"/>
    </xf>
    <xf numFmtId="1" fontId="3" fillId="5" borderId="1197" xfId="0" applyNumberFormat="1" applyFont="1" applyFill="1" applyBorder="1" applyAlignment="1">
      <alignment horizontal="center" vertical="center" wrapText="1"/>
    </xf>
    <xf numFmtId="1" fontId="3" fillId="5" borderId="1180" xfId="0" applyNumberFormat="1" applyFont="1" applyFill="1" applyBorder="1" applyAlignment="1">
      <alignment horizontal="center" vertical="center" wrapText="1"/>
    </xf>
    <xf numFmtId="1" fontId="5" fillId="33" borderId="282" xfId="2" applyNumberFormat="1" applyFont="1" applyFill="1" applyBorder="1"/>
    <xf numFmtId="1" fontId="3" fillId="5" borderId="1198" xfId="0" applyNumberFormat="1" applyFont="1" applyFill="1" applyBorder="1" applyAlignment="1">
      <alignment horizontal="center" vertical="center" wrapText="1"/>
    </xf>
    <xf numFmtId="1" fontId="5" fillId="0" borderId="1199" xfId="0" applyNumberFormat="1" applyFont="1" applyBorder="1"/>
    <xf numFmtId="1" fontId="5" fillId="0" borderId="1099" xfId="0" applyNumberFormat="1" applyFont="1" applyBorder="1"/>
    <xf numFmtId="0" fontId="5" fillId="0" borderId="1182" xfId="0" applyFont="1" applyBorder="1"/>
    <xf numFmtId="1" fontId="5" fillId="33" borderId="1200" xfId="2" applyNumberFormat="1" applyFont="1" applyFill="1" applyBorder="1"/>
    <xf numFmtId="0" fontId="5" fillId="0" borderId="222" xfId="0" applyFont="1" applyBorder="1"/>
    <xf numFmtId="1" fontId="5" fillId="33" borderId="1201" xfId="2" applyNumberFormat="1" applyFont="1" applyFill="1" applyBorder="1"/>
    <xf numFmtId="1" fontId="5" fillId="4" borderId="1199" xfId="0" applyNumberFormat="1" applyFont="1" applyFill="1" applyBorder="1" applyProtection="1">
      <protection locked="0"/>
    </xf>
    <xf numFmtId="1" fontId="5" fillId="4" borderId="1182" xfId="0" applyNumberFormat="1" applyFont="1" applyFill="1" applyBorder="1" applyProtection="1">
      <protection locked="0"/>
    </xf>
    <xf numFmtId="1" fontId="5" fillId="33" borderId="1202" xfId="2" applyNumberFormat="1" applyFont="1" applyFill="1" applyBorder="1"/>
    <xf numFmtId="1" fontId="5" fillId="33" borderId="27" xfId="2" applyNumberFormat="1" applyFont="1" applyFill="1" applyBorder="1"/>
    <xf numFmtId="1" fontId="5" fillId="33" borderId="1203" xfId="2" applyNumberFormat="1" applyFont="1" applyFill="1" applyBorder="1"/>
    <xf numFmtId="1" fontId="5" fillId="33" borderId="792" xfId="2" applyNumberFormat="1" applyFont="1" applyFill="1" applyBorder="1"/>
    <xf numFmtId="1" fontId="5" fillId="0" borderId="1180" xfId="0" applyNumberFormat="1" applyFont="1" applyBorder="1" applyAlignment="1">
      <alignment horizontal="center" vertical="center" wrapText="1"/>
    </xf>
    <xf numFmtId="1" fontId="5" fillId="0" borderId="1180" xfId="0" applyNumberFormat="1" applyFont="1" applyBorder="1"/>
    <xf numFmtId="1" fontId="5" fillId="0" borderId="1180" xfId="0" applyNumberFormat="1" applyFont="1" applyBorder="1" applyAlignment="1">
      <alignment horizontal="right" wrapText="1"/>
    </xf>
    <xf numFmtId="1" fontId="5" fillId="0" borderId="1198" xfId="0" applyNumberFormat="1" applyFont="1" applyBorder="1" applyAlignment="1">
      <alignment horizontal="center" vertical="center"/>
    </xf>
    <xf numFmtId="1" fontId="5" fillId="6" borderId="1199" xfId="0" applyNumberFormat="1" applyFont="1" applyFill="1" applyBorder="1" applyAlignment="1">
      <alignment horizontal="right" wrapText="1"/>
    </xf>
    <xf numFmtId="1" fontId="5" fillId="6" borderId="838" xfId="0" applyNumberFormat="1" applyFont="1" applyFill="1" applyBorder="1" applyAlignment="1">
      <alignment horizontal="right" wrapText="1"/>
    </xf>
    <xf numFmtId="1" fontId="5" fillId="3" borderId="1199" xfId="0" applyNumberFormat="1" applyFont="1" applyFill="1" applyBorder="1" applyAlignment="1">
      <alignment horizontal="right" wrapText="1"/>
    </xf>
    <xf numFmtId="1" fontId="5" fillId="3" borderId="792" xfId="0" applyNumberFormat="1" applyFont="1" applyFill="1" applyBorder="1" applyAlignment="1">
      <alignment horizontal="right" wrapText="1"/>
    </xf>
    <xf numFmtId="1" fontId="5" fillId="3" borderId="1099" xfId="0" applyNumberFormat="1" applyFont="1" applyFill="1" applyBorder="1" applyAlignment="1">
      <alignment horizontal="right" wrapText="1"/>
    </xf>
    <xf numFmtId="1" fontId="5" fillId="3" borderId="1198" xfId="0" applyNumberFormat="1" applyFont="1" applyFill="1" applyBorder="1" applyAlignment="1">
      <alignment horizontal="right" wrapText="1"/>
    </xf>
    <xf numFmtId="1" fontId="5" fillId="3" borderId="371" xfId="0" applyNumberFormat="1" applyFont="1" applyFill="1" applyBorder="1"/>
    <xf numFmtId="1" fontId="5" fillId="0" borderId="1181" xfId="0" applyNumberFormat="1" applyFont="1" applyBorder="1"/>
    <xf numFmtId="1" fontId="5" fillId="0" borderId="1182" xfId="0" applyNumberFormat="1" applyFont="1" applyBorder="1" applyAlignment="1">
      <alignment horizontal="right" wrapText="1"/>
    </xf>
    <xf numFmtId="1" fontId="5" fillId="3" borderId="1182" xfId="0" applyNumberFormat="1" applyFont="1" applyFill="1" applyBorder="1" applyAlignment="1">
      <alignment horizontal="right" wrapText="1"/>
    </xf>
    <xf numFmtId="1" fontId="5" fillId="3" borderId="831" xfId="0" applyNumberFormat="1" applyFont="1" applyFill="1" applyBorder="1" applyAlignment="1">
      <alignment horizontal="right" wrapText="1"/>
    </xf>
    <xf numFmtId="1" fontId="5" fillId="3" borderId="1143" xfId="0" applyNumberFormat="1" applyFont="1" applyFill="1" applyBorder="1" applyAlignment="1">
      <alignment horizontal="right" wrapText="1"/>
    </xf>
    <xf numFmtId="1" fontId="5" fillId="0" borderId="1143" xfId="0" applyNumberFormat="1" applyFont="1" applyBorder="1" applyAlignment="1">
      <alignment horizontal="right" wrapText="1"/>
    </xf>
    <xf numFmtId="1" fontId="5" fillId="3" borderId="1181" xfId="0" applyNumberFormat="1" applyFont="1" applyFill="1" applyBorder="1" applyAlignment="1">
      <alignment horizontal="right" wrapText="1"/>
    </xf>
    <xf numFmtId="1" fontId="5" fillId="0" borderId="1198" xfId="0" applyNumberFormat="1" applyFont="1" applyBorder="1" applyAlignment="1">
      <alignment horizontal="center" vertical="center" wrapText="1"/>
    </xf>
    <xf numFmtId="1" fontId="5" fillId="6" borderId="244" xfId="0" applyNumberFormat="1" applyFont="1" applyFill="1" applyBorder="1"/>
    <xf numFmtId="1" fontId="5" fillId="6" borderId="832" xfId="0" applyNumberFormat="1" applyFont="1" applyFill="1" applyBorder="1"/>
    <xf numFmtId="1" fontId="5" fillId="7" borderId="1182" xfId="0" applyNumberFormat="1" applyFont="1" applyFill="1" applyBorder="1"/>
    <xf numFmtId="1" fontId="5" fillId="7" borderId="1207" xfId="0" applyNumberFormat="1" applyFont="1" applyFill="1" applyBorder="1"/>
    <xf numFmtId="1" fontId="5" fillId="6" borderId="1207" xfId="0" applyNumberFormat="1" applyFont="1" applyFill="1" applyBorder="1"/>
    <xf numFmtId="1" fontId="5" fillId="6" borderId="1208" xfId="0" applyNumberFormat="1" applyFont="1" applyFill="1" applyBorder="1"/>
    <xf numFmtId="1" fontId="5" fillId="6" borderId="1182" xfId="0" applyNumberFormat="1" applyFont="1" applyFill="1" applyBorder="1"/>
    <xf numFmtId="1" fontId="5" fillId="6" borderId="377" xfId="0" applyNumberFormat="1" applyFont="1" applyFill="1" applyBorder="1"/>
    <xf numFmtId="1" fontId="5" fillId="7" borderId="1183" xfId="0" applyNumberFormat="1" applyFont="1" applyFill="1" applyBorder="1"/>
    <xf numFmtId="1" fontId="5" fillId="6" borderId="1209" xfId="0" applyNumberFormat="1" applyFont="1" applyFill="1" applyBorder="1"/>
    <xf numFmtId="1" fontId="5" fillId="6" borderId="1179" xfId="0" applyNumberFormat="1" applyFont="1" applyFill="1" applyBorder="1"/>
    <xf numFmtId="1" fontId="5" fillId="4" borderId="1179" xfId="0" applyNumberFormat="1" applyFont="1" applyFill="1" applyBorder="1" applyProtection="1">
      <protection locked="0"/>
    </xf>
    <xf numFmtId="1" fontId="5" fillId="7" borderId="1179" xfId="0" applyNumberFormat="1" applyFont="1" applyFill="1" applyBorder="1"/>
    <xf numFmtId="1" fontId="5" fillId="3" borderId="1199" xfId="0" applyNumberFormat="1" applyFont="1" applyFill="1" applyBorder="1" applyAlignment="1">
      <alignment horizontal="right"/>
    </xf>
    <xf numFmtId="1" fontId="5" fillId="3" borderId="838" xfId="0" applyNumberFormat="1" applyFont="1" applyFill="1" applyBorder="1" applyAlignment="1">
      <alignment horizontal="right"/>
    </xf>
    <xf numFmtId="1" fontId="5" fillId="3" borderId="1198" xfId="0" applyNumberFormat="1" applyFont="1" applyFill="1" applyBorder="1" applyAlignment="1">
      <alignment horizontal="right"/>
    </xf>
    <xf numFmtId="1" fontId="5" fillId="3" borderId="1099" xfId="0" applyNumberFormat="1" applyFont="1" applyFill="1" applyBorder="1" applyAlignment="1">
      <alignment horizontal="right"/>
    </xf>
    <xf numFmtId="1" fontId="5" fillId="3" borderId="792" xfId="0" applyNumberFormat="1" applyFont="1" applyFill="1" applyBorder="1" applyAlignment="1">
      <alignment horizontal="right"/>
    </xf>
    <xf numFmtId="1" fontId="5" fillId="3" borderId="1112" xfId="0" applyNumberFormat="1" applyFont="1" applyFill="1" applyBorder="1" applyAlignment="1">
      <alignment horizontal="right"/>
    </xf>
    <xf numFmtId="1" fontId="5" fillId="0" borderId="1204" xfId="0" applyNumberFormat="1" applyFont="1" applyBorder="1" applyAlignment="1">
      <alignment horizontal="center" vertical="center"/>
    </xf>
    <xf numFmtId="1" fontId="5" fillId="6" borderId="103" xfId="0" applyNumberFormat="1" applyFont="1" applyFill="1" applyBorder="1" applyAlignment="1">
      <alignment horizontal="right" wrapText="1"/>
    </xf>
    <xf numFmtId="1" fontId="5" fillId="6" borderId="244" xfId="0" applyNumberFormat="1" applyFont="1" applyFill="1" applyBorder="1" applyAlignment="1">
      <alignment horizontal="right" wrapText="1"/>
    </xf>
    <xf numFmtId="1" fontId="5" fillId="6" borderId="832" xfId="0" applyNumberFormat="1" applyFont="1" applyFill="1" applyBorder="1" applyAlignment="1">
      <alignment horizontal="right" wrapText="1"/>
    </xf>
    <xf numFmtId="1" fontId="5" fillId="3" borderId="103" xfId="0" applyNumberFormat="1" applyFont="1" applyFill="1" applyBorder="1" applyAlignment="1">
      <alignment horizontal="right" wrapText="1"/>
    </xf>
    <xf numFmtId="1" fontId="5" fillId="3" borderId="244" xfId="0" applyNumberFormat="1" applyFont="1" applyFill="1" applyBorder="1" applyAlignment="1">
      <alignment horizontal="right" wrapText="1"/>
    </xf>
    <xf numFmtId="1" fontId="5" fillId="3" borderId="832" xfId="0" applyNumberFormat="1" applyFont="1" applyFill="1" applyBorder="1" applyAlignment="1">
      <alignment horizontal="right" wrapText="1"/>
    </xf>
    <xf numFmtId="1" fontId="5" fillId="3" borderId="511" xfId="0" applyNumberFormat="1" applyFont="1" applyFill="1" applyBorder="1" applyAlignment="1">
      <alignment horizontal="right" wrapText="1"/>
    </xf>
    <xf numFmtId="1" fontId="5" fillId="3" borderId="1207" xfId="0" applyNumberFormat="1" applyFont="1" applyFill="1" applyBorder="1" applyAlignment="1">
      <alignment horizontal="right" wrapText="1"/>
    </xf>
    <xf numFmtId="1" fontId="5" fillId="3" borderId="1204" xfId="0" applyNumberFormat="1" applyFont="1" applyFill="1" applyBorder="1" applyAlignment="1">
      <alignment horizontal="right" wrapText="1"/>
    </xf>
    <xf numFmtId="1" fontId="5" fillId="5" borderId="1075" xfId="0" applyNumberFormat="1" applyFont="1" applyFill="1" applyBorder="1"/>
    <xf numFmtId="1" fontId="5" fillId="6" borderId="792" xfId="0" applyNumberFormat="1" applyFont="1" applyFill="1" applyBorder="1" applyAlignment="1">
      <alignment horizontal="right"/>
    </xf>
    <xf numFmtId="0" fontId="5" fillId="0" borderId="911" xfId="0" applyFont="1" applyBorder="1" applyAlignment="1">
      <alignment horizontal="right" wrapText="1"/>
    </xf>
    <xf numFmtId="0" fontId="5" fillId="0" borderId="225" xfId="0" applyFont="1" applyBorder="1" applyAlignment="1">
      <alignment horizontal="right" wrapText="1"/>
    </xf>
    <xf numFmtId="0" fontId="5" fillId="0" borderId="371" xfId="0" applyFont="1" applyBorder="1" applyAlignment="1">
      <alignment horizontal="right" wrapText="1"/>
    </xf>
    <xf numFmtId="1" fontId="5" fillId="0" borderId="1210" xfId="15" applyNumberFormat="1" applyFont="1" applyBorder="1" applyAlignment="1">
      <alignment horizontal="right" vertical="center" wrapText="1"/>
    </xf>
    <xf numFmtId="1" fontId="5" fillId="0" borderId="1181" xfId="15" applyNumberFormat="1" applyFont="1" applyBorder="1" applyAlignment="1">
      <alignment horizontal="right" vertical="center" wrapText="1"/>
    </xf>
    <xf numFmtId="1" fontId="3" fillId="6" borderId="687" xfId="0" applyNumberFormat="1" applyFont="1" applyFill="1" applyBorder="1"/>
    <xf numFmtId="1" fontId="3" fillId="6" borderId="1099" xfId="0" applyNumberFormat="1" applyFont="1" applyFill="1" applyBorder="1"/>
    <xf numFmtId="1" fontId="3" fillId="6" borderId="25" xfId="0" applyNumberFormat="1" applyFont="1" applyFill="1" applyBorder="1"/>
    <xf numFmtId="1" fontId="5" fillId="4" borderId="1213" xfId="0" applyNumberFormat="1" applyFont="1" applyFill="1" applyBorder="1" applyProtection="1">
      <protection locked="0"/>
    </xf>
    <xf numFmtId="1" fontId="5" fillId="0" borderId="1211" xfId="0" applyNumberFormat="1" applyFont="1" applyBorder="1"/>
    <xf numFmtId="1" fontId="5" fillId="4" borderId="1211" xfId="0" applyNumberFormat="1" applyFont="1" applyFill="1" applyBorder="1" applyProtection="1">
      <protection locked="0"/>
    </xf>
    <xf numFmtId="1" fontId="26" fillId="48" borderId="0" xfId="0" applyNumberFormat="1" applyFont="1" applyFill="1"/>
    <xf numFmtId="0" fontId="5" fillId="0" borderId="838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225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1" fontId="26" fillId="25" borderId="0" xfId="0" applyNumberFormat="1" applyFont="1" applyFill="1"/>
    <xf numFmtId="1" fontId="3" fillId="0" borderId="737" xfId="0" applyNumberFormat="1" applyFont="1" applyBorder="1" applyAlignment="1">
      <alignment horizontal="center" vertical="center"/>
    </xf>
    <xf numFmtId="1" fontId="5" fillId="0" borderId="1205" xfId="0" applyNumberFormat="1" applyFont="1" applyBorder="1" applyAlignment="1">
      <alignment horizontal="center" vertical="center" wrapText="1"/>
    </xf>
    <xf numFmtId="1" fontId="5" fillId="5" borderId="977" xfId="0" applyNumberFormat="1" applyFont="1" applyFill="1" applyBorder="1" applyAlignment="1">
      <alignment horizontal="center" vertical="center" wrapText="1"/>
    </xf>
    <xf numFmtId="1" fontId="3" fillId="0" borderId="435" xfId="0" applyNumberFormat="1" applyFont="1" applyBorder="1" applyAlignment="1" applyProtection="1">
      <alignment horizontal="center" vertical="center" wrapText="1"/>
      <protection hidden="1"/>
    </xf>
    <xf numFmtId="0" fontId="3" fillId="0" borderId="1027" xfId="0" applyFont="1" applyBorder="1" applyAlignment="1">
      <alignment horizontal="center" vertical="center" wrapText="1"/>
    </xf>
    <xf numFmtId="1" fontId="3" fillId="0" borderId="1032" xfId="0" applyNumberFormat="1" applyFont="1" applyBorder="1" applyAlignment="1">
      <alignment horizontal="center" vertical="center"/>
    </xf>
    <xf numFmtId="1" fontId="3" fillId="0" borderId="1027" xfId="0" applyNumberFormat="1" applyFont="1" applyBorder="1" applyAlignment="1">
      <alignment horizontal="center" vertical="center" wrapText="1"/>
    </xf>
    <xf numFmtId="1" fontId="3" fillId="0" borderId="977" xfId="0" applyNumberFormat="1" applyFont="1" applyBorder="1" applyAlignment="1">
      <alignment horizontal="center" vertical="center"/>
    </xf>
    <xf numFmtId="1" fontId="5" fillId="0" borderId="1163" xfId="0" applyNumberFormat="1" applyFont="1" applyBorder="1" applyAlignment="1">
      <alignment vertical="center" wrapText="1"/>
    </xf>
    <xf numFmtId="1" fontId="5" fillId="0" borderId="1215" xfId="0" applyNumberFormat="1" applyFont="1" applyBorder="1" applyAlignment="1">
      <alignment vertical="center" wrapText="1"/>
    </xf>
    <xf numFmtId="1" fontId="5" fillId="0" borderId="1157" xfId="0" applyNumberFormat="1" applyFont="1" applyBorder="1" applyAlignment="1">
      <alignment vertical="center" wrapText="1"/>
    </xf>
    <xf numFmtId="1" fontId="5" fillId="0" borderId="1150" xfId="0" applyNumberFormat="1" applyFont="1" applyBorder="1"/>
    <xf numFmtId="1" fontId="5" fillId="4" borderId="1215" xfId="0" applyNumberFormat="1" applyFont="1" applyFill="1" applyBorder="1" applyProtection="1">
      <protection locked="0"/>
    </xf>
    <xf numFmtId="1" fontId="5" fillId="4" borderId="1150" xfId="0" applyNumberFormat="1" applyFont="1" applyFill="1" applyBorder="1" applyProtection="1">
      <protection locked="0"/>
    </xf>
    <xf numFmtId="1" fontId="5" fillId="4" borderId="1216" xfId="0" applyNumberFormat="1" applyFont="1" applyFill="1" applyBorder="1" applyProtection="1">
      <protection locked="0"/>
    </xf>
    <xf numFmtId="1" fontId="5" fillId="4" borderId="1163" xfId="0" applyNumberFormat="1" applyFont="1" applyFill="1" applyBorder="1" applyProtection="1">
      <protection locked="0"/>
    </xf>
    <xf numFmtId="1" fontId="5" fillId="0" borderId="371" xfId="0" applyNumberFormat="1" applyFont="1" applyBorder="1" applyAlignment="1">
      <alignment vertical="center" wrapText="1"/>
    </xf>
    <xf numFmtId="1" fontId="5" fillId="0" borderId="1217" xfId="0" applyNumberFormat="1" applyFont="1" applyBorder="1"/>
    <xf numFmtId="1" fontId="5" fillId="4" borderId="1218" xfId="0" applyNumberFormat="1" applyFont="1" applyFill="1" applyBorder="1" applyProtection="1">
      <protection locked="0"/>
    </xf>
    <xf numFmtId="1" fontId="5" fillId="0" borderId="1220" xfId="0" applyNumberFormat="1" applyFont="1" applyBorder="1"/>
    <xf numFmtId="1" fontId="5" fillId="0" borderId="1221" xfId="0" applyNumberFormat="1" applyFont="1" applyBorder="1"/>
    <xf numFmtId="1" fontId="3" fillId="0" borderId="1129" xfId="0" applyNumberFormat="1" applyFont="1" applyBorder="1" applyAlignment="1">
      <alignment horizontal="center" vertical="center"/>
    </xf>
    <xf numFmtId="1" fontId="3" fillId="0" borderId="1091" xfId="0" applyNumberFormat="1" applyFont="1" applyBorder="1" applyAlignment="1">
      <alignment horizontal="center" vertical="center"/>
    </xf>
    <xf numFmtId="1" fontId="3" fillId="7" borderId="1124" xfId="14" applyNumberFormat="1" applyFont="1" applyFill="1" applyBorder="1"/>
    <xf numFmtId="1" fontId="3" fillId="4" borderId="942" xfId="14" applyNumberFormat="1" applyFont="1" applyFill="1" applyBorder="1" applyProtection="1">
      <protection locked="0"/>
    </xf>
    <xf numFmtId="1" fontId="3" fillId="4" borderId="55" xfId="14" applyNumberFormat="1" applyFont="1" applyFill="1" applyBorder="1" applyProtection="1">
      <protection locked="0"/>
    </xf>
    <xf numFmtId="1" fontId="3" fillId="4" borderId="57" xfId="14" applyNumberFormat="1" applyFont="1" applyFill="1" applyBorder="1" applyProtection="1">
      <protection locked="0"/>
    </xf>
    <xf numFmtId="1" fontId="3" fillId="4" borderId="1225" xfId="14" applyNumberFormat="1" applyFont="1" applyFill="1" applyBorder="1" applyProtection="1">
      <protection locked="0"/>
    </xf>
    <xf numFmtId="1" fontId="3" fillId="4" borderId="1208" xfId="14" applyNumberFormat="1" applyFont="1" applyFill="1" applyBorder="1" applyProtection="1">
      <protection locked="0"/>
    </xf>
    <xf numFmtId="1" fontId="3" fillId="4" borderId="376" xfId="14" applyNumberFormat="1" applyFont="1" applyFill="1" applyBorder="1" applyProtection="1">
      <protection locked="0"/>
    </xf>
    <xf numFmtId="1" fontId="3" fillId="4" borderId="54" xfId="14" applyNumberFormat="1" applyFont="1" applyFill="1" applyBorder="1" applyProtection="1">
      <protection locked="0"/>
    </xf>
    <xf numFmtId="1" fontId="3" fillId="4" borderId="841" xfId="14" applyNumberFormat="1" applyFont="1" applyFill="1" applyBorder="1" applyProtection="1">
      <protection locked="0"/>
    </xf>
    <xf numFmtId="1" fontId="3" fillId="4" borderId="833" xfId="14" applyNumberFormat="1" applyFont="1" applyFill="1" applyBorder="1" applyProtection="1">
      <protection locked="0"/>
    </xf>
    <xf numFmtId="1" fontId="3" fillId="0" borderId="977" xfId="14" applyNumberFormat="1" applyFont="1" applyBorder="1" applyAlignment="1">
      <alignment horizontal="center" vertical="center" wrapText="1"/>
    </xf>
    <xf numFmtId="1" fontId="3" fillId="0" borderId="1091" xfId="14" applyNumberFormat="1" applyFont="1" applyBorder="1" applyAlignment="1">
      <alignment horizontal="center" vertical="center" wrapText="1"/>
    </xf>
    <xf numFmtId="1" fontId="3" fillId="0" borderId="1224" xfId="14" applyNumberFormat="1" applyFont="1" applyBorder="1" applyAlignment="1" applyProtection="1">
      <alignment horizontal="center" vertical="center"/>
      <protection hidden="1"/>
    </xf>
    <xf numFmtId="1" fontId="3" fillId="0" borderId="1221" xfId="14" applyNumberFormat="1" applyFont="1" applyBorder="1" applyAlignment="1" applyProtection="1">
      <alignment horizontal="center" vertical="center"/>
      <protection hidden="1"/>
    </xf>
    <xf numFmtId="1" fontId="3" fillId="4" borderId="1208" xfId="0" applyNumberFormat="1" applyFont="1" applyFill="1" applyBorder="1" applyAlignment="1" applyProtection="1">
      <alignment horizontal="right"/>
      <protection locked="0"/>
    </xf>
    <xf numFmtId="1" fontId="3" fillId="0" borderId="1131" xfId="0" applyNumberFormat="1" applyFont="1" applyBorder="1" applyAlignment="1">
      <alignment horizontal="center" vertical="center" wrapText="1"/>
    </xf>
    <xf numFmtId="1" fontId="3" fillId="0" borderId="1130" xfId="0" applyNumberFormat="1" applyFont="1" applyBorder="1" applyAlignment="1">
      <alignment horizontal="center" vertical="center" wrapText="1"/>
    </xf>
    <xf numFmtId="1" fontId="5" fillId="4" borderId="1207" xfId="0" applyNumberFormat="1" applyFont="1" applyFill="1" applyBorder="1" applyAlignment="1" applyProtection="1">
      <alignment wrapText="1"/>
      <protection locked="0"/>
    </xf>
    <xf numFmtId="1" fontId="5" fillId="4" borderId="1226" xfId="0" applyNumberFormat="1" applyFont="1" applyFill="1" applyBorder="1" applyAlignment="1" applyProtection="1">
      <alignment wrapText="1"/>
      <protection locked="0"/>
    </xf>
    <xf numFmtId="1" fontId="5" fillId="0" borderId="1204" xfId="0" applyNumberFormat="1" applyFont="1" applyBorder="1" applyAlignment="1">
      <alignment horizontal="center" vertical="center" wrapText="1"/>
    </xf>
    <xf numFmtId="1" fontId="5" fillId="0" borderId="1227" xfId="0" applyNumberFormat="1" applyFont="1" applyBorder="1" applyAlignment="1">
      <alignment horizontal="center" vertical="center" wrapText="1"/>
    </xf>
    <xf numFmtId="1" fontId="5" fillId="0" borderId="1061" xfId="8" applyNumberFormat="1" applyFont="1" applyBorder="1" applyAlignment="1" applyProtection="1">
      <alignment vertical="center"/>
    </xf>
    <xf numFmtId="0" fontId="0" fillId="17" borderId="0" xfId="0" applyFill="1"/>
    <xf numFmtId="0" fontId="3" fillId="16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36" applyFont="1" applyFill="1" applyBorder="1">
      <protection locked="0"/>
    </xf>
    <xf numFmtId="0" fontId="18" fillId="0" borderId="0" xfId="36" applyFont="1" applyFill="1" applyBorder="1">
      <protection locked="0"/>
    </xf>
    <xf numFmtId="0" fontId="5" fillId="0" borderId="0" xfId="35" applyFont="1"/>
    <xf numFmtId="49" fontId="5" fillId="0" borderId="0" xfId="0" applyNumberFormat="1" applyFont="1" applyAlignment="1">
      <alignment horizontal="center"/>
    </xf>
    <xf numFmtId="0" fontId="60" fillId="0" borderId="0" xfId="0" applyFont="1" applyAlignment="1">
      <alignment vertical="center"/>
    </xf>
    <xf numFmtId="0" fontId="5" fillId="3" borderId="1206" xfId="0" applyFont="1" applyFill="1" applyBorder="1"/>
    <xf numFmtId="0" fontId="18" fillId="26" borderId="0" xfId="0" applyFont="1" applyFill="1" applyAlignment="1">
      <alignment vertical="center"/>
    </xf>
    <xf numFmtId="0" fontId="5" fillId="25" borderId="0" xfId="0" applyFont="1" applyFill="1" applyAlignment="1">
      <alignment vertical="center" wrapText="1"/>
    </xf>
    <xf numFmtId="1" fontId="5" fillId="0" borderId="1206" xfId="0" applyNumberFormat="1" applyFont="1" applyBorder="1" applyAlignment="1">
      <alignment horizontal="center" vertical="center" wrapText="1"/>
    </xf>
    <xf numFmtId="1" fontId="5" fillId="0" borderId="1149" xfId="0" applyNumberFormat="1" applyFont="1" applyBorder="1" applyAlignment="1">
      <alignment horizontal="center" vertical="center" wrapText="1"/>
    </xf>
    <xf numFmtId="1" fontId="3" fillId="0" borderId="1164" xfId="0" applyNumberFormat="1" applyFont="1" applyBorder="1" applyAlignment="1">
      <alignment horizontal="center" vertical="center"/>
    </xf>
    <xf numFmtId="1" fontId="3" fillId="0" borderId="1156" xfId="0" applyNumberFormat="1" applyFont="1" applyBorder="1" applyAlignment="1">
      <alignment horizontal="center" vertical="center" wrapText="1"/>
    </xf>
    <xf numFmtId="1" fontId="3" fillId="0" borderId="1205" xfId="0" applyNumberFormat="1" applyFont="1" applyBorder="1" applyAlignment="1">
      <alignment horizontal="center" vertical="center" wrapText="1"/>
    </xf>
    <xf numFmtId="1" fontId="3" fillId="0" borderId="1210" xfId="0" applyNumberFormat="1" applyFont="1" applyBorder="1" applyAlignment="1">
      <alignment horizontal="center" vertical="center" wrapText="1"/>
    </xf>
    <xf numFmtId="1" fontId="3" fillId="0" borderId="1198" xfId="0" applyNumberFormat="1" applyFont="1" applyBorder="1" applyAlignment="1">
      <alignment horizontal="center" vertical="center" wrapText="1"/>
    </xf>
    <xf numFmtId="1" fontId="3" fillId="0" borderId="1214" xfId="0" applyNumberFormat="1" applyFont="1" applyBorder="1" applyAlignment="1">
      <alignment horizontal="center" vertical="center" wrapText="1"/>
    </xf>
    <xf numFmtId="1" fontId="3" fillId="0" borderId="1168" xfId="0" applyNumberFormat="1" applyFont="1" applyBorder="1" applyAlignment="1">
      <alignment horizontal="center" vertical="center" wrapText="1"/>
    </xf>
    <xf numFmtId="1" fontId="3" fillId="0" borderId="1229" xfId="0" applyNumberFormat="1" applyFont="1" applyBorder="1" applyAlignment="1">
      <alignment horizontal="center" vertical="center" wrapText="1"/>
    </xf>
    <xf numFmtId="1" fontId="3" fillId="0" borderId="1171" xfId="0" applyNumberFormat="1" applyFont="1" applyBorder="1" applyAlignment="1">
      <alignment horizontal="center" vertical="center" wrapText="1"/>
    </xf>
    <xf numFmtId="1" fontId="3" fillId="0" borderId="1230" xfId="0" applyNumberFormat="1" applyFont="1" applyBorder="1" applyAlignment="1">
      <alignment vertical="center" wrapText="1"/>
    </xf>
    <xf numFmtId="1" fontId="3" fillId="0" borderId="1231" xfId="0" applyNumberFormat="1" applyFont="1" applyBorder="1" applyAlignment="1">
      <alignment horizontal="right" wrapText="1"/>
    </xf>
    <xf numFmtId="1" fontId="3" fillId="0" borderId="1232" xfId="0" applyNumberFormat="1" applyFont="1" applyBorder="1" applyAlignment="1">
      <alignment horizontal="right" wrapText="1"/>
    </xf>
    <xf numFmtId="1" fontId="3" fillId="0" borderId="1199" xfId="0" applyNumberFormat="1" applyFont="1" applyBorder="1" applyAlignment="1">
      <alignment horizontal="right"/>
    </xf>
    <xf numFmtId="1" fontId="3" fillId="4" borderId="1231" xfId="0" applyNumberFormat="1" applyFont="1" applyFill="1" applyBorder="1" applyProtection="1">
      <protection locked="0"/>
    </xf>
    <xf numFmtId="1" fontId="3" fillId="4" borderId="1199" xfId="0" applyNumberFormat="1" applyFont="1" applyFill="1" applyBorder="1" applyProtection="1">
      <protection locked="0"/>
    </xf>
    <xf numFmtId="1" fontId="3" fillId="4" borderId="1233" xfId="0" applyNumberFormat="1" applyFont="1" applyFill="1" applyBorder="1" applyProtection="1">
      <protection locked="0"/>
    </xf>
    <xf numFmtId="1" fontId="3" fillId="4" borderId="1230" xfId="0" applyNumberFormat="1" applyFont="1" applyFill="1" applyBorder="1" applyProtection="1">
      <protection locked="0"/>
    </xf>
    <xf numFmtId="1" fontId="3" fillId="4" borderId="1234" xfId="0" applyNumberFormat="1" applyFont="1" applyFill="1" applyBorder="1" applyProtection="1">
      <protection locked="0"/>
    </xf>
    <xf numFmtId="1" fontId="3" fillId="0" borderId="903" xfId="0" applyNumberFormat="1" applyFont="1" applyBorder="1" applyAlignment="1">
      <alignment vertical="center" wrapText="1"/>
    </xf>
    <xf numFmtId="1" fontId="3" fillId="0" borderId="244" xfId="0" applyNumberFormat="1" applyFont="1" applyBorder="1" applyAlignment="1">
      <alignment horizontal="right" wrapText="1"/>
    </xf>
    <xf numFmtId="1" fontId="3" fillId="0" borderId="838" xfId="0" applyNumberFormat="1" applyFont="1" applyBorder="1" applyAlignment="1">
      <alignment horizontal="right"/>
    </xf>
    <xf numFmtId="1" fontId="3" fillId="0" borderId="374" xfId="0" applyNumberFormat="1" applyFont="1" applyBorder="1" applyAlignment="1">
      <alignment horizontal="right" wrapText="1"/>
    </xf>
    <xf numFmtId="1" fontId="3" fillId="0" borderId="832" xfId="0" applyNumberFormat="1" applyFont="1" applyBorder="1" applyAlignment="1">
      <alignment horizontal="right" wrapText="1"/>
    </xf>
    <xf numFmtId="1" fontId="3" fillId="0" borderId="1154" xfId="0" applyNumberFormat="1" applyFont="1" applyBorder="1" applyAlignment="1">
      <alignment horizontal="left" vertical="center" wrapText="1"/>
    </xf>
    <xf numFmtId="1" fontId="3" fillId="0" borderId="1214" xfId="0" applyNumberFormat="1" applyFont="1" applyBorder="1" applyAlignment="1">
      <alignment horizontal="center"/>
    </xf>
    <xf numFmtId="1" fontId="3" fillId="0" borderId="1171" xfId="0" applyNumberFormat="1" applyFont="1" applyBorder="1" applyAlignment="1">
      <alignment horizontal="right"/>
    </xf>
    <xf numFmtId="1" fontId="3" fillId="0" borderId="1204" xfId="0" applyNumberFormat="1" applyFont="1" applyBorder="1" applyAlignment="1">
      <alignment horizontal="right"/>
    </xf>
    <xf numFmtId="1" fontId="3" fillId="0" borderId="1198" xfId="0" applyNumberFormat="1" applyFont="1" applyBorder="1" applyAlignment="1">
      <alignment horizontal="right"/>
    </xf>
    <xf numFmtId="1" fontId="3" fillId="0" borderId="1171" xfId="0" applyNumberFormat="1" applyFont="1" applyBorder="1"/>
    <xf numFmtId="1" fontId="3" fillId="0" borderId="1198" xfId="0" applyNumberFormat="1" applyFont="1" applyBorder="1"/>
    <xf numFmtId="1" fontId="3" fillId="0" borderId="1221" xfId="0" applyNumberFormat="1" applyFont="1" applyBorder="1"/>
    <xf numFmtId="1" fontId="3" fillId="0" borderId="1206" xfId="0" applyNumberFormat="1" applyFont="1" applyBorder="1"/>
    <xf numFmtId="1" fontId="3" fillId="0" borderId="1227" xfId="0" applyNumberFormat="1" applyFont="1" applyBorder="1"/>
    <xf numFmtId="1" fontId="3" fillId="0" borderId="1171" xfId="0" applyNumberFormat="1" applyFont="1" applyBorder="1" applyAlignment="1">
      <alignment horizontal="right" wrapText="1"/>
    </xf>
    <xf numFmtId="1" fontId="3" fillId="0" borderId="1204" xfId="0" applyNumberFormat="1" applyFont="1" applyBorder="1" applyAlignment="1">
      <alignment horizontal="right" wrapText="1"/>
    </xf>
    <xf numFmtId="1" fontId="3" fillId="4" borderId="1171" xfId="0" applyNumberFormat="1" applyFont="1" applyFill="1" applyBorder="1" applyProtection="1">
      <protection locked="0"/>
    </xf>
    <xf numFmtId="1" fontId="3" fillId="4" borderId="1198" xfId="0" applyNumberFormat="1" applyFont="1" applyFill="1" applyBorder="1" applyProtection="1">
      <protection locked="0"/>
    </xf>
    <xf numFmtId="1" fontId="3" fillId="4" borderId="1221" xfId="0" applyNumberFormat="1" applyFont="1" applyFill="1" applyBorder="1" applyProtection="1">
      <protection locked="0"/>
    </xf>
    <xf numFmtId="1" fontId="3" fillId="4" borderId="1206" xfId="0" applyNumberFormat="1" applyFont="1" applyFill="1" applyBorder="1" applyProtection="1">
      <protection locked="0"/>
    </xf>
    <xf numFmtId="1" fontId="3" fillId="4" borderId="1227" xfId="0" applyNumberFormat="1" applyFont="1" applyFill="1" applyBorder="1" applyProtection="1">
      <protection locked="0"/>
    </xf>
    <xf numFmtId="1" fontId="3" fillId="0" borderId="1214" xfId="0" applyNumberFormat="1" applyFont="1" applyBorder="1" applyAlignment="1">
      <alignment horizontal="left" vertical="center" wrapText="1"/>
    </xf>
    <xf numFmtId="1" fontId="3" fillId="0" borderId="1228" xfId="0" applyNumberFormat="1" applyFont="1" applyBorder="1" applyAlignment="1">
      <alignment horizontal="left" vertical="center" wrapText="1"/>
    </xf>
    <xf numFmtId="1" fontId="3" fillId="0" borderId="1168" xfId="0" applyNumberFormat="1" applyFont="1" applyBorder="1" applyAlignment="1">
      <alignment horizontal="right" wrapText="1"/>
    </xf>
    <xf numFmtId="1" fontId="3" fillId="0" borderId="1229" xfId="0" applyNumberFormat="1" applyFont="1" applyBorder="1" applyAlignment="1">
      <alignment horizontal="right" wrapText="1"/>
    </xf>
    <xf numFmtId="1" fontId="3" fillId="0" borderId="1156" xfId="0" applyNumberFormat="1" applyFont="1" applyBorder="1" applyAlignment="1">
      <alignment horizontal="right"/>
    </xf>
    <xf numFmtId="1" fontId="3" fillId="4" borderId="1168" xfId="0" applyNumberFormat="1" applyFont="1" applyFill="1" applyBorder="1" applyProtection="1">
      <protection locked="0"/>
    </xf>
    <xf numFmtId="1" fontId="3" fillId="4" borderId="1156" xfId="0" applyNumberFormat="1" applyFont="1" applyFill="1" applyBorder="1" applyProtection="1">
      <protection locked="0"/>
    </xf>
    <xf numFmtId="1" fontId="3" fillId="4" borderId="1219" xfId="0" applyNumberFormat="1" applyFont="1" applyFill="1" applyBorder="1" applyProtection="1">
      <protection locked="0"/>
    </xf>
    <xf numFmtId="1" fontId="3" fillId="4" borderId="1228" xfId="0" applyNumberFormat="1" applyFont="1" applyFill="1" applyBorder="1" applyProtection="1">
      <protection locked="0"/>
    </xf>
    <xf numFmtId="1" fontId="3" fillId="4" borderId="1235" xfId="0" applyNumberFormat="1" applyFont="1" applyFill="1" applyBorder="1" applyProtection="1">
      <protection locked="0"/>
    </xf>
    <xf numFmtId="1" fontId="3" fillId="0" borderId="1236" xfId="0" applyNumberFormat="1" applyFont="1" applyBorder="1" applyAlignment="1">
      <alignment horizontal="left" vertical="center" wrapText="1"/>
    </xf>
    <xf numFmtId="1" fontId="3" fillId="0" borderId="1163" xfId="0" applyNumberFormat="1" applyFont="1" applyBorder="1" applyAlignment="1">
      <alignment horizontal="left" vertical="center" wrapText="1"/>
    </xf>
    <xf numFmtId="1" fontId="3" fillId="0" borderId="1215" xfId="0" applyNumberFormat="1" applyFont="1" applyBorder="1" applyAlignment="1">
      <alignment horizontal="right" wrapText="1"/>
    </xf>
    <xf numFmtId="1" fontId="3" fillId="0" borderId="511" xfId="0" applyNumberFormat="1" applyFont="1" applyBorder="1" applyAlignment="1">
      <alignment horizontal="right" wrapText="1"/>
    </xf>
    <xf numFmtId="1" fontId="3" fillId="0" borderId="777" xfId="0" applyNumberFormat="1" applyFont="1" applyBorder="1" applyAlignment="1">
      <alignment horizontal="right"/>
    </xf>
    <xf numFmtId="1" fontId="3" fillId="4" borderId="947" xfId="0" applyNumberFormat="1" applyFont="1" applyFill="1" applyBorder="1" applyProtection="1">
      <protection locked="0"/>
    </xf>
    <xf numFmtId="1" fontId="3" fillId="4" borderId="1163" xfId="0" applyNumberFormat="1" applyFont="1" applyFill="1" applyBorder="1" applyProtection="1">
      <protection locked="0"/>
    </xf>
    <xf numFmtId="1" fontId="3" fillId="0" borderId="1164" xfId="0" applyNumberFormat="1" applyFont="1" applyBorder="1" applyAlignment="1">
      <alignment horizontal="center" vertical="center" wrapText="1"/>
    </xf>
    <xf numFmtId="1" fontId="3" fillId="0" borderId="1154" xfId="0" applyNumberFormat="1" applyFont="1" applyBorder="1" applyAlignment="1">
      <alignment horizontal="center" vertical="center" wrapText="1"/>
    </xf>
    <xf numFmtId="1" fontId="3" fillId="0" borderId="1204" xfId="0" applyNumberFormat="1" applyFont="1" applyBorder="1" applyAlignment="1">
      <alignment horizontal="center" vertical="center" wrapText="1"/>
    </xf>
    <xf numFmtId="1" fontId="3" fillId="0" borderId="1236" xfId="0" applyNumberFormat="1" applyFont="1" applyBorder="1" applyAlignment="1">
      <alignment horizontal="right" vertical="center" wrapText="1"/>
    </xf>
    <xf numFmtId="1" fontId="3" fillId="4" borderId="1236" xfId="0" applyNumberFormat="1" applyFont="1" applyFill="1" applyBorder="1" applyProtection="1">
      <protection locked="0"/>
    </xf>
    <xf numFmtId="1" fontId="3" fillId="0" borderId="1237" xfId="0" applyNumberFormat="1" applyFont="1" applyBorder="1"/>
    <xf numFmtId="1" fontId="3" fillId="0" borderId="1232" xfId="0" applyNumberFormat="1" applyFont="1" applyBorder="1"/>
    <xf numFmtId="1" fontId="3" fillId="0" borderId="1199" xfId="0" applyNumberFormat="1" applyFont="1" applyBorder="1"/>
    <xf numFmtId="1" fontId="3" fillId="0" borderId="832" xfId="0" applyNumberFormat="1" applyFont="1" applyBorder="1"/>
    <xf numFmtId="0" fontId="3" fillId="0" borderId="1214" xfId="0" applyFont="1" applyBorder="1" applyAlignment="1">
      <alignment horizontal="center"/>
    </xf>
    <xf numFmtId="1" fontId="3" fillId="0" borderId="1214" xfId="0" applyNumberFormat="1" applyFont="1" applyBorder="1"/>
    <xf numFmtId="1" fontId="3" fillId="0" borderId="1158" xfId="0" applyNumberFormat="1" applyFont="1" applyBorder="1"/>
    <xf numFmtId="1" fontId="3" fillId="0" borderId="1210" xfId="0" applyNumberFormat="1" applyFont="1" applyBorder="1"/>
    <xf numFmtId="9" fontId="3" fillId="0" borderId="1198" xfId="4" applyFont="1" applyBorder="1" applyAlignment="1">
      <alignment horizontal="center" vertical="center" wrapText="1"/>
    </xf>
    <xf numFmtId="0" fontId="3" fillId="0" borderId="1171" xfId="0" applyFont="1" applyBorder="1" applyAlignment="1">
      <alignment horizontal="center" vertical="center" wrapText="1"/>
    </xf>
    <xf numFmtId="0" fontId="3" fillId="0" borderId="1204" xfId="0" applyFont="1" applyBorder="1" applyAlignment="1">
      <alignment horizontal="center" vertical="center" wrapText="1"/>
    </xf>
    <xf numFmtId="0" fontId="3" fillId="0" borderId="1198" xfId="0" applyFont="1" applyBorder="1" applyAlignment="1">
      <alignment horizontal="center" vertical="center" wrapText="1"/>
    </xf>
    <xf numFmtId="1" fontId="3" fillId="0" borderId="1231" xfId="0" applyNumberFormat="1" applyFont="1" applyBorder="1"/>
    <xf numFmtId="1" fontId="3" fillId="4" borderId="1237" xfId="0" applyNumberFormat="1" applyFont="1" applyFill="1" applyBorder="1" applyProtection="1">
      <protection locked="0"/>
    </xf>
    <xf numFmtId="1" fontId="3" fillId="4" borderId="1232" xfId="0" applyNumberFormat="1" applyFont="1" applyFill="1" applyBorder="1" applyProtection="1">
      <protection locked="0"/>
    </xf>
    <xf numFmtId="1" fontId="3" fillId="0" borderId="1154" xfId="0" applyNumberFormat="1" applyFont="1" applyBorder="1" applyAlignment="1">
      <alignment horizontal="right" vertical="center" wrapText="1"/>
    </xf>
    <xf numFmtId="1" fontId="3" fillId="0" borderId="1215" xfId="0" applyNumberFormat="1" applyFont="1" applyBorder="1"/>
    <xf numFmtId="1" fontId="3" fillId="4" borderId="1215" xfId="0" applyNumberFormat="1" applyFont="1" applyFill="1" applyBorder="1" applyProtection="1">
      <protection locked="0"/>
    </xf>
    <xf numFmtId="1" fontId="3" fillId="4" borderId="1216" xfId="0" applyNumberFormat="1" applyFont="1" applyFill="1" applyBorder="1" applyProtection="1">
      <protection locked="0"/>
    </xf>
    <xf numFmtId="1" fontId="3" fillId="5" borderId="1171" xfId="0" applyNumberFormat="1" applyFont="1" applyFill="1" applyBorder="1"/>
    <xf numFmtId="1" fontId="3" fillId="5" borderId="1214" xfId="0" applyNumberFormat="1" applyFont="1" applyFill="1" applyBorder="1"/>
    <xf numFmtId="1" fontId="3" fillId="5" borderId="1158" xfId="0" applyNumberFormat="1" applyFont="1" applyFill="1" applyBorder="1"/>
    <xf numFmtId="1" fontId="3" fillId="5" borderId="1204" xfId="0" applyNumberFormat="1" applyFont="1" applyFill="1" applyBorder="1"/>
    <xf numFmtId="1" fontId="3" fillId="5" borderId="1221" xfId="0" applyNumberFormat="1" applyFont="1" applyFill="1" applyBorder="1"/>
    <xf numFmtId="1" fontId="3" fillId="4" borderId="1164" xfId="0" applyNumberFormat="1" applyFont="1" applyFill="1" applyBorder="1" applyProtection="1">
      <protection locked="0"/>
    </xf>
    <xf numFmtId="1" fontId="2" fillId="3" borderId="1205" xfId="0" applyNumberFormat="1" applyFont="1" applyFill="1" applyBorder="1" applyAlignment="1" applyProtection="1">
      <alignment horizontal="left"/>
      <protection hidden="1"/>
    </xf>
    <xf numFmtId="1" fontId="2" fillId="3" borderId="777" xfId="0" applyNumberFormat="1" applyFont="1" applyFill="1" applyBorder="1" applyAlignment="1" applyProtection="1">
      <alignment horizontal="left"/>
      <protection hidden="1"/>
    </xf>
    <xf numFmtId="1" fontId="2" fillId="3" borderId="777" xfId="0" applyNumberFormat="1" applyFont="1" applyFill="1" applyBorder="1" applyAlignment="1">
      <alignment horizontal="left" wrapText="1"/>
    </xf>
    <xf numFmtId="1" fontId="2" fillId="3" borderId="777" xfId="0" applyNumberFormat="1" applyFont="1" applyFill="1" applyBorder="1" applyAlignment="1" applyProtection="1">
      <alignment horizontal="left" wrapText="1"/>
      <protection hidden="1"/>
    </xf>
    <xf numFmtId="1" fontId="2" fillId="3" borderId="777" xfId="0" applyNumberFormat="1" applyFont="1" applyFill="1" applyBorder="1" applyProtection="1">
      <protection hidden="1"/>
    </xf>
    <xf numFmtId="1" fontId="6" fillId="3" borderId="777" xfId="0" applyNumberFormat="1" applyFont="1" applyFill="1" applyBorder="1" applyProtection="1">
      <protection hidden="1"/>
    </xf>
    <xf numFmtId="1" fontId="2" fillId="3" borderId="777" xfId="0" applyNumberFormat="1" applyFont="1" applyFill="1" applyBorder="1" applyAlignment="1" applyProtection="1">
      <alignment wrapText="1"/>
      <protection hidden="1"/>
    </xf>
    <xf numFmtId="1" fontId="3" fillId="0" borderId="947" xfId="0" applyNumberFormat="1" applyFont="1" applyBorder="1" applyAlignment="1" applyProtection="1">
      <alignment horizontal="center" vertical="center" wrapText="1"/>
      <protection hidden="1"/>
    </xf>
    <xf numFmtId="1" fontId="3" fillId="0" borderId="1168" xfId="0" applyNumberFormat="1" applyFont="1" applyBorder="1" applyAlignment="1" applyProtection="1">
      <alignment horizontal="center" vertical="center"/>
      <protection hidden="1"/>
    </xf>
    <xf numFmtId="1" fontId="3" fillId="0" borderId="1229" xfId="0" applyNumberFormat="1" applyFont="1" applyBorder="1" applyAlignment="1" applyProtection="1">
      <alignment horizontal="center" vertical="center"/>
      <protection hidden="1"/>
    </xf>
    <xf numFmtId="1" fontId="3" fillId="0" borderId="1158" xfId="0" applyNumberFormat="1" applyFont="1" applyBorder="1" applyAlignment="1">
      <alignment horizontal="center" vertical="center" wrapText="1"/>
    </xf>
    <xf numFmtId="1" fontId="2" fillId="0" borderId="1205" xfId="0" applyNumberFormat="1" applyFont="1" applyBorder="1" applyAlignment="1" applyProtection="1">
      <alignment horizontal="left" wrapText="1"/>
      <protection hidden="1"/>
    </xf>
    <xf numFmtId="1" fontId="3" fillId="0" borderId="1206" xfId="0" applyNumberFormat="1" applyFont="1" applyBorder="1" applyAlignment="1" applyProtection="1">
      <alignment horizontal="center" vertical="center" wrapText="1"/>
      <protection hidden="1"/>
    </xf>
    <xf numFmtId="1" fontId="3" fillId="0" borderId="1171" xfId="0" applyNumberFormat="1" applyFont="1" applyBorder="1" applyAlignment="1" applyProtection="1">
      <alignment horizontal="center" vertical="center"/>
      <protection hidden="1"/>
    </xf>
    <xf numFmtId="1" fontId="3" fillId="0" borderId="1204" xfId="0" applyNumberFormat="1" applyFont="1" applyBorder="1" applyAlignment="1" applyProtection="1">
      <alignment horizontal="center" vertical="center"/>
      <protection hidden="1"/>
    </xf>
    <xf numFmtId="1" fontId="3" fillId="0" borderId="220" xfId="0" applyNumberFormat="1" applyFont="1" applyBorder="1" applyAlignment="1" applyProtection="1">
      <alignment horizontal="center" vertical="center" wrapText="1"/>
      <protection hidden="1"/>
    </xf>
    <xf numFmtId="1" fontId="3" fillId="0" borderId="452" xfId="0" applyNumberFormat="1" applyFont="1" applyBorder="1" applyAlignment="1">
      <alignment horizontal="center" vertical="center" wrapText="1"/>
    </xf>
    <xf numFmtId="1" fontId="3" fillId="0" borderId="1230" xfId="0" applyNumberFormat="1" applyFont="1" applyBorder="1" applyAlignment="1" applyProtection="1">
      <alignment horizontal="left" vertical="center" wrapText="1"/>
      <protection hidden="1"/>
    </xf>
    <xf numFmtId="1" fontId="3" fillId="4" borderId="1199" xfId="0" applyNumberFormat="1" applyFont="1" applyFill="1" applyBorder="1" applyAlignment="1" applyProtection="1">
      <alignment wrapText="1"/>
      <protection locked="0"/>
    </xf>
    <xf numFmtId="1" fontId="3" fillId="0" borderId="835" xfId="0" applyNumberFormat="1" applyFont="1" applyBorder="1" applyAlignment="1" applyProtection="1">
      <alignment horizontal="left" vertical="center" wrapText="1"/>
      <protection hidden="1"/>
    </xf>
    <xf numFmtId="1" fontId="3" fillId="4" borderId="838" xfId="0" applyNumberFormat="1" applyFont="1" applyFill="1" applyBorder="1" applyAlignment="1" applyProtection="1">
      <alignment wrapText="1"/>
      <protection locked="0"/>
    </xf>
    <xf numFmtId="1" fontId="3" fillId="0" borderId="831" xfId="0" applyNumberFormat="1" applyFont="1" applyBorder="1" applyAlignment="1">
      <alignment horizontal="right" wrapText="1"/>
    </xf>
    <xf numFmtId="1" fontId="3" fillId="7" borderId="1231" xfId="0" applyNumberFormat="1" applyFont="1" applyFill="1" applyBorder="1"/>
    <xf numFmtId="1" fontId="3" fillId="7" borderId="1199" xfId="0" applyNumberFormat="1" applyFont="1" applyFill="1" applyBorder="1"/>
    <xf numFmtId="1" fontId="3" fillId="7" borderId="1230" xfId="0" applyNumberFormat="1" applyFont="1" applyFill="1" applyBorder="1"/>
    <xf numFmtId="1" fontId="3" fillId="7" borderId="1233" xfId="0" applyNumberFormat="1" applyFont="1" applyFill="1" applyBorder="1"/>
    <xf numFmtId="1" fontId="3" fillId="7" borderId="1234" xfId="0" applyNumberFormat="1" applyFont="1" applyFill="1" applyBorder="1"/>
    <xf numFmtId="1" fontId="3" fillId="7" borderId="831" xfId="0" applyNumberFormat="1" applyFont="1" applyFill="1" applyBorder="1"/>
    <xf numFmtId="1" fontId="3" fillId="7" borderId="833" xfId="0" applyNumberFormat="1" applyFont="1" applyFill="1" applyBorder="1"/>
    <xf numFmtId="1" fontId="3" fillId="7" borderId="854" xfId="0" applyNumberFormat="1" applyFont="1" applyFill="1" applyBorder="1"/>
    <xf numFmtId="1" fontId="3" fillId="7" borderId="838" xfId="0" applyNumberFormat="1" applyFont="1" applyFill="1" applyBorder="1"/>
    <xf numFmtId="1" fontId="3" fillId="7" borderId="903" xfId="0" applyNumberFormat="1" applyFont="1" applyFill="1" applyBorder="1"/>
    <xf numFmtId="1" fontId="3" fillId="7" borderId="407" xfId="0" applyNumberFormat="1" applyFont="1" applyFill="1" applyBorder="1"/>
    <xf numFmtId="1" fontId="2" fillId="0" borderId="1205" xfId="0" applyNumberFormat="1" applyFont="1" applyBorder="1" applyAlignment="1" applyProtection="1">
      <alignment horizontal="left"/>
      <protection hidden="1"/>
    </xf>
    <xf numFmtId="1" fontId="2" fillId="0" borderId="777" xfId="0" applyNumberFormat="1" applyFont="1" applyBorder="1" applyAlignment="1" applyProtection="1">
      <alignment horizontal="left" wrapText="1"/>
      <protection hidden="1"/>
    </xf>
    <xf numFmtId="1" fontId="3" fillId="0" borderId="1164" xfId="0" applyNumberFormat="1" applyFont="1" applyBorder="1" applyAlignment="1" applyProtection="1">
      <alignment horizontal="center" vertical="center" wrapText="1"/>
      <protection hidden="1"/>
    </xf>
    <xf numFmtId="1" fontId="3" fillId="0" borderId="1198" xfId="0" applyNumberFormat="1" applyFont="1" applyBorder="1" applyAlignment="1" applyProtection="1">
      <alignment horizontal="center" vertical="center" wrapText="1"/>
      <protection hidden="1"/>
    </xf>
    <xf numFmtId="1" fontId="3" fillId="0" borderId="1171" xfId="0" applyNumberFormat="1" applyFont="1" applyBorder="1" applyAlignment="1" applyProtection="1">
      <alignment horizontal="center" vertical="center" wrapText="1"/>
      <protection hidden="1"/>
    </xf>
    <xf numFmtId="1" fontId="3" fillId="0" borderId="1221" xfId="0" applyNumberFormat="1" applyFont="1" applyBorder="1" applyAlignment="1" applyProtection="1">
      <alignment horizontal="center" vertical="center" wrapText="1"/>
      <protection hidden="1"/>
    </xf>
    <xf numFmtId="1" fontId="3" fillId="0" borderId="1227" xfId="0" applyNumberFormat="1" applyFont="1" applyBorder="1" applyAlignment="1" applyProtection="1">
      <alignment horizontal="center" vertical="center" wrapText="1"/>
      <protection hidden="1"/>
    </xf>
    <xf numFmtId="1" fontId="3" fillId="0" borderId="1158" xfId="0" applyNumberFormat="1" applyFont="1" applyBorder="1" applyAlignment="1" applyProtection="1">
      <alignment horizontal="center" vertical="center" wrapText="1"/>
      <protection hidden="1"/>
    </xf>
    <xf numFmtId="1" fontId="3" fillId="0" borderId="1236" xfId="0" applyNumberFormat="1" applyFont="1" applyBorder="1" applyAlignment="1" applyProtection="1">
      <alignment vertical="center" wrapText="1"/>
      <protection hidden="1"/>
    </xf>
    <xf numFmtId="1" fontId="3" fillId="4" borderId="1231" xfId="0" applyNumberFormat="1" applyFont="1" applyFill="1" applyBorder="1" applyAlignment="1" applyProtection="1">
      <alignment wrapText="1"/>
      <protection locked="0"/>
    </xf>
    <xf numFmtId="1" fontId="3" fillId="4" borderId="1233" xfId="0" applyNumberFormat="1" applyFont="1" applyFill="1" applyBorder="1" applyAlignment="1" applyProtection="1">
      <alignment wrapText="1"/>
      <protection locked="0"/>
    </xf>
    <xf numFmtId="1" fontId="3" fillId="4" borderId="1234" xfId="0" applyNumberFormat="1" applyFont="1" applyFill="1" applyBorder="1" applyAlignment="1" applyProtection="1">
      <alignment wrapText="1"/>
      <protection locked="0"/>
    </xf>
    <xf numFmtId="1" fontId="3" fillId="4" borderId="1237" xfId="0" applyNumberFormat="1" applyFont="1" applyFill="1" applyBorder="1" applyAlignment="1" applyProtection="1">
      <alignment wrapText="1"/>
      <protection locked="0"/>
    </xf>
    <xf numFmtId="1" fontId="3" fillId="0" borderId="835" xfId="0" applyNumberFormat="1" applyFont="1" applyBorder="1" applyAlignment="1" applyProtection="1">
      <alignment vertical="center" wrapText="1"/>
      <protection hidden="1"/>
    </xf>
    <xf numFmtId="1" fontId="3" fillId="4" borderId="371" xfId="0" applyNumberFormat="1" applyFont="1" applyFill="1" applyBorder="1" applyAlignment="1" applyProtection="1">
      <alignment wrapText="1"/>
      <protection locked="0"/>
    </xf>
    <xf numFmtId="1" fontId="3" fillId="4" borderId="372" xfId="0" applyNumberFormat="1" applyFont="1" applyFill="1" applyBorder="1" applyAlignment="1" applyProtection="1">
      <alignment wrapText="1"/>
      <protection locked="0"/>
    </xf>
    <xf numFmtId="1" fontId="3" fillId="4" borderId="407" xfId="0" applyNumberFormat="1" applyFont="1" applyFill="1" applyBorder="1" applyAlignment="1" applyProtection="1">
      <alignment wrapText="1"/>
      <protection locked="0"/>
    </xf>
    <xf numFmtId="1" fontId="3" fillId="4" borderId="911" xfId="0" applyNumberFormat="1" applyFont="1" applyFill="1" applyBorder="1" applyAlignment="1" applyProtection="1">
      <alignment wrapText="1"/>
      <protection locked="0"/>
    </xf>
    <xf numFmtId="1" fontId="3" fillId="4" borderId="1236" xfId="0" applyNumberFormat="1" applyFont="1" applyFill="1" applyBorder="1" applyAlignment="1" applyProtection="1">
      <alignment horizontal="right" wrapText="1"/>
      <protection locked="0"/>
    </xf>
    <xf numFmtId="1" fontId="3" fillId="4" borderId="1231" xfId="0" applyNumberFormat="1" applyFont="1" applyFill="1" applyBorder="1" applyAlignment="1" applyProtection="1">
      <alignment horizontal="right"/>
      <protection locked="0"/>
    </xf>
    <xf numFmtId="1" fontId="3" fillId="4" borderId="1199" xfId="0" applyNumberFormat="1" applyFont="1" applyFill="1" applyBorder="1" applyAlignment="1" applyProtection="1">
      <alignment horizontal="right"/>
      <protection locked="0"/>
    </xf>
    <xf numFmtId="1" fontId="3" fillId="3" borderId="835" xfId="0" applyNumberFormat="1" applyFont="1" applyFill="1" applyBorder="1" applyAlignment="1" applyProtection="1">
      <alignment vertical="center" wrapText="1"/>
      <protection hidden="1"/>
    </xf>
    <xf numFmtId="1" fontId="3" fillId="0" borderId="1230" xfId="0" applyNumberFormat="1" applyFont="1" applyBorder="1" applyAlignment="1">
      <alignment horizontal="left" vertical="center" wrapText="1"/>
    </xf>
    <xf numFmtId="1" fontId="3" fillId="0" borderId="1206" xfId="0" applyNumberFormat="1" applyFont="1" applyBorder="1" applyAlignment="1">
      <alignment horizontal="right" vertical="center" wrapText="1"/>
    </xf>
    <xf numFmtId="1" fontId="3" fillId="0" borderId="1171" xfId="0" applyNumberFormat="1" applyFont="1" applyBorder="1" applyAlignment="1">
      <alignment horizontal="right" vertical="center" wrapText="1"/>
    </xf>
    <xf numFmtId="1" fontId="3" fillId="0" borderId="1221" xfId="0" applyNumberFormat="1" applyFont="1" applyBorder="1" applyAlignment="1">
      <alignment horizontal="right" vertical="center" wrapText="1"/>
    </xf>
    <xf numFmtId="1" fontId="2" fillId="0" borderId="1238" xfId="0" applyNumberFormat="1" applyFont="1" applyBorder="1" applyAlignment="1">
      <alignment horizontal="left"/>
    </xf>
    <xf numFmtId="1" fontId="6" fillId="0" borderId="777" xfId="0" applyNumberFormat="1" applyFont="1" applyBorder="1"/>
    <xf numFmtId="1" fontId="3" fillId="3" borderId="1210" xfId="0" applyNumberFormat="1" applyFont="1" applyFill="1" applyBorder="1" applyProtection="1">
      <protection hidden="1"/>
    </xf>
    <xf numFmtId="1" fontId="3" fillId="0" borderId="1241" xfId="0" applyNumberFormat="1" applyFont="1" applyBorder="1" applyAlignment="1">
      <alignment horizontal="center" vertical="center" wrapText="1"/>
    </xf>
    <xf numFmtId="1" fontId="3" fillId="0" borderId="1214" xfId="0" applyNumberFormat="1" applyFont="1" applyBorder="1" applyAlignment="1">
      <alignment horizontal="center" vertical="center"/>
    </xf>
    <xf numFmtId="1" fontId="3" fillId="0" borderId="1158" xfId="0" applyNumberFormat="1" applyFont="1" applyBorder="1" applyAlignment="1">
      <alignment horizontal="center" vertical="center"/>
    </xf>
    <xf numFmtId="1" fontId="3" fillId="0" borderId="1236" xfId="0" applyNumberFormat="1" applyFont="1" applyBorder="1" applyAlignment="1">
      <alignment horizontal="right" wrapText="1"/>
    </xf>
    <xf numFmtId="1" fontId="3" fillId="0" borderId="1237" xfId="0" applyNumberFormat="1" applyFont="1" applyBorder="1" applyAlignment="1">
      <alignment horizontal="right" wrapText="1"/>
    </xf>
    <xf numFmtId="1" fontId="3" fillId="4" borderId="1233" xfId="0" applyNumberFormat="1" applyFont="1" applyFill="1" applyBorder="1" applyAlignment="1" applyProtection="1">
      <alignment horizontal="right"/>
      <protection locked="0"/>
    </xf>
    <xf numFmtId="1" fontId="3" fillId="4" borderId="1230" xfId="0" applyNumberFormat="1" applyFont="1" applyFill="1" applyBorder="1" applyAlignment="1" applyProtection="1">
      <alignment horizontal="right"/>
      <protection locked="0"/>
    </xf>
    <xf numFmtId="1" fontId="3" fillId="4" borderId="1234" xfId="0" applyNumberFormat="1" applyFont="1" applyFill="1" applyBorder="1" applyAlignment="1" applyProtection="1">
      <alignment horizontal="right"/>
      <protection locked="0"/>
    </xf>
    <xf numFmtId="1" fontId="3" fillId="0" borderId="835" xfId="0" applyNumberFormat="1" applyFont="1" applyBorder="1" applyAlignment="1">
      <alignment horizontal="right" wrapText="1"/>
    </xf>
    <xf numFmtId="1" fontId="3" fillId="0" borderId="911" xfId="0" applyNumberFormat="1" applyFont="1" applyBorder="1" applyAlignment="1">
      <alignment horizontal="right" wrapText="1"/>
    </xf>
    <xf numFmtId="1" fontId="3" fillId="4" borderId="942" xfId="0" applyNumberFormat="1" applyFont="1" applyFill="1" applyBorder="1" applyAlignment="1" applyProtection="1">
      <alignment horizontal="right"/>
      <protection locked="0"/>
    </xf>
    <xf numFmtId="1" fontId="3" fillId="0" borderId="1242" xfId="0" applyNumberFormat="1" applyFont="1" applyBorder="1" applyAlignment="1">
      <alignment horizontal="left" vertical="center" wrapText="1"/>
    </xf>
    <xf numFmtId="1" fontId="3" fillId="0" borderId="1242" xfId="0" applyNumberFormat="1" applyFont="1" applyBorder="1" applyAlignment="1">
      <alignment horizontal="right" wrapText="1"/>
    </xf>
    <xf numFmtId="1" fontId="3" fillId="0" borderId="1243" xfId="0" applyNumberFormat="1" applyFont="1" applyBorder="1" applyAlignment="1">
      <alignment horizontal="right" wrapText="1"/>
    </xf>
    <xf numFmtId="1" fontId="3" fillId="0" borderId="1241" xfId="0" applyNumberFormat="1" applyFont="1" applyBorder="1" applyAlignment="1">
      <alignment horizontal="right"/>
    </xf>
    <xf numFmtId="1" fontId="3" fillId="4" borderId="1215" xfId="0" applyNumberFormat="1" applyFont="1" applyFill="1" applyBorder="1" applyAlignment="1" applyProtection="1">
      <alignment horizontal="right"/>
      <protection locked="0"/>
    </xf>
    <xf numFmtId="1" fontId="3" fillId="4" borderId="1241" xfId="0" applyNumberFormat="1" applyFont="1" applyFill="1" applyBorder="1" applyAlignment="1" applyProtection="1">
      <alignment horizontal="right"/>
      <protection locked="0"/>
    </xf>
    <xf numFmtId="1" fontId="3" fillId="4" borderId="1216" xfId="0" applyNumberFormat="1" applyFont="1" applyFill="1" applyBorder="1" applyAlignment="1" applyProtection="1">
      <alignment horizontal="right"/>
      <protection locked="0"/>
    </xf>
    <xf numFmtId="1" fontId="3" fillId="4" borderId="1240" xfId="0" applyNumberFormat="1" applyFont="1" applyFill="1" applyBorder="1" applyAlignment="1" applyProtection="1">
      <alignment horizontal="right"/>
      <protection locked="0"/>
    </xf>
    <xf numFmtId="1" fontId="3" fillId="4" borderId="657" xfId="0" applyNumberFormat="1" applyFont="1" applyFill="1" applyBorder="1" applyAlignment="1" applyProtection="1">
      <alignment horizontal="right"/>
      <protection locked="0"/>
    </xf>
    <xf numFmtId="1" fontId="3" fillId="0" borderId="1171" xfId="0" applyNumberFormat="1" applyFont="1" applyBorder="1" applyAlignment="1">
      <alignment horizontal="center" vertical="center"/>
    </xf>
    <xf numFmtId="1" fontId="3" fillId="0" borderId="1211" xfId="0" applyNumberFormat="1" applyFont="1" applyBorder="1" applyAlignment="1">
      <alignment horizontal="center" vertical="center"/>
    </xf>
    <xf numFmtId="1" fontId="3" fillId="4" borderId="1171" xfId="0" applyNumberFormat="1" applyFont="1" applyFill="1" applyBorder="1" applyAlignment="1" applyProtection="1">
      <alignment horizontal="right"/>
      <protection locked="0"/>
    </xf>
    <xf numFmtId="1" fontId="3" fillId="4" borderId="1211" xfId="0" applyNumberFormat="1" applyFont="1" applyFill="1" applyBorder="1" applyAlignment="1" applyProtection="1">
      <alignment horizontal="right"/>
      <protection locked="0"/>
    </xf>
    <xf numFmtId="1" fontId="3" fillId="4" borderId="1222" xfId="0" applyNumberFormat="1" applyFont="1" applyFill="1" applyBorder="1" applyAlignment="1" applyProtection="1">
      <alignment horizontal="right"/>
      <protection locked="0"/>
    </xf>
    <xf numFmtId="1" fontId="2" fillId="0" borderId="1246" xfId="0" applyNumberFormat="1" applyFont="1" applyBorder="1" applyAlignment="1">
      <alignment horizontal="left"/>
    </xf>
    <xf numFmtId="1" fontId="6" fillId="3" borderId="1247" xfId="0" applyNumberFormat="1" applyFont="1" applyFill="1" applyBorder="1" applyProtection="1">
      <protection hidden="1"/>
    </xf>
    <xf numFmtId="1" fontId="3" fillId="0" borderId="225" xfId="0" applyNumberFormat="1" applyFont="1" applyBorder="1" applyAlignment="1">
      <alignment horizontal="right" wrapText="1"/>
    </xf>
    <xf numFmtId="1" fontId="3" fillId="0" borderId="1099" xfId="0" applyNumberFormat="1" applyFont="1" applyBorder="1" applyAlignment="1">
      <alignment horizontal="right"/>
    </xf>
    <xf numFmtId="1" fontId="3" fillId="4" borderId="1099" xfId="0" applyNumberFormat="1" applyFont="1" applyFill="1" applyBorder="1" applyAlignment="1" applyProtection="1">
      <alignment horizontal="right"/>
      <protection locked="0"/>
    </xf>
    <xf numFmtId="1" fontId="3" fillId="0" borderId="1250" xfId="0" applyNumberFormat="1" applyFont="1" applyBorder="1" applyAlignment="1">
      <alignment horizontal="right" wrapText="1"/>
    </xf>
    <xf numFmtId="1" fontId="3" fillId="0" borderId="1251" xfId="0" applyNumberFormat="1" applyFont="1" applyBorder="1" applyAlignment="1">
      <alignment horizontal="right" wrapText="1"/>
    </xf>
    <xf numFmtId="1" fontId="3" fillId="0" borderId="1249" xfId="0" applyNumberFormat="1" applyFont="1" applyBorder="1" applyAlignment="1">
      <alignment horizontal="right"/>
    </xf>
    <xf numFmtId="1" fontId="3" fillId="4" borderId="1252" xfId="0" applyNumberFormat="1" applyFont="1" applyFill="1" applyBorder="1" applyAlignment="1" applyProtection="1">
      <alignment horizontal="right"/>
      <protection locked="0"/>
    </xf>
    <xf numFmtId="1" fontId="3" fillId="4" borderId="1249" xfId="0" applyNumberFormat="1" applyFont="1" applyFill="1" applyBorder="1" applyAlignment="1" applyProtection="1">
      <alignment horizontal="right"/>
      <protection locked="0"/>
    </xf>
    <xf numFmtId="1" fontId="2" fillId="0" borderId="1253" xfId="0" applyNumberFormat="1" applyFont="1" applyBorder="1" applyAlignment="1">
      <alignment horizontal="left"/>
    </xf>
    <xf numFmtId="1" fontId="13" fillId="0" borderId="1254" xfId="0" applyNumberFormat="1" applyFont="1" applyBorder="1" applyAlignment="1">
      <alignment horizontal="center" vertical="center" wrapText="1"/>
    </xf>
    <xf numFmtId="1" fontId="13" fillId="0" borderId="1255" xfId="0" applyNumberFormat="1" applyFont="1" applyBorder="1" applyAlignment="1">
      <alignment horizontal="center" vertical="center" wrapText="1"/>
    </xf>
    <xf numFmtId="1" fontId="13" fillId="3" borderId="1255" xfId="0" applyNumberFormat="1" applyFont="1" applyFill="1" applyBorder="1" applyAlignment="1" applyProtection="1">
      <alignment horizontal="center" vertical="center" wrapText="1"/>
      <protection hidden="1"/>
    </xf>
    <xf numFmtId="1" fontId="3" fillId="0" borderId="1221" xfId="0" applyNumberFormat="1" applyFont="1" applyBorder="1" applyAlignment="1">
      <alignment horizontal="center" vertical="center" wrapText="1"/>
    </xf>
    <xf numFmtId="1" fontId="3" fillId="0" borderId="1214" xfId="0" applyNumberFormat="1" applyFont="1" applyBorder="1" applyAlignment="1">
      <alignment vertical="center" wrapText="1"/>
    </xf>
    <xf numFmtId="1" fontId="3" fillId="0" borderId="1214" xfId="0" applyNumberFormat="1" applyFont="1" applyBorder="1" applyAlignment="1">
      <alignment horizontal="right" vertical="center" wrapText="1"/>
    </xf>
    <xf numFmtId="1" fontId="3" fillId="4" borderId="1158" xfId="0" applyNumberFormat="1" applyFont="1" applyFill="1" applyBorder="1" applyAlignment="1" applyProtection="1">
      <alignment horizontal="right"/>
      <protection locked="0"/>
    </xf>
    <xf numFmtId="1" fontId="3" fillId="4" borderId="1221" xfId="0" applyNumberFormat="1" applyFont="1" applyFill="1" applyBorder="1" applyAlignment="1" applyProtection="1">
      <alignment horizontal="right"/>
      <protection locked="0"/>
    </xf>
    <xf numFmtId="1" fontId="3" fillId="4" borderId="1198" xfId="0" applyNumberFormat="1" applyFont="1" applyFill="1" applyBorder="1" applyAlignment="1" applyProtection="1">
      <alignment horizontal="right"/>
      <protection locked="0"/>
    </xf>
    <xf numFmtId="1" fontId="3" fillId="5" borderId="1230" xfId="0" applyNumberFormat="1" applyFont="1" applyFill="1" applyBorder="1" applyAlignment="1">
      <alignment vertical="center" wrapText="1"/>
    </xf>
    <xf numFmtId="1" fontId="3" fillId="5" borderId="1231" xfId="0" applyNumberFormat="1" applyFont="1" applyFill="1" applyBorder="1" applyAlignment="1">
      <alignment horizontal="right" wrapText="1"/>
    </xf>
    <xf numFmtId="1" fontId="3" fillId="5" borderId="1232" xfId="0" applyNumberFormat="1" applyFont="1" applyFill="1" applyBorder="1" applyAlignment="1">
      <alignment horizontal="right" wrapText="1"/>
    </xf>
    <xf numFmtId="1" fontId="3" fillId="5" borderId="1199" xfId="0" applyNumberFormat="1" applyFont="1" applyFill="1" applyBorder="1" applyAlignment="1">
      <alignment horizontal="right"/>
    </xf>
    <xf numFmtId="1" fontId="3" fillId="5" borderId="903" xfId="0" applyNumberFormat="1" applyFont="1" applyFill="1" applyBorder="1" applyAlignment="1">
      <alignment vertical="center" wrapText="1"/>
    </xf>
    <xf numFmtId="1" fontId="3" fillId="5" borderId="838" xfId="0" applyNumberFormat="1" applyFont="1" applyFill="1" applyBorder="1" applyAlignment="1">
      <alignment horizontal="right"/>
    </xf>
    <xf numFmtId="1" fontId="2" fillId="0" borderId="1255" xfId="0" applyNumberFormat="1" applyFont="1" applyBorder="1"/>
    <xf numFmtId="1" fontId="6" fillId="0" borderId="1255" xfId="0" applyNumberFormat="1" applyFont="1" applyBorder="1"/>
    <xf numFmtId="1" fontId="3" fillId="0" borderId="903" xfId="0" applyNumberFormat="1" applyFont="1" applyBorder="1"/>
    <xf numFmtId="1" fontId="3" fillId="3" borderId="903" xfId="0" applyNumberFormat="1" applyFont="1" applyFill="1" applyBorder="1"/>
    <xf numFmtId="1" fontId="3" fillId="0" borderId="903" xfId="0" quotePrefix="1" applyNumberFormat="1" applyFont="1" applyBorder="1"/>
    <xf numFmtId="1" fontId="3" fillId="0" borderId="1248" xfId="0" applyNumberFormat="1" applyFont="1" applyBorder="1"/>
    <xf numFmtId="1" fontId="3" fillId="4" borderId="832" xfId="0" applyNumberFormat="1" applyFont="1" applyFill="1" applyBorder="1" applyProtection="1">
      <protection locked="0"/>
    </xf>
    <xf numFmtId="1" fontId="2" fillId="3" borderId="1255" xfId="0" applyNumberFormat="1" applyFont="1" applyFill="1" applyBorder="1"/>
    <xf numFmtId="0" fontId="3" fillId="0" borderId="1164" xfId="0" applyFont="1" applyBorder="1" applyAlignment="1">
      <alignment horizontal="center" vertical="center"/>
    </xf>
    <xf numFmtId="0" fontId="3" fillId="0" borderId="1214" xfId="0" applyFont="1" applyBorder="1" applyAlignment="1">
      <alignment horizontal="center" vertical="center" wrapText="1"/>
    </xf>
    <xf numFmtId="0" fontId="14" fillId="0" borderId="1236" xfId="0" applyFont="1" applyBorder="1" applyAlignment="1">
      <alignment vertical="center" wrapText="1"/>
    </xf>
    <xf numFmtId="1" fontId="5" fillId="0" borderId="1228" xfId="0" applyNumberFormat="1" applyFont="1" applyBorder="1" applyAlignment="1">
      <alignment horizontal="center" vertical="center" wrapText="1"/>
    </xf>
    <xf numFmtId="1" fontId="5" fillId="0" borderId="1123" xfId="0" applyNumberFormat="1" applyFont="1" applyBorder="1" applyAlignment="1">
      <alignment horizontal="center" vertical="center" wrapText="1"/>
    </xf>
    <xf numFmtId="1" fontId="5" fillId="0" borderId="1156" xfId="0" applyNumberFormat="1" applyFont="1" applyBorder="1" applyAlignment="1">
      <alignment horizontal="center" vertical="center" wrapText="1"/>
    </xf>
    <xf numFmtId="1" fontId="5" fillId="0" borderId="1214" xfId="0" applyNumberFormat="1" applyFont="1" applyBorder="1" applyAlignment="1">
      <alignment horizontal="center" vertical="center" wrapText="1"/>
    </xf>
    <xf numFmtId="1" fontId="5" fillId="0" borderId="1229" xfId="0" applyNumberFormat="1" applyFont="1" applyBorder="1" applyAlignment="1">
      <alignment horizontal="center" vertical="center" wrapText="1"/>
    </xf>
    <xf numFmtId="1" fontId="5" fillId="0" borderId="1250" xfId="0" applyNumberFormat="1" applyFont="1" applyBorder="1" applyAlignment="1">
      <alignment horizontal="center" vertical="center" wrapText="1"/>
    </xf>
    <xf numFmtId="1" fontId="5" fillId="0" borderId="1230" xfId="0" applyNumberFormat="1" applyFont="1" applyBorder="1" applyAlignment="1">
      <alignment vertical="center" wrapText="1"/>
    </xf>
    <xf numFmtId="1" fontId="5" fillId="0" borderId="1231" xfId="0" applyNumberFormat="1" applyFont="1" applyBorder="1" applyAlignment="1">
      <alignment horizontal="right" wrapText="1"/>
    </xf>
    <xf numFmtId="1" fontId="5" fillId="0" borderId="1232" xfId="0" applyNumberFormat="1" applyFont="1" applyBorder="1" applyAlignment="1">
      <alignment horizontal="right" wrapText="1"/>
    </xf>
    <xf numFmtId="1" fontId="5" fillId="0" borderId="1233" xfId="0" applyNumberFormat="1" applyFont="1" applyBorder="1" applyAlignment="1">
      <alignment horizontal="right"/>
    </xf>
    <xf numFmtId="1" fontId="5" fillId="4" borderId="1231" xfId="0" applyNumberFormat="1" applyFont="1" applyFill="1" applyBorder="1" applyProtection="1">
      <protection locked="0"/>
    </xf>
    <xf numFmtId="1" fontId="5" fillId="0" borderId="1250" xfId="0" applyNumberFormat="1" applyFont="1" applyBorder="1" applyAlignment="1">
      <alignment vertical="center" wrapText="1"/>
    </xf>
    <xf numFmtId="1" fontId="5" fillId="0" borderId="1214" xfId="0" applyNumberFormat="1" applyFont="1" applyBorder="1" applyAlignment="1">
      <alignment horizontal="center"/>
    </xf>
    <xf numFmtId="1" fontId="5" fillId="0" borderId="1171" xfId="0" applyNumberFormat="1" applyFont="1" applyBorder="1" applyAlignment="1">
      <alignment horizontal="right"/>
    </xf>
    <xf numFmtId="1" fontId="5" fillId="0" borderId="1204" xfId="0" applyNumberFormat="1" applyFont="1" applyBorder="1" applyAlignment="1">
      <alignment horizontal="right"/>
    </xf>
    <xf numFmtId="1" fontId="5" fillId="0" borderId="1221" xfId="0" applyNumberFormat="1" applyFont="1" applyBorder="1" applyAlignment="1">
      <alignment horizontal="right"/>
    </xf>
    <xf numFmtId="1" fontId="5" fillId="0" borderId="1171" xfId="0" applyNumberFormat="1" applyFont="1" applyBorder="1"/>
    <xf numFmtId="1" fontId="5" fillId="0" borderId="1198" xfId="0" applyNumberFormat="1" applyFont="1" applyBorder="1"/>
    <xf numFmtId="1" fontId="5" fillId="0" borderId="1207" xfId="0" applyNumberFormat="1" applyFont="1" applyBorder="1" applyAlignment="1">
      <alignment horizontal="right" wrapText="1"/>
    </xf>
    <xf numFmtId="1" fontId="5" fillId="0" borderId="1208" xfId="0" applyNumberFormat="1" applyFont="1" applyBorder="1" applyAlignment="1">
      <alignment horizontal="right"/>
    </xf>
    <xf numFmtId="1" fontId="5" fillId="4" borderId="1198" xfId="0" applyNumberFormat="1" applyFont="1" applyFill="1" applyBorder="1" applyProtection="1">
      <protection locked="0"/>
    </xf>
    <xf numFmtId="1" fontId="39" fillId="0" borderId="1255" xfId="0" applyNumberFormat="1" applyFont="1" applyBorder="1" applyAlignment="1" applyProtection="1">
      <alignment horizontal="left"/>
      <protection hidden="1"/>
    </xf>
    <xf numFmtId="1" fontId="5" fillId="0" borderId="1236" xfId="0" applyNumberFormat="1" applyFont="1" applyBorder="1" applyAlignment="1">
      <alignment vertical="center" wrapText="1"/>
    </xf>
    <xf numFmtId="1" fontId="5" fillId="4" borderId="1236" xfId="0" applyNumberFormat="1" applyFont="1" applyFill="1" applyBorder="1" applyAlignment="1" applyProtection="1">
      <alignment horizontal="right" wrapText="1"/>
      <protection locked="0"/>
    </xf>
    <xf numFmtId="1" fontId="5" fillId="4" borderId="1231" xfId="0" applyNumberFormat="1" applyFont="1" applyFill="1" applyBorder="1" applyAlignment="1" applyProtection="1">
      <alignment horizontal="right"/>
      <protection locked="0"/>
    </xf>
    <xf numFmtId="1" fontId="5" fillId="4" borderId="1199" xfId="0" applyNumberFormat="1" applyFont="1" applyFill="1" applyBorder="1" applyAlignment="1" applyProtection="1">
      <alignment horizontal="right"/>
      <protection locked="0"/>
    </xf>
    <xf numFmtId="1" fontId="5" fillId="4" borderId="371" xfId="0" applyNumberFormat="1" applyFont="1" applyFill="1" applyBorder="1" applyAlignment="1" applyProtection="1">
      <alignment horizontal="right"/>
      <protection locked="0"/>
    </xf>
    <xf numFmtId="1" fontId="5" fillId="5" borderId="1214" xfId="0" applyNumberFormat="1" applyFont="1" applyFill="1" applyBorder="1" applyAlignment="1">
      <alignment horizontal="center" vertical="center" wrapText="1"/>
    </xf>
    <xf numFmtId="1" fontId="5" fillId="0" borderId="1206" xfId="0" applyNumberFormat="1" applyFont="1" applyBorder="1" applyAlignment="1">
      <alignment horizontal="center" vertical="center"/>
    </xf>
    <xf numFmtId="1" fontId="5" fillId="0" borderId="1205" xfId="0" applyNumberFormat="1" applyFont="1" applyBorder="1" applyAlignment="1">
      <alignment horizontal="center" vertical="center"/>
    </xf>
    <xf numFmtId="1" fontId="5" fillId="0" borderId="1171" xfId="0" applyNumberFormat="1" applyFont="1" applyBorder="1" applyAlignment="1">
      <alignment horizontal="center" vertical="center" wrapText="1"/>
    </xf>
    <xf numFmtId="1" fontId="5" fillId="0" borderId="1221" xfId="0" applyNumberFormat="1" applyFont="1" applyBorder="1" applyAlignment="1">
      <alignment horizontal="center" vertical="center" wrapText="1"/>
    </xf>
    <xf numFmtId="1" fontId="5" fillId="4" borderId="1232" xfId="0" applyNumberFormat="1" applyFont="1" applyFill="1" applyBorder="1" applyProtection="1">
      <protection locked="0"/>
    </xf>
    <xf numFmtId="1" fontId="5" fillId="9" borderId="1232" xfId="38" applyNumberFormat="1" applyFont="1" applyBorder="1" applyProtection="1">
      <protection locked="0"/>
    </xf>
    <xf numFmtId="1" fontId="5" fillId="9" borderId="1233" xfId="38" applyNumberFormat="1" applyFont="1" applyBorder="1" applyProtection="1">
      <protection locked="0"/>
    </xf>
    <xf numFmtId="1" fontId="5" fillId="4" borderId="1208" xfId="0" applyNumberFormat="1" applyFont="1" applyFill="1" applyBorder="1" applyProtection="1">
      <protection locked="0"/>
    </xf>
    <xf numFmtId="1" fontId="5" fillId="4" borderId="1207" xfId="0" applyNumberFormat="1" applyFont="1" applyFill="1" applyBorder="1" applyProtection="1">
      <protection locked="0"/>
    </xf>
    <xf numFmtId="1" fontId="5" fillId="0" borderId="1236" xfId="0" applyNumberFormat="1" applyFont="1" applyBorder="1"/>
    <xf numFmtId="1" fontId="5" fillId="9" borderId="374" xfId="38" applyNumberFormat="1" applyFont="1" applyBorder="1" applyProtection="1">
      <protection locked="0"/>
    </xf>
    <xf numFmtId="1" fontId="5" fillId="9" borderId="371" xfId="38" applyNumberFormat="1" applyFont="1" applyBorder="1" applyProtection="1">
      <protection locked="0"/>
    </xf>
    <xf numFmtId="1" fontId="5" fillId="0" borderId="939" xfId="0" applyNumberFormat="1" applyFont="1" applyBorder="1"/>
    <xf numFmtId="1" fontId="5" fillId="0" borderId="977" xfId="0" applyNumberFormat="1" applyFont="1" applyBorder="1"/>
    <xf numFmtId="1" fontId="5" fillId="0" borderId="1214" xfId="0" applyNumberFormat="1" applyFont="1" applyBorder="1"/>
    <xf numFmtId="1" fontId="5" fillId="0" borderId="1251" xfId="0" applyNumberFormat="1" applyFont="1" applyBorder="1"/>
    <xf numFmtId="1" fontId="5" fillId="0" borderId="1216" xfId="0" applyNumberFormat="1" applyFont="1" applyBorder="1"/>
    <xf numFmtId="1" fontId="5" fillId="0" borderId="1255" xfId="0" applyNumberFormat="1" applyFont="1" applyBorder="1"/>
    <xf numFmtId="1" fontId="5" fillId="0" borderId="1248" xfId="0" applyNumberFormat="1" applyFont="1" applyBorder="1"/>
    <xf numFmtId="1" fontId="5" fillId="0" borderId="1252" xfId="0" applyNumberFormat="1" applyFont="1" applyBorder="1"/>
    <xf numFmtId="1" fontId="3" fillId="3" borderId="1252" xfId="0" applyNumberFormat="1" applyFont="1" applyFill="1" applyBorder="1"/>
    <xf numFmtId="1" fontId="3" fillId="3" borderId="1256" xfId="0" applyNumberFormat="1" applyFont="1" applyFill="1" applyBorder="1"/>
    <xf numFmtId="1" fontId="15" fillId="0" borderId="939" xfId="0" applyNumberFormat="1" applyFont="1" applyBorder="1"/>
    <xf numFmtId="1" fontId="5" fillId="5" borderId="1156" xfId="0" applyNumberFormat="1" applyFont="1" applyFill="1" applyBorder="1" applyAlignment="1">
      <alignment horizontal="center" vertical="center" wrapText="1"/>
    </xf>
    <xf numFmtId="1" fontId="5" fillId="5" borderId="1171" xfId="0" applyNumberFormat="1" applyFont="1" applyFill="1" applyBorder="1" applyAlignment="1">
      <alignment horizontal="center" vertical="center" wrapText="1"/>
    </xf>
    <xf numFmtId="1" fontId="5" fillId="5" borderId="1204" xfId="0" applyNumberFormat="1" applyFont="1" applyFill="1" applyBorder="1" applyAlignment="1">
      <alignment horizontal="center" vertical="center" wrapText="1"/>
    </xf>
    <xf numFmtId="1" fontId="5" fillId="5" borderId="1221" xfId="0" applyNumberFormat="1" applyFont="1" applyFill="1" applyBorder="1" applyAlignment="1">
      <alignment horizontal="center" vertical="center" wrapText="1"/>
    </xf>
    <xf numFmtId="1" fontId="5" fillId="25" borderId="1171" xfId="0" applyNumberFormat="1" applyFont="1" applyFill="1" applyBorder="1" applyAlignment="1">
      <alignment horizontal="center" vertical="center" wrapText="1"/>
    </xf>
    <xf numFmtId="1" fontId="5" fillId="25" borderId="1198" xfId="0" applyNumberFormat="1" applyFont="1" applyFill="1" applyBorder="1" applyAlignment="1">
      <alignment horizontal="center" vertical="center" wrapText="1"/>
    </xf>
    <xf numFmtId="1" fontId="5" fillId="0" borderId="1171" xfId="0" applyNumberFormat="1" applyFont="1" applyBorder="1" applyAlignment="1" applyProtection="1">
      <alignment horizontal="center" vertical="center" wrapText="1"/>
      <protection hidden="1"/>
    </xf>
    <xf numFmtId="1" fontId="5" fillId="0" borderId="1204" xfId="0" applyNumberFormat="1" applyFont="1" applyBorder="1" applyAlignment="1" applyProtection="1">
      <alignment horizontal="center" vertical="center" wrapText="1"/>
      <protection hidden="1"/>
    </xf>
    <xf numFmtId="1" fontId="5" fillId="0" borderId="1198" xfId="0" applyNumberFormat="1" applyFont="1" applyBorder="1" applyAlignment="1" applyProtection="1">
      <alignment horizontal="center" vertical="center" wrapText="1"/>
      <protection hidden="1"/>
    </xf>
    <xf numFmtId="1" fontId="5" fillId="5" borderId="1164" xfId="0" applyNumberFormat="1" applyFont="1" applyFill="1" applyBorder="1"/>
    <xf numFmtId="1" fontId="5" fillId="4" borderId="1168" xfId="0" applyNumberFormat="1" applyFont="1" applyFill="1" applyBorder="1" applyProtection="1">
      <protection locked="0"/>
    </xf>
    <xf numFmtId="1" fontId="5" fillId="4" borderId="1229" xfId="0" applyNumberFormat="1" applyFont="1" applyFill="1" applyBorder="1" applyProtection="1">
      <protection locked="0"/>
    </xf>
    <xf numFmtId="1" fontId="5" fillId="4" borderId="1259" xfId="0" applyNumberFormat="1" applyFont="1" applyFill="1" applyBorder="1" applyProtection="1">
      <protection locked="0"/>
    </xf>
    <xf numFmtId="1" fontId="5" fillId="5" borderId="1236" xfId="0" applyNumberFormat="1" applyFont="1" applyFill="1" applyBorder="1"/>
    <xf numFmtId="1" fontId="5" fillId="4" borderId="1233" xfId="0" applyNumberFormat="1" applyFont="1" applyFill="1" applyBorder="1" applyProtection="1">
      <protection locked="0"/>
    </xf>
    <xf numFmtId="1" fontId="5" fillId="4" borderId="1237" xfId="0" applyNumberFormat="1" applyFont="1" applyFill="1" applyBorder="1" applyProtection="1">
      <protection locked="0"/>
    </xf>
    <xf numFmtId="1" fontId="5" fillId="25" borderId="1099" xfId="0" applyNumberFormat="1" applyFont="1" applyFill="1" applyBorder="1" applyProtection="1">
      <protection locked="0"/>
    </xf>
    <xf numFmtId="1" fontId="5" fillId="25" borderId="831" xfId="0" applyNumberFormat="1" applyFont="1" applyFill="1" applyBorder="1" applyProtection="1">
      <protection locked="0"/>
    </xf>
    <xf numFmtId="1" fontId="5" fillId="0" borderId="1214" xfId="0" applyNumberFormat="1" applyFont="1" applyBorder="1" applyAlignment="1">
      <alignment horizontal="center" vertical="center"/>
    </xf>
    <xf numFmtId="1" fontId="5" fillId="0" borderId="1250" xfId="0" applyNumberFormat="1" applyFont="1" applyBorder="1"/>
    <xf numFmtId="1" fontId="5" fillId="0" borderId="1243" xfId="0" applyNumberFormat="1" applyFont="1" applyBorder="1"/>
    <xf numFmtId="1" fontId="5" fillId="0" borderId="1240" xfId="0" applyNumberFormat="1" applyFont="1" applyBorder="1"/>
    <xf numFmtId="1" fontId="5" fillId="0" borderId="1241" xfId="0" applyNumberFormat="1" applyFont="1" applyBorder="1"/>
    <xf numFmtId="1" fontId="5" fillId="0" borderId="1239" xfId="0" applyNumberFormat="1" applyFont="1" applyBorder="1"/>
    <xf numFmtId="1" fontId="16" fillId="0" borderId="1241" xfId="0" applyNumberFormat="1" applyFont="1" applyBorder="1" applyProtection="1">
      <protection locked="0"/>
    </xf>
    <xf numFmtId="1" fontId="5" fillId="0" borderId="1156" xfId="0" applyNumberFormat="1" applyFont="1" applyBorder="1" applyAlignment="1">
      <alignment horizontal="center" vertical="center"/>
    </xf>
    <xf numFmtId="1" fontId="5" fillId="4" borderId="1234" xfId="0" applyNumberFormat="1" applyFont="1" applyFill="1" applyBorder="1" applyProtection="1">
      <protection locked="0"/>
    </xf>
    <xf numFmtId="1" fontId="5" fillId="4" borderId="1252" xfId="0" applyNumberFormat="1" applyFont="1" applyFill="1" applyBorder="1" applyProtection="1">
      <protection locked="0"/>
    </xf>
    <xf numFmtId="1" fontId="5" fillId="4" borderId="1241" xfId="0" applyNumberFormat="1" applyFont="1" applyFill="1" applyBorder="1" applyProtection="1">
      <protection locked="0"/>
    </xf>
    <xf numFmtId="1" fontId="5" fillId="0" borderId="1216" xfId="0" applyNumberFormat="1" applyFont="1" applyBorder="1" applyAlignment="1">
      <alignment horizontal="center" vertical="center"/>
    </xf>
    <xf numFmtId="1" fontId="15" fillId="0" borderId="1240" xfId="0" applyNumberFormat="1" applyFont="1" applyBorder="1"/>
    <xf numFmtId="1" fontId="5" fillId="0" borderId="1229" xfId="0" applyNumberFormat="1" applyFont="1" applyBorder="1" applyAlignment="1">
      <alignment horizontal="right"/>
    </xf>
    <xf numFmtId="1" fontId="5" fillId="0" borderId="1156" xfId="0" applyNumberFormat="1" applyFont="1" applyBorder="1" applyAlignment="1">
      <alignment horizontal="right"/>
    </xf>
    <xf numFmtId="1" fontId="5" fillId="4" borderId="1156" xfId="0" applyNumberFormat="1" applyFont="1" applyFill="1" applyBorder="1" applyProtection="1">
      <protection locked="0"/>
    </xf>
    <xf numFmtId="1" fontId="5" fillId="4" borderId="1219" xfId="0" applyNumberFormat="1" applyFont="1" applyFill="1" applyBorder="1" applyProtection="1">
      <protection locked="0"/>
    </xf>
    <xf numFmtId="1" fontId="5" fillId="4" borderId="1228" xfId="0" applyNumberFormat="1" applyFont="1" applyFill="1" applyBorder="1" applyProtection="1">
      <protection locked="0"/>
    </xf>
    <xf numFmtId="1" fontId="5" fillId="4" borderId="1235" xfId="0" applyNumberFormat="1" applyFont="1" applyFill="1" applyBorder="1" applyProtection="1">
      <protection locked="0"/>
    </xf>
    <xf numFmtId="1" fontId="5" fillId="4" borderId="1164" xfId="0" applyNumberFormat="1" applyFont="1" applyFill="1" applyBorder="1" applyProtection="1">
      <protection locked="0"/>
    </xf>
    <xf numFmtId="1" fontId="5" fillId="4" borderId="1167" xfId="0" applyNumberFormat="1" applyFont="1" applyFill="1" applyBorder="1" applyProtection="1">
      <protection locked="0"/>
    </xf>
    <xf numFmtId="1" fontId="5" fillId="7" borderId="1232" xfId="0" applyNumberFormat="1" applyFont="1" applyFill="1" applyBorder="1" applyAlignment="1">
      <alignment horizontal="right"/>
    </xf>
    <xf numFmtId="1" fontId="5" fillId="4" borderId="1236" xfId="0" applyNumberFormat="1" applyFont="1" applyFill="1" applyBorder="1" applyProtection="1">
      <protection locked="0"/>
    </xf>
    <xf numFmtId="1" fontId="5" fillId="7" borderId="1207" xfId="0" applyNumberFormat="1" applyFont="1" applyFill="1" applyBorder="1" applyAlignment="1">
      <alignment horizontal="right"/>
    </xf>
    <xf numFmtId="1" fontId="5" fillId="7" borderId="1099" xfId="0" applyNumberFormat="1" applyFont="1" applyFill="1" applyBorder="1"/>
    <xf numFmtId="1" fontId="5" fillId="4" borderId="1226" xfId="0" applyNumberFormat="1" applyFont="1" applyFill="1" applyBorder="1" applyProtection="1">
      <protection locked="0"/>
    </xf>
    <xf numFmtId="1" fontId="5" fillId="0" borderId="1252" xfId="0" applyNumberFormat="1" applyFont="1" applyBorder="1" applyAlignment="1">
      <alignment horizontal="right"/>
    </xf>
    <xf numFmtId="1" fontId="5" fillId="0" borderId="1241" xfId="0" applyNumberFormat="1" applyFont="1" applyBorder="1" applyAlignment="1">
      <alignment horizontal="right"/>
    </xf>
    <xf numFmtId="1" fontId="5" fillId="0" borderId="1207" xfId="0" applyNumberFormat="1" applyFont="1" applyBorder="1" applyAlignment="1">
      <alignment horizontal="right"/>
    </xf>
    <xf numFmtId="1" fontId="5" fillId="0" borderId="832" xfId="0" applyNumberFormat="1" applyFont="1" applyBorder="1" applyAlignment="1">
      <alignment horizontal="right"/>
    </xf>
    <xf numFmtId="1" fontId="5" fillId="0" borderId="1252" xfId="0" applyNumberFormat="1" applyFont="1" applyBorder="1" applyAlignment="1">
      <alignment horizontal="right" wrapText="1"/>
    </xf>
    <xf numFmtId="1" fontId="15" fillId="0" borderId="1205" xfId="0" applyNumberFormat="1" applyFont="1" applyBorder="1"/>
    <xf numFmtId="1" fontId="15" fillId="0" borderId="1123" xfId="0" applyNumberFormat="1" applyFont="1" applyBorder="1"/>
    <xf numFmtId="1" fontId="5" fillId="0" borderId="1236" xfId="0" applyNumberFormat="1" applyFont="1" applyBorder="1" applyAlignment="1">
      <alignment vertical="center"/>
    </xf>
    <xf numFmtId="1" fontId="5" fillId="0" borderId="1231" xfId="0" applyNumberFormat="1" applyFont="1" applyBorder="1" applyAlignment="1">
      <alignment horizontal="right"/>
    </xf>
    <xf numFmtId="1" fontId="5" fillId="0" borderId="1232" xfId="0" applyNumberFormat="1" applyFont="1" applyBorder="1" applyAlignment="1">
      <alignment horizontal="right"/>
    </xf>
    <xf numFmtId="1" fontId="5" fillId="0" borderId="1199" xfId="0" applyNumberFormat="1" applyFont="1" applyBorder="1" applyAlignment="1">
      <alignment horizontal="right"/>
    </xf>
    <xf numFmtId="1" fontId="5" fillId="4" borderId="1230" xfId="0" applyNumberFormat="1" applyFont="1" applyFill="1" applyBorder="1" applyProtection="1">
      <protection locked="0"/>
    </xf>
    <xf numFmtId="1" fontId="5" fillId="0" borderId="1168" xfId="0" applyNumberFormat="1" applyFont="1" applyBorder="1" applyAlignment="1">
      <alignment horizontal="right"/>
    </xf>
    <xf numFmtId="1" fontId="5" fillId="7" borderId="1168" xfId="0" applyNumberFormat="1" applyFont="1" applyFill="1" applyBorder="1"/>
    <xf numFmtId="1" fontId="5" fillId="7" borderId="1156" xfId="0" applyNumberFormat="1" applyFont="1" applyFill="1" applyBorder="1"/>
    <xf numFmtId="1" fontId="5" fillId="9" borderId="1260" xfId="38" applyNumberFormat="1" applyFont="1" applyBorder="1" applyProtection="1">
      <protection locked="0"/>
    </xf>
    <xf numFmtId="1" fontId="5" fillId="9" borderId="1261" xfId="38" applyNumberFormat="1" applyFont="1" applyBorder="1" applyProtection="1">
      <protection locked="0"/>
    </xf>
    <xf numFmtId="1" fontId="5" fillId="19" borderId="1262" xfId="0" applyNumberFormat="1" applyFont="1" applyFill="1" applyBorder="1" applyProtection="1">
      <protection locked="0"/>
    </xf>
    <xf numFmtId="1" fontId="5" fillId="19" borderId="1263" xfId="0" applyNumberFormat="1" applyFont="1" applyFill="1" applyBorder="1" applyProtection="1">
      <protection locked="0"/>
    </xf>
    <xf numFmtId="1" fontId="5" fillId="19" borderId="1264" xfId="0" applyNumberFormat="1" applyFont="1" applyFill="1" applyBorder="1" applyProtection="1">
      <protection locked="0"/>
    </xf>
    <xf numFmtId="1" fontId="3" fillId="0" borderId="1265" xfId="0" applyNumberFormat="1" applyFont="1" applyBorder="1" applyAlignment="1">
      <alignment horizontal="right" wrapText="1"/>
    </xf>
    <xf numFmtId="1" fontId="5" fillId="19" borderId="1265" xfId="0" applyNumberFormat="1" applyFont="1" applyFill="1" applyBorder="1" applyProtection="1">
      <protection locked="0"/>
    </xf>
    <xf numFmtId="1" fontId="5" fillId="19" borderId="1266" xfId="0" applyNumberFormat="1" applyFont="1" applyFill="1" applyBorder="1" applyProtection="1">
      <protection locked="0"/>
    </xf>
    <xf numFmtId="1" fontId="5" fillId="19" borderId="1267" xfId="0" applyNumberFormat="1" applyFont="1" applyFill="1" applyBorder="1" applyProtection="1">
      <protection locked="0"/>
    </xf>
    <xf numFmtId="1" fontId="3" fillId="0" borderId="1262" xfId="0" applyNumberFormat="1" applyFont="1" applyBorder="1" applyAlignment="1">
      <alignment horizontal="right" wrapText="1"/>
    </xf>
    <xf numFmtId="1" fontId="5" fillId="0" borderId="1271" xfId="0" applyNumberFormat="1" applyFont="1" applyBorder="1" applyAlignment="1">
      <alignment horizontal="center" vertical="center" wrapText="1"/>
    </xf>
    <xf numFmtId="1" fontId="5" fillId="0" borderId="1282" xfId="0" applyNumberFormat="1" applyFont="1" applyBorder="1" applyAlignment="1">
      <alignment horizontal="center" vertical="center" wrapText="1"/>
    </xf>
    <xf numFmtId="1" fontId="5" fillId="0" borderId="1283" xfId="0" applyNumberFormat="1" applyFont="1" applyBorder="1" applyAlignment="1">
      <alignment horizontal="center" vertical="center" wrapText="1"/>
    </xf>
    <xf numFmtId="1" fontId="5" fillId="0" borderId="1284" xfId="0" applyNumberFormat="1" applyFont="1" applyBorder="1" applyAlignment="1">
      <alignment horizontal="center" vertical="center" wrapText="1"/>
    </xf>
    <xf numFmtId="1" fontId="5" fillId="0" borderId="1285" xfId="0" applyNumberFormat="1" applyFont="1" applyBorder="1" applyAlignment="1">
      <alignment horizontal="center" vertical="center" wrapText="1"/>
    </xf>
    <xf numFmtId="1" fontId="5" fillId="0" borderId="1286" xfId="0" applyNumberFormat="1" applyFont="1" applyBorder="1" applyAlignment="1">
      <alignment horizontal="center" vertical="center" wrapText="1"/>
    </xf>
    <xf numFmtId="1" fontId="5" fillId="0" borderId="1281" xfId="0" applyNumberFormat="1" applyFont="1" applyBorder="1" applyAlignment="1">
      <alignment horizontal="center" vertical="center" wrapText="1"/>
    </xf>
    <xf numFmtId="1" fontId="5" fillId="0" borderId="1287" xfId="0" applyNumberFormat="1" applyFont="1" applyBorder="1" applyAlignment="1">
      <alignment horizontal="left" vertical="center"/>
    </xf>
    <xf numFmtId="1" fontId="5" fillId="0" borderId="1288" xfId="0" applyNumberFormat="1" applyFont="1" applyBorder="1" applyAlignment="1">
      <alignment horizontal="right"/>
    </xf>
    <xf numFmtId="1" fontId="5" fillId="0" borderId="1289" xfId="0" applyNumberFormat="1" applyFont="1" applyBorder="1" applyAlignment="1">
      <alignment horizontal="right"/>
    </xf>
    <xf numFmtId="1" fontId="5" fillId="7" borderId="1208" xfId="0" applyNumberFormat="1" applyFont="1" applyFill="1" applyBorder="1" applyAlignment="1">
      <alignment horizontal="right"/>
    </xf>
    <xf numFmtId="1" fontId="5" fillId="4" borderId="1207" xfId="0" applyNumberFormat="1" applyFont="1" applyFill="1" applyBorder="1" applyAlignment="1" applyProtection="1">
      <alignment horizontal="right"/>
      <protection locked="0"/>
    </xf>
    <xf numFmtId="1" fontId="5" fillId="4" borderId="1226" xfId="0" applyNumberFormat="1" applyFont="1" applyFill="1" applyBorder="1" applyAlignment="1" applyProtection="1">
      <alignment horizontal="right"/>
      <protection locked="0"/>
    </xf>
    <xf numFmtId="1" fontId="5" fillId="4" borderId="407" xfId="0" applyNumberFormat="1" applyFont="1" applyFill="1" applyBorder="1" applyAlignment="1" applyProtection="1">
      <alignment horizontal="right"/>
      <protection locked="0"/>
    </xf>
    <xf numFmtId="1" fontId="5" fillId="4" borderId="376" xfId="0" applyNumberFormat="1" applyFont="1" applyFill="1" applyBorder="1" applyAlignment="1" applyProtection="1">
      <alignment horizontal="right"/>
      <protection locked="0"/>
    </xf>
    <xf numFmtId="1" fontId="5" fillId="4" borderId="372" xfId="0" applyNumberFormat="1" applyFont="1" applyFill="1" applyBorder="1" applyAlignment="1" applyProtection="1">
      <alignment horizontal="right"/>
      <protection locked="0"/>
    </xf>
    <xf numFmtId="1" fontId="5" fillId="7" borderId="371" xfId="0" applyNumberFormat="1" applyFont="1" applyFill="1" applyBorder="1" applyAlignment="1">
      <alignment horizontal="right"/>
    </xf>
    <xf numFmtId="1" fontId="5" fillId="7" borderId="374" xfId="0" applyNumberFormat="1" applyFont="1" applyFill="1" applyBorder="1" applyAlignment="1">
      <alignment horizontal="right"/>
    </xf>
    <xf numFmtId="1" fontId="5" fillId="7" borderId="372" xfId="0" applyNumberFormat="1" applyFont="1" applyFill="1" applyBorder="1" applyAlignment="1">
      <alignment horizontal="right"/>
    </xf>
    <xf numFmtId="1" fontId="5" fillId="4" borderId="374" xfId="0" applyNumberFormat="1" applyFont="1" applyFill="1" applyBorder="1" applyAlignment="1" applyProtection="1">
      <alignment horizontal="right"/>
      <protection locked="0"/>
    </xf>
    <xf numFmtId="1" fontId="5" fillId="6" borderId="371" xfId="0" applyNumberFormat="1" applyFont="1" applyFill="1" applyBorder="1" applyAlignment="1">
      <alignment horizontal="right"/>
    </xf>
    <xf numFmtId="1" fontId="5" fillId="6" borderId="374" xfId="0" applyNumberFormat="1" applyFont="1" applyFill="1" applyBorder="1" applyAlignment="1">
      <alignment horizontal="right"/>
    </xf>
    <xf numFmtId="1" fontId="5" fillId="6" borderId="407" xfId="0" applyNumberFormat="1" applyFont="1" applyFill="1" applyBorder="1" applyAlignment="1">
      <alignment horizontal="right"/>
    </xf>
    <xf numFmtId="1" fontId="5" fillId="6" borderId="372" xfId="0" applyNumberFormat="1" applyFont="1" applyFill="1" applyBorder="1" applyAlignment="1">
      <alignment horizontal="right"/>
    </xf>
    <xf numFmtId="1" fontId="5" fillId="7" borderId="407" xfId="0" applyNumberFormat="1" applyFont="1" applyFill="1" applyBorder="1" applyAlignment="1">
      <alignment horizontal="right"/>
    </xf>
    <xf numFmtId="1" fontId="5" fillId="0" borderId="1239" xfId="0" applyNumberFormat="1" applyFont="1" applyBorder="1" applyAlignment="1">
      <alignment horizontal="left" vertical="center"/>
    </xf>
    <xf numFmtId="1" fontId="15" fillId="0" borderId="1273" xfId="0" applyNumberFormat="1" applyFont="1" applyBorder="1" applyAlignment="1">
      <alignment vertical="center"/>
    </xf>
    <xf numFmtId="1" fontId="5" fillId="0" borderId="1292" xfId="0" applyNumberFormat="1" applyFont="1" applyBorder="1" applyAlignment="1">
      <alignment horizontal="left" vertical="center"/>
    </xf>
    <xf numFmtId="1" fontId="5" fillId="0" borderId="1250" xfId="0" applyNumberFormat="1" applyFont="1" applyBorder="1" applyAlignment="1">
      <alignment horizontal="left" vertical="center"/>
    </xf>
    <xf numFmtId="1" fontId="5" fillId="0" borderId="1294" xfId="0" applyNumberFormat="1" applyFont="1" applyBorder="1" applyAlignment="1">
      <alignment horizontal="center" vertical="center"/>
    </xf>
    <xf numFmtId="1" fontId="5" fillId="0" borderId="1296" xfId="0" applyNumberFormat="1" applyFont="1" applyBorder="1" applyAlignment="1">
      <alignment horizontal="center" vertical="center" wrapText="1"/>
    </xf>
    <xf numFmtId="1" fontId="5" fillId="4" borderId="1297" xfId="0" applyNumberFormat="1" applyFont="1" applyFill="1" applyBorder="1" applyAlignment="1" applyProtection="1">
      <alignment horizontal="right"/>
      <protection locked="0"/>
    </xf>
    <xf numFmtId="1" fontId="5" fillId="4" borderId="1299" xfId="0" applyNumberFormat="1" applyFont="1" applyFill="1" applyBorder="1" applyAlignment="1" applyProtection="1">
      <alignment horizontal="right"/>
      <protection locked="0"/>
    </xf>
    <xf numFmtId="1" fontId="5" fillId="4" borderId="1298" xfId="0" applyNumberFormat="1" applyFont="1" applyFill="1" applyBorder="1" applyAlignment="1" applyProtection="1">
      <alignment horizontal="right"/>
      <protection locked="0"/>
    </xf>
    <xf numFmtId="1" fontId="5" fillId="0" borderId="1292" xfId="0" applyNumberFormat="1" applyFont="1" applyBorder="1" applyAlignment="1">
      <alignment horizontal="left" vertical="center" wrapText="1"/>
    </xf>
    <xf numFmtId="1" fontId="5" fillId="4" borderId="1288" xfId="0" applyNumberFormat="1" applyFont="1" applyFill="1" applyBorder="1" applyAlignment="1" applyProtection="1">
      <alignment horizontal="right"/>
      <protection locked="0"/>
    </xf>
    <xf numFmtId="1" fontId="5" fillId="4" borderId="1300" xfId="0" applyNumberFormat="1" applyFont="1" applyFill="1" applyBorder="1" applyAlignment="1" applyProtection="1">
      <alignment horizontal="right"/>
      <protection locked="0"/>
    </xf>
    <xf numFmtId="1" fontId="5" fillId="4" borderId="1289" xfId="0" applyNumberFormat="1" applyFont="1" applyFill="1" applyBorder="1" applyAlignment="1" applyProtection="1">
      <alignment horizontal="right"/>
      <protection locked="0"/>
    </xf>
    <xf numFmtId="1" fontId="5" fillId="4" borderId="1301" xfId="0" applyNumberFormat="1" applyFont="1" applyFill="1" applyBorder="1" applyAlignment="1" applyProtection="1">
      <alignment horizontal="right"/>
      <protection locked="0"/>
    </xf>
    <xf numFmtId="1" fontId="5" fillId="4" borderId="1208" xfId="0" applyNumberFormat="1" applyFont="1" applyFill="1" applyBorder="1" applyAlignment="1" applyProtection="1">
      <alignment horizontal="right"/>
      <protection locked="0"/>
    </xf>
    <xf numFmtId="1" fontId="5" fillId="0" borderId="1241" xfId="0" applyNumberFormat="1" applyFont="1" applyBorder="1" applyAlignment="1">
      <alignment horizontal="left" vertical="center" wrapText="1"/>
    </xf>
    <xf numFmtId="1" fontId="5" fillId="4" borderId="1252" xfId="0" applyNumberFormat="1" applyFont="1" applyFill="1" applyBorder="1" applyAlignment="1" applyProtection="1">
      <alignment horizontal="right"/>
      <protection locked="0"/>
    </xf>
    <xf numFmtId="1" fontId="5" fillId="4" borderId="1241" xfId="0" applyNumberFormat="1" applyFont="1" applyFill="1" applyBorder="1" applyAlignment="1" applyProtection="1">
      <alignment horizontal="right"/>
      <protection locked="0"/>
    </xf>
    <xf numFmtId="1" fontId="5" fillId="4" borderId="1216" xfId="0" applyNumberFormat="1" applyFont="1" applyFill="1" applyBorder="1" applyAlignment="1" applyProtection="1">
      <alignment horizontal="right"/>
      <protection locked="0"/>
    </xf>
    <xf numFmtId="1" fontId="5" fillId="0" borderId="1282" xfId="0" applyNumberFormat="1" applyFont="1" applyBorder="1" applyAlignment="1">
      <alignment horizontal="center" wrapText="1"/>
    </xf>
    <xf numFmtId="1" fontId="5" fillId="0" borderId="1283" xfId="0" applyNumberFormat="1" applyFont="1" applyBorder="1" applyAlignment="1">
      <alignment horizontal="center" wrapText="1"/>
    </xf>
    <xf numFmtId="1" fontId="5" fillId="0" borderId="1296" xfId="0" applyNumberFormat="1" applyFont="1" applyBorder="1" applyAlignment="1">
      <alignment horizontal="center" wrapText="1"/>
    </xf>
    <xf numFmtId="1" fontId="5" fillId="0" borderId="1284" xfId="0" applyNumberFormat="1" applyFont="1" applyBorder="1" applyAlignment="1">
      <alignment horizontal="center" wrapText="1"/>
    </xf>
    <xf numFmtId="1" fontId="5" fillId="0" borderId="1292" xfId="0" applyNumberFormat="1" applyFont="1" applyBorder="1" applyAlignment="1">
      <alignment vertical="center" wrapText="1"/>
    </xf>
    <xf numFmtId="1" fontId="5" fillId="0" borderId="1241" xfId="0" applyNumberFormat="1" applyFont="1" applyBorder="1" applyAlignment="1">
      <alignment vertical="center" wrapText="1"/>
    </xf>
    <xf numFmtId="1" fontId="15" fillId="3" borderId="1240" xfId="0" applyNumberFormat="1" applyFont="1" applyFill="1" applyBorder="1" applyAlignment="1">
      <alignment vertical="center" wrapText="1"/>
    </xf>
    <xf numFmtId="1" fontId="5" fillId="0" borderId="1295" xfId="0" applyNumberFormat="1" applyFont="1" applyBorder="1" applyAlignment="1">
      <alignment horizontal="center" vertical="center" wrapText="1"/>
    </xf>
    <xf numFmtId="1" fontId="5" fillId="0" borderId="1302" xfId="0" applyNumberFormat="1" applyFont="1" applyBorder="1" applyAlignment="1">
      <alignment horizontal="center" vertical="center" wrapText="1"/>
    </xf>
    <xf numFmtId="0" fontId="5" fillId="0" borderId="1296" xfId="0" applyFont="1" applyBorder="1" applyAlignment="1">
      <alignment horizontal="center" vertical="center" wrapText="1"/>
    </xf>
    <xf numFmtId="0" fontId="5" fillId="0" borderId="1303" xfId="0" applyFont="1" applyBorder="1" applyAlignment="1">
      <alignment horizontal="center" vertical="center" wrapText="1"/>
    </xf>
    <xf numFmtId="1" fontId="5" fillId="0" borderId="1306" xfId="0" applyNumberFormat="1" applyFont="1" applyBorder="1" applyAlignment="1">
      <alignment horizontal="center" vertical="center" wrapText="1"/>
    </xf>
    <xf numFmtId="1" fontId="5" fillId="0" borderId="1307" xfId="0" applyNumberFormat="1" applyFont="1" applyBorder="1" applyAlignment="1">
      <alignment horizontal="center" vertical="center" wrapText="1"/>
    </xf>
    <xf numFmtId="1" fontId="5" fillId="0" borderId="1301" xfId="0" applyNumberFormat="1" applyFont="1" applyBorder="1" applyAlignment="1">
      <alignment horizontal="right"/>
    </xf>
    <xf numFmtId="1" fontId="5" fillId="7" borderId="1288" xfId="0" applyNumberFormat="1" applyFont="1" applyFill="1" applyBorder="1" applyAlignment="1">
      <alignment horizontal="right"/>
    </xf>
    <xf numFmtId="1" fontId="5" fillId="7" borderId="1300" xfId="0" applyNumberFormat="1" applyFont="1" applyFill="1" applyBorder="1" applyAlignment="1">
      <alignment horizontal="right"/>
    </xf>
    <xf numFmtId="1" fontId="5" fillId="7" borderId="1301" xfId="0" applyNumberFormat="1" applyFont="1" applyFill="1" applyBorder="1" applyAlignment="1">
      <alignment horizontal="right"/>
    </xf>
    <xf numFmtId="1" fontId="5" fillId="7" borderId="1308" xfId="0" applyNumberFormat="1" applyFont="1" applyFill="1" applyBorder="1" applyAlignment="1">
      <alignment horizontal="right"/>
    </xf>
    <xf numFmtId="1" fontId="5" fillId="6" borderId="1099" xfId="0" applyNumberFormat="1" applyFont="1" applyFill="1" applyBorder="1" applyAlignment="1">
      <alignment horizontal="right"/>
    </xf>
    <xf numFmtId="1" fontId="5" fillId="4" borderId="376" xfId="0" applyNumberFormat="1" applyFont="1" applyFill="1" applyBorder="1" applyAlignment="1" applyProtection="1">
      <alignment horizontal="right" wrapText="1"/>
      <protection locked="0"/>
    </xf>
    <xf numFmtId="1" fontId="5" fillId="4" borderId="371" xfId="0" applyNumberFormat="1" applyFont="1" applyFill="1" applyBorder="1" applyAlignment="1" applyProtection="1">
      <alignment horizontal="right" wrapText="1"/>
      <protection locked="0"/>
    </xf>
    <xf numFmtId="1" fontId="5" fillId="7" borderId="1297" xfId="0" applyNumberFormat="1" applyFont="1" applyFill="1" applyBorder="1" applyAlignment="1">
      <alignment horizontal="right"/>
    </xf>
    <xf numFmtId="1" fontId="5" fillId="7" borderId="1298" xfId="0" applyNumberFormat="1" applyFont="1" applyFill="1" applyBorder="1" applyAlignment="1">
      <alignment horizontal="right"/>
    </xf>
    <xf numFmtId="1" fontId="5" fillId="4" borderId="1309" xfId="0" applyNumberFormat="1" applyFont="1" applyFill="1" applyBorder="1" applyAlignment="1" applyProtection="1">
      <alignment horizontal="right"/>
      <protection locked="0"/>
    </xf>
    <xf numFmtId="1" fontId="5" fillId="4" borderId="1310" xfId="0" applyNumberFormat="1" applyFont="1" applyFill="1" applyBorder="1" applyAlignment="1" applyProtection="1">
      <alignment horizontal="right"/>
      <protection locked="0"/>
    </xf>
    <xf numFmtId="1" fontId="5" fillId="4" borderId="1311" xfId="0" applyNumberFormat="1" applyFont="1" applyFill="1" applyBorder="1" applyAlignment="1" applyProtection="1">
      <alignment horizontal="right"/>
      <protection locked="0"/>
    </xf>
    <xf numFmtId="1" fontId="5" fillId="4" borderId="1225" xfId="0" applyNumberFormat="1" applyFont="1" applyFill="1" applyBorder="1" applyAlignment="1" applyProtection="1">
      <alignment horizontal="right"/>
      <protection locked="0"/>
    </xf>
    <xf numFmtId="1" fontId="5" fillId="6" borderId="1309" xfId="0" applyNumberFormat="1" applyFont="1" applyFill="1" applyBorder="1" applyAlignment="1">
      <alignment horizontal="right"/>
    </xf>
    <xf numFmtId="1" fontId="5" fillId="6" borderId="1289" xfId="0" applyNumberFormat="1" applyFont="1" applyFill="1" applyBorder="1" applyAlignment="1">
      <alignment horizontal="right"/>
    </xf>
    <xf numFmtId="1" fontId="5" fillId="6" borderId="376" xfId="0" applyNumberFormat="1" applyFont="1" applyFill="1" applyBorder="1" applyAlignment="1">
      <alignment horizontal="right"/>
    </xf>
    <xf numFmtId="1" fontId="5" fillId="4" borderId="61" xfId="0" applyNumberFormat="1" applyFont="1" applyFill="1" applyBorder="1" applyAlignment="1" applyProtection="1">
      <alignment horizontal="right"/>
      <protection locked="0"/>
    </xf>
    <xf numFmtId="1" fontId="15" fillId="3" borderId="1302" xfId="0" applyNumberFormat="1" applyFont="1" applyFill="1" applyBorder="1" applyAlignment="1">
      <alignment vertical="center" wrapText="1"/>
    </xf>
    <xf numFmtId="1" fontId="15" fillId="3" borderId="1302" xfId="0" applyNumberFormat="1" applyFont="1" applyFill="1" applyBorder="1" applyAlignment="1">
      <alignment vertical="center"/>
    </xf>
    <xf numFmtId="1" fontId="5" fillId="0" borderId="1303" xfId="0" applyNumberFormat="1" applyFont="1" applyBorder="1" applyAlignment="1">
      <alignment horizontal="center" vertical="center" wrapText="1"/>
    </xf>
    <xf numFmtId="0" fontId="5" fillId="0" borderId="1297" xfId="0" applyFont="1" applyBorder="1" applyAlignment="1">
      <alignment horizontal="center" vertical="center" wrapText="1"/>
    </xf>
    <xf numFmtId="0" fontId="5" fillId="0" borderId="1271" xfId="0" applyFont="1" applyBorder="1" applyAlignment="1">
      <alignment horizontal="center" vertical="center" wrapText="1"/>
    </xf>
    <xf numFmtId="0" fontId="5" fillId="0" borderId="1282" xfId="0" applyFont="1" applyBorder="1" applyAlignment="1">
      <alignment horizontal="center" vertical="center" wrapText="1"/>
    </xf>
    <xf numFmtId="1" fontId="5" fillId="4" borderId="1308" xfId="0" applyNumberFormat="1" applyFont="1" applyFill="1" applyBorder="1" applyAlignment="1" applyProtection="1">
      <alignment horizontal="right"/>
      <protection locked="0"/>
    </xf>
    <xf numFmtId="1" fontId="15" fillId="3" borderId="1302" xfId="0" applyNumberFormat="1" applyFont="1" applyFill="1" applyBorder="1"/>
    <xf numFmtId="1" fontId="5" fillId="0" borderId="1292" xfId="0" applyNumberFormat="1" applyFont="1" applyBorder="1"/>
    <xf numFmtId="1" fontId="5" fillId="0" borderId="1311" xfId="0" applyNumberFormat="1" applyFont="1" applyBorder="1" applyAlignment="1">
      <alignment horizontal="right"/>
    </xf>
    <xf numFmtId="0" fontId="47" fillId="6" borderId="1252" xfId="10" applyFont="1" applyFill="1" applyBorder="1" applyAlignment="1">
      <alignment horizontal="right"/>
    </xf>
    <xf numFmtId="0" fontId="47" fillId="6" borderId="1216" xfId="10" applyFont="1" applyFill="1" applyBorder="1" applyAlignment="1">
      <alignment horizontal="right"/>
    </xf>
    <xf numFmtId="0" fontId="47" fillId="6" borderId="1243" xfId="10" applyFont="1" applyFill="1" applyBorder="1" applyAlignment="1">
      <alignment horizontal="right"/>
    </xf>
    <xf numFmtId="0" fontId="5" fillId="0" borderId="1099" xfId="0" applyFont="1" applyBorder="1" applyAlignment="1">
      <alignment horizontal="right"/>
    </xf>
    <xf numFmtId="0" fontId="5" fillId="0" borderId="1283" xfId="0" applyFont="1" applyBorder="1" applyAlignment="1">
      <alignment horizontal="center" vertical="center" wrapText="1"/>
    </xf>
    <xf numFmtId="0" fontId="5" fillId="0" borderId="1292" xfId="0" applyFont="1" applyBorder="1" applyAlignment="1">
      <alignment horizontal="left" vertical="center" wrapText="1"/>
    </xf>
    <xf numFmtId="1" fontId="5" fillId="0" borderId="1292" xfId="0" applyNumberFormat="1" applyFont="1" applyBorder="1" applyAlignment="1">
      <alignment horizontal="right" vertical="center" wrapText="1"/>
    </xf>
    <xf numFmtId="0" fontId="5" fillId="0" borderId="1250" xfId="0" applyFont="1" applyBorder="1" applyAlignment="1">
      <alignment horizontal="left" vertical="center" wrapText="1"/>
    </xf>
    <xf numFmtId="0" fontId="5" fillId="0" borderId="1283" xfId="0" applyFont="1" applyBorder="1" applyAlignment="1">
      <alignment horizontal="center"/>
    </xf>
    <xf numFmtId="0" fontId="5" fillId="0" borderId="1303" xfId="0" applyFont="1" applyBorder="1" applyAlignment="1">
      <alignment horizontal="center"/>
    </xf>
    <xf numFmtId="1" fontId="5" fillId="4" borderId="1288" xfId="0" applyNumberFormat="1" applyFont="1" applyFill="1" applyBorder="1" applyProtection="1">
      <protection locked="0"/>
    </xf>
    <xf numFmtId="1" fontId="5" fillId="4" borderId="1300" xfId="0" applyNumberFormat="1" applyFont="1" applyFill="1" applyBorder="1" applyProtection="1">
      <protection locked="0"/>
    </xf>
    <xf numFmtId="1" fontId="5" fillId="4" borderId="1310" xfId="0" applyNumberFormat="1" applyFont="1" applyFill="1" applyBorder="1" applyProtection="1">
      <protection locked="0"/>
    </xf>
    <xf numFmtId="1" fontId="5" fillId="4" borderId="1317" xfId="0" applyNumberFormat="1" applyFont="1" applyFill="1" applyBorder="1" applyProtection="1">
      <protection locked="0"/>
    </xf>
    <xf numFmtId="1" fontId="5" fillId="4" borderId="1289" xfId="0" applyNumberFormat="1" applyFont="1" applyFill="1" applyBorder="1" applyProtection="1">
      <protection locked="0"/>
    </xf>
    <xf numFmtId="0" fontId="5" fillId="0" borderId="1250" xfId="0" applyFont="1" applyBorder="1" applyAlignment="1">
      <alignment wrapText="1"/>
    </xf>
    <xf numFmtId="0" fontId="5" fillId="0" borderId="1250" xfId="0" applyFont="1" applyBorder="1" applyAlignment="1">
      <alignment horizontal="right"/>
    </xf>
    <xf numFmtId="1" fontId="5" fillId="4" borderId="1281" xfId="0" applyNumberFormat="1" applyFont="1" applyFill="1" applyBorder="1" applyProtection="1">
      <protection locked="0"/>
    </xf>
    <xf numFmtId="1" fontId="5" fillId="4" borderId="1316" xfId="0" applyNumberFormat="1" applyFont="1" applyFill="1" applyBorder="1" applyProtection="1">
      <protection locked="0"/>
    </xf>
    <xf numFmtId="0" fontId="5" fillId="0" borderId="1292" xfId="0" applyFont="1" applyBorder="1" applyAlignment="1">
      <alignment wrapText="1"/>
    </xf>
    <xf numFmtId="1" fontId="5" fillId="0" borderId="1288" xfId="0" applyNumberFormat="1" applyFont="1" applyBorder="1" applyAlignment="1">
      <alignment horizontal="right" wrapText="1"/>
    </xf>
    <xf numFmtId="1" fontId="5" fillId="0" borderId="1311" xfId="0" applyNumberFormat="1" applyFont="1" applyBorder="1" applyAlignment="1">
      <alignment horizontal="right" wrapText="1"/>
    </xf>
    <xf numFmtId="0" fontId="5" fillId="0" borderId="20" xfId="0" applyFont="1" applyBorder="1" applyAlignment="1">
      <alignment horizontal="right" wrapText="1"/>
    </xf>
    <xf numFmtId="0" fontId="5" fillId="0" borderId="1250" xfId="0" applyFont="1" applyBorder="1" applyAlignment="1">
      <alignment horizontal="left" wrapText="1"/>
    </xf>
    <xf numFmtId="0" fontId="5" fillId="0" borderId="1252" xfId="0" applyFont="1" applyBorder="1" applyAlignment="1">
      <alignment horizontal="right" wrapText="1"/>
    </xf>
    <xf numFmtId="0" fontId="5" fillId="0" borderId="1243" xfId="0" applyFont="1" applyBorder="1" applyAlignment="1">
      <alignment horizontal="right" wrapText="1"/>
    </xf>
    <xf numFmtId="0" fontId="5" fillId="0" borderId="1282" xfId="0" applyFont="1" applyBorder="1" applyAlignment="1">
      <alignment horizontal="center"/>
    </xf>
    <xf numFmtId="0" fontId="5" fillId="0" borderId="1292" xfId="0" applyFont="1" applyBorder="1" applyAlignment="1">
      <alignment horizontal="left" wrapText="1"/>
    </xf>
    <xf numFmtId="0" fontId="5" fillId="0" borderId="1289" xfId="0" applyFont="1" applyBorder="1" applyAlignment="1">
      <alignment horizontal="right"/>
    </xf>
    <xf numFmtId="1" fontId="5" fillId="0" borderId="1241" xfId="0" applyNumberFormat="1" applyFont="1" applyBorder="1" applyAlignment="1">
      <alignment horizontal="right" wrapText="1"/>
    </xf>
    <xf numFmtId="1" fontId="5" fillId="0" borderId="1288" xfId="0" applyNumberFormat="1" applyFont="1" applyBorder="1" applyAlignment="1">
      <alignment horizontal="right" vertical="center" wrapText="1"/>
    </xf>
    <xf numFmtId="1" fontId="5" fillId="0" borderId="1311" xfId="0" applyNumberFormat="1" applyFont="1" applyBorder="1" applyAlignment="1">
      <alignment horizontal="right" vertical="center" wrapText="1"/>
    </xf>
    <xf numFmtId="1" fontId="5" fillId="6" borderId="1301" xfId="0" applyNumberFormat="1" applyFont="1" applyFill="1" applyBorder="1"/>
    <xf numFmtId="0" fontId="5" fillId="0" borderId="1252" xfId="0" applyFont="1" applyBorder="1" applyAlignment="1">
      <alignment horizontal="right"/>
    </xf>
    <xf numFmtId="0" fontId="5" fillId="0" borderId="1243" xfId="0" applyFont="1" applyBorder="1" applyAlignment="1">
      <alignment horizontal="right"/>
    </xf>
    <xf numFmtId="1" fontId="5" fillId="4" borderId="1243" xfId="0" applyNumberFormat="1" applyFont="1" applyFill="1" applyBorder="1" applyProtection="1">
      <protection locked="0"/>
    </xf>
    <xf numFmtId="1" fontId="5" fillId="0" borderId="1250" xfId="0" applyNumberFormat="1" applyFont="1" applyBorder="1" applyAlignment="1">
      <alignment horizontal="left"/>
    </xf>
    <xf numFmtId="1" fontId="5" fillId="5" borderId="1294" xfId="0" applyNumberFormat="1" applyFont="1" applyFill="1" applyBorder="1" applyAlignment="1">
      <alignment horizontal="center" vertical="center"/>
    </xf>
    <xf numFmtId="1" fontId="5" fillId="0" borderId="1250" xfId="0" applyNumberFormat="1" applyFont="1" applyBorder="1" applyAlignment="1">
      <alignment horizontal="right" vertical="center" wrapText="1"/>
    </xf>
    <xf numFmtId="0" fontId="5" fillId="0" borderId="1250" xfId="0" applyFont="1" applyBorder="1" applyAlignment="1">
      <alignment vertical="center" wrapText="1"/>
    </xf>
    <xf numFmtId="1" fontId="5" fillId="4" borderId="1301" xfId="0" applyNumberFormat="1" applyFont="1" applyFill="1" applyBorder="1" applyProtection="1">
      <protection locked="0"/>
    </xf>
    <xf numFmtId="0" fontId="5" fillId="0" borderId="1292" xfId="0" applyFont="1" applyBorder="1" applyAlignment="1">
      <alignment vertical="center" wrapText="1"/>
    </xf>
    <xf numFmtId="1" fontId="5" fillId="5" borderId="1296" xfId="0" applyNumberFormat="1" applyFont="1" applyFill="1" applyBorder="1" applyAlignment="1">
      <alignment horizontal="center" vertical="center"/>
    </xf>
    <xf numFmtId="1" fontId="5" fillId="5" borderId="1282" xfId="0" applyNumberFormat="1" applyFont="1" applyFill="1" applyBorder="1" applyAlignment="1">
      <alignment horizontal="center" vertical="center"/>
    </xf>
    <xf numFmtId="1" fontId="5" fillId="3" borderId="1239" xfId="0" applyNumberFormat="1" applyFont="1" applyFill="1" applyBorder="1" applyAlignment="1">
      <alignment horizontal="center" wrapText="1"/>
    </xf>
    <xf numFmtId="1" fontId="5" fillId="0" borderId="1294" xfId="0" applyNumberFormat="1" applyFont="1" applyBorder="1" applyAlignment="1">
      <alignment horizontal="center" vertical="center" wrapText="1"/>
    </xf>
    <xf numFmtId="1" fontId="5" fillId="5" borderId="1257" xfId="0" applyNumberFormat="1" applyFont="1" applyFill="1" applyBorder="1"/>
    <xf numFmtId="1" fontId="5" fillId="5" borderId="1250" xfId="0" applyNumberFormat="1" applyFont="1" applyFill="1" applyBorder="1"/>
    <xf numFmtId="1" fontId="5" fillId="3" borderId="1295" xfId="0" applyNumberFormat="1" applyFont="1" applyFill="1" applyBorder="1" applyAlignment="1">
      <alignment horizontal="center" wrapText="1"/>
    </xf>
    <xf numFmtId="1" fontId="5" fillId="5" borderId="1296" xfId="0" applyNumberFormat="1" applyFont="1" applyFill="1" applyBorder="1" applyAlignment="1">
      <alignment horizontal="center" vertical="center" wrapText="1"/>
    </xf>
    <xf numFmtId="1" fontId="5" fillId="5" borderId="1294" xfId="0" applyNumberFormat="1" applyFont="1" applyFill="1" applyBorder="1" applyAlignment="1">
      <alignment horizontal="center" vertical="center" wrapText="1"/>
    </xf>
    <xf numFmtId="1" fontId="5" fillId="5" borderId="1312" xfId="0" applyNumberFormat="1" applyFont="1" applyFill="1" applyBorder="1" applyAlignment="1">
      <alignment horizontal="center" vertical="center"/>
    </xf>
    <xf numFmtId="1" fontId="5" fillId="5" borderId="1312" xfId="0" applyNumberFormat="1" applyFont="1" applyFill="1" applyBorder="1"/>
    <xf numFmtId="1" fontId="5" fillId="5" borderId="1294" xfId="0" applyNumberFormat="1" applyFont="1" applyFill="1" applyBorder="1"/>
    <xf numFmtId="1" fontId="5" fillId="3" borderId="1250" xfId="0" applyNumberFormat="1" applyFont="1" applyFill="1" applyBorder="1" applyAlignment="1">
      <alignment horizontal="center" wrapText="1"/>
    </xf>
    <xf numFmtId="1" fontId="5" fillId="4" borderId="1250" xfId="0" applyNumberFormat="1" applyFont="1" applyFill="1" applyBorder="1" applyProtection="1">
      <protection locked="0"/>
    </xf>
    <xf numFmtId="1" fontId="5" fillId="4" borderId="1292" xfId="0" applyNumberFormat="1" applyFont="1" applyFill="1" applyBorder="1" applyProtection="1">
      <protection locked="0"/>
    </xf>
    <xf numFmtId="1" fontId="5" fillId="0" borderId="1294" xfId="0" applyNumberFormat="1" applyFont="1" applyBorder="1"/>
    <xf numFmtId="1" fontId="5" fillId="0" borderId="1318" xfId="0" applyNumberFormat="1" applyFont="1" applyBorder="1"/>
    <xf numFmtId="1" fontId="5" fillId="0" borderId="1302" xfId="0" applyNumberFormat="1" applyFont="1" applyBorder="1"/>
    <xf numFmtId="1" fontId="5" fillId="0" borderId="1282" xfId="0" applyNumberFormat="1" applyFont="1" applyBorder="1"/>
    <xf numFmtId="1" fontId="5" fillId="0" borderId="1295" xfId="0" applyNumberFormat="1" applyFont="1" applyBorder="1"/>
    <xf numFmtId="1" fontId="5" fillId="3" borderId="1295" xfId="0" applyNumberFormat="1" applyFont="1" applyFill="1" applyBorder="1" applyAlignment="1">
      <alignment horizontal="right" wrapText="1"/>
    </xf>
    <xf numFmtId="1" fontId="5" fillId="3" borderId="1282" xfId="0" applyNumberFormat="1" applyFont="1" applyFill="1" applyBorder="1" applyAlignment="1">
      <alignment horizontal="right" wrapText="1"/>
    </xf>
    <xf numFmtId="1" fontId="5" fillId="0" borderId="1294" xfId="0" applyNumberFormat="1" applyFont="1" applyBorder="1" applyAlignment="1">
      <alignment horizontal="center"/>
    </xf>
    <xf numFmtId="1" fontId="5" fillId="5" borderId="1250" xfId="0" applyNumberFormat="1" applyFont="1" applyFill="1" applyBorder="1" applyAlignment="1">
      <alignment horizontal="left"/>
    </xf>
    <xf numFmtId="1" fontId="5" fillId="4" borderId="1319" xfId="0" applyNumberFormat="1" applyFont="1" applyFill="1" applyBorder="1" applyProtection="1">
      <protection locked="0"/>
    </xf>
    <xf numFmtId="1" fontId="5" fillId="4" borderId="1311" xfId="0" applyNumberFormat="1" applyFont="1" applyFill="1" applyBorder="1" applyProtection="1">
      <protection locked="0"/>
    </xf>
    <xf numFmtId="1" fontId="5" fillId="3" borderId="1287" xfId="0" applyNumberFormat="1" applyFont="1" applyFill="1" applyBorder="1" applyAlignment="1">
      <alignment horizontal="right" wrapText="1"/>
    </xf>
    <xf numFmtId="1" fontId="5" fillId="3" borderId="1292" xfId="0" applyNumberFormat="1" applyFont="1" applyFill="1" applyBorder="1" applyAlignment="1">
      <alignment horizontal="left" wrapText="1"/>
    </xf>
    <xf numFmtId="1" fontId="5" fillId="0" borderId="1320" xfId="0" applyNumberFormat="1" applyFont="1" applyBorder="1" applyAlignment="1">
      <alignment horizontal="center" vertical="center" wrapText="1"/>
    </xf>
    <xf numFmtId="1" fontId="5" fillId="3" borderId="1277" xfId="0" applyNumberFormat="1" applyFont="1" applyFill="1" applyBorder="1" applyAlignment="1">
      <alignment horizontal="center" vertical="center" wrapText="1"/>
    </xf>
    <xf numFmtId="1" fontId="5" fillId="0" borderId="1298" xfId="0" applyNumberFormat="1" applyFont="1" applyBorder="1" applyAlignment="1">
      <alignment horizontal="center" vertical="center" wrapText="1"/>
    </xf>
    <xf numFmtId="1" fontId="5" fillId="3" borderId="1297" xfId="0" applyNumberFormat="1" applyFont="1" applyFill="1" applyBorder="1" applyAlignment="1">
      <alignment horizontal="center" vertical="center" wrapText="1"/>
    </xf>
    <xf numFmtId="1" fontId="5" fillId="3" borderId="1295" xfId="0" applyNumberFormat="1" applyFont="1" applyFill="1" applyBorder="1" applyAlignment="1">
      <alignment horizontal="center" vertical="center" wrapText="1"/>
    </xf>
    <xf numFmtId="1" fontId="5" fillId="3" borderId="1294" xfId="0" applyNumberFormat="1" applyFont="1" applyFill="1" applyBorder="1" applyAlignment="1">
      <alignment horizontal="center" vertical="center" wrapText="1"/>
    </xf>
    <xf numFmtId="1" fontId="16" fillId="0" borderId="1321" xfId="0" applyNumberFormat="1" applyFont="1" applyBorder="1"/>
    <xf numFmtId="1" fontId="16" fillId="0" borderId="1322" xfId="0" applyNumberFormat="1" applyFont="1" applyBorder="1"/>
    <xf numFmtId="1" fontId="16" fillId="0" borderId="1323" xfId="0" applyNumberFormat="1" applyFont="1" applyBorder="1"/>
    <xf numFmtId="1" fontId="5" fillId="4" borderId="1296" xfId="0" applyNumberFormat="1" applyFont="1" applyFill="1" applyBorder="1" applyProtection="1">
      <protection locked="0"/>
    </xf>
    <xf numFmtId="1" fontId="5" fillId="4" borderId="1303" xfId="0" applyNumberFormat="1" applyFont="1" applyFill="1" applyBorder="1" applyProtection="1">
      <protection locked="0"/>
    </xf>
    <xf numFmtId="1" fontId="5" fillId="4" borderId="1282" xfId="0" applyNumberFormat="1" applyFont="1" applyFill="1" applyBorder="1" applyProtection="1">
      <protection locked="0"/>
    </xf>
    <xf numFmtId="1" fontId="5" fillId="0" borderId="1294" xfId="0" applyNumberFormat="1" applyFont="1" applyBorder="1" applyAlignment="1">
      <alignment horizontal="left" vertical="center" wrapText="1"/>
    </xf>
    <xf numFmtId="1" fontId="16" fillId="0" borderId="1326" xfId="0" applyNumberFormat="1" applyFont="1" applyBorder="1"/>
    <xf numFmtId="1" fontId="16" fillId="0" borderId="1327" xfId="0" applyNumberFormat="1" applyFont="1" applyBorder="1"/>
    <xf numFmtId="1" fontId="16" fillId="0" borderId="1328" xfId="0" applyNumberFormat="1" applyFont="1" applyBorder="1" applyAlignment="1">
      <alignment vertical="center"/>
    </xf>
    <xf numFmtId="1" fontId="16" fillId="0" borderId="1327" xfId="0" applyNumberFormat="1" applyFont="1" applyBorder="1" applyProtection="1">
      <protection locked="0"/>
    </xf>
    <xf numFmtId="1" fontId="5" fillId="3" borderId="1324" xfId="0" applyNumberFormat="1" applyFont="1" applyFill="1" applyBorder="1"/>
    <xf numFmtId="1" fontId="5" fillId="3" borderId="1329" xfId="0" applyNumberFormat="1" applyFont="1" applyFill="1" applyBorder="1" applyAlignment="1">
      <alignment vertical="center"/>
    </xf>
    <xf numFmtId="1" fontId="5" fillId="4" borderId="1330" xfId="0" applyNumberFormat="1" applyFont="1" applyFill="1" applyBorder="1" applyProtection="1">
      <protection locked="0"/>
    </xf>
    <xf numFmtId="1" fontId="5" fillId="4" borderId="1331" xfId="0" applyNumberFormat="1" applyFont="1" applyFill="1" applyBorder="1" applyProtection="1">
      <protection locked="0"/>
    </xf>
    <xf numFmtId="1" fontId="5" fillId="4" borderId="1332" xfId="0" applyNumberFormat="1" applyFont="1" applyFill="1" applyBorder="1" applyProtection="1">
      <protection locked="0"/>
    </xf>
    <xf numFmtId="1" fontId="5" fillId="4" borderId="1333" xfId="0" applyNumberFormat="1" applyFont="1" applyFill="1" applyBorder="1" applyProtection="1">
      <protection locked="0"/>
    </xf>
    <xf numFmtId="1" fontId="5" fillId="3" borderId="1334" xfId="0" applyNumberFormat="1" applyFont="1" applyFill="1" applyBorder="1"/>
    <xf numFmtId="1" fontId="5" fillId="3" borderId="1335" xfId="0" applyNumberFormat="1" applyFont="1" applyFill="1" applyBorder="1" applyAlignment="1">
      <alignment vertical="center"/>
    </xf>
    <xf numFmtId="1" fontId="5" fillId="0" borderId="1336" xfId="0" applyNumberFormat="1" applyFont="1" applyBorder="1" applyAlignment="1">
      <alignment horizontal="center" vertical="center" wrapText="1"/>
    </xf>
    <xf numFmtId="1" fontId="5" fillId="0" borderId="1337" xfId="0" applyNumberFormat="1" applyFont="1" applyBorder="1" applyAlignment="1">
      <alignment horizontal="center" vertical="center" wrapText="1"/>
    </xf>
    <xf numFmtId="1" fontId="5" fillId="0" borderId="1338" xfId="0" applyNumberFormat="1" applyFont="1" applyBorder="1" applyAlignment="1">
      <alignment horizontal="center" vertical="center" wrapText="1"/>
    </xf>
    <xf numFmtId="1" fontId="5" fillId="0" borderId="1339" xfId="0" applyNumberFormat="1" applyFont="1" applyBorder="1" applyAlignment="1">
      <alignment horizontal="center" vertical="center" wrapText="1"/>
    </xf>
    <xf numFmtId="1" fontId="5" fillId="0" borderId="1340" xfId="0" applyNumberFormat="1" applyFont="1" applyBorder="1" applyAlignment="1">
      <alignment horizontal="center" vertical="center" wrapText="1"/>
    </xf>
    <xf numFmtId="1" fontId="5" fillId="3" borderId="1346" xfId="0" applyNumberFormat="1" applyFont="1" applyFill="1" applyBorder="1"/>
    <xf numFmtId="1" fontId="5" fillId="3" borderId="1338" xfId="0" applyNumberFormat="1" applyFont="1" applyFill="1" applyBorder="1"/>
    <xf numFmtId="1" fontId="5" fillId="3" borderId="1339" xfId="0" applyNumberFormat="1" applyFont="1" applyFill="1" applyBorder="1"/>
    <xf numFmtId="1" fontId="5" fillId="3" borderId="1347" xfId="0" applyNumberFormat="1" applyFont="1" applyFill="1" applyBorder="1" applyAlignment="1">
      <alignment horizontal="center" wrapText="1"/>
    </xf>
    <xf numFmtId="1" fontId="5" fillId="3" borderId="1346" xfId="0" applyNumberFormat="1" applyFont="1" applyFill="1" applyBorder="1" applyAlignment="1">
      <alignment horizontal="center" vertical="center" wrapText="1"/>
    </xf>
    <xf numFmtId="1" fontId="5" fillId="3" borderId="1338" xfId="0" applyNumberFormat="1" applyFont="1" applyFill="1" applyBorder="1" applyAlignment="1">
      <alignment horizontal="center" vertical="center" wrapText="1"/>
    </xf>
    <xf numFmtId="1" fontId="5" fillId="3" borderId="1339" xfId="0" applyNumberFormat="1" applyFont="1" applyFill="1" applyBorder="1" applyAlignment="1">
      <alignment horizontal="center" vertical="center" wrapText="1"/>
    </xf>
    <xf numFmtId="1" fontId="5" fillId="3" borderId="1347" xfId="0" applyNumberFormat="1" applyFont="1" applyFill="1" applyBorder="1" applyAlignment="1">
      <alignment horizontal="center" vertical="center"/>
    </xf>
    <xf numFmtId="1" fontId="5" fillId="3" borderId="1340" xfId="0" applyNumberFormat="1" applyFont="1" applyFill="1" applyBorder="1"/>
    <xf numFmtId="1" fontId="5" fillId="0" borderId="1347" xfId="0" applyNumberFormat="1" applyFont="1" applyBorder="1" applyAlignment="1">
      <alignment horizontal="center" vertical="center"/>
    </xf>
    <xf numFmtId="1" fontId="5" fillId="3" borderId="1347" xfId="0" applyNumberFormat="1" applyFont="1" applyFill="1" applyBorder="1"/>
    <xf numFmtId="1" fontId="5" fillId="3" borderId="1348" xfId="0" applyNumberFormat="1" applyFont="1" applyFill="1" applyBorder="1"/>
    <xf numFmtId="1" fontId="5" fillId="3" borderId="1349" xfId="0" applyNumberFormat="1" applyFont="1" applyFill="1" applyBorder="1"/>
    <xf numFmtId="1" fontId="5" fillId="5" borderId="1348" xfId="0" applyNumberFormat="1" applyFont="1" applyFill="1" applyBorder="1"/>
    <xf numFmtId="1" fontId="5" fillId="5" borderId="1347" xfId="0" applyNumberFormat="1" applyFont="1" applyFill="1" applyBorder="1"/>
    <xf numFmtId="1" fontId="5" fillId="3" borderId="1344" xfId="0" applyNumberFormat="1" applyFont="1" applyFill="1" applyBorder="1" applyAlignment="1">
      <alignment horizontal="center" wrapText="1"/>
    </xf>
    <xf numFmtId="1" fontId="5" fillId="4" borderId="1225" xfId="0" applyNumberFormat="1" applyFont="1" applyFill="1" applyBorder="1" applyProtection="1">
      <protection locked="0"/>
    </xf>
    <xf numFmtId="1" fontId="5" fillId="0" borderId="1349" xfId="0" applyNumberFormat="1" applyFont="1" applyBorder="1" applyAlignment="1">
      <alignment horizontal="center" vertical="center" wrapText="1"/>
    </xf>
    <xf numFmtId="1" fontId="5" fillId="5" borderId="1348" xfId="0" applyNumberFormat="1" applyFont="1" applyFill="1" applyBorder="1" applyAlignment="1">
      <alignment horizontal="center" vertical="center"/>
    </xf>
    <xf numFmtId="1" fontId="5" fillId="5" borderId="1347" xfId="0" applyNumberFormat="1" applyFont="1" applyFill="1" applyBorder="1" applyAlignment="1">
      <alignment horizontal="center" vertical="center"/>
    </xf>
    <xf numFmtId="1" fontId="5" fillId="5" borderId="1350" xfId="0" applyNumberFormat="1" applyFont="1" applyFill="1" applyBorder="1"/>
    <xf numFmtId="1" fontId="5" fillId="3" borderId="1347" xfId="0" applyNumberFormat="1" applyFont="1" applyFill="1" applyBorder="1" applyAlignment="1">
      <alignment horizontal="right" wrapText="1"/>
    </xf>
    <xf numFmtId="1" fontId="5" fillId="4" borderId="407" xfId="0" applyNumberFormat="1" applyFont="1" applyFill="1" applyBorder="1" applyAlignment="1" applyProtection="1">
      <alignment wrapText="1"/>
      <protection locked="0"/>
    </xf>
    <xf numFmtId="1" fontId="5" fillId="0" borderId="12" xfId="0" applyNumberFormat="1" applyFont="1" applyBorder="1" applyAlignment="1">
      <alignment horizontal="right" vertical="center"/>
    </xf>
    <xf numFmtId="1" fontId="5" fillId="0" borderId="12" xfId="0" applyNumberFormat="1" applyFont="1" applyBorder="1" applyAlignment="1">
      <alignment vertical="center"/>
    </xf>
    <xf numFmtId="1" fontId="5" fillId="0" borderId="1099" xfId="0" applyNumberFormat="1" applyFont="1" applyBorder="1" applyAlignment="1">
      <alignment vertical="center"/>
    </xf>
    <xf numFmtId="1" fontId="5" fillId="0" borderId="1335" xfId="0" applyNumberFormat="1" applyFont="1" applyBorder="1" applyAlignment="1">
      <alignment vertical="center"/>
    </xf>
    <xf numFmtId="1" fontId="5" fillId="5" borderId="12" xfId="0" applyNumberFormat="1" applyFont="1" applyFill="1" applyBorder="1" applyAlignment="1">
      <alignment horizontal="right"/>
    </xf>
    <xf numFmtId="1" fontId="5" fillId="4" borderId="377" xfId="0" applyNumberFormat="1" applyFont="1" applyFill="1" applyBorder="1" applyAlignment="1" applyProtection="1">
      <alignment horizontal="right"/>
      <protection locked="0"/>
    </xf>
    <xf numFmtId="1" fontId="5" fillId="0" borderId="1330" xfId="0" applyNumberFormat="1" applyFont="1" applyBorder="1" applyAlignment="1">
      <alignment horizontal="right" vertical="center"/>
    </xf>
    <xf numFmtId="1" fontId="5" fillId="0" borderId="1333" xfId="0" applyNumberFormat="1" applyFont="1" applyBorder="1" applyAlignment="1">
      <alignment horizontal="right" vertical="center"/>
    </xf>
    <xf numFmtId="1" fontId="5" fillId="4" borderId="1336" xfId="0" applyNumberFormat="1" applyFont="1" applyFill="1" applyBorder="1" applyAlignment="1" applyProtection="1">
      <alignment horizontal="right"/>
      <protection locked="0"/>
    </xf>
    <xf numFmtId="1" fontId="5" fillId="4" borderId="1339" xfId="0" applyNumberFormat="1" applyFont="1" applyFill="1" applyBorder="1" applyAlignment="1" applyProtection="1">
      <alignment horizontal="right"/>
      <protection locked="0"/>
    </xf>
    <xf numFmtId="1" fontId="5" fillId="4" borderId="1343" xfId="0" applyNumberFormat="1" applyFont="1" applyFill="1" applyBorder="1" applyAlignment="1" applyProtection="1">
      <alignment horizontal="right"/>
      <protection locked="0"/>
    </xf>
    <xf numFmtId="1" fontId="5" fillId="4" borderId="1346" xfId="0" applyNumberFormat="1" applyFont="1" applyFill="1" applyBorder="1" applyAlignment="1" applyProtection="1">
      <alignment horizontal="right"/>
      <protection locked="0"/>
    </xf>
    <xf numFmtId="1" fontId="5" fillId="4" borderId="1340" xfId="0" applyNumberFormat="1" applyFont="1" applyFill="1" applyBorder="1" applyAlignment="1" applyProtection="1">
      <alignment horizontal="right"/>
      <protection locked="0"/>
    </xf>
    <xf numFmtId="1" fontId="5" fillId="0" borderId="1271" xfId="0" applyNumberFormat="1" applyFont="1" applyBorder="1" applyAlignment="1">
      <alignment horizontal="right" vertical="center"/>
    </xf>
    <xf numFmtId="1" fontId="5" fillId="0" borderId="1352" xfId="0" applyNumberFormat="1" applyFont="1" applyBorder="1" applyAlignment="1">
      <alignment horizontal="right" vertical="center"/>
    </xf>
    <xf numFmtId="1" fontId="5" fillId="0" borderId="1347" xfId="0" applyNumberFormat="1" applyFont="1" applyBorder="1" applyAlignment="1">
      <alignment horizontal="right" vertical="center"/>
    </xf>
    <xf numFmtId="1" fontId="5" fillId="0" borderId="1343" xfId="0" applyNumberFormat="1" applyFont="1" applyBorder="1" applyAlignment="1">
      <alignment horizontal="center" vertical="center" wrapText="1"/>
    </xf>
    <xf numFmtId="1" fontId="5" fillId="0" borderId="1347" xfId="0" applyNumberFormat="1" applyFont="1" applyBorder="1" applyAlignment="1">
      <alignment horizontal="center" vertical="center" wrapText="1"/>
    </xf>
    <xf numFmtId="1" fontId="5" fillId="0" borderId="372" xfId="0" applyNumberFormat="1" applyFont="1" applyBorder="1" applyAlignment="1">
      <alignment vertical="center" wrapText="1"/>
    </xf>
    <xf numFmtId="1" fontId="5" fillId="4" borderId="1345" xfId="0" applyNumberFormat="1" applyFont="1" applyFill="1" applyBorder="1" applyProtection="1">
      <protection locked="0"/>
    </xf>
    <xf numFmtId="1" fontId="5" fillId="0" borderId="1271" xfId="0" applyNumberFormat="1" applyFont="1" applyBorder="1"/>
    <xf numFmtId="1" fontId="5" fillId="0" borderId="1334" xfId="0" applyNumberFormat="1" applyFont="1" applyBorder="1" applyAlignment="1">
      <alignment vertical="center" wrapText="1"/>
    </xf>
    <xf numFmtId="1" fontId="5" fillId="0" borderId="1346" xfId="0" applyNumberFormat="1" applyFont="1" applyBorder="1"/>
    <xf numFmtId="1" fontId="5" fillId="0" borderId="1336" xfId="0" applyNumberFormat="1" applyFont="1" applyBorder="1"/>
    <xf numFmtId="1" fontId="5" fillId="0" borderId="1338" xfId="0" applyNumberFormat="1" applyFont="1" applyBorder="1"/>
    <xf numFmtId="1" fontId="5" fillId="0" borderId="1339" xfId="0" applyNumberFormat="1" applyFont="1" applyBorder="1"/>
    <xf numFmtId="1" fontId="5" fillId="0" borderId="1337" xfId="0" applyNumberFormat="1" applyFont="1" applyBorder="1"/>
    <xf numFmtId="1" fontId="5" fillId="0" borderId="1340" xfId="0" applyNumberFormat="1" applyFont="1" applyBorder="1"/>
    <xf numFmtId="1" fontId="18" fillId="0" borderId="1347" xfId="0" applyNumberFormat="1" applyFont="1" applyBorder="1"/>
    <xf numFmtId="1" fontId="5" fillId="7" borderId="1216" xfId="0" applyNumberFormat="1" applyFont="1" applyFill="1" applyBorder="1"/>
    <xf numFmtId="1" fontId="5" fillId="7" borderId="1252" xfId="0" applyNumberFormat="1" applyFont="1" applyFill="1" applyBorder="1"/>
    <xf numFmtId="1" fontId="5" fillId="7" borderId="1241" xfId="0" applyNumberFormat="1" applyFont="1" applyFill="1" applyBorder="1"/>
    <xf numFmtId="1" fontId="5" fillId="3" borderId="1243" xfId="0" applyNumberFormat="1" applyFont="1" applyFill="1" applyBorder="1" applyAlignment="1">
      <alignment vertical="center" wrapText="1"/>
    </xf>
    <xf numFmtId="1" fontId="5" fillId="0" borderId="372" xfId="0" applyNumberFormat="1" applyFont="1" applyBorder="1"/>
    <xf numFmtId="1" fontId="5" fillId="4" borderId="1346" xfId="0" applyNumberFormat="1" applyFont="1" applyFill="1" applyBorder="1" applyProtection="1">
      <protection locked="0"/>
    </xf>
    <xf numFmtId="1" fontId="5" fillId="4" borderId="1336" xfId="0" applyNumberFormat="1" applyFont="1" applyFill="1" applyBorder="1" applyProtection="1">
      <protection locked="0"/>
    </xf>
    <xf numFmtId="1" fontId="5" fillId="4" borderId="1338" xfId="0" applyNumberFormat="1" applyFont="1" applyFill="1" applyBorder="1" applyProtection="1">
      <protection locked="0"/>
    </xf>
    <xf numFmtId="1" fontId="5" fillId="4" borderId="1337" xfId="0" applyNumberFormat="1" applyFont="1" applyFill="1" applyBorder="1" applyProtection="1">
      <protection locked="0"/>
    </xf>
    <xf numFmtId="1" fontId="5" fillId="4" borderId="1340" xfId="0" applyNumberFormat="1" applyFont="1" applyFill="1" applyBorder="1" applyProtection="1">
      <protection locked="0"/>
    </xf>
    <xf numFmtId="1" fontId="5" fillId="0" borderId="1347" xfId="0" applyNumberFormat="1" applyFont="1" applyBorder="1"/>
    <xf numFmtId="1" fontId="5" fillId="0" borderId="1342" xfId="0" applyNumberFormat="1" applyFont="1" applyBorder="1" applyAlignment="1">
      <alignment horizontal="center" vertical="center" wrapText="1"/>
    </xf>
    <xf numFmtId="1" fontId="3" fillId="0" borderId="1168" xfId="0" applyNumberFormat="1" applyFont="1" applyBorder="1" applyAlignment="1" applyProtection="1">
      <alignment horizontal="center" vertical="center" wrapText="1"/>
      <protection hidden="1"/>
    </xf>
    <xf numFmtId="1" fontId="3" fillId="0" borderId="1219" xfId="0" applyNumberFormat="1" applyFont="1" applyBorder="1" applyAlignment="1" applyProtection="1">
      <alignment horizontal="center" vertical="center" wrapText="1"/>
      <protection hidden="1"/>
    </xf>
    <xf numFmtId="1" fontId="3" fillId="0" borderId="1343" xfId="0" applyNumberFormat="1" applyFont="1" applyBorder="1" applyAlignment="1">
      <alignment horizontal="center" vertical="center"/>
    </xf>
    <xf numFmtId="1" fontId="3" fillId="0" borderId="1347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65" fillId="49" borderId="0" xfId="0" applyFont="1" applyFill="1" applyAlignment="1">
      <alignment vertical="center"/>
    </xf>
    <xf numFmtId="0" fontId="3" fillId="0" borderId="133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344" xfId="0" applyFont="1" applyBorder="1" applyAlignment="1">
      <alignment horizontal="center" vertical="center" wrapText="1"/>
    </xf>
    <xf numFmtId="0" fontId="3" fillId="0" borderId="1337" xfId="0" applyFont="1" applyBorder="1" applyAlignment="1">
      <alignment horizontal="center" vertical="center" wrapText="1"/>
    </xf>
    <xf numFmtId="1" fontId="5" fillId="5" borderId="1243" xfId="0" applyNumberFormat="1" applyFont="1" applyFill="1" applyBorder="1" applyAlignment="1">
      <alignment horizontal="center" vertical="center" wrapText="1"/>
    </xf>
    <xf numFmtId="1" fontId="5" fillId="5" borderId="1241" xfId="0" applyNumberFormat="1" applyFont="1" applyFill="1" applyBorder="1" applyAlignment="1">
      <alignment horizontal="center" vertical="center" wrapText="1"/>
    </xf>
    <xf numFmtId="0" fontId="3" fillId="0" borderId="1344" xfId="0" applyFont="1" applyBorder="1" applyAlignment="1">
      <alignment horizontal="right" vertical="center" wrapText="1"/>
    </xf>
    <xf numFmtId="0" fontId="3" fillId="0" borderId="1337" xfId="0" applyFont="1" applyBorder="1" applyAlignment="1">
      <alignment horizontal="right" vertical="center" wrapText="1"/>
    </xf>
    <xf numFmtId="0" fontId="3" fillId="0" borderId="1343" xfId="0" applyFont="1" applyBorder="1" applyAlignment="1">
      <alignment horizontal="right" vertical="center" wrapText="1"/>
    </xf>
    <xf numFmtId="0" fontId="3" fillId="0" borderId="1346" xfId="0" applyFont="1" applyBorder="1" applyAlignment="1">
      <alignment horizontal="right" vertical="center" wrapText="1"/>
    </xf>
    <xf numFmtId="0" fontId="14" fillId="8" borderId="1333" xfId="0" applyFont="1" applyFill="1" applyBorder="1" applyAlignment="1" applyProtection="1">
      <alignment horizontal="right" vertical="center"/>
      <protection locked="0"/>
    </xf>
    <xf numFmtId="0" fontId="14" fillId="8" borderId="1331" xfId="0" applyFont="1" applyFill="1" applyBorder="1" applyAlignment="1" applyProtection="1">
      <alignment horizontal="right" vertical="center"/>
      <protection locked="0"/>
    </xf>
    <xf numFmtId="0" fontId="14" fillId="8" borderId="1354" xfId="0" applyFont="1" applyFill="1" applyBorder="1" applyAlignment="1" applyProtection="1">
      <alignment horizontal="right" vertical="center"/>
      <protection locked="0"/>
    </xf>
    <xf numFmtId="0" fontId="14" fillId="8" borderId="1355" xfId="0" applyFont="1" applyFill="1" applyBorder="1" applyAlignment="1" applyProtection="1">
      <alignment horizontal="right" vertical="center"/>
      <protection locked="0"/>
    </xf>
    <xf numFmtId="0" fontId="14" fillId="8" borderId="831" xfId="0" applyFont="1" applyFill="1" applyBorder="1" applyAlignment="1" applyProtection="1">
      <alignment horizontal="right" vertical="center"/>
      <protection locked="0"/>
    </xf>
    <xf numFmtId="0" fontId="14" fillId="8" borderId="854" xfId="0" applyFont="1" applyFill="1" applyBorder="1" applyAlignment="1" applyProtection="1">
      <alignment horizontal="right" vertical="center"/>
      <protection locked="0"/>
    </xf>
    <xf numFmtId="0" fontId="14" fillId="8" borderId="841" xfId="0" applyFont="1" applyFill="1" applyBorder="1" applyAlignment="1" applyProtection="1">
      <alignment horizontal="right" vertical="center"/>
      <protection locked="0"/>
    </xf>
    <xf numFmtId="0" fontId="14" fillId="8" borderId="833" xfId="0" applyFont="1" applyFill="1" applyBorder="1" applyAlignment="1" applyProtection="1">
      <alignment horizontal="right" vertical="center"/>
      <protection locked="0"/>
    </xf>
    <xf numFmtId="0" fontId="14" fillId="8" borderId="20" xfId="0" applyFont="1" applyFill="1" applyBorder="1" applyAlignment="1" applyProtection="1">
      <alignment horizontal="right" vertical="center"/>
      <protection locked="0"/>
    </xf>
    <xf numFmtId="0" fontId="14" fillId="8" borderId="1226" xfId="0" applyFont="1" applyFill="1" applyBorder="1" applyAlignment="1" applyProtection="1">
      <alignment horizontal="right" vertical="center"/>
      <protection locked="0"/>
    </xf>
    <xf numFmtId="0" fontId="14" fillId="8" borderId="1225" xfId="0" applyFont="1" applyFill="1" applyBorder="1" applyAlignment="1" applyProtection="1">
      <alignment horizontal="right" vertical="center"/>
      <protection locked="0"/>
    </xf>
    <xf numFmtId="0" fontId="14" fillId="8" borderId="1208" xfId="0" applyFont="1" applyFill="1" applyBorder="1" applyAlignment="1" applyProtection="1">
      <alignment horizontal="right" vertical="center"/>
      <protection locked="0"/>
    </xf>
    <xf numFmtId="0" fontId="67" fillId="0" borderId="0" xfId="0" applyFont="1"/>
    <xf numFmtId="0" fontId="39" fillId="43" borderId="1347" xfId="0" applyFont="1" applyFill="1" applyBorder="1" applyAlignment="1">
      <alignment horizontal="center" vertical="center" wrapText="1"/>
    </xf>
    <xf numFmtId="0" fontId="39" fillId="43" borderId="0" xfId="0" applyFont="1" applyFill="1" applyAlignment="1" applyProtection="1">
      <alignment vertical="center"/>
      <protection hidden="1"/>
    </xf>
    <xf numFmtId="1" fontId="5" fillId="0" borderId="1291" xfId="0" applyNumberFormat="1" applyFont="1" applyBorder="1" applyAlignment="1">
      <alignment horizontal="center" vertical="center"/>
    </xf>
    <xf numFmtId="1" fontId="5" fillId="0" borderId="1289" xfId="0" applyNumberFormat="1" applyFont="1" applyBorder="1" applyAlignment="1">
      <alignment wrapText="1"/>
    </xf>
    <xf numFmtId="1" fontId="5" fillId="8" borderId="1292" xfId="0" applyNumberFormat="1" applyFont="1" applyFill="1" applyBorder="1" applyProtection="1">
      <protection locked="0"/>
    </xf>
    <xf numFmtId="1" fontId="5" fillId="8" borderId="1325" xfId="0" applyNumberFormat="1" applyFont="1" applyFill="1" applyBorder="1" applyProtection="1">
      <protection locked="0"/>
    </xf>
    <xf numFmtId="1" fontId="5" fillId="8" borderId="1289" xfId="0" applyNumberFormat="1" applyFont="1" applyFill="1" applyBorder="1" applyProtection="1">
      <protection locked="0"/>
    </xf>
    <xf numFmtId="1" fontId="5" fillId="4" borderId="1287" xfId="0" applyNumberFormat="1" applyFont="1" applyFill="1" applyBorder="1" applyProtection="1">
      <protection locked="0"/>
    </xf>
    <xf numFmtId="1" fontId="5" fillId="4" borderId="1309" xfId="0" applyNumberFormat="1" applyFont="1" applyFill="1" applyBorder="1" applyProtection="1">
      <protection locked="0"/>
    </xf>
    <xf numFmtId="1" fontId="5" fillId="4" borderId="1308" xfId="0" applyNumberFormat="1" applyFont="1" applyFill="1" applyBorder="1" applyProtection="1">
      <protection locked="0"/>
    </xf>
    <xf numFmtId="1" fontId="5" fillId="4" borderId="1358" xfId="0" applyNumberFormat="1" applyFont="1" applyFill="1" applyBorder="1" applyProtection="1">
      <protection locked="0"/>
    </xf>
    <xf numFmtId="1" fontId="5" fillId="4" borderId="1101" xfId="0" applyNumberFormat="1" applyFont="1" applyFill="1" applyBorder="1" applyProtection="1">
      <protection locked="0"/>
    </xf>
    <xf numFmtId="1" fontId="5" fillId="4" borderId="1329" xfId="0" applyNumberFormat="1" applyFont="1" applyFill="1" applyBorder="1" applyProtection="1">
      <protection locked="0"/>
    </xf>
    <xf numFmtId="1" fontId="5" fillId="4" borderId="1359" xfId="0" applyNumberFormat="1" applyFont="1" applyFill="1" applyBorder="1" applyProtection="1">
      <protection locked="0"/>
    </xf>
    <xf numFmtId="1" fontId="5" fillId="4" borderId="1360" xfId="0" applyNumberFormat="1" applyFont="1" applyFill="1" applyBorder="1" applyProtection="1">
      <protection locked="0"/>
    </xf>
    <xf numFmtId="1" fontId="5" fillId="4" borderId="1357" xfId="0" applyNumberFormat="1" applyFont="1" applyFill="1" applyBorder="1" applyProtection="1">
      <protection locked="0"/>
    </xf>
    <xf numFmtId="1" fontId="5" fillId="4" borderId="1361" xfId="0" applyNumberFormat="1" applyFont="1" applyFill="1" applyBorder="1" applyProtection="1">
      <protection locked="0"/>
    </xf>
    <xf numFmtId="1" fontId="5" fillId="4" borderId="1362" xfId="0" applyNumberFormat="1" applyFont="1" applyFill="1" applyBorder="1" applyProtection="1">
      <protection locked="0"/>
    </xf>
    <xf numFmtId="1" fontId="5" fillId="4" borderId="1363" xfId="0" applyNumberFormat="1" applyFont="1" applyFill="1" applyBorder="1" applyProtection="1">
      <protection locked="0"/>
    </xf>
    <xf numFmtId="1" fontId="5" fillId="4" borderId="1149" xfId="0" applyNumberFormat="1" applyFont="1" applyFill="1" applyBorder="1" applyProtection="1">
      <protection locked="0"/>
    </xf>
    <xf numFmtId="1" fontId="5" fillId="4" borderId="1364" xfId="0" applyNumberFormat="1" applyFont="1" applyFill="1" applyBorder="1" applyProtection="1">
      <protection locked="0"/>
    </xf>
    <xf numFmtId="1" fontId="5" fillId="4" borderId="1365" xfId="0" applyNumberFormat="1" applyFont="1" applyFill="1" applyBorder="1" applyProtection="1">
      <protection locked="0"/>
    </xf>
    <xf numFmtId="1" fontId="5" fillId="4" borderId="1366" xfId="0" applyNumberFormat="1" applyFont="1" applyFill="1" applyBorder="1" applyProtection="1">
      <protection locked="0"/>
    </xf>
    <xf numFmtId="1" fontId="5" fillId="0" borderId="1099" xfId="0" applyNumberFormat="1" applyFont="1" applyBorder="1" applyAlignment="1">
      <alignment vertical="center" wrapText="1"/>
    </xf>
    <xf numFmtId="1" fontId="5" fillId="4" borderId="1352" xfId="0" applyNumberFormat="1" applyFont="1" applyFill="1" applyBorder="1" applyProtection="1">
      <protection locked="0"/>
    </xf>
    <xf numFmtId="1" fontId="5" fillId="4" borderId="1367" xfId="0" applyNumberFormat="1" applyFont="1" applyFill="1" applyBorder="1" applyProtection="1">
      <protection locked="0"/>
    </xf>
    <xf numFmtId="1" fontId="5" fillId="4" borderId="1271" xfId="0" applyNumberFormat="1" applyFont="1" applyFill="1" applyBorder="1" applyProtection="1">
      <protection locked="0"/>
    </xf>
    <xf numFmtId="1" fontId="5" fillId="4" borderId="1368" xfId="0" applyNumberFormat="1" applyFont="1" applyFill="1" applyBorder="1" applyProtection="1">
      <protection locked="0"/>
    </xf>
    <xf numFmtId="1" fontId="5" fillId="4" borderId="1313" xfId="0" applyNumberFormat="1" applyFont="1" applyFill="1" applyBorder="1" applyProtection="1">
      <protection locked="0"/>
    </xf>
    <xf numFmtId="1" fontId="5" fillId="4" borderId="1369" xfId="0" applyNumberFormat="1" applyFont="1" applyFill="1" applyBorder="1" applyProtection="1">
      <protection locked="0"/>
    </xf>
    <xf numFmtId="1" fontId="5" fillId="4" borderId="1277" xfId="0" applyNumberFormat="1" applyFont="1" applyFill="1" applyBorder="1" applyProtection="1">
      <protection locked="0"/>
    </xf>
    <xf numFmtId="1" fontId="5" fillId="4" borderId="1276" xfId="0" applyNumberFormat="1" applyFont="1" applyFill="1" applyBorder="1" applyProtection="1">
      <protection locked="0"/>
    </xf>
    <xf numFmtId="1" fontId="5" fillId="4" borderId="1314" xfId="0" applyNumberFormat="1" applyFont="1" applyFill="1" applyBorder="1" applyProtection="1">
      <protection locked="0"/>
    </xf>
    <xf numFmtId="1" fontId="5" fillId="4" borderId="1370" xfId="0" applyNumberFormat="1" applyFont="1" applyFill="1" applyBorder="1" applyProtection="1">
      <protection locked="0"/>
    </xf>
    <xf numFmtId="1" fontId="3" fillId="0" borderId="208" xfId="0" applyNumberFormat="1" applyFont="1" applyBorder="1"/>
    <xf numFmtId="1" fontId="3" fillId="4" borderId="1207" xfId="0" applyNumberFormat="1" applyFont="1" applyFill="1" applyBorder="1" applyProtection="1">
      <protection locked="0"/>
    </xf>
    <xf numFmtId="1" fontId="3" fillId="6" borderId="1207" xfId="0" applyNumberFormat="1" applyFont="1" applyFill="1" applyBorder="1"/>
    <xf numFmtId="1" fontId="3" fillId="6" borderId="1226" xfId="0" applyNumberFormat="1" applyFont="1" applyFill="1" applyBorder="1"/>
    <xf numFmtId="1" fontId="3" fillId="0" borderId="1292" xfId="0" applyNumberFormat="1" applyFont="1" applyBorder="1"/>
    <xf numFmtId="1" fontId="3" fillId="4" borderId="1288" xfId="0" applyNumberFormat="1" applyFont="1" applyFill="1" applyBorder="1" applyProtection="1">
      <protection locked="0"/>
    </xf>
    <xf numFmtId="1" fontId="3" fillId="4" borderId="1300" xfId="0" applyNumberFormat="1" applyFont="1" applyFill="1" applyBorder="1" applyProtection="1">
      <protection locked="0"/>
    </xf>
    <xf numFmtId="1" fontId="3" fillId="6" borderId="1300" xfId="0" applyNumberFormat="1" applyFont="1" applyFill="1" applyBorder="1"/>
    <xf numFmtId="1" fontId="3" fillId="6" borderId="1308" xfId="0" applyNumberFormat="1" applyFont="1" applyFill="1" applyBorder="1"/>
    <xf numFmtId="1" fontId="3" fillId="4" borderId="1289" xfId="0" applyNumberFormat="1" applyFont="1" applyFill="1" applyBorder="1" applyProtection="1">
      <protection locked="0"/>
    </xf>
    <xf numFmtId="1" fontId="3" fillId="4" borderId="1359" xfId="0" applyNumberFormat="1" applyFont="1" applyFill="1" applyBorder="1" applyProtection="1">
      <protection locked="0"/>
    </xf>
    <xf numFmtId="1" fontId="3" fillId="0" borderId="222" xfId="0" applyNumberFormat="1" applyFont="1" applyBorder="1"/>
    <xf numFmtId="1" fontId="3" fillId="0" borderId="1207" xfId="0" applyNumberFormat="1" applyFont="1" applyBorder="1"/>
    <xf numFmtId="1" fontId="3" fillId="0" borderId="1099" xfId="0" applyNumberFormat="1" applyFont="1" applyBorder="1"/>
    <xf numFmtId="1" fontId="3" fillId="4" borderId="1208" xfId="0" applyNumberFormat="1" applyFont="1" applyFill="1" applyBorder="1" applyProtection="1">
      <protection locked="0"/>
    </xf>
    <xf numFmtId="1" fontId="3" fillId="4" borderId="939" xfId="0" applyNumberFormat="1" applyFont="1" applyFill="1" applyBorder="1" applyProtection="1">
      <protection locked="0"/>
    </xf>
    <xf numFmtId="1" fontId="3" fillId="4" borderId="1226" xfId="0" applyNumberFormat="1" applyFont="1" applyFill="1" applyBorder="1" applyProtection="1">
      <protection locked="0"/>
    </xf>
    <xf numFmtId="1" fontId="3" fillId="0" borderId="1288" xfId="0" applyNumberFormat="1" applyFont="1" applyBorder="1"/>
    <xf numFmtId="1" fontId="3" fillId="0" borderId="1300" xfId="0" applyNumberFormat="1" applyFont="1" applyBorder="1"/>
    <xf numFmtId="1" fontId="3" fillId="0" borderId="1289" xfId="0" applyNumberFormat="1" applyFont="1" applyBorder="1"/>
    <xf numFmtId="1" fontId="3" fillId="4" borderId="1308" xfId="0" applyNumberFormat="1" applyFont="1" applyFill="1" applyBorder="1" applyProtection="1">
      <protection locked="0"/>
    </xf>
    <xf numFmtId="1" fontId="3" fillId="0" borderId="244" xfId="0" applyNumberFormat="1" applyFont="1" applyBorder="1"/>
    <xf numFmtId="1" fontId="3" fillId="0" borderId="831" xfId="0" applyNumberFormat="1" applyFont="1" applyBorder="1"/>
    <xf numFmtId="1" fontId="3" fillId="0" borderId="792" xfId="0" applyNumberFormat="1" applyFont="1" applyBorder="1"/>
    <xf numFmtId="1" fontId="3" fillId="7" borderId="792" xfId="0" applyNumberFormat="1" applyFont="1" applyFill="1" applyBorder="1"/>
    <xf numFmtId="1" fontId="3" fillId="0" borderId="1347" xfId="0" applyNumberFormat="1" applyFont="1" applyBorder="1" applyAlignment="1">
      <alignment horizontal="center"/>
    </xf>
    <xf numFmtId="1" fontId="3" fillId="0" borderId="1359" xfId="0" applyNumberFormat="1" applyFont="1" applyBorder="1"/>
    <xf numFmtId="1" fontId="3" fillId="0" borderId="1361" xfId="0" applyNumberFormat="1" applyFont="1" applyBorder="1"/>
    <xf numFmtId="1" fontId="3" fillId="0" borderId="1357" xfId="0" applyNumberFormat="1" applyFont="1" applyBorder="1"/>
    <xf numFmtId="1" fontId="3" fillId="0" borderId="1366" xfId="0" applyNumberFormat="1" applyFont="1" applyBorder="1"/>
    <xf numFmtId="1" fontId="5" fillId="0" borderId="208" xfId="0" applyNumberFormat="1" applyFont="1" applyBorder="1" applyAlignment="1">
      <alignment horizontal="left" vertical="center" wrapText="1"/>
    </xf>
    <xf numFmtId="1" fontId="5" fillId="12" borderId="1099" xfId="0" applyNumberFormat="1" applyFont="1" applyFill="1" applyBorder="1"/>
    <xf numFmtId="1" fontId="5" fillId="6" borderId="1099" xfId="0" applyNumberFormat="1" applyFont="1" applyFill="1" applyBorder="1"/>
    <xf numFmtId="1" fontId="5" fillId="0" borderId="792" xfId="0" applyNumberFormat="1" applyFont="1" applyBorder="1" applyAlignment="1">
      <alignment horizontal="right"/>
    </xf>
    <xf numFmtId="1" fontId="5" fillId="0" borderId="222" xfId="0" applyNumberFormat="1" applyFont="1" applyBorder="1" applyAlignment="1">
      <alignment horizontal="right" wrapText="1"/>
    </xf>
    <xf numFmtId="1" fontId="5" fillId="4" borderId="1208" xfId="0" applyNumberFormat="1" applyFont="1" applyFill="1" applyBorder="1" applyAlignment="1" applyProtection="1">
      <alignment horizontal="right" wrapText="1"/>
      <protection locked="0"/>
    </xf>
    <xf numFmtId="1" fontId="5" fillId="4" borderId="225" xfId="0" applyNumberFormat="1" applyFont="1" applyFill="1" applyBorder="1" applyAlignment="1" applyProtection="1">
      <alignment horizontal="right" wrapText="1"/>
      <protection locked="0"/>
    </xf>
    <xf numFmtId="1" fontId="5" fillId="4" borderId="55" xfId="0" applyNumberFormat="1" applyFont="1" applyFill="1" applyBorder="1" applyAlignment="1" applyProtection="1">
      <alignment horizontal="right" wrapText="1"/>
      <protection locked="0"/>
    </xf>
    <xf numFmtId="1" fontId="5" fillId="4" borderId="222" xfId="0" applyNumberFormat="1" applyFont="1" applyFill="1" applyBorder="1" applyAlignment="1" applyProtection="1">
      <alignment horizontal="right" wrapText="1"/>
      <protection locked="0"/>
    </xf>
    <xf numFmtId="1" fontId="5" fillId="4" borderId="1218" xfId="0" applyNumberFormat="1" applyFont="1" applyFill="1" applyBorder="1" applyAlignment="1" applyProtection="1">
      <alignment horizontal="right" wrapText="1"/>
      <protection locked="0"/>
    </xf>
    <xf numFmtId="1" fontId="5" fillId="4" borderId="59" xfId="0" applyNumberFormat="1" applyFont="1" applyFill="1" applyBorder="1" applyAlignment="1" applyProtection="1">
      <alignment horizontal="right" wrapText="1"/>
      <protection locked="0"/>
    </xf>
    <xf numFmtId="1" fontId="5" fillId="4" borderId="208" xfId="0" applyNumberFormat="1" applyFont="1" applyFill="1" applyBorder="1" applyAlignment="1" applyProtection="1">
      <alignment horizontal="right" wrapText="1"/>
      <protection locked="0"/>
    </xf>
    <xf numFmtId="1" fontId="5" fillId="6" borderId="208" xfId="0" applyNumberFormat="1" applyFont="1" applyFill="1" applyBorder="1" applyAlignment="1">
      <alignment horizontal="right" wrapText="1"/>
    </xf>
    <xf numFmtId="1" fontId="5" fillId="0" borderId="1300" xfId="0" applyNumberFormat="1" applyFont="1" applyBorder="1" applyAlignment="1">
      <alignment horizontal="right"/>
    </xf>
    <xf numFmtId="1" fontId="5" fillId="4" borderId="1287" xfId="0" applyNumberFormat="1" applyFont="1" applyFill="1" applyBorder="1" applyAlignment="1" applyProtection="1">
      <alignment horizontal="right"/>
      <protection locked="0"/>
    </xf>
    <xf numFmtId="1" fontId="5" fillId="4" borderId="1292" xfId="0" applyNumberFormat="1" applyFont="1" applyFill="1" applyBorder="1" applyAlignment="1" applyProtection="1">
      <alignment horizontal="right"/>
      <protection locked="0"/>
    </xf>
    <xf numFmtId="1" fontId="5" fillId="0" borderId="942" xfId="0" applyNumberFormat="1" applyFont="1" applyBorder="1" applyAlignment="1">
      <alignment horizontal="center" vertical="center" wrapText="1"/>
    </xf>
    <xf numFmtId="1" fontId="5" fillId="0" borderId="1101" xfId="0" applyNumberFormat="1" applyFont="1" applyBorder="1" applyAlignment="1">
      <alignment horizontal="right" wrapText="1"/>
    </xf>
    <xf numFmtId="1" fontId="5" fillId="4" borderId="911" xfId="0" applyNumberFormat="1" applyFont="1" applyFill="1" applyBorder="1" applyAlignment="1" applyProtection="1">
      <alignment horizontal="right" wrapText="1"/>
      <protection locked="0"/>
    </xf>
    <xf numFmtId="1" fontId="5" fillId="4" borderId="942" xfId="0" applyNumberFormat="1" applyFont="1" applyFill="1" applyBorder="1" applyAlignment="1" applyProtection="1">
      <alignment horizontal="right" wrapText="1"/>
      <protection locked="0"/>
    </xf>
    <xf numFmtId="1" fontId="5" fillId="4" borderId="246" xfId="0" applyNumberFormat="1" applyFont="1" applyFill="1" applyBorder="1" applyAlignment="1" applyProtection="1">
      <alignment horizontal="right" wrapText="1"/>
      <protection locked="0"/>
    </xf>
    <xf numFmtId="1" fontId="5" fillId="4" borderId="1358" xfId="0" applyNumberFormat="1" applyFont="1" applyFill="1" applyBorder="1" applyAlignment="1" applyProtection="1">
      <alignment horizontal="right" wrapText="1"/>
      <protection locked="0"/>
    </xf>
    <xf numFmtId="1" fontId="5" fillId="4" borderId="903" xfId="0" applyNumberFormat="1" applyFont="1" applyFill="1" applyBorder="1" applyAlignment="1" applyProtection="1">
      <alignment horizontal="right" wrapText="1"/>
      <protection locked="0"/>
    </xf>
    <xf numFmtId="1" fontId="5" fillId="0" borderId="1356" xfId="0" applyNumberFormat="1" applyFont="1" applyBorder="1" applyAlignment="1">
      <alignment horizontal="center" vertical="center" wrapText="1"/>
    </xf>
    <xf numFmtId="1" fontId="5" fillId="4" borderId="1359" xfId="0" applyNumberFormat="1" applyFont="1" applyFill="1" applyBorder="1" applyAlignment="1" applyProtection="1">
      <alignment horizontal="right" wrapText="1"/>
      <protection locked="0"/>
    </xf>
    <xf numFmtId="1" fontId="5" fillId="4" borderId="1357" xfId="0" applyNumberFormat="1" applyFont="1" applyFill="1" applyBorder="1" applyAlignment="1" applyProtection="1">
      <alignment horizontal="right" wrapText="1"/>
      <protection locked="0"/>
    </xf>
    <xf numFmtId="1" fontId="5" fillId="4" borderId="1360" xfId="0" applyNumberFormat="1" applyFont="1" applyFill="1" applyBorder="1" applyAlignment="1" applyProtection="1">
      <alignment horizontal="right" wrapText="1"/>
      <protection locked="0"/>
    </xf>
    <xf numFmtId="1" fontId="5" fillId="4" borderId="1356" xfId="0" applyNumberFormat="1" applyFont="1" applyFill="1" applyBorder="1" applyAlignment="1" applyProtection="1">
      <alignment horizontal="right" wrapText="1"/>
      <protection locked="0"/>
    </xf>
    <xf numFmtId="1" fontId="5" fillId="4" borderId="1216" xfId="0" applyNumberFormat="1" applyFont="1" applyFill="1" applyBorder="1" applyAlignment="1" applyProtection="1">
      <alignment horizontal="right" wrapText="1"/>
      <protection locked="0"/>
    </xf>
    <xf numFmtId="1" fontId="5" fillId="4" borderId="1363" xfId="0" applyNumberFormat="1" applyFont="1" applyFill="1" applyBorder="1" applyAlignment="1" applyProtection="1">
      <alignment horizontal="right" wrapText="1"/>
      <protection locked="0"/>
    </xf>
    <xf numFmtId="1" fontId="5" fillId="4" borderId="1329" xfId="0" applyNumberFormat="1" applyFont="1" applyFill="1" applyBorder="1" applyAlignment="1" applyProtection="1">
      <alignment horizontal="right" wrapText="1"/>
      <protection locked="0"/>
    </xf>
    <xf numFmtId="1" fontId="5" fillId="4" borderId="1362" xfId="0" applyNumberFormat="1" applyFont="1" applyFill="1" applyBorder="1" applyAlignment="1" applyProtection="1">
      <alignment horizontal="right" wrapText="1"/>
      <protection locked="0"/>
    </xf>
    <xf numFmtId="1" fontId="5" fillId="3" borderId="1208" xfId="0" applyNumberFormat="1" applyFont="1" applyFill="1" applyBorder="1" applyAlignment="1">
      <alignment horizontal="right" wrapText="1"/>
    </xf>
    <xf numFmtId="1" fontId="5" fillId="3" borderId="262" xfId="0" applyNumberFormat="1" applyFont="1" applyFill="1" applyBorder="1" applyAlignment="1">
      <alignment horizontal="right" wrapText="1"/>
    </xf>
    <xf numFmtId="1" fontId="5" fillId="3" borderId="225" xfId="0" applyNumberFormat="1" applyFont="1" applyFill="1" applyBorder="1" applyAlignment="1">
      <alignment horizontal="right" wrapText="1"/>
    </xf>
    <xf numFmtId="1" fontId="5" fillId="3" borderId="1218" xfId="0" applyNumberFormat="1" applyFont="1" applyFill="1" applyBorder="1" applyAlignment="1">
      <alignment horizontal="right" wrapText="1"/>
    </xf>
    <xf numFmtId="1" fontId="5" fillId="0" borderId="1371" xfId="1" applyNumberFormat="1" applyFont="1" applyFill="1" applyBorder="1" applyAlignment="1">
      <alignment horizontal="right" wrapText="1"/>
    </xf>
    <xf numFmtId="1" fontId="5" fillId="0" borderId="1372" xfId="1" applyNumberFormat="1" applyFont="1" applyFill="1" applyBorder="1" applyAlignment="1">
      <alignment horizontal="right" wrapText="1"/>
    </xf>
    <xf numFmtId="1" fontId="5" fillId="2" borderId="1373" xfId="1" applyNumberFormat="1" applyFont="1" applyBorder="1" applyAlignment="1" applyProtection="1">
      <alignment wrapText="1"/>
      <protection locked="0"/>
    </xf>
    <xf numFmtId="1" fontId="5" fillId="2" borderId="1374" xfId="1" applyNumberFormat="1" applyFont="1" applyBorder="1" applyAlignment="1" applyProtection="1">
      <alignment wrapText="1"/>
      <protection locked="0"/>
    </xf>
    <xf numFmtId="1" fontId="5" fillId="2" borderId="1375" xfId="1" applyNumberFormat="1" applyFont="1" applyBorder="1" applyAlignment="1" applyProtection="1">
      <alignment wrapText="1"/>
      <protection locked="0"/>
    </xf>
    <xf numFmtId="1" fontId="5" fillId="2" borderId="1372" xfId="1" applyNumberFormat="1" applyFont="1" applyBorder="1" applyAlignment="1" applyProtection="1">
      <alignment wrapText="1"/>
      <protection locked="0"/>
    </xf>
    <xf numFmtId="1" fontId="5" fillId="2" borderId="1376" xfId="1" applyNumberFormat="1" applyFont="1" applyBorder="1" applyAlignment="1" applyProtection="1">
      <alignment wrapText="1"/>
      <protection locked="0"/>
    </xf>
    <xf numFmtId="1" fontId="5" fillId="2" borderId="1377" xfId="1" applyNumberFormat="1" applyFont="1" applyBorder="1" applyAlignment="1" applyProtection="1">
      <alignment wrapText="1"/>
      <protection locked="0"/>
    </xf>
    <xf numFmtId="1" fontId="5" fillId="2" borderId="1369" xfId="1" applyNumberFormat="1" applyFont="1" applyBorder="1" applyAlignment="1" applyProtection="1">
      <alignment wrapText="1"/>
      <protection locked="0"/>
    </xf>
    <xf numFmtId="1" fontId="5" fillId="4" borderId="1311" xfId="0" applyNumberFormat="1" applyFont="1" applyFill="1" applyBorder="1" applyAlignment="1" applyProtection="1">
      <alignment wrapText="1"/>
      <protection locked="0"/>
    </xf>
    <xf numFmtId="1" fontId="5" fillId="4" borderId="1300" xfId="0" applyNumberFormat="1" applyFont="1" applyFill="1" applyBorder="1" applyAlignment="1" applyProtection="1">
      <alignment wrapText="1"/>
      <protection locked="0"/>
    </xf>
    <xf numFmtId="1" fontId="5" fillId="4" borderId="1301" xfId="0" applyNumberFormat="1" applyFont="1" applyFill="1" applyBorder="1" applyAlignment="1" applyProtection="1">
      <alignment wrapText="1"/>
      <protection locked="0"/>
    </xf>
    <xf numFmtId="1" fontId="5" fillId="0" borderId="1378" xfId="1" applyNumberFormat="1" applyFont="1" applyFill="1" applyBorder="1" applyAlignment="1">
      <alignment horizontal="right" wrapText="1"/>
    </xf>
    <xf numFmtId="1" fontId="5" fillId="0" borderId="1379" xfId="1" applyNumberFormat="1" applyFont="1" applyFill="1" applyBorder="1" applyAlignment="1">
      <alignment horizontal="right" wrapText="1"/>
    </xf>
    <xf numFmtId="1" fontId="5" fillId="2" borderId="1380" xfId="1" applyNumberFormat="1" applyFont="1" applyBorder="1" applyAlignment="1" applyProtection="1">
      <alignment wrapText="1"/>
      <protection locked="0"/>
    </xf>
    <xf numFmtId="1" fontId="5" fillId="2" borderId="1381" xfId="1" applyNumberFormat="1" applyFont="1" applyBorder="1" applyAlignment="1" applyProtection="1">
      <alignment wrapText="1"/>
      <protection locked="0"/>
    </xf>
    <xf numFmtId="1" fontId="5" fillId="2" borderId="1382" xfId="1" applyNumberFormat="1" applyFont="1" applyBorder="1" applyAlignment="1" applyProtection="1">
      <alignment wrapText="1"/>
      <protection locked="0"/>
    </xf>
    <xf numFmtId="1" fontId="5" fillId="2" borderId="1379" xfId="1" applyNumberFormat="1" applyFont="1" applyBorder="1" applyAlignment="1" applyProtection="1">
      <alignment wrapText="1"/>
      <protection locked="0"/>
    </xf>
    <xf numFmtId="1" fontId="5" fillId="2" borderId="1383" xfId="1" applyNumberFormat="1" applyFont="1" applyBorder="1" applyAlignment="1" applyProtection="1">
      <alignment wrapText="1"/>
      <protection locked="0"/>
    </xf>
    <xf numFmtId="1" fontId="5" fillId="2" borderId="1384" xfId="1" applyNumberFormat="1" applyFont="1" applyBorder="1" applyAlignment="1" applyProtection="1">
      <alignment wrapText="1"/>
      <protection locked="0"/>
    </xf>
    <xf numFmtId="1" fontId="5" fillId="6" borderId="246" xfId="0" applyNumberFormat="1" applyFont="1" applyFill="1" applyBorder="1" applyAlignment="1">
      <alignment wrapText="1"/>
    </xf>
    <xf numFmtId="1" fontId="5" fillId="4" borderId="911" xfId="0" applyNumberFormat="1" applyFont="1" applyFill="1" applyBorder="1" applyAlignment="1" applyProtection="1">
      <alignment wrapText="1"/>
      <protection locked="0"/>
    </xf>
    <xf numFmtId="1" fontId="5" fillId="4" borderId="244" xfId="0" applyNumberFormat="1" applyFont="1" applyFill="1" applyBorder="1" applyAlignment="1" applyProtection="1">
      <alignment wrapText="1"/>
      <protection locked="0"/>
    </xf>
    <xf numFmtId="1" fontId="5" fillId="4" borderId="246" xfId="0" applyNumberFormat="1" applyFont="1" applyFill="1" applyBorder="1" applyAlignment="1" applyProtection="1">
      <alignment wrapText="1"/>
      <protection locked="0"/>
    </xf>
    <xf numFmtId="1" fontId="5" fillId="6" borderId="911" xfId="0" applyNumberFormat="1" applyFont="1" applyFill="1" applyBorder="1" applyAlignment="1">
      <alignment wrapText="1"/>
    </xf>
    <xf numFmtId="1" fontId="5" fillId="2" borderId="1385" xfId="1" applyNumberFormat="1" applyFont="1" applyBorder="1" applyAlignment="1" applyProtection="1">
      <alignment wrapText="1"/>
      <protection locked="0"/>
    </xf>
    <xf numFmtId="1" fontId="5" fillId="2" borderId="1386" xfId="1" applyNumberFormat="1" applyFont="1" applyBorder="1" applyAlignment="1" applyProtection="1">
      <alignment wrapText="1"/>
      <protection locked="0"/>
    </xf>
    <xf numFmtId="1" fontId="5" fillId="2" borderId="1387" xfId="1" applyNumberFormat="1" applyFont="1" applyBorder="1" applyAlignment="1" applyProtection="1">
      <alignment wrapText="1"/>
      <protection locked="0"/>
    </xf>
    <xf numFmtId="1" fontId="5" fillId="2" borderId="1388" xfId="1" applyNumberFormat="1" applyFont="1" applyBorder="1" applyAlignment="1" applyProtection="1">
      <alignment wrapText="1"/>
      <protection locked="0"/>
    </xf>
    <xf numFmtId="1" fontId="5" fillId="4" borderId="1389" xfId="0" applyNumberFormat="1" applyFont="1" applyFill="1" applyBorder="1" applyAlignment="1" applyProtection="1">
      <alignment wrapText="1"/>
      <protection locked="0"/>
    </xf>
    <xf numFmtId="1" fontId="5" fillId="4" borderId="1390" xfId="0" applyNumberFormat="1" applyFont="1" applyFill="1" applyBorder="1" applyAlignment="1" applyProtection="1">
      <alignment wrapText="1"/>
      <protection locked="0"/>
    </xf>
    <xf numFmtId="1" fontId="5" fillId="4" borderId="1391" xfId="0" applyNumberFormat="1" applyFont="1" applyFill="1" applyBorder="1" applyAlignment="1" applyProtection="1">
      <alignment wrapText="1"/>
      <protection locked="0"/>
    </xf>
    <xf numFmtId="1" fontId="5" fillId="4" borderId="1392" xfId="0" applyNumberFormat="1" applyFont="1" applyFill="1" applyBorder="1" applyAlignment="1" applyProtection="1">
      <alignment wrapText="1"/>
      <protection locked="0"/>
    </xf>
    <xf numFmtId="1" fontId="5" fillId="4" borderId="1091" xfId="0" applyNumberFormat="1" applyFont="1" applyFill="1" applyBorder="1" applyAlignment="1" applyProtection="1">
      <alignment wrapText="1"/>
      <protection locked="0"/>
    </xf>
    <xf numFmtId="1" fontId="5" fillId="4" borderId="466" xfId="0" applyNumberFormat="1" applyFont="1" applyFill="1" applyBorder="1" applyAlignment="1" applyProtection="1">
      <alignment wrapText="1"/>
      <protection locked="0"/>
    </xf>
    <xf numFmtId="1" fontId="5" fillId="4" borderId="1101" xfId="0" applyNumberFormat="1" applyFont="1" applyFill="1" applyBorder="1" applyAlignment="1" applyProtection="1">
      <alignment wrapText="1"/>
      <protection locked="0"/>
    </xf>
    <xf numFmtId="1" fontId="5" fillId="4" borderId="451" xfId="0" applyNumberFormat="1" applyFont="1" applyFill="1" applyBorder="1" applyAlignment="1" applyProtection="1">
      <alignment wrapText="1"/>
      <protection locked="0"/>
    </xf>
    <xf numFmtId="1" fontId="5" fillId="0" borderId="1393" xfId="1" applyNumberFormat="1" applyFont="1" applyFill="1" applyBorder="1" applyAlignment="1">
      <alignment horizontal="right" wrapText="1"/>
    </xf>
    <xf numFmtId="1" fontId="5" fillId="0" borderId="1394" xfId="1" applyNumberFormat="1" applyFont="1" applyFill="1" applyBorder="1" applyAlignment="1">
      <alignment horizontal="right" wrapText="1"/>
    </xf>
    <xf numFmtId="1" fontId="5" fillId="2" borderId="1395" xfId="1" applyNumberFormat="1" applyFont="1" applyBorder="1" applyAlignment="1" applyProtection="1">
      <alignment wrapText="1"/>
      <protection locked="0"/>
    </xf>
    <xf numFmtId="1" fontId="5" fillId="2" borderId="1396" xfId="1" applyNumberFormat="1" applyFont="1" applyBorder="1" applyAlignment="1" applyProtection="1">
      <alignment wrapText="1"/>
      <protection locked="0"/>
    </xf>
    <xf numFmtId="1" fontId="5" fillId="2" borderId="1397" xfId="1" applyNumberFormat="1" applyFont="1" applyBorder="1" applyAlignment="1" applyProtection="1">
      <alignment wrapText="1"/>
      <protection locked="0"/>
    </xf>
    <xf numFmtId="1" fontId="5" fillId="2" borderId="1398" xfId="1" applyNumberFormat="1" applyFont="1" applyBorder="1" applyAlignment="1" applyProtection="1">
      <alignment wrapText="1"/>
      <protection locked="0"/>
    </xf>
    <xf numFmtId="1" fontId="5" fillId="4" borderId="936" xfId="0" applyNumberFormat="1" applyFont="1" applyFill="1" applyBorder="1" applyAlignment="1" applyProtection="1">
      <alignment wrapText="1"/>
      <protection locked="0"/>
    </xf>
    <xf numFmtId="1" fontId="5" fillId="6" borderId="831" xfId="0" applyNumberFormat="1" applyFont="1" applyFill="1" applyBorder="1" applyAlignment="1">
      <alignment wrapText="1"/>
    </xf>
    <xf numFmtId="1" fontId="5" fillId="6" borderId="833" xfId="0" applyNumberFormat="1" applyFont="1" applyFill="1" applyBorder="1" applyAlignment="1">
      <alignment wrapText="1"/>
    </xf>
    <xf numFmtId="1" fontId="5" fillId="4" borderId="833" xfId="0" applyNumberFormat="1" applyFont="1" applyFill="1" applyBorder="1" applyAlignment="1" applyProtection="1">
      <alignment wrapText="1"/>
      <protection locked="0"/>
    </xf>
    <xf numFmtId="0" fontId="3" fillId="0" borderId="977" xfId="0" applyFont="1" applyBorder="1" applyAlignment="1">
      <alignment vertical="center"/>
    </xf>
    <xf numFmtId="0" fontId="5" fillId="17" borderId="1329" xfId="0" applyFont="1" applyFill="1" applyBorder="1" applyAlignment="1">
      <alignment vertical="center"/>
    </xf>
    <xf numFmtId="1" fontId="5" fillId="17" borderId="1255" xfId="0" applyNumberFormat="1" applyFont="1" applyFill="1" applyBorder="1"/>
    <xf numFmtId="1" fontId="5" fillId="17" borderId="1364" xfId="0" applyNumberFormat="1" applyFont="1" applyFill="1" applyBorder="1"/>
    <xf numFmtId="1" fontId="5" fillId="17" borderId="1399" xfId="0" applyNumberFormat="1" applyFont="1" applyFill="1" applyBorder="1"/>
    <xf numFmtId="1" fontId="5" fillId="17" borderId="1357" xfId="0" applyNumberFormat="1" applyFont="1" applyFill="1" applyBorder="1"/>
    <xf numFmtId="1" fontId="5" fillId="0" borderId="1289" xfId="0" applyNumberFormat="1" applyFont="1" applyBorder="1" applyAlignment="1">
      <alignment horizontal="right" wrapText="1"/>
    </xf>
    <xf numFmtId="1" fontId="5" fillId="4" borderId="1400" xfId="0" applyNumberFormat="1" applyFont="1" applyFill="1" applyBorder="1" applyAlignment="1" applyProtection="1">
      <alignment horizontal="right"/>
      <protection locked="0"/>
    </xf>
    <xf numFmtId="0" fontId="5" fillId="0" borderId="1362" xfId="0" applyFont="1" applyBorder="1" applyAlignment="1">
      <alignment wrapText="1"/>
    </xf>
    <xf numFmtId="1" fontId="5" fillId="0" borderId="1357" xfId="0" applyNumberFormat="1" applyFont="1" applyBorder="1" applyAlignment="1">
      <alignment horizontal="right"/>
    </xf>
    <xf numFmtId="1" fontId="5" fillId="4" borderId="1359" xfId="0" applyNumberFormat="1" applyFont="1" applyFill="1" applyBorder="1" applyAlignment="1" applyProtection="1">
      <alignment horizontal="right"/>
      <protection locked="0"/>
    </xf>
    <xf numFmtId="1" fontId="5" fillId="4" borderId="1361" xfId="0" applyNumberFormat="1" applyFont="1" applyFill="1" applyBorder="1" applyAlignment="1" applyProtection="1">
      <alignment horizontal="right"/>
      <protection locked="0"/>
    </xf>
    <xf numFmtId="1" fontId="5" fillId="4" borderId="1364" xfId="0" applyNumberFormat="1" applyFont="1" applyFill="1" applyBorder="1" applyAlignment="1" applyProtection="1">
      <alignment horizontal="right"/>
      <protection locked="0"/>
    </xf>
    <xf numFmtId="1" fontId="5" fillId="4" borderId="1357" xfId="0" applyNumberFormat="1" applyFont="1" applyFill="1" applyBorder="1" applyAlignment="1" applyProtection="1">
      <alignment horizontal="right"/>
      <protection locked="0"/>
    </xf>
    <xf numFmtId="0" fontId="3" fillId="0" borderId="1362" xfId="0" applyFont="1" applyBorder="1" applyAlignment="1">
      <alignment vertical="center" wrapText="1"/>
    </xf>
    <xf numFmtId="0" fontId="5" fillId="17" borderId="1255" xfId="0" applyFont="1" applyFill="1" applyBorder="1" applyAlignment="1">
      <alignment horizontal="right" vertical="center"/>
    </xf>
    <xf numFmtId="1" fontId="5" fillId="17" borderId="1360" xfId="0" applyNumberFormat="1" applyFont="1" applyFill="1" applyBorder="1" applyAlignment="1">
      <alignment horizontal="right"/>
    </xf>
    <xf numFmtId="1" fontId="5" fillId="17" borderId="1363" xfId="0" applyNumberFormat="1" applyFont="1" applyFill="1" applyBorder="1" applyAlignment="1">
      <alignment horizontal="right"/>
    </xf>
    <xf numFmtId="1" fontId="5" fillId="17" borderId="1364" xfId="0" applyNumberFormat="1" applyFont="1" applyFill="1" applyBorder="1" applyAlignment="1">
      <alignment horizontal="right"/>
    </xf>
    <xf numFmtId="1" fontId="5" fillId="17" borderId="1255" xfId="0" applyNumberFormat="1" applyFont="1" applyFill="1" applyBorder="1" applyAlignment="1">
      <alignment horizontal="right"/>
    </xf>
    <xf numFmtId="1" fontId="5" fillId="17" borderId="1357" xfId="0" applyNumberFormat="1" applyFont="1" applyFill="1" applyBorder="1" applyAlignment="1">
      <alignment horizontal="right"/>
    </xf>
    <xf numFmtId="1" fontId="5" fillId="5" borderId="1289" xfId="0" applyNumberFormat="1" applyFont="1" applyFill="1" applyBorder="1" applyAlignment="1">
      <alignment horizontal="right"/>
    </xf>
    <xf numFmtId="1" fontId="5" fillId="5" borderId="792" xfId="0" applyNumberFormat="1" applyFont="1" applyFill="1" applyBorder="1" applyAlignment="1">
      <alignment horizontal="right"/>
    </xf>
    <xf numFmtId="1" fontId="5" fillId="17" borderId="1399" xfId="0" applyNumberFormat="1" applyFont="1" applyFill="1" applyBorder="1" applyAlignment="1">
      <alignment horizontal="right"/>
    </xf>
    <xf numFmtId="1" fontId="5" fillId="4" borderId="1401" xfId="0" applyNumberFormat="1" applyFont="1" applyFill="1" applyBorder="1" applyAlignment="1" applyProtection="1">
      <alignment horizontal="right"/>
      <protection locked="0"/>
    </xf>
    <xf numFmtId="1" fontId="5" fillId="4" borderId="1402" xfId="0" applyNumberFormat="1" applyFont="1" applyFill="1" applyBorder="1" applyAlignment="1" applyProtection="1">
      <alignment horizontal="right"/>
      <protection locked="0"/>
    </xf>
    <xf numFmtId="1" fontId="5" fillId="4" borderId="1403" xfId="0" applyNumberFormat="1" applyFont="1" applyFill="1" applyBorder="1" applyAlignment="1" applyProtection="1">
      <alignment horizontal="right"/>
      <protection locked="0"/>
    </xf>
    <xf numFmtId="1" fontId="5" fillId="4" borderId="1360" xfId="0" applyNumberFormat="1" applyFont="1" applyFill="1" applyBorder="1" applyAlignment="1" applyProtection="1">
      <alignment horizontal="right"/>
      <protection locked="0"/>
    </xf>
    <xf numFmtId="0" fontId="5" fillId="0" borderId="1404" xfId="0" applyFont="1" applyBorder="1" applyAlignment="1">
      <alignment wrapText="1"/>
    </xf>
    <xf numFmtId="1" fontId="5" fillId="5" borderId="1403" xfId="0" applyNumberFormat="1" applyFont="1" applyFill="1" applyBorder="1" applyAlignment="1">
      <alignment horizontal="right"/>
    </xf>
    <xf numFmtId="0" fontId="5" fillId="0" borderId="1362" xfId="0" applyFont="1" applyBorder="1" applyAlignment="1">
      <alignment vertical="center" wrapText="1"/>
    </xf>
    <xf numFmtId="1" fontId="5" fillId="17" borderId="1329" xfId="0" applyNumberFormat="1" applyFont="1" applyFill="1" applyBorder="1" applyAlignment="1">
      <alignment horizontal="right"/>
    </xf>
    <xf numFmtId="1" fontId="5" fillId="17" borderId="1366" xfId="0" applyNumberFormat="1" applyFont="1" applyFill="1" applyBorder="1" applyAlignment="1">
      <alignment horizontal="right"/>
    </xf>
    <xf numFmtId="1" fontId="5" fillId="0" borderId="208" xfId="0" applyNumberFormat="1" applyFont="1" applyBorder="1" applyAlignment="1">
      <alignment vertical="center" wrapText="1"/>
    </xf>
    <xf numFmtId="1" fontId="5" fillId="4" borderId="222" xfId="0" applyNumberFormat="1" applyFont="1" applyFill="1" applyBorder="1" applyAlignment="1" applyProtection="1">
      <alignment horizontal="right"/>
      <protection locked="0"/>
    </xf>
    <xf numFmtId="1" fontId="5" fillId="7" borderId="222" xfId="0" applyNumberFormat="1" applyFont="1" applyFill="1" applyBorder="1" applyAlignment="1">
      <alignment horizontal="right"/>
    </xf>
    <xf numFmtId="1" fontId="5" fillId="7" borderId="1099" xfId="0" applyNumberFormat="1" applyFont="1" applyFill="1" applyBorder="1" applyAlignment="1">
      <alignment horizontal="right"/>
    </xf>
    <xf numFmtId="1" fontId="54" fillId="0" borderId="13" xfId="0" applyNumberFormat="1" applyFont="1" applyBorder="1"/>
    <xf numFmtId="1" fontId="54" fillId="0" borderId="13" xfId="0" applyNumberFormat="1" applyFont="1" applyBorder="1" applyAlignment="1">
      <alignment horizontal="right"/>
    </xf>
    <xf numFmtId="1" fontId="5" fillId="0" borderId="1405" xfId="0" applyNumberFormat="1" applyFont="1" applyBorder="1" applyAlignment="1">
      <alignment horizontal="center" vertical="center" wrapText="1"/>
    </xf>
    <xf numFmtId="1" fontId="5" fillId="0" borderId="1405" xfId="0" applyNumberFormat="1" applyFont="1" applyBorder="1" applyAlignment="1">
      <alignment horizontal="right"/>
    </xf>
    <xf numFmtId="1" fontId="5" fillId="0" borderId="1408" xfId="0" applyNumberFormat="1" applyFont="1" applyBorder="1" applyAlignment="1">
      <alignment horizontal="center" vertical="center" wrapText="1"/>
    </xf>
    <xf numFmtId="1" fontId="3" fillId="0" borderId="1409" xfId="0" applyNumberFormat="1" applyFont="1" applyBorder="1" applyAlignment="1">
      <alignment horizontal="center" vertical="center" wrapText="1"/>
    </xf>
    <xf numFmtId="1" fontId="5" fillId="0" borderId="1367" xfId="0" applyNumberFormat="1" applyFont="1" applyBorder="1" applyAlignment="1">
      <alignment horizontal="center" vertical="center" wrapText="1"/>
    </xf>
    <xf numFmtId="1" fontId="5" fillId="0" borderId="1369" xfId="0" applyNumberFormat="1" applyFont="1" applyBorder="1" applyAlignment="1">
      <alignment horizontal="center" vertical="center" wrapText="1"/>
    </xf>
    <xf numFmtId="1" fontId="5" fillId="0" borderId="1410" xfId="0" applyNumberFormat="1" applyFont="1" applyBorder="1" applyAlignment="1">
      <alignment horizontal="center" vertical="center" wrapText="1"/>
    </xf>
    <xf numFmtId="1" fontId="54" fillId="3" borderId="0" xfId="0" applyNumberFormat="1" applyFont="1" applyFill="1" applyAlignment="1">
      <alignment horizontal="center" vertical="center" wrapText="1"/>
    </xf>
    <xf numFmtId="1" fontId="54" fillId="0" borderId="58" xfId="0" applyNumberFormat="1" applyFont="1" applyBorder="1" applyAlignment="1">
      <alignment horizontal="center" vertical="center" wrapText="1"/>
    </xf>
    <xf numFmtId="1" fontId="5" fillId="4" borderId="1411" xfId="0" applyNumberFormat="1" applyFont="1" applyFill="1" applyBorder="1" applyAlignment="1" applyProtection="1">
      <alignment horizontal="right"/>
      <protection locked="0"/>
    </xf>
    <xf numFmtId="1" fontId="5" fillId="4" borderId="1412" xfId="0" applyNumberFormat="1" applyFont="1" applyFill="1" applyBorder="1" applyAlignment="1" applyProtection="1">
      <alignment horizontal="right"/>
      <protection locked="0"/>
    </xf>
    <xf numFmtId="1" fontId="5" fillId="0" borderId="1408" xfId="0" applyNumberFormat="1" applyFont="1" applyBorder="1" applyAlignment="1">
      <alignment horizontal="right"/>
    </xf>
    <xf numFmtId="1" fontId="5" fillId="0" borderId="1409" xfId="0" applyNumberFormat="1" applyFont="1" applyBorder="1" applyAlignment="1">
      <alignment horizontal="right"/>
    </xf>
    <xf numFmtId="1" fontId="5" fillId="0" borderId="1413" xfId="0" applyNumberFormat="1" applyFont="1" applyBorder="1" applyAlignment="1">
      <alignment horizontal="right"/>
    </xf>
    <xf numFmtId="1" fontId="5" fillId="0" borderId="1410" xfId="0" applyNumberFormat="1" applyFont="1" applyBorder="1" applyAlignment="1">
      <alignment horizontal="right"/>
    </xf>
    <xf numFmtId="1" fontId="5" fillId="0" borderId="1414" xfId="0" applyNumberFormat="1" applyFont="1" applyBorder="1" applyAlignment="1">
      <alignment horizontal="right"/>
    </xf>
    <xf numFmtId="1" fontId="5" fillId="4" borderId="1408" xfId="0" applyNumberFormat="1" applyFont="1" applyFill="1" applyBorder="1" applyAlignment="1" applyProtection="1">
      <alignment horizontal="right"/>
      <protection locked="0"/>
    </xf>
    <xf numFmtId="1" fontId="5" fillId="4" borderId="1409" xfId="0" applyNumberFormat="1" applyFont="1" applyFill="1" applyBorder="1" applyAlignment="1" applyProtection="1">
      <alignment horizontal="right"/>
      <protection locked="0"/>
    </xf>
    <xf numFmtId="1" fontId="5" fillId="4" borderId="1413" xfId="0" applyNumberFormat="1" applyFont="1" applyFill="1" applyBorder="1" applyAlignment="1" applyProtection="1">
      <alignment horizontal="right"/>
      <protection locked="0"/>
    </xf>
    <xf numFmtId="1" fontId="5" fillId="4" borderId="1410" xfId="0" applyNumberFormat="1" applyFont="1" applyFill="1" applyBorder="1" applyAlignment="1" applyProtection="1">
      <alignment horizontal="right"/>
      <protection locked="0"/>
    </xf>
    <xf numFmtId="1" fontId="5" fillId="4" borderId="1414" xfId="0" applyNumberFormat="1" applyFont="1" applyFill="1" applyBorder="1" applyAlignment="1" applyProtection="1">
      <alignment horizontal="right"/>
      <protection locked="0"/>
    </xf>
    <xf numFmtId="1" fontId="5" fillId="4" borderId="1413" xfId="0" applyNumberFormat="1" applyFont="1" applyFill="1" applyBorder="1" applyProtection="1">
      <protection locked="0"/>
    </xf>
    <xf numFmtId="1" fontId="5" fillId="0" borderId="1408" xfId="0" applyNumberFormat="1" applyFont="1" applyBorder="1"/>
    <xf numFmtId="1" fontId="5" fillId="0" borderId="1405" xfId="0" applyNumberFormat="1" applyFont="1" applyBorder="1"/>
    <xf numFmtId="1" fontId="5" fillId="0" borderId="1415" xfId="0" applyNumberFormat="1" applyFont="1" applyBorder="1" applyAlignment="1">
      <alignment horizontal="center" vertical="center" wrapText="1"/>
    </xf>
    <xf numFmtId="1" fontId="5" fillId="4" borderId="1404" xfId="0" applyNumberFormat="1" applyFont="1" applyFill="1" applyBorder="1" applyAlignment="1" applyProtection="1">
      <alignment vertical="center"/>
      <protection locked="0"/>
    </xf>
    <xf numFmtId="1" fontId="5" fillId="4" borderId="835" xfId="0" applyNumberFormat="1" applyFont="1" applyFill="1" applyBorder="1" applyAlignment="1" applyProtection="1">
      <alignment vertical="center"/>
      <protection locked="0"/>
    </xf>
    <xf numFmtId="1" fontId="5" fillId="4" borderId="13" xfId="0" applyNumberFormat="1" applyFont="1" applyFill="1" applyBorder="1" applyAlignment="1" applyProtection="1">
      <alignment vertical="center"/>
      <protection locked="0"/>
    </xf>
    <xf numFmtId="1" fontId="5" fillId="4" borderId="1289" xfId="0" applyNumberFormat="1" applyFont="1" applyFill="1" applyBorder="1" applyAlignment="1" applyProtection="1">
      <alignment vertical="center"/>
      <protection locked="0"/>
    </xf>
    <xf numFmtId="1" fontId="5" fillId="4" borderId="838" xfId="0" applyNumberFormat="1" applyFont="1" applyFill="1" applyBorder="1" applyAlignment="1" applyProtection="1">
      <alignment vertical="center"/>
      <protection locked="0"/>
    </xf>
    <xf numFmtId="1" fontId="5" fillId="4" borderId="792" xfId="0" applyNumberFormat="1" applyFont="1" applyFill="1" applyBorder="1" applyAlignment="1" applyProtection="1">
      <alignment vertical="center"/>
      <protection locked="0"/>
    </xf>
    <xf numFmtId="1" fontId="3" fillId="3" borderId="1207" xfId="23" applyNumberFormat="1" applyFont="1" applyFill="1" applyBorder="1" applyAlignment="1">
      <alignment horizontal="right"/>
    </xf>
    <xf numFmtId="1" fontId="3" fillId="3" borderId="1099" xfId="23" applyNumberFormat="1" applyFont="1" applyFill="1" applyBorder="1" applyAlignment="1">
      <alignment horizontal="right"/>
    </xf>
    <xf numFmtId="1" fontId="3" fillId="8" borderId="1099" xfId="0" applyNumberFormat="1" applyFont="1" applyFill="1" applyBorder="1" applyProtection="1">
      <protection locked="0"/>
    </xf>
    <xf numFmtId="1" fontId="3" fillId="8" borderId="1218" xfId="0" applyNumberFormat="1" applyFont="1" applyFill="1" applyBorder="1" applyProtection="1">
      <protection locked="0"/>
    </xf>
    <xf numFmtId="1" fontId="3" fillId="8" borderId="1208" xfId="0" applyNumberFormat="1" applyFont="1" applyFill="1" applyBorder="1" applyProtection="1">
      <protection locked="0"/>
    </xf>
    <xf numFmtId="1" fontId="3" fillId="8" borderId="1351" xfId="0" applyNumberFormat="1" applyFont="1" applyFill="1" applyBorder="1" applyProtection="1">
      <protection locked="0"/>
    </xf>
    <xf numFmtId="1" fontId="3" fillId="0" borderId="1416" xfId="0" applyNumberFormat="1" applyFont="1" applyBorder="1" applyAlignment="1">
      <alignment vertical="center" wrapText="1"/>
    </xf>
    <xf numFmtId="1" fontId="3" fillId="3" borderId="1411" xfId="23" applyNumberFormat="1" applyFont="1" applyFill="1" applyBorder="1" applyAlignment="1">
      <alignment horizontal="right"/>
    </xf>
    <xf numFmtId="1" fontId="3" fillId="3" borderId="1300" xfId="23" applyNumberFormat="1" applyFont="1" applyFill="1" applyBorder="1" applyAlignment="1">
      <alignment horizontal="right"/>
    </xf>
    <xf numFmtId="1" fontId="3" fillId="3" borderId="1289" xfId="23" applyNumberFormat="1" applyFont="1" applyFill="1" applyBorder="1" applyAlignment="1">
      <alignment horizontal="right"/>
    </xf>
    <xf numFmtId="1" fontId="3" fillId="8" borderId="1411" xfId="0" applyNumberFormat="1" applyFont="1" applyFill="1" applyBorder="1" applyProtection="1">
      <protection locked="0"/>
    </xf>
    <xf numFmtId="1" fontId="3" fillId="8" borderId="1289" xfId="0" applyNumberFormat="1" applyFont="1" applyFill="1" applyBorder="1" applyProtection="1">
      <protection locked="0"/>
    </xf>
    <xf numFmtId="1" fontId="3" fillId="8" borderId="1402" xfId="0" applyNumberFormat="1" applyFont="1" applyFill="1" applyBorder="1" applyProtection="1">
      <protection locked="0"/>
    </xf>
    <xf numFmtId="1" fontId="3" fillId="8" borderId="1417" xfId="0" applyNumberFormat="1" applyFont="1" applyFill="1" applyBorder="1" applyProtection="1">
      <protection locked="0"/>
    </xf>
    <xf numFmtId="1" fontId="3" fillId="8" borderId="1412" xfId="0" applyNumberFormat="1" applyFont="1" applyFill="1" applyBorder="1" applyProtection="1">
      <protection locked="0"/>
    </xf>
    <xf numFmtId="1" fontId="3" fillId="8" borderId="1418" xfId="0" applyNumberFormat="1" applyFont="1" applyFill="1" applyBorder="1" applyProtection="1">
      <protection locked="0"/>
    </xf>
    <xf numFmtId="1" fontId="3" fillId="3" borderId="244" xfId="23" applyNumberFormat="1" applyFont="1" applyFill="1" applyBorder="1" applyAlignment="1">
      <alignment horizontal="right"/>
    </xf>
    <xf numFmtId="1" fontId="3" fillId="3" borderId="838" xfId="23" applyNumberFormat="1" applyFont="1" applyFill="1" applyBorder="1" applyAlignment="1">
      <alignment horizontal="right"/>
    </xf>
    <xf numFmtId="1" fontId="3" fillId="8" borderId="911" xfId="0" applyNumberFormat="1" applyFont="1" applyFill="1" applyBorder="1" applyProtection="1">
      <protection locked="0"/>
    </xf>
    <xf numFmtId="1" fontId="3" fillId="8" borderId="1358" xfId="0" applyNumberFormat="1" applyFont="1" applyFill="1" applyBorder="1" applyProtection="1">
      <protection locked="0"/>
    </xf>
    <xf numFmtId="1" fontId="3" fillId="3" borderId="831" xfId="23" applyNumberFormat="1" applyFont="1" applyFill="1" applyBorder="1" applyAlignment="1">
      <alignment horizontal="right"/>
    </xf>
    <xf numFmtId="1" fontId="3" fillId="3" borderId="832" xfId="23" applyNumberFormat="1" applyFont="1" applyFill="1" applyBorder="1" applyAlignment="1">
      <alignment horizontal="right"/>
    </xf>
    <xf numFmtId="1" fontId="3" fillId="3" borderId="792" xfId="23" applyNumberFormat="1" applyFont="1" applyFill="1" applyBorder="1" applyAlignment="1">
      <alignment horizontal="right"/>
    </xf>
    <xf numFmtId="1" fontId="3" fillId="8" borderId="831" xfId="0" applyNumberFormat="1" applyFont="1" applyFill="1" applyBorder="1" applyProtection="1">
      <protection locked="0"/>
    </xf>
    <xf numFmtId="1" fontId="3" fillId="8" borderId="792" xfId="0" applyNumberFormat="1" applyFont="1" applyFill="1" applyBorder="1" applyProtection="1">
      <protection locked="0"/>
    </xf>
    <xf numFmtId="1" fontId="3" fillId="0" borderId="1329" xfId="0" applyNumberFormat="1" applyFont="1" applyBorder="1" applyAlignment="1">
      <alignment horizontal="center" vertical="center"/>
    </xf>
    <xf numFmtId="1" fontId="3" fillId="0" borderId="1359" xfId="23" applyNumberFormat="1" applyFont="1" applyFill="1" applyBorder="1" applyAlignment="1">
      <alignment horizontal="right"/>
    </xf>
    <xf numFmtId="1" fontId="3" fillId="0" borderId="1361" xfId="23" applyNumberFormat="1" applyFont="1" applyFill="1" applyBorder="1" applyAlignment="1">
      <alignment horizontal="right"/>
    </xf>
    <xf numFmtId="1" fontId="3" fillId="0" borderId="1357" xfId="23" applyNumberFormat="1" applyFont="1" applyFill="1" applyBorder="1" applyAlignment="1">
      <alignment horizontal="right"/>
    </xf>
    <xf numFmtId="1" fontId="3" fillId="0" borderId="1359" xfId="0" applyNumberFormat="1" applyFont="1" applyBorder="1" applyAlignment="1">
      <alignment horizontal="right" vertical="center" wrapText="1"/>
    </xf>
    <xf numFmtId="1" fontId="3" fillId="0" borderId="1357" xfId="0" applyNumberFormat="1" applyFont="1" applyBorder="1" applyAlignment="1">
      <alignment horizontal="right" vertical="center" wrapText="1"/>
    </xf>
    <xf numFmtId="1" fontId="3" fillId="0" borderId="1360" xfId="0" applyNumberFormat="1" applyFont="1" applyBorder="1" applyAlignment="1">
      <alignment horizontal="right" vertical="center" wrapText="1"/>
    </xf>
    <xf numFmtId="1" fontId="3" fillId="0" borderId="1363" xfId="0" applyNumberFormat="1" applyFont="1" applyBorder="1" applyAlignment="1">
      <alignment horizontal="right" vertical="center" wrapText="1"/>
    </xf>
    <xf numFmtId="1" fontId="3" fillId="0" borderId="1216" xfId="0" applyNumberFormat="1" applyFont="1" applyBorder="1" applyAlignment="1">
      <alignment horizontal="right" vertical="center" wrapText="1"/>
    </xf>
    <xf numFmtId="1" fontId="3" fillId="0" borderId="1255" xfId="0" applyNumberFormat="1" applyFont="1" applyBorder="1" applyAlignment="1">
      <alignment horizontal="right" vertical="center" wrapText="1"/>
    </xf>
    <xf numFmtId="1" fontId="3" fillId="0" borderId="1361" xfId="0" applyNumberFormat="1" applyFont="1" applyBorder="1" applyAlignment="1">
      <alignment horizontal="right" vertical="center" wrapText="1"/>
    </xf>
    <xf numFmtId="1" fontId="3" fillId="0" borderId="1365" xfId="0" applyNumberFormat="1" applyFont="1" applyBorder="1" applyAlignment="1">
      <alignment horizontal="right" vertical="center" wrapText="1"/>
    </xf>
    <xf numFmtId="1" fontId="5" fillId="0" borderId="1207" xfId="0" applyNumberFormat="1" applyFont="1" applyBorder="1"/>
    <xf numFmtId="1" fontId="5" fillId="0" borderId="1208" xfId="0" applyNumberFormat="1" applyFont="1" applyBorder="1"/>
    <xf numFmtId="1" fontId="5" fillId="8" borderId="1208" xfId="0" applyNumberFormat="1" applyFont="1" applyFill="1" applyBorder="1" applyProtection="1">
      <protection locked="0"/>
    </xf>
    <xf numFmtId="1" fontId="5" fillId="0" borderId="1408" xfId="0" applyNumberFormat="1" applyFont="1" applyBorder="1" applyAlignment="1">
      <alignment vertical="center"/>
    </xf>
    <xf numFmtId="1" fontId="5" fillId="0" borderId="1409" xfId="0" applyNumberFormat="1" applyFont="1" applyBorder="1" applyAlignment="1">
      <alignment vertical="center"/>
    </xf>
    <xf numFmtId="1" fontId="5" fillId="0" borderId="1413" xfId="0" applyNumberFormat="1" applyFont="1" applyBorder="1" applyAlignment="1">
      <alignment vertical="center"/>
    </xf>
    <xf numFmtId="1" fontId="5" fillId="0" borderId="1405" xfId="0" applyNumberFormat="1" applyFont="1" applyBorder="1" applyAlignment="1">
      <alignment vertical="center"/>
    </xf>
    <xf numFmtId="1" fontId="5" fillId="5" borderId="1408" xfId="0" applyNumberFormat="1" applyFont="1" applyFill="1" applyBorder="1" applyAlignment="1">
      <alignment vertical="center"/>
    </xf>
    <xf numFmtId="1" fontId="5" fillId="5" borderId="1405" xfId="0" applyNumberFormat="1" applyFont="1" applyFill="1" applyBorder="1" applyAlignment="1">
      <alignment vertical="center"/>
    </xf>
    <xf numFmtId="1" fontId="5" fillId="0" borderId="1416" xfId="0" applyNumberFormat="1" applyFont="1" applyBorder="1" applyAlignment="1">
      <alignment vertical="center" wrapText="1"/>
    </xf>
    <xf numFmtId="1" fontId="5" fillId="4" borderId="1404" xfId="0" applyNumberFormat="1" applyFont="1" applyFill="1" applyBorder="1" applyProtection="1">
      <protection locked="0"/>
    </xf>
    <xf numFmtId="1" fontId="5" fillId="6" borderId="1289" xfId="0" applyNumberFormat="1" applyFont="1" applyFill="1" applyBorder="1"/>
    <xf numFmtId="1" fontId="5" fillId="6" borderId="792" xfId="0" applyNumberFormat="1" applyFont="1" applyFill="1" applyBorder="1"/>
    <xf numFmtId="1" fontId="5" fillId="4" borderId="1419" xfId="0" applyNumberFormat="1" applyFont="1" applyFill="1" applyBorder="1" applyProtection="1">
      <protection locked="0"/>
    </xf>
    <xf numFmtId="1" fontId="5" fillId="4" borderId="1418" xfId="0" applyNumberFormat="1" applyFont="1" applyFill="1" applyBorder="1" applyProtection="1">
      <protection locked="0"/>
    </xf>
    <xf numFmtId="0" fontId="39" fillId="0" borderId="0" xfId="0" applyFont="1"/>
    <xf numFmtId="1" fontId="5" fillId="0" borderId="1345" xfId="0" applyNumberFormat="1" applyFont="1" applyBorder="1" applyAlignment="1">
      <alignment horizontal="center" vertical="center"/>
    </xf>
    <xf numFmtId="1" fontId="5" fillId="0" borderId="1406" xfId="0" applyNumberFormat="1" applyFont="1" applyBorder="1" applyAlignment="1">
      <alignment horizontal="center" vertical="center" wrapText="1"/>
    </xf>
    <xf numFmtId="1" fontId="5" fillId="0" borderId="1345" xfId="0" applyNumberFormat="1" applyFont="1" applyBorder="1" applyAlignment="1">
      <alignment horizontal="center" vertical="center" wrapText="1"/>
    </xf>
    <xf numFmtId="1" fontId="5" fillId="6" borderId="996" xfId="0" applyNumberFormat="1" applyFont="1" applyFill="1" applyBorder="1"/>
    <xf numFmtId="1" fontId="5" fillId="6" borderId="804" xfId="0" applyNumberFormat="1" applyFont="1" applyFill="1" applyBorder="1"/>
    <xf numFmtId="1" fontId="5" fillId="6" borderId="524" xfId="0" applyNumberFormat="1" applyFont="1" applyFill="1" applyBorder="1"/>
    <xf numFmtId="1" fontId="5" fillId="6" borderId="994" xfId="0" applyNumberFormat="1" applyFont="1" applyFill="1" applyBorder="1"/>
    <xf numFmtId="1" fontId="5" fillId="0" borderId="1414" xfId="0" applyNumberFormat="1" applyFont="1" applyBorder="1" applyAlignment="1">
      <alignment horizontal="center" vertical="center" wrapText="1"/>
    </xf>
    <xf numFmtId="1" fontId="5" fillId="0" borderId="1415" xfId="0" applyNumberFormat="1" applyFont="1" applyBorder="1"/>
    <xf numFmtId="1" fontId="5" fillId="0" borderId="1410" xfId="0" applyNumberFormat="1" applyFont="1" applyBorder="1"/>
    <xf numFmtId="1" fontId="5" fillId="0" borderId="1414" xfId="0" applyNumberFormat="1" applyFont="1" applyBorder="1"/>
    <xf numFmtId="1" fontId="5" fillId="0" borderId="1404" xfId="0" applyNumberFormat="1" applyFont="1" applyBorder="1"/>
    <xf numFmtId="1" fontId="5" fillId="4" borderId="1351" xfId="0" applyNumberFormat="1" applyFont="1" applyFill="1" applyBorder="1" applyProtection="1">
      <protection locked="0"/>
    </xf>
    <xf numFmtId="1" fontId="5" fillId="0" borderId="1421" xfId="0" applyNumberFormat="1" applyFont="1" applyBorder="1"/>
    <xf numFmtId="1" fontId="5" fillId="0" borderId="208" xfId="0" applyNumberFormat="1" applyFont="1" applyBorder="1"/>
    <xf numFmtId="1" fontId="5" fillId="6" borderId="1225" xfId="0" applyNumberFormat="1" applyFont="1" applyFill="1" applyBorder="1"/>
    <xf numFmtId="1" fontId="5" fillId="6" borderId="1226" xfId="0" applyNumberFormat="1" applyFont="1" applyFill="1" applyBorder="1"/>
    <xf numFmtId="1" fontId="5" fillId="0" borderId="1404" xfId="0" applyNumberFormat="1" applyFont="1" applyBorder="1" applyAlignment="1">
      <alignment vertical="center"/>
    </xf>
    <xf numFmtId="1" fontId="5" fillId="4" borderId="1411" xfId="0" applyNumberFormat="1" applyFont="1" applyFill="1" applyBorder="1" applyProtection="1">
      <protection locked="0"/>
    </xf>
    <xf numFmtId="1" fontId="5" fillId="4" borderId="1403" xfId="0" applyNumberFormat="1" applyFont="1" applyFill="1" applyBorder="1" applyProtection="1">
      <protection locked="0"/>
    </xf>
    <xf numFmtId="1" fontId="5" fillId="4" borderId="1402" xfId="0" applyNumberFormat="1" applyFont="1" applyFill="1" applyBorder="1" applyProtection="1">
      <protection locked="0"/>
    </xf>
    <xf numFmtId="1" fontId="5" fillId="4" borderId="1417" xfId="0" applyNumberFormat="1" applyFont="1" applyFill="1" applyBorder="1" applyProtection="1">
      <protection locked="0"/>
    </xf>
    <xf numFmtId="1" fontId="5" fillId="4" borderId="1422" xfId="0" applyNumberFormat="1" applyFont="1" applyFill="1" applyBorder="1" applyProtection="1">
      <protection locked="0"/>
    </xf>
    <xf numFmtId="1" fontId="5" fillId="0" borderId="1406" xfId="0" applyNumberFormat="1" applyFont="1" applyBorder="1" applyAlignment="1">
      <alignment horizontal="center" vertical="center"/>
    </xf>
    <xf numFmtId="1" fontId="5" fillId="0" borderId="1287" xfId="0" applyNumberFormat="1" applyFont="1" applyBorder="1" applyAlignment="1">
      <alignment vertical="center"/>
    </xf>
    <xf numFmtId="0" fontId="5" fillId="0" borderId="1362" xfId="0" applyFont="1" applyBorder="1"/>
    <xf numFmtId="1" fontId="5" fillId="8" borderId="1362" xfId="0" applyNumberFormat="1" applyFont="1" applyFill="1" applyBorder="1" applyProtection="1">
      <protection locked="0"/>
    </xf>
    <xf numFmtId="1" fontId="5" fillId="8" borderId="1357" xfId="0" applyNumberFormat="1" applyFont="1" applyFill="1" applyBorder="1" applyProtection="1">
      <protection locked="0"/>
    </xf>
    <xf numFmtId="1" fontId="5" fillId="0" borderId="1291" xfId="0" applyNumberFormat="1" applyFont="1" applyBorder="1" applyAlignment="1">
      <alignment horizontal="center" vertical="center" wrapText="1"/>
    </xf>
    <xf numFmtId="1" fontId="3" fillId="4" borderId="1405" xfId="0" applyNumberFormat="1" applyFont="1" applyFill="1" applyBorder="1" applyProtection="1">
      <protection locked="0"/>
    </xf>
    <xf numFmtId="1" fontId="6" fillId="6" borderId="1343" xfId="0" applyNumberFormat="1" applyFont="1" applyFill="1" applyBorder="1"/>
    <xf numFmtId="1" fontId="3" fillId="4" borderId="1403" xfId="0" applyNumberFormat="1" applyFont="1" applyFill="1" applyBorder="1" applyProtection="1">
      <protection locked="0"/>
    </xf>
    <xf numFmtId="1" fontId="3" fillId="7" borderId="1291" xfId="0" applyNumberFormat="1" applyFont="1" applyFill="1" applyBorder="1"/>
    <xf numFmtId="1" fontId="3" fillId="7" borderId="1255" xfId="0" applyNumberFormat="1" applyFont="1" applyFill="1" applyBorder="1"/>
    <xf numFmtId="1" fontId="3" fillId="0" borderId="1407" xfId="0" applyNumberFormat="1" applyFont="1" applyBorder="1" applyAlignment="1">
      <alignment horizontal="center" vertical="center" wrapText="1"/>
    </xf>
    <xf numFmtId="1" fontId="3" fillId="0" borderId="1424" xfId="0" applyNumberFormat="1" applyFont="1" applyBorder="1" applyAlignment="1">
      <alignment horizontal="center" vertical="center" wrapText="1"/>
    </xf>
    <xf numFmtId="1" fontId="3" fillId="0" borderId="1410" xfId="0" applyNumberFormat="1" applyFont="1" applyBorder="1" applyAlignment="1">
      <alignment horizontal="center" vertical="center" wrapText="1"/>
    </xf>
    <xf numFmtId="1" fontId="3" fillId="4" borderId="1149" xfId="0" applyNumberFormat="1" applyFont="1" applyFill="1" applyBorder="1" applyProtection="1">
      <protection locked="0"/>
    </xf>
    <xf numFmtId="1" fontId="3" fillId="4" borderId="1360" xfId="0" applyNumberFormat="1" applyFont="1" applyFill="1" applyBorder="1" applyProtection="1">
      <protection locked="0"/>
    </xf>
    <xf numFmtId="1" fontId="6" fillId="6" borderId="1407" xfId="0" applyNumberFormat="1" applyFont="1" applyFill="1" applyBorder="1"/>
    <xf numFmtId="1" fontId="3" fillId="4" borderId="1422" xfId="0" applyNumberFormat="1" applyFont="1" applyFill="1" applyBorder="1" applyProtection="1">
      <protection locked="0"/>
    </xf>
    <xf numFmtId="1" fontId="3" fillId="4" borderId="1402" xfId="0" applyNumberFormat="1" applyFont="1" applyFill="1" applyBorder="1" applyProtection="1">
      <protection locked="0"/>
    </xf>
    <xf numFmtId="1" fontId="3" fillId="4" borderId="1425" xfId="0" applyNumberFormat="1" applyFont="1" applyFill="1" applyBorder="1" applyProtection="1">
      <protection locked="0"/>
    </xf>
    <xf numFmtId="1" fontId="3" fillId="4" borderId="1410" xfId="0" applyNumberFormat="1" applyFont="1" applyFill="1" applyBorder="1" applyProtection="1">
      <protection locked="0"/>
    </xf>
    <xf numFmtId="1" fontId="3" fillId="4" borderId="1091" xfId="0" applyNumberFormat="1" applyFont="1" applyFill="1" applyBorder="1" applyProtection="1">
      <protection locked="0"/>
    </xf>
    <xf numFmtId="1" fontId="3" fillId="4" borderId="1364" xfId="0" applyNumberFormat="1" applyFont="1" applyFill="1" applyBorder="1" applyProtection="1">
      <protection locked="0"/>
    </xf>
    <xf numFmtId="1" fontId="3" fillId="4" borderId="1225" xfId="0" applyNumberFormat="1" applyFont="1" applyFill="1" applyBorder="1" applyProtection="1">
      <protection locked="0"/>
    </xf>
    <xf numFmtId="1" fontId="3" fillId="4" borderId="1400" xfId="0" applyNumberFormat="1" applyFont="1" applyFill="1" applyBorder="1" applyProtection="1">
      <protection locked="0"/>
    </xf>
    <xf numFmtId="1" fontId="3" fillId="4" borderId="1401" xfId="0" applyNumberFormat="1" applyFont="1" applyFill="1" applyBorder="1" applyProtection="1">
      <protection locked="0"/>
    </xf>
    <xf numFmtId="1" fontId="3" fillId="4" borderId="244" xfId="0" applyNumberFormat="1" applyFont="1" applyFill="1" applyBorder="1" applyProtection="1">
      <protection locked="0"/>
    </xf>
    <xf numFmtId="1" fontId="5" fillId="4" borderId="912" xfId="6" applyNumberFormat="1" applyFont="1" applyFill="1" applyBorder="1" applyProtection="1">
      <protection locked="0"/>
    </xf>
    <xf numFmtId="1" fontId="5" fillId="4" borderId="911" xfId="6" applyNumberFormat="1" applyFont="1" applyFill="1" applyBorder="1" applyProtection="1">
      <protection locked="0"/>
    </xf>
    <xf numFmtId="1" fontId="5" fillId="4" borderId="246" xfId="6" applyNumberFormat="1" applyFont="1" applyFill="1" applyBorder="1" applyProtection="1">
      <protection locked="0"/>
    </xf>
    <xf numFmtId="1" fontId="3" fillId="0" borderId="1362" xfId="0" applyNumberFormat="1" applyFont="1" applyBorder="1" applyAlignment="1" applyProtection="1">
      <alignment horizontal="left" vertical="center" wrapText="1"/>
      <protection hidden="1"/>
    </xf>
    <xf numFmtId="1" fontId="3" fillId="0" borderId="1359" xfId="0" applyNumberFormat="1" applyFont="1" applyBorder="1" applyAlignment="1">
      <alignment horizontal="right" wrapText="1"/>
    </xf>
    <xf numFmtId="1" fontId="3" fillId="0" borderId="1361" xfId="0" applyNumberFormat="1" applyFont="1" applyBorder="1" applyAlignment="1">
      <alignment horizontal="right" wrapText="1"/>
    </xf>
    <xf numFmtId="1" fontId="3" fillId="0" borderId="1357" xfId="0" applyNumberFormat="1" applyFont="1" applyBorder="1" applyAlignment="1">
      <alignment horizontal="right"/>
    </xf>
    <xf numFmtId="1" fontId="3" fillId="4" borderId="1329" xfId="0" applyNumberFormat="1" applyFont="1" applyFill="1" applyBorder="1" applyProtection="1">
      <protection locked="0"/>
    </xf>
    <xf numFmtId="1" fontId="3" fillId="4" borderId="1255" xfId="0" applyNumberFormat="1" applyFont="1" applyFill="1" applyBorder="1" applyProtection="1">
      <protection locked="0"/>
    </xf>
    <xf numFmtId="1" fontId="3" fillId="4" borderId="1366" xfId="0" applyNumberFormat="1" applyFont="1" applyFill="1" applyBorder="1" applyProtection="1">
      <protection locked="0"/>
    </xf>
    <xf numFmtId="1" fontId="3" fillId="4" borderId="1357" xfId="0" applyNumberFormat="1" applyFont="1" applyFill="1" applyBorder="1" applyAlignment="1" applyProtection="1">
      <alignment wrapText="1"/>
      <protection locked="0"/>
    </xf>
    <xf numFmtId="1" fontId="3" fillId="0" borderId="1404" xfId="0" applyNumberFormat="1" applyFont="1" applyBorder="1" applyAlignment="1" applyProtection="1">
      <alignment horizontal="left" vertical="center" wrapText="1"/>
      <protection hidden="1"/>
    </xf>
    <xf numFmtId="1" fontId="3" fillId="0" borderId="1411" xfId="0" applyNumberFormat="1" applyFont="1" applyBorder="1" applyAlignment="1">
      <alignment horizontal="right" wrapText="1"/>
    </xf>
    <xf numFmtId="1" fontId="3" fillId="0" borderId="1400" xfId="0" applyNumberFormat="1" applyFont="1" applyBorder="1" applyAlignment="1">
      <alignment horizontal="right" wrapText="1"/>
    </xf>
    <xf numFmtId="1" fontId="3" fillId="0" borderId="1403" xfId="0" applyNumberFormat="1" applyFont="1" applyBorder="1" applyAlignment="1">
      <alignment horizontal="right"/>
    </xf>
    <xf numFmtId="1" fontId="3" fillId="4" borderId="1411" xfId="0" applyNumberFormat="1" applyFont="1" applyFill="1" applyBorder="1" applyProtection="1">
      <protection locked="0"/>
    </xf>
    <xf numFmtId="1" fontId="3" fillId="4" borderId="1412" xfId="0" applyNumberFormat="1" applyFont="1" applyFill="1" applyBorder="1" applyProtection="1">
      <protection locked="0"/>
    </xf>
    <xf numFmtId="1" fontId="3" fillId="4" borderId="1416" xfId="0" applyNumberFormat="1" applyFont="1" applyFill="1" applyBorder="1" applyProtection="1">
      <protection locked="0"/>
    </xf>
    <xf numFmtId="1" fontId="3" fillId="4" borderId="1419" xfId="0" applyNumberFormat="1" applyFont="1" applyFill="1" applyBorder="1" applyProtection="1">
      <protection locked="0"/>
    </xf>
    <xf numFmtId="1" fontId="3" fillId="4" borderId="1403" xfId="0" applyNumberFormat="1" applyFont="1" applyFill="1" applyBorder="1" applyAlignment="1" applyProtection="1">
      <alignment wrapText="1"/>
      <protection locked="0"/>
    </xf>
    <xf numFmtId="1" fontId="5" fillId="0" borderId="1408" xfId="0" applyNumberFormat="1" applyFont="1" applyBorder="1" applyAlignment="1">
      <alignment horizontal="right" wrapText="1"/>
    </xf>
    <xf numFmtId="1" fontId="16" fillId="0" borderId="35" xfId="0" applyNumberFormat="1" applyFont="1" applyBorder="1"/>
    <xf numFmtId="1" fontId="5" fillId="0" borderId="218" xfId="0" applyNumberFormat="1" applyFont="1" applyBorder="1" applyAlignment="1">
      <alignment horizontal="center" vertical="center" wrapText="1"/>
    </xf>
    <xf numFmtId="1" fontId="5" fillId="0" borderId="66" xfId="0" applyNumberFormat="1" applyFont="1" applyBorder="1" applyAlignment="1">
      <alignment horizontal="center" vertical="center"/>
    </xf>
    <xf numFmtId="1" fontId="5" fillId="0" borderId="1407" xfId="0" applyNumberFormat="1" applyFont="1" applyBorder="1" applyAlignment="1">
      <alignment horizontal="center" vertical="center" wrapText="1"/>
    </xf>
    <xf numFmtId="1" fontId="5" fillId="8" borderId="1358" xfId="0" applyNumberFormat="1" applyFont="1" applyFill="1" applyBorder="1" applyProtection="1">
      <protection locked="0"/>
    </xf>
    <xf numFmtId="1" fontId="5" fillId="8" borderId="1363" xfId="0" applyNumberFormat="1" applyFont="1" applyFill="1" applyBorder="1" applyProtection="1">
      <protection locked="0"/>
    </xf>
    <xf numFmtId="1" fontId="5" fillId="8" borderId="1359" xfId="0" applyNumberFormat="1" applyFont="1" applyFill="1" applyBorder="1" applyProtection="1">
      <protection locked="0"/>
    </xf>
    <xf numFmtId="1" fontId="5" fillId="8" borderId="1216" xfId="0" applyNumberFormat="1" applyFont="1" applyFill="1" applyBorder="1" applyProtection="1">
      <protection locked="0"/>
    </xf>
    <xf numFmtId="1" fontId="5" fillId="4" borderId="1412" xfId="0" applyNumberFormat="1" applyFont="1" applyFill="1" applyBorder="1" applyProtection="1">
      <protection locked="0"/>
    </xf>
    <xf numFmtId="1" fontId="5" fillId="0" borderId="0" xfId="0" applyNumberFormat="1" applyFont="1" applyAlignment="1">
      <alignment horizontal="right" vertical="center" wrapText="1"/>
    </xf>
    <xf numFmtId="1" fontId="5" fillId="4" borderId="1419" xfId="15" applyNumberFormat="1" applyFont="1" applyFill="1" applyBorder="1" applyProtection="1">
      <protection locked="0"/>
    </xf>
    <xf numFmtId="1" fontId="5" fillId="4" borderId="55" xfId="15" applyNumberFormat="1" applyFont="1" applyFill="1" applyBorder="1" applyProtection="1">
      <protection locked="0"/>
    </xf>
    <xf numFmtId="1" fontId="5" fillId="4" borderId="1356" xfId="15" applyNumberFormat="1" applyFont="1" applyFill="1" applyBorder="1" applyProtection="1">
      <protection locked="0"/>
    </xf>
    <xf numFmtId="1" fontId="5" fillId="0" borderId="451" xfId="15" applyNumberFormat="1" applyFont="1" applyBorder="1" applyAlignment="1">
      <alignment horizontal="right" vertical="center" wrapText="1"/>
    </xf>
    <xf numFmtId="1" fontId="5" fillId="4" borderId="1412" xfId="15" applyNumberFormat="1" applyFont="1" applyFill="1" applyBorder="1" applyProtection="1">
      <protection locked="0"/>
    </xf>
    <xf numFmtId="1" fontId="5" fillId="4" borderId="1208" xfId="15" applyNumberFormat="1" applyFont="1" applyFill="1" applyBorder="1" applyProtection="1">
      <protection locked="0"/>
    </xf>
    <xf numFmtId="1" fontId="5" fillId="4" borderId="1216" xfId="15" applyNumberFormat="1" applyFont="1" applyFill="1" applyBorder="1" applyProtection="1">
      <protection locked="0"/>
    </xf>
    <xf numFmtId="1" fontId="5" fillId="4" borderId="1405" xfId="0" applyNumberFormat="1" applyFont="1" applyFill="1" applyBorder="1" applyProtection="1">
      <protection locked="0"/>
    </xf>
    <xf numFmtId="1" fontId="5" fillId="4" borderId="1425" xfId="0" applyNumberFormat="1" applyFont="1" applyFill="1" applyBorder="1" applyProtection="1">
      <protection locked="0"/>
    </xf>
    <xf numFmtId="1" fontId="5" fillId="0" borderId="1407" xfId="0" applyNumberFormat="1" applyFont="1" applyBorder="1"/>
    <xf numFmtId="1" fontId="5" fillId="4" borderId="1407" xfId="0" applyNumberFormat="1" applyFont="1" applyFill="1" applyBorder="1" applyProtection="1">
      <protection locked="0"/>
    </xf>
    <xf numFmtId="1" fontId="5" fillId="4" borderId="1408" xfId="0" applyNumberFormat="1" applyFont="1" applyFill="1" applyBorder="1" applyProtection="1">
      <protection locked="0"/>
    </xf>
    <xf numFmtId="1" fontId="5" fillId="0" borderId="1362" xfId="0" applyNumberFormat="1" applyFont="1" applyBorder="1"/>
    <xf numFmtId="1" fontId="5" fillId="19" borderId="328" xfId="0" applyNumberFormat="1" applyFont="1" applyFill="1" applyBorder="1" applyProtection="1">
      <protection locked="0"/>
    </xf>
    <xf numFmtId="1" fontId="5" fillId="19" borderId="293" xfId="0" applyNumberFormat="1" applyFont="1" applyFill="1" applyBorder="1" applyProtection="1">
      <protection locked="0"/>
    </xf>
    <xf numFmtId="1" fontId="5" fillId="19" borderId="1427" xfId="0" applyNumberFormat="1" applyFont="1" applyFill="1" applyBorder="1" applyProtection="1">
      <protection locked="0"/>
    </xf>
    <xf numFmtId="1" fontId="5" fillId="19" borderId="1428" xfId="0" applyNumberFormat="1" applyFont="1" applyFill="1" applyBorder="1" applyProtection="1">
      <protection locked="0"/>
    </xf>
    <xf numFmtId="1" fontId="5" fillId="2" borderId="166" xfId="1" applyNumberFormat="1" applyFont="1" applyBorder="1" applyAlignment="1" applyProtection="1">
      <alignment horizontal="right" vertical="center"/>
      <protection locked="0"/>
    </xf>
    <xf numFmtId="2" fontId="5" fillId="2" borderId="166" xfId="1" applyNumberFormat="1" applyFont="1" applyBorder="1" applyAlignment="1" applyProtection="1">
      <alignment horizontal="right" vertical="center"/>
      <protection locked="0"/>
    </xf>
    <xf numFmtId="1" fontId="5" fillId="2" borderId="1" xfId="1" applyNumberFormat="1" applyFont="1" applyAlignment="1" applyProtection="1">
      <alignment horizontal="right" vertical="center"/>
      <protection locked="0"/>
    </xf>
    <xf numFmtId="2" fontId="5" fillId="2" borderId="1" xfId="1" applyNumberFormat="1" applyFont="1" applyAlignment="1" applyProtection="1">
      <alignment horizontal="right" vertical="center"/>
      <protection locked="0"/>
    </xf>
    <xf numFmtId="1" fontId="5" fillId="2" borderId="142" xfId="1" applyNumberFormat="1" applyFont="1" applyBorder="1" applyAlignment="1" applyProtection="1">
      <alignment horizontal="right" vertical="center"/>
      <protection locked="0"/>
    </xf>
    <xf numFmtId="2" fontId="5" fillId="2" borderId="179" xfId="1" applyNumberFormat="1" applyFont="1" applyBorder="1" applyAlignment="1" applyProtection="1">
      <alignment horizontal="right" vertical="center"/>
      <protection locked="0"/>
    </xf>
    <xf numFmtId="2" fontId="5" fillId="2" borderId="180" xfId="1" applyNumberFormat="1" applyFont="1" applyBorder="1" applyAlignment="1" applyProtection="1">
      <alignment horizontal="right" vertical="center"/>
      <protection locked="0"/>
    </xf>
    <xf numFmtId="2" fontId="5" fillId="2" borderId="181" xfId="1" applyNumberFormat="1" applyFont="1" applyBorder="1" applyAlignment="1" applyProtection="1">
      <alignment horizontal="right" vertical="center"/>
      <protection locked="0"/>
    </xf>
    <xf numFmtId="2" fontId="5" fillId="2" borderId="167" xfId="1" applyNumberFormat="1" applyFont="1" applyBorder="1" applyAlignment="1" applyProtection="1">
      <alignment horizontal="right" vertical="center"/>
      <protection locked="0"/>
    </xf>
    <xf numFmtId="2" fontId="5" fillId="2" borderId="171" xfId="1" applyNumberFormat="1" applyFont="1" applyBorder="1" applyAlignment="1" applyProtection="1">
      <alignment horizontal="right" vertical="center"/>
      <protection locked="0"/>
    </xf>
    <xf numFmtId="2" fontId="5" fillId="2" borderId="0" xfId="1" applyNumberFormat="1" applyFont="1" applyBorder="1" applyAlignment="1" applyProtection="1">
      <alignment horizontal="right" vertical="center"/>
      <protection locked="0"/>
    </xf>
    <xf numFmtId="2" fontId="5" fillId="2" borderId="182" xfId="1" applyNumberFormat="1" applyFont="1" applyBorder="1" applyAlignment="1" applyProtection="1">
      <alignment horizontal="right" vertical="center"/>
      <protection locked="0"/>
    </xf>
    <xf numFmtId="2" fontId="5" fillId="2" borderId="183" xfId="1" applyNumberFormat="1" applyFont="1" applyBorder="1" applyAlignment="1" applyProtection="1">
      <alignment horizontal="right" vertical="center"/>
      <protection locked="0"/>
    </xf>
    <xf numFmtId="2" fontId="5" fillId="2" borderId="184" xfId="1" applyNumberFormat="1" applyFont="1" applyBorder="1" applyAlignment="1" applyProtection="1">
      <alignment horizontal="right" vertical="center"/>
      <protection locked="0"/>
    </xf>
    <xf numFmtId="2" fontId="5" fillId="2" borderId="168" xfId="1" applyNumberFormat="1" applyFont="1" applyBorder="1" applyAlignment="1" applyProtection="1">
      <alignment horizontal="right" vertical="center"/>
      <protection locked="0"/>
    </xf>
    <xf numFmtId="2" fontId="5" fillId="2" borderId="169" xfId="1" applyNumberFormat="1" applyFont="1" applyBorder="1" applyAlignment="1" applyProtection="1">
      <alignment horizontal="right" vertical="center"/>
      <protection locked="0"/>
    </xf>
    <xf numFmtId="2" fontId="5" fillId="2" borderId="172" xfId="1" applyNumberFormat="1" applyFont="1" applyBorder="1" applyAlignment="1" applyProtection="1">
      <alignment horizontal="right" vertical="center"/>
      <protection locked="0"/>
    </xf>
    <xf numFmtId="2" fontId="5" fillId="2" borderId="173" xfId="1" applyNumberFormat="1" applyFont="1" applyBorder="1" applyAlignment="1" applyProtection="1">
      <alignment horizontal="right" vertical="center"/>
      <protection locked="0"/>
    </xf>
    <xf numFmtId="2" fontId="5" fillId="2" borderId="176" xfId="1" applyNumberFormat="1" applyFont="1" applyBorder="1" applyAlignment="1" applyProtection="1">
      <alignment horizontal="right" vertical="center"/>
      <protection locked="0"/>
    </xf>
    <xf numFmtId="2" fontId="5" fillId="2" borderId="177" xfId="1" applyNumberFormat="1" applyFont="1" applyBorder="1" applyAlignment="1" applyProtection="1">
      <alignment horizontal="right" vertical="center"/>
      <protection locked="0"/>
    </xf>
    <xf numFmtId="2" fontId="5" fillId="2" borderId="144" xfId="1" applyNumberFormat="1" applyFont="1" applyBorder="1" applyAlignment="1" applyProtection="1">
      <alignment horizontal="right" vertical="center"/>
      <protection locked="0"/>
    </xf>
    <xf numFmtId="2" fontId="5" fillId="2" borderId="185" xfId="1" applyNumberFormat="1" applyFont="1" applyBorder="1" applyAlignment="1" applyProtection="1">
      <alignment horizontal="right" vertical="center"/>
      <protection locked="0"/>
    </xf>
    <xf numFmtId="2" fontId="5" fillId="2" borderId="186" xfId="1" applyNumberFormat="1" applyFont="1" applyBorder="1" applyAlignment="1" applyProtection="1">
      <alignment horizontal="right" vertical="center"/>
      <protection locked="0"/>
    </xf>
    <xf numFmtId="2" fontId="5" fillId="2" borderId="170" xfId="1" applyNumberFormat="1" applyFont="1" applyBorder="1" applyAlignment="1" applyProtection="1">
      <alignment horizontal="right" vertical="center"/>
      <protection locked="0"/>
    </xf>
    <xf numFmtId="2" fontId="5" fillId="2" borderId="174" xfId="1" applyNumberFormat="1" applyFont="1" applyBorder="1" applyAlignment="1" applyProtection="1">
      <alignment horizontal="right" vertical="center"/>
      <protection locked="0"/>
    </xf>
    <xf numFmtId="2" fontId="5" fillId="2" borderId="178" xfId="1" applyNumberFormat="1" applyFont="1" applyBorder="1" applyAlignment="1" applyProtection="1">
      <alignment horizontal="right" vertical="center"/>
      <protection locked="0"/>
    </xf>
    <xf numFmtId="2" fontId="5" fillId="2" borderId="187" xfId="1" applyNumberFormat="1" applyFont="1" applyBorder="1" applyAlignment="1" applyProtection="1">
      <alignment horizontal="right" vertical="center"/>
      <protection locked="0"/>
    </xf>
    <xf numFmtId="2" fontId="5" fillId="2" borderId="2" xfId="1" applyNumberFormat="1" applyFont="1" applyBorder="1" applyAlignment="1" applyProtection="1">
      <alignment horizontal="right" vertical="center"/>
      <protection locked="0"/>
    </xf>
    <xf numFmtId="2" fontId="5" fillId="2" borderId="175" xfId="1" applyNumberFormat="1" applyFont="1" applyBorder="1" applyAlignment="1" applyProtection="1">
      <alignment horizontal="right" vertical="center"/>
      <protection locked="0"/>
    </xf>
    <xf numFmtId="2" fontId="5" fillId="2" borderId="77" xfId="1" applyNumberFormat="1" applyFont="1" applyBorder="1" applyAlignment="1" applyProtection="1">
      <alignment horizontal="right" vertical="center"/>
      <protection locked="0"/>
    </xf>
    <xf numFmtId="1" fontId="5" fillId="4" borderId="201" xfId="6" applyNumberFormat="1" applyFont="1" applyFill="1" applyBorder="1" applyAlignment="1" applyProtection="1">
      <alignment horizontal="right"/>
      <protection locked="0"/>
    </xf>
    <xf numFmtId="1" fontId="5" fillId="4" borderId="31" xfId="6" applyNumberFormat="1" applyFont="1" applyFill="1" applyBorder="1" applyAlignment="1" applyProtection="1">
      <alignment horizontal="right"/>
      <protection locked="0"/>
    </xf>
    <xf numFmtId="1" fontId="5" fillId="4" borderId="48" xfId="6" applyNumberFormat="1" applyFont="1" applyFill="1" applyBorder="1" applyAlignment="1" applyProtection="1">
      <alignment horizontal="right"/>
      <protection locked="0"/>
    </xf>
    <xf numFmtId="1" fontId="5" fillId="4" borderId="13" xfId="6" applyNumberFormat="1" applyFont="1" applyFill="1" applyBorder="1" applyAlignment="1" applyProtection="1">
      <alignment horizontal="right"/>
      <protection locked="0"/>
    </xf>
    <xf numFmtId="1" fontId="5" fillId="4" borderId="38" xfId="6" applyNumberFormat="1" applyFont="1" applyFill="1" applyBorder="1" applyAlignment="1" applyProtection="1">
      <alignment horizontal="right"/>
      <protection locked="0"/>
    </xf>
    <xf numFmtId="1" fontId="5" fillId="4" borderId="76" xfId="6" applyNumberFormat="1" applyFont="1" applyFill="1" applyBorder="1" applyAlignment="1" applyProtection="1">
      <alignment horizontal="right"/>
      <protection locked="0"/>
    </xf>
    <xf numFmtId="1" fontId="5" fillId="4" borderId="202" xfId="6" applyNumberFormat="1" applyFont="1" applyFill="1" applyBorder="1" applyAlignment="1" applyProtection="1">
      <alignment horizontal="right"/>
      <protection locked="0"/>
    </xf>
    <xf numFmtId="1" fontId="5" fillId="4" borderId="75" xfId="6" applyNumberFormat="1" applyFont="1" applyFill="1" applyBorder="1" applyAlignment="1" applyProtection="1">
      <alignment horizontal="right"/>
      <protection locked="0"/>
    </xf>
    <xf numFmtId="1" fontId="5" fillId="4" borderId="203" xfId="6" applyNumberFormat="1" applyFont="1" applyFill="1" applyBorder="1" applyAlignment="1" applyProtection="1">
      <alignment horizontal="right"/>
      <protection locked="0"/>
    </xf>
    <xf numFmtId="1" fontId="5" fillId="4" borderId="51" xfId="6" applyNumberFormat="1" applyFont="1" applyFill="1" applyBorder="1" applyAlignment="1" applyProtection="1">
      <alignment horizontal="right"/>
      <protection locked="0"/>
    </xf>
    <xf numFmtId="1" fontId="5" fillId="3" borderId="146" xfId="0" applyNumberFormat="1" applyFont="1" applyFill="1" applyBorder="1" applyAlignment="1">
      <alignment horizontal="right" vertical="center"/>
    </xf>
    <xf numFmtId="2" fontId="5" fillId="3" borderId="111" xfId="0" applyNumberFormat="1" applyFont="1" applyFill="1" applyBorder="1" applyAlignment="1">
      <alignment horizontal="right" vertical="center"/>
    </xf>
    <xf numFmtId="2" fontId="5" fillId="3" borderId="147" xfId="0" applyNumberFormat="1" applyFont="1" applyFill="1" applyBorder="1" applyAlignment="1">
      <alignment horizontal="right" vertical="center"/>
    </xf>
    <xf numFmtId="2" fontId="5" fillId="3" borderId="97" xfId="0" applyNumberFormat="1" applyFont="1" applyFill="1" applyBorder="1" applyAlignment="1">
      <alignment horizontal="right" vertical="center"/>
    </xf>
    <xf numFmtId="2" fontId="5" fillId="3" borderId="146" xfId="0" applyNumberFormat="1" applyFont="1" applyFill="1" applyBorder="1" applyAlignment="1">
      <alignment horizontal="right" vertical="center"/>
    </xf>
    <xf numFmtId="2" fontId="5" fillId="3" borderId="98" xfId="0" applyNumberFormat="1" applyFont="1" applyFill="1" applyBorder="1" applyAlignment="1">
      <alignment horizontal="right" vertical="center"/>
    </xf>
    <xf numFmtId="2" fontId="5" fillId="3" borderId="148" xfId="0" applyNumberFormat="1" applyFont="1" applyFill="1" applyBorder="1" applyAlignment="1">
      <alignment horizontal="right" vertical="center"/>
    </xf>
    <xf numFmtId="2" fontId="5" fillId="3" borderId="20" xfId="0" applyNumberFormat="1" applyFont="1" applyFill="1" applyBorder="1" applyAlignment="1">
      <alignment horizontal="right" vertical="center"/>
    </xf>
    <xf numFmtId="2" fontId="5" fillId="3" borderId="151" xfId="0" applyNumberFormat="1" applyFont="1" applyFill="1" applyBorder="1" applyAlignment="1">
      <alignment horizontal="right" vertical="center"/>
    </xf>
    <xf numFmtId="2" fontId="5" fillId="3" borderId="156" xfId="0" applyNumberFormat="1" applyFont="1" applyFill="1" applyBorder="1" applyAlignment="1">
      <alignment horizontal="right" vertical="center"/>
    </xf>
    <xf numFmtId="2" fontId="5" fillId="3" borderId="4" xfId="0" applyNumberFormat="1" applyFont="1" applyFill="1" applyBorder="1" applyAlignment="1">
      <alignment horizontal="right" vertical="center"/>
    </xf>
    <xf numFmtId="2" fontId="5" fillId="3" borderId="28" xfId="0" applyNumberFormat="1" applyFont="1" applyFill="1" applyBorder="1" applyAlignment="1">
      <alignment horizontal="right" vertical="center"/>
    </xf>
    <xf numFmtId="2" fontId="5" fillId="3" borderId="85" xfId="0" applyNumberFormat="1" applyFont="1" applyFill="1" applyBorder="1" applyAlignment="1">
      <alignment horizontal="right" vertical="center"/>
    </xf>
    <xf numFmtId="2" fontId="5" fillId="3" borderId="14" xfId="0" applyNumberFormat="1" applyFont="1" applyFill="1" applyBorder="1" applyAlignment="1">
      <alignment horizontal="right" vertical="center"/>
    </xf>
    <xf numFmtId="2" fontId="5" fillId="3" borderId="84" xfId="0" applyNumberFormat="1" applyFont="1" applyFill="1" applyBorder="1" applyAlignment="1">
      <alignment horizontal="right" vertical="center"/>
    </xf>
    <xf numFmtId="0" fontId="20" fillId="0" borderId="0" xfId="35" applyFont="1" applyBorder="1" applyAlignment="1" applyProtection="1">
      <alignment horizontal="center"/>
      <protection locked="0"/>
    </xf>
    <xf numFmtId="0" fontId="39" fillId="0" borderId="0" xfId="0" applyFont="1" applyAlignment="1">
      <alignment horizontal="left" vertical="center"/>
    </xf>
    <xf numFmtId="0" fontId="39" fillId="4" borderId="1362" xfId="37" applyFont="1" applyFill="1" applyBorder="1" applyAlignment="1">
      <alignment horizontal="center"/>
      <protection locked="0"/>
    </xf>
    <xf numFmtId="0" fontId="20" fillId="46" borderId="1329" xfId="0" applyFont="1" applyFill="1" applyBorder="1" applyAlignment="1" applyProtection="1">
      <alignment horizontal="center"/>
      <protection locked="0"/>
    </xf>
    <xf numFmtId="0" fontId="20" fillId="46" borderId="1216" xfId="0" applyFont="1" applyFill="1" applyBorder="1" applyAlignment="1" applyProtection="1">
      <alignment horizontal="center"/>
      <protection locked="0"/>
    </xf>
    <xf numFmtId="0" fontId="39" fillId="0" borderId="0" xfId="37" applyFont="1" applyFill="1" applyBorder="1" applyAlignment="1">
      <alignment horizontal="center"/>
      <protection locked="0"/>
    </xf>
    <xf numFmtId="0" fontId="39" fillId="0" borderId="1343" xfId="0" applyFont="1" applyBorder="1" applyAlignment="1">
      <alignment horizontal="left" vertical="center"/>
    </xf>
    <xf numFmtId="0" fontId="39" fillId="4" borderId="1415" xfId="37" applyFont="1" applyFill="1" applyBorder="1" applyAlignment="1">
      <alignment horizontal="center"/>
      <protection locked="0"/>
    </xf>
    <xf numFmtId="0" fontId="20" fillId="46" borderId="1408" xfId="35" applyFont="1" applyFill="1" applyBorder="1" applyAlignment="1" applyProtection="1">
      <alignment horizontal="center"/>
      <protection locked="0"/>
    </xf>
    <xf numFmtId="0" fontId="20" fillId="46" borderId="1409" xfId="35" applyFont="1" applyFill="1" applyBorder="1" applyAlignment="1" applyProtection="1">
      <alignment horizontal="center"/>
      <protection locked="0"/>
    </xf>
    <xf numFmtId="0" fontId="20" fillId="46" borderId="1413" xfId="35" applyFont="1" applyFill="1" applyBorder="1" applyAlignment="1" applyProtection="1">
      <alignment horizontal="center"/>
      <protection locked="0"/>
    </xf>
    <xf numFmtId="0" fontId="39" fillId="0" borderId="1356" xfId="0" applyFont="1" applyBorder="1" applyAlignment="1">
      <alignment horizontal="left" vertical="center"/>
    </xf>
    <xf numFmtId="0" fontId="39" fillId="0" borderId="1356" xfId="37" applyFont="1" applyFill="1" applyBorder="1" applyAlignment="1">
      <alignment horizontal="center"/>
      <protection locked="0"/>
    </xf>
    <xf numFmtId="0" fontId="20" fillId="0" borderId="1356" xfId="35" applyFont="1" applyBorder="1" applyAlignment="1" applyProtection="1">
      <alignment horizontal="center"/>
      <protection locked="0"/>
    </xf>
    <xf numFmtId="1" fontId="5" fillId="0" borderId="1424" xfId="0" applyNumberFormat="1" applyFont="1" applyBorder="1" applyAlignment="1">
      <alignment horizontal="center" vertical="center"/>
    </xf>
    <xf numFmtId="1" fontId="5" fillId="0" borderId="1413" xfId="0" applyNumberFormat="1" applyFont="1" applyBorder="1" applyAlignment="1">
      <alignment horizontal="center" vertical="center"/>
    </xf>
    <xf numFmtId="0" fontId="3" fillId="5" borderId="0" xfId="0" applyFont="1" applyFill="1"/>
    <xf numFmtId="0" fontId="0" fillId="5" borderId="0" xfId="0" applyFill="1" applyAlignment="1">
      <alignment vertical="center"/>
    </xf>
    <xf numFmtId="0" fontId="0" fillId="5" borderId="0" xfId="0" applyFill="1"/>
    <xf numFmtId="1" fontId="5" fillId="6" borderId="0" xfId="0" applyNumberFormat="1" applyFont="1" applyFill="1"/>
    <xf numFmtId="1" fontId="5" fillId="0" borderId="1429" xfId="0" applyNumberFormat="1" applyFont="1" applyBorder="1"/>
    <xf numFmtId="0" fontId="3" fillId="0" borderId="1430" xfId="0" applyFont="1" applyBorder="1" applyAlignment="1">
      <alignment horizontal="center" vertical="center" wrapText="1"/>
    </xf>
    <xf numFmtId="0" fontId="3" fillId="0" borderId="319" xfId="0" applyFont="1" applyBorder="1" applyAlignment="1">
      <alignment horizontal="center" vertical="center" wrapText="1"/>
    </xf>
    <xf numFmtId="0" fontId="3" fillId="0" borderId="808" xfId="0" applyFont="1" applyBorder="1" applyAlignment="1">
      <alignment horizontal="center" vertical="center" wrapText="1"/>
    </xf>
    <xf numFmtId="1" fontId="5" fillId="7" borderId="1358" xfId="0" applyNumberFormat="1" applyFont="1" applyFill="1" applyBorder="1"/>
    <xf numFmtId="1" fontId="5" fillId="7" borderId="936" xfId="0" applyNumberFormat="1" applyFont="1" applyFill="1" applyBorder="1"/>
    <xf numFmtId="1" fontId="5" fillId="4" borderId="1415" xfId="0" applyNumberFormat="1" applyFont="1" applyFill="1" applyBorder="1" applyProtection="1">
      <protection locked="0"/>
    </xf>
    <xf numFmtId="1" fontId="3" fillId="0" borderId="208" xfId="0" applyNumberFormat="1" applyFont="1" applyBorder="1" applyAlignment="1">
      <alignment vertical="center" wrapText="1"/>
    </xf>
    <xf numFmtId="1" fontId="3" fillId="4" borderId="222" xfId="0" applyNumberFormat="1" applyFont="1" applyFill="1" applyBorder="1" applyAlignment="1" applyProtection="1">
      <alignment horizontal="right" vertical="center"/>
      <protection locked="0"/>
    </xf>
    <xf numFmtId="1" fontId="3" fillId="4" borderId="1207" xfId="0" applyNumberFormat="1" applyFont="1" applyFill="1" applyBorder="1" applyAlignment="1" applyProtection="1">
      <alignment horizontal="right" vertical="center"/>
      <protection locked="0"/>
    </xf>
    <xf numFmtId="1" fontId="3" fillId="4" borderId="1218" xfId="0" applyNumberFormat="1" applyFont="1" applyFill="1" applyBorder="1" applyAlignment="1" applyProtection="1">
      <alignment horizontal="right" vertical="center"/>
      <protection locked="0"/>
    </xf>
    <xf numFmtId="1" fontId="3" fillId="4" borderId="1225" xfId="0" applyNumberFormat="1" applyFont="1" applyFill="1" applyBorder="1" applyAlignment="1" applyProtection="1">
      <alignment horizontal="right" vertical="center"/>
      <protection locked="0"/>
    </xf>
    <xf numFmtId="1" fontId="3" fillId="4" borderId="1099" xfId="0" applyNumberFormat="1" applyFont="1" applyFill="1" applyBorder="1" applyAlignment="1" applyProtection="1">
      <alignment horizontal="right" vertical="center"/>
      <protection locked="0"/>
    </xf>
    <xf numFmtId="1" fontId="3" fillId="0" borderId="1404" xfId="0" applyNumberFormat="1" applyFont="1" applyBorder="1" applyAlignment="1">
      <alignment vertical="center" wrapText="1"/>
    </xf>
    <xf numFmtId="1" fontId="3" fillId="4" borderId="1411" xfId="0" applyNumberFormat="1" applyFont="1" applyFill="1" applyBorder="1" applyAlignment="1" applyProtection="1">
      <alignment horizontal="right" vertical="center"/>
      <protection locked="0"/>
    </xf>
    <xf numFmtId="1" fontId="3" fillId="4" borderId="1300" xfId="0" applyNumberFormat="1" applyFont="1" applyFill="1" applyBorder="1" applyAlignment="1" applyProtection="1">
      <alignment horizontal="right" vertical="center"/>
      <protection locked="0"/>
    </xf>
    <xf numFmtId="1" fontId="3" fillId="4" borderId="1319" xfId="0" applyNumberFormat="1" applyFont="1" applyFill="1" applyBorder="1" applyAlignment="1" applyProtection="1">
      <alignment horizontal="right" vertical="center"/>
      <protection locked="0"/>
    </xf>
    <xf numFmtId="1" fontId="3" fillId="4" borderId="1422" xfId="0" applyNumberFormat="1" applyFont="1" applyFill="1" applyBorder="1" applyAlignment="1" applyProtection="1">
      <alignment horizontal="right" vertical="center"/>
      <protection locked="0"/>
    </xf>
    <xf numFmtId="1" fontId="3" fillId="4" borderId="1403" xfId="0" applyNumberFormat="1" applyFont="1" applyFill="1" applyBorder="1" applyAlignment="1" applyProtection="1">
      <alignment horizontal="right" vertical="center"/>
      <protection locked="0"/>
    </xf>
    <xf numFmtId="1" fontId="3" fillId="0" borderId="1431" xfId="0" applyNumberFormat="1" applyFont="1" applyBorder="1" applyAlignment="1">
      <alignment vertical="center" wrapText="1"/>
    </xf>
    <xf numFmtId="1" fontId="3" fillId="4" borderId="1432" xfId="0" applyNumberFormat="1" applyFont="1" applyFill="1" applyBorder="1" applyAlignment="1" applyProtection="1">
      <alignment horizontal="right" vertical="center"/>
      <protection locked="0"/>
    </xf>
    <xf numFmtId="1" fontId="3" fillId="4" borderId="1433" xfId="0" applyNumberFormat="1" applyFont="1" applyFill="1" applyBorder="1" applyAlignment="1" applyProtection="1">
      <alignment horizontal="right" vertical="center"/>
      <protection locked="0"/>
    </xf>
    <xf numFmtId="1" fontId="3" fillId="4" borderId="1434" xfId="0" applyNumberFormat="1" applyFont="1" applyFill="1" applyBorder="1" applyAlignment="1" applyProtection="1">
      <alignment horizontal="right" vertical="center"/>
      <protection locked="0"/>
    </xf>
    <xf numFmtId="1" fontId="3" fillId="4" borderId="1435" xfId="0" applyNumberFormat="1" applyFont="1" applyFill="1" applyBorder="1" applyAlignment="1" applyProtection="1">
      <alignment horizontal="right" vertical="center"/>
      <protection locked="0"/>
    </xf>
    <xf numFmtId="1" fontId="3" fillId="4" borderId="1436" xfId="0" applyNumberFormat="1" applyFont="1" applyFill="1" applyBorder="1" applyAlignment="1" applyProtection="1">
      <alignment horizontal="right" vertical="center"/>
      <protection locked="0"/>
    </xf>
    <xf numFmtId="1" fontId="5" fillId="0" borderId="1413" xfId="0" applyNumberFormat="1" applyFont="1" applyBorder="1" applyAlignment="1">
      <alignment horizontal="center" vertical="center" wrapText="1"/>
    </xf>
    <xf numFmtId="1" fontId="3" fillId="0" borderId="1415" xfId="0" applyNumberFormat="1" applyFont="1" applyBorder="1" applyAlignment="1" applyProtection="1">
      <alignment horizontal="center" vertical="center" wrapText="1"/>
      <protection hidden="1"/>
    </xf>
    <xf numFmtId="1" fontId="5" fillId="0" borderId="542" xfId="0" applyNumberFormat="1" applyFont="1" applyBorder="1" applyAlignment="1">
      <alignment horizontal="right" vertical="center" wrapText="1"/>
    </xf>
    <xf numFmtId="1" fontId="5" fillId="0" borderId="542" xfId="0" applyNumberFormat="1" applyFont="1" applyBorder="1" applyAlignment="1">
      <alignment horizontal="right"/>
    </xf>
    <xf numFmtId="1" fontId="5" fillId="0" borderId="130" xfId="0" applyNumberFormat="1" applyFont="1" applyBorder="1" applyAlignment="1">
      <alignment horizontal="center" vertical="center" wrapText="1"/>
    </xf>
    <xf numFmtId="1" fontId="5" fillId="6" borderId="1411" xfId="0" applyNumberFormat="1" applyFont="1" applyFill="1" applyBorder="1" applyAlignment="1">
      <alignment horizontal="right"/>
    </xf>
    <xf numFmtId="1" fontId="5" fillId="6" borderId="1419" xfId="0" applyNumberFormat="1" applyFont="1" applyFill="1" applyBorder="1" applyAlignment="1">
      <alignment horizontal="right"/>
    </xf>
    <xf numFmtId="1" fontId="5" fillId="6" borderId="1403" xfId="0" applyNumberFormat="1" applyFont="1" applyFill="1" applyBorder="1" applyAlignment="1">
      <alignment horizontal="right"/>
    </xf>
    <xf numFmtId="1" fontId="5" fillId="4" borderId="1417" xfId="0" applyNumberFormat="1" applyFont="1" applyFill="1" applyBorder="1" applyAlignment="1" applyProtection="1">
      <alignment horizontal="right"/>
      <protection locked="0"/>
    </xf>
    <xf numFmtId="1" fontId="5" fillId="4" borderId="1416" xfId="0" applyNumberFormat="1" applyFont="1" applyFill="1" applyBorder="1" applyAlignment="1" applyProtection="1">
      <alignment horizontal="right"/>
      <protection locked="0"/>
    </xf>
    <xf numFmtId="1" fontId="5" fillId="4" borderId="1419" xfId="0" applyNumberFormat="1" applyFont="1" applyFill="1" applyBorder="1" applyAlignment="1" applyProtection="1">
      <alignment horizontal="right"/>
      <protection locked="0"/>
    </xf>
    <xf numFmtId="1" fontId="5" fillId="6" borderId="1401" xfId="0" applyNumberFormat="1" applyFont="1" applyFill="1" applyBorder="1" applyAlignment="1">
      <alignment horizontal="right"/>
    </xf>
    <xf numFmtId="1" fontId="5" fillId="4" borderId="1358" xfId="0" applyNumberFormat="1" applyFont="1" applyFill="1" applyBorder="1" applyAlignment="1" applyProtection="1">
      <alignment horizontal="right"/>
      <protection locked="0"/>
    </xf>
    <xf numFmtId="1" fontId="5" fillId="4" borderId="212" xfId="0" applyNumberFormat="1" applyFont="1" applyFill="1" applyBorder="1" applyAlignment="1" applyProtection="1">
      <alignment horizontal="right"/>
      <protection locked="0"/>
    </xf>
    <xf numFmtId="0" fontId="0" fillId="26" borderId="0" xfId="0" applyFill="1" applyAlignment="1">
      <alignment horizontal="right"/>
    </xf>
    <xf numFmtId="1" fontId="5" fillId="0" borderId="1420" xfId="0" applyNumberFormat="1" applyFont="1" applyBorder="1" applyAlignment="1">
      <alignment horizontal="center" vertical="center" wrapText="1"/>
    </xf>
    <xf numFmtId="1" fontId="5" fillId="0" borderId="1276" xfId="0" applyNumberFormat="1" applyFont="1" applyBorder="1" applyAlignment="1">
      <alignment horizontal="center" vertical="center" wrapText="1"/>
    </xf>
    <xf numFmtId="1" fontId="5" fillId="4" borderId="1420" xfId="0" applyNumberFormat="1" applyFont="1" applyFill="1" applyBorder="1" applyProtection="1">
      <protection locked="0"/>
    </xf>
    <xf numFmtId="1" fontId="5" fillId="4" borderId="1353" xfId="0" applyNumberFormat="1" applyFont="1" applyFill="1" applyBorder="1" applyProtection="1">
      <protection locked="0"/>
    </xf>
    <xf numFmtId="1" fontId="5" fillId="7" borderId="1411" xfId="0" applyNumberFormat="1" applyFont="1" applyFill="1" applyBorder="1"/>
    <xf numFmtId="1" fontId="5" fillId="7" borderId="1403" xfId="0" applyNumberFormat="1" applyFont="1" applyFill="1" applyBorder="1"/>
    <xf numFmtId="1" fontId="5" fillId="4" borderId="1401" xfId="0" applyNumberFormat="1" applyFont="1" applyFill="1" applyBorder="1" applyProtection="1">
      <protection locked="0"/>
    </xf>
    <xf numFmtId="1" fontId="5" fillId="7" borderId="212" xfId="0" applyNumberFormat="1" applyFont="1" applyFill="1" applyBorder="1"/>
    <xf numFmtId="1" fontId="5" fillId="7" borderId="207" xfId="0" applyNumberFormat="1" applyFont="1" applyFill="1" applyBorder="1"/>
    <xf numFmtId="1" fontId="5" fillId="4" borderId="212" xfId="0" applyNumberFormat="1" applyFont="1" applyFill="1" applyBorder="1" applyProtection="1">
      <protection locked="0"/>
    </xf>
    <xf numFmtId="1" fontId="5" fillId="4" borderId="207" xfId="0" applyNumberFormat="1" applyFont="1" applyFill="1" applyBorder="1" applyProtection="1">
      <protection locked="0"/>
    </xf>
    <xf numFmtId="1" fontId="5" fillId="0" borderId="1359" xfId="0" applyNumberFormat="1" applyFont="1" applyBorder="1"/>
    <xf numFmtId="1" fontId="5" fillId="0" borderId="1357" xfId="0" applyNumberFormat="1" applyFont="1" applyBorder="1"/>
    <xf numFmtId="1" fontId="5" fillId="0" borderId="1413" xfId="0" applyNumberFormat="1" applyFont="1" applyBorder="1"/>
    <xf numFmtId="1" fontId="5" fillId="0" borderId="1406" xfId="0" applyNumberFormat="1" applyFont="1" applyBorder="1"/>
    <xf numFmtId="1" fontId="15" fillId="0" borderId="94" xfId="0" applyNumberFormat="1" applyFont="1" applyBorder="1"/>
    <xf numFmtId="1" fontId="15" fillId="0" borderId="73" xfId="0" applyNumberFormat="1" applyFont="1" applyBorder="1"/>
    <xf numFmtId="1" fontId="5" fillId="0" borderId="111" xfId="0" applyNumberFormat="1" applyFont="1" applyBorder="1" applyAlignment="1" applyProtection="1">
      <alignment horizontal="center"/>
      <protection locked="0"/>
    </xf>
    <xf numFmtId="1" fontId="5" fillId="0" borderId="97" xfId="0" applyNumberFormat="1" applyFont="1" applyBorder="1" applyAlignment="1" applyProtection="1">
      <alignment horizontal="center"/>
      <protection locked="0"/>
    </xf>
    <xf numFmtId="1" fontId="15" fillId="23" borderId="0" xfId="0" applyNumberFormat="1" applyFont="1" applyFill="1" applyAlignment="1">
      <alignment vertical="center"/>
    </xf>
    <xf numFmtId="0" fontId="26" fillId="23" borderId="0" xfId="0" applyFont="1" applyFill="1"/>
    <xf numFmtId="0" fontId="41" fillId="23" borderId="0" xfId="0" applyFont="1" applyFill="1"/>
    <xf numFmtId="1" fontId="5" fillId="23" borderId="220" xfId="0" applyNumberFormat="1" applyFont="1" applyFill="1" applyBorder="1" applyAlignment="1">
      <alignment horizontal="center" vertical="center" wrapText="1"/>
    </xf>
    <xf numFmtId="1" fontId="5" fillId="23" borderId="1181" xfId="0" applyNumberFormat="1" applyFont="1" applyFill="1" applyBorder="1" applyAlignment="1">
      <alignment horizontal="center" vertical="center" wrapText="1"/>
    </xf>
    <xf numFmtId="1" fontId="5" fillId="23" borderId="438" xfId="0" applyNumberFormat="1" applyFont="1" applyFill="1" applyBorder="1" applyAlignment="1">
      <alignment horizontal="center" vertical="center" wrapText="1"/>
    </xf>
    <xf numFmtId="1" fontId="5" fillId="23" borderId="919" xfId="0" applyNumberFormat="1" applyFont="1" applyFill="1" applyBorder="1" applyAlignment="1">
      <alignment horizontal="center" vertical="center" wrapText="1"/>
    </xf>
    <xf numFmtId="1" fontId="5" fillId="23" borderId="58" xfId="0" applyNumberFormat="1" applyFont="1" applyFill="1" applyBorder="1" applyAlignment="1">
      <alignment horizontal="center" vertical="center" wrapText="1"/>
    </xf>
    <xf numFmtId="1" fontId="5" fillId="23" borderId="900" xfId="0" applyNumberFormat="1" applyFont="1" applyFill="1" applyBorder="1" applyAlignment="1">
      <alignment vertical="center" wrapText="1"/>
    </xf>
    <xf numFmtId="1" fontId="5" fillId="23" borderId="1182" xfId="0" applyNumberFormat="1" applyFont="1" applyFill="1" applyBorder="1" applyAlignment="1">
      <alignment horizontal="right" wrapText="1"/>
    </xf>
    <xf numFmtId="1" fontId="5" fillId="23" borderId="940" xfId="0" applyNumberFormat="1" applyFont="1" applyFill="1" applyBorder="1" applyAlignment="1">
      <alignment horizontal="right" wrapText="1"/>
    </xf>
    <xf numFmtId="1" fontId="5" fillId="23" borderId="899" xfId="0" applyNumberFormat="1" applyFont="1" applyFill="1" applyBorder="1" applyAlignment="1">
      <alignment horizontal="right"/>
    </xf>
    <xf numFmtId="1" fontId="5" fillId="23" borderId="59" xfId="0" applyNumberFormat="1" applyFont="1" applyFill="1" applyBorder="1" applyAlignment="1">
      <alignment vertical="center" wrapText="1"/>
    </xf>
    <xf numFmtId="1" fontId="5" fillId="23" borderId="20" xfId="0" applyNumberFormat="1" applyFont="1" applyFill="1" applyBorder="1" applyAlignment="1">
      <alignment horizontal="right" wrapText="1"/>
    </xf>
    <xf numFmtId="1" fontId="5" fillId="23" borderId="225" xfId="0" applyNumberFormat="1" applyFont="1" applyFill="1" applyBorder="1" applyAlignment="1">
      <alignment horizontal="right" wrapText="1"/>
    </xf>
    <xf numFmtId="1" fontId="5" fillId="23" borderId="22" xfId="0" applyNumberFormat="1" applyFont="1" applyFill="1" applyBorder="1" applyAlignment="1">
      <alignment horizontal="right"/>
    </xf>
    <xf numFmtId="1" fontId="5" fillId="23" borderId="31" xfId="0" applyNumberFormat="1" applyFont="1" applyFill="1" applyBorder="1"/>
    <xf numFmtId="1" fontId="5" fillId="23" borderId="914" xfId="0" applyNumberFormat="1" applyFont="1" applyFill="1" applyBorder="1" applyAlignment="1">
      <alignment horizontal="center"/>
    </xf>
    <xf numFmtId="1" fontId="5" fillId="23" borderId="1181" xfId="0" applyNumberFormat="1" applyFont="1" applyFill="1" applyBorder="1" applyAlignment="1">
      <alignment horizontal="right"/>
    </xf>
    <xf numFmtId="1" fontId="5" fillId="23" borderId="921" xfId="0" applyNumberFormat="1" applyFont="1" applyFill="1" applyBorder="1" applyAlignment="1">
      <alignment horizontal="right"/>
    </xf>
    <xf numFmtId="1" fontId="5" fillId="23" borderId="932" xfId="0" applyNumberFormat="1" applyFont="1" applyFill="1" applyBorder="1" applyAlignment="1">
      <alignment horizontal="right"/>
    </xf>
    <xf numFmtId="1" fontId="5" fillId="23" borderId="903" xfId="0" applyNumberFormat="1" applyFont="1" applyFill="1" applyBorder="1" applyAlignment="1">
      <alignment vertical="center" wrapText="1"/>
    </xf>
    <xf numFmtId="1" fontId="5" fillId="23" borderId="371" xfId="0" applyNumberFormat="1" applyFont="1" applyFill="1" applyBorder="1" applyAlignment="1">
      <alignment horizontal="right" wrapText="1"/>
    </xf>
    <xf numFmtId="1" fontId="5" fillId="23" borderId="911" xfId="0" applyNumberFormat="1" applyFont="1" applyFill="1" applyBorder="1" applyAlignment="1">
      <alignment horizontal="right" wrapText="1"/>
    </xf>
    <xf numFmtId="1" fontId="5" fillId="23" borderId="838" xfId="0" applyNumberFormat="1" applyFont="1" applyFill="1" applyBorder="1" applyAlignment="1">
      <alignment horizontal="right"/>
    </xf>
    <xf numFmtId="1" fontId="5" fillId="23" borderId="922" xfId="0" applyNumberFormat="1" applyFont="1" applyFill="1" applyBorder="1" applyAlignment="1">
      <alignment horizontal="right"/>
    </xf>
    <xf numFmtId="1" fontId="5" fillId="23" borderId="1143" xfId="0" applyNumberFormat="1" applyFont="1" applyFill="1" applyBorder="1"/>
    <xf numFmtId="1" fontId="5" fillId="23" borderId="739" xfId="0" applyNumberFormat="1" applyFont="1" applyFill="1" applyBorder="1"/>
    <xf numFmtId="1" fontId="5" fillId="23" borderId="807" xfId="0" applyNumberFormat="1" applyFont="1" applyFill="1" applyBorder="1"/>
    <xf numFmtId="1" fontId="15" fillId="23" borderId="0" xfId="0" applyNumberFormat="1" applyFont="1" applyFill="1"/>
    <xf numFmtId="0" fontId="0" fillId="23" borderId="0" xfId="0" applyFill="1"/>
    <xf numFmtId="1" fontId="2" fillId="23" borderId="35" xfId="0" applyNumberFormat="1" applyFont="1" applyFill="1" applyBorder="1" applyAlignment="1">
      <alignment horizontal="left"/>
    </xf>
    <xf numFmtId="0" fontId="6" fillId="23" borderId="0" xfId="0" applyFont="1" applyFill="1"/>
    <xf numFmtId="1" fontId="3" fillId="23" borderId="431" xfId="0" applyNumberFormat="1" applyFont="1" applyFill="1" applyBorder="1" applyAlignment="1">
      <alignment horizontal="center" vertical="center"/>
    </xf>
    <xf numFmtId="1" fontId="3" fillId="23" borderId="36" xfId="0" applyNumberFormat="1" applyFont="1" applyFill="1" applyBorder="1" applyAlignment="1">
      <alignment horizontal="center" vertical="center"/>
    </xf>
    <xf numFmtId="1" fontId="3" fillId="23" borderId="435" xfId="0" applyNumberFormat="1" applyFont="1" applyFill="1" applyBorder="1" applyAlignment="1">
      <alignment horizontal="center" vertical="center"/>
    </xf>
    <xf numFmtId="1" fontId="3" fillId="23" borderId="439" xfId="0" applyNumberFormat="1" applyFont="1" applyFill="1" applyBorder="1" applyAlignment="1">
      <alignment horizontal="center" vertical="center"/>
    </xf>
    <xf numFmtId="1" fontId="3" fillId="23" borderId="453" xfId="0" applyNumberFormat="1" applyFont="1" applyFill="1" applyBorder="1" applyAlignment="1">
      <alignment horizontal="center" vertical="center"/>
    </xf>
    <xf numFmtId="1" fontId="3" fillId="23" borderId="420" xfId="0" applyNumberFormat="1" applyFont="1" applyFill="1" applyBorder="1" applyAlignment="1">
      <alignment vertical="center" wrapText="1"/>
    </xf>
    <xf numFmtId="1" fontId="3" fillId="23" borderId="428" xfId="0" applyNumberFormat="1" applyFont="1" applyFill="1" applyBorder="1" applyAlignment="1">
      <alignment horizontal="right" vertical="center"/>
    </xf>
    <xf numFmtId="1" fontId="3" fillId="23" borderId="441" xfId="0" applyNumberFormat="1" applyFont="1" applyFill="1" applyBorder="1" applyAlignment="1">
      <alignment horizontal="right" vertical="center"/>
    </xf>
    <xf numFmtId="0" fontId="3" fillId="23" borderId="420" xfId="0" applyFont="1" applyFill="1" applyBorder="1" applyAlignment="1">
      <alignment horizontal="right"/>
    </xf>
    <xf numFmtId="1" fontId="3" fillId="23" borderId="373" xfId="0" applyNumberFormat="1" applyFont="1" applyFill="1" applyBorder="1" applyAlignment="1">
      <alignment vertical="center" wrapText="1"/>
    </xf>
    <xf numFmtId="1" fontId="3" fillId="23" borderId="371" xfId="0" applyNumberFormat="1" applyFont="1" applyFill="1" applyBorder="1" applyAlignment="1">
      <alignment horizontal="right" vertical="center"/>
    </xf>
    <xf numFmtId="1" fontId="3" fillId="23" borderId="10" xfId="0" applyNumberFormat="1" applyFont="1" applyFill="1" applyBorder="1" applyAlignment="1">
      <alignment horizontal="right" vertical="center"/>
    </xf>
    <xf numFmtId="0" fontId="3" fillId="23" borderId="373" xfId="0" applyFont="1" applyFill="1" applyBorder="1" applyAlignment="1">
      <alignment horizontal="right"/>
    </xf>
    <xf numFmtId="1" fontId="3" fillId="23" borderId="459" xfId="0" applyNumberFormat="1" applyFont="1" applyFill="1" applyBorder="1" applyAlignment="1">
      <alignment vertical="center" wrapText="1"/>
    </xf>
    <xf numFmtId="1" fontId="3" fillId="23" borderId="14" xfId="0" applyNumberFormat="1" applyFont="1" applyFill="1" applyBorder="1" applyAlignment="1">
      <alignment horizontal="right" vertical="center"/>
    </xf>
    <xf numFmtId="1" fontId="3" fillId="23" borderId="12" xfId="0" applyNumberFormat="1" applyFont="1" applyFill="1" applyBorder="1" applyAlignment="1">
      <alignment horizontal="right" vertical="center"/>
    </xf>
    <xf numFmtId="0" fontId="3" fillId="23" borderId="459" xfId="0" applyFont="1" applyFill="1" applyBorder="1" applyAlignment="1">
      <alignment horizontal="right"/>
    </xf>
    <xf numFmtId="1" fontId="26" fillId="16" borderId="0" xfId="0" applyNumberFormat="1" applyFont="1" applyFill="1" applyProtection="1">
      <protection locked="0"/>
    </xf>
    <xf numFmtId="1" fontId="5" fillId="0" borderId="832" xfId="0" applyNumberFormat="1" applyFont="1" applyBorder="1" applyAlignment="1">
      <alignment horizontal="center" vertical="center" wrapText="1"/>
    </xf>
    <xf numFmtId="1" fontId="5" fillId="0" borderId="833" xfId="0" applyNumberFormat="1" applyFont="1" applyBorder="1" applyAlignment="1">
      <alignment horizontal="center" vertical="center" wrapText="1"/>
    </xf>
    <xf numFmtId="1" fontId="5" fillId="0" borderId="1361" xfId="0" applyNumberFormat="1" applyFont="1" applyBorder="1" applyAlignment="1">
      <alignment horizontal="center" vertical="center" wrapText="1"/>
    </xf>
    <xf numFmtId="1" fontId="5" fillId="4" borderId="1424" xfId="0" applyNumberFormat="1" applyFont="1" applyFill="1" applyBorder="1" applyProtection="1">
      <protection locked="0"/>
    </xf>
    <xf numFmtId="1" fontId="5" fillId="4" borderId="1409" xfId="0" applyNumberFormat="1" applyFont="1" applyFill="1" applyBorder="1" applyProtection="1">
      <protection locked="0"/>
    </xf>
    <xf numFmtId="1" fontId="5" fillId="0" borderId="1424" xfId="0" applyNumberFormat="1" applyFont="1" applyBorder="1"/>
    <xf numFmtId="1" fontId="5" fillId="0" borderId="1409" xfId="0" applyNumberFormat="1" applyFont="1" applyBorder="1"/>
    <xf numFmtId="1" fontId="5" fillId="4" borderId="1424" xfId="0" applyNumberFormat="1" applyFont="1" applyFill="1" applyBorder="1" applyAlignment="1" applyProtection="1">
      <alignment horizontal="right"/>
      <protection locked="0"/>
    </xf>
    <xf numFmtId="1" fontId="5" fillId="4" borderId="253" xfId="0" applyNumberFormat="1" applyFont="1" applyFill="1" applyBorder="1" applyAlignment="1" applyProtection="1">
      <alignment horizontal="right"/>
      <protection locked="0"/>
    </xf>
    <xf numFmtId="1" fontId="5" fillId="4" borderId="62" xfId="0" applyNumberFormat="1" applyFont="1" applyFill="1" applyBorder="1" applyAlignment="1" applyProtection="1">
      <alignment horizontal="right"/>
      <protection locked="0"/>
    </xf>
    <xf numFmtId="1" fontId="5" fillId="0" borderId="1409" xfId="0" applyNumberFormat="1" applyFont="1" applyBorder="1" applyAlignment="1">
      <alignment horizontal="center" vertical="center" wrapText="1"/>
    </xf>
    <xf numFmtId="1" fontId="5" fillId="4" borderId="245" xfId="0" applyNumberFormat="1" applyFont="1" applyFill="1" applyBorder="1" applyAlignment="1" applyProtection="1">
      <alignment wrapText="1"/>
      <protection locked="0"/>
    </xf>
    <xf numFmtId="1" fontId="5" fillId="0" borderId="14" xfId="0" applyNumberFormat="1" applyFont="1" applyBorder="1" applyAlignment="1">
      <alignment wrapText="1"/>
    </xf>
    <xf numFmtId="1" fontId="5" fillId="5" borderId="1424" xfId="0" applyNumberFormat="1" applyFont="1" applyFill="1" applyBorder="1" applyAlignment="1">
      <alignment horizontal="center" vertical="center" wrapText="1"/>
    </xf>
    <xf numFmtId="1" fontId="5" fillId="5" borderId="1413" xfId="0" applyNumberFormat="1" applyFont="1" applyFill="1" applyBorder="1" applyAlignment="1">
      <alignment horizontal="center" vertical="center" wrapText="1"/>
    </xf>
    <xf numFmtId="1" fontId="5" fillId="4" borderId="1225" xfId="0" applyNumberFormat="1" applyFont="1" applyFill="1" applyBorder="1" applyAlignment="1" applyProtection="1">
      <alignment wrapText="1"/>
      <protection locked="0"/>
    </xf>
    <xf numFmtId="1" fontId="5" fillId="4" borderId="1208" xfId="0" applyNumberFormat="1" applyFont="1" applyFill="1" applyBorder="1" applyAlignment="1" applyProtection="1">
      <alignment wrapText="1"/>
      <protection locked="0"/>
    </xf>
    <xf numFmtId="1" fontId="5" fillId="4" borderId="253" xfId="0" applyNumberFormat="1" applyFont="1" applyFill="1" applyBorder="1" applyAlignment="1" applyProtection="1">
      <alignment wrapText="1"/>
      <protection locked="0"/>
    </xf>
    <xf numFmtId="1" fontId="5" fillId="0" borderId="62" xfId="0" applyNumberFormat="1" applyFont="1" applyBorder="1" applyAlignment="1">
      <alignment wrapText="1"/>
    </xf>
    <xf numFmtId="1" fontId="5" fillId="0" borderId="833" xfId="0" applyNumberFormat="1" applyFont="1" applyBorder="1" applyAlignment="1">
      <alignment wrapText="1"/>
    </xf>
    <xf numFmtId="1" fontId="5" fillId="5" borderId="1424" xfId="0" applyNumberFormat="1" applyFont="1" applyFill="1" applyBorder="1"/>
    <xf numFmtId="1" fontId="5" fillId="5" borderId="1409" xfId="0" applyNumberFormat="1" applyFont="1" applyFill="1" applyBorder="1"/>
    <xf numFmtId="1" fontId="5" fillId="5" borderId="1413" xfId="0" applyNumberFormat="1" applyFont="1" applyFill="1" applyBorder="1"/>
    <xf numFmtId="1" fontId="5" fillId="4" borderId="1400" xfId="0" applyNumberFormat="1" applyFont="1" applyFill="1" applyBorder="1" applyProtection="1">
      <protection locked="0"/>
    </xf>
    <xf numFmtId="1" fontId="5" fillId="0" borderId="1424" xfId="0" applyNumberFormat="1" applyFont="1" applyBorder="1" applyAlignment="1">
      <alignment horizontal="center" vertical="center" wrapText="1"/>
    </xf>
    <xf numFmtId="1" fontId="5" fillId="3" borderId="1359" xfId="0" applyNumberFormat="1" applyFont="1" applyFill="1" applyBorder="1" applyAlignment="1">
      <alignment horizontal="center" vertical="center" wrapText="1"/>
    </xf>
    <xf numFmtId="1" fontId="5" fillId="3" borderId="1361" xfId="0" applyNumberFormat="1" applyFont="1" applyFill="1" applyBorder="1" applyAlignment="1">
      <alignment horizontal="center" vertical="center" wrapText="1"/>
    </xf>
    <xf numFmtId="1" fontId="5" fillId="5" borderId="1409" xfId="0" applyNumberFormat="1" applyFont="1" applyFill="1" applyBorder="1" applyAlignment="1">
      <alignment horizontal="center" vertical="center" wrapText="1"/>
    </xf>
    <xf numFmtId="1" fontId="5" fillId="0" borderId="1149" xfId="0" applyNumberFormat="1" applyFont="1" applyBorder="1"/>
    <xf numFmtId="1" fontId="5" fillId="0" borderId="1361" xfId="0" applyNumberFormat="1" applyFont="1" applyBorder="1"/>
    <xf numFmtId="1" fontId="5" fillId="5" borderId="1408" xfId="0" applyNumberFormat="1" applyFont="1" applyFill="1" applyBorder="1" applyAlignment="1">
      <alignment horizontal="center" vertical="center" wrapText="1"/>
    </xf>
    <xf numFmtId="1" fontId="3" fillId="0" borderId="1408" xfId="0" applyNumberFormat="1" applyFont="1" applyBorder="1"/>
    <xf numFmtId="1" fontId="3" fillId="0" borderId="1413" xfId="0" applyNumberFormat="1" applyFont="1" applyBorder="1"/>
    <xf numFmtId="1" fontId="3" fillId="4" borderId="1408" xfId="0" applyNumberFormat="1" applyFont="1" applyFill="1" applyBorder="1" applyProtection="1">
      <protection locked="0"/>
    </xf>
    <xf numFmtId="1" fontId="3" fillId="4" borderId="1413" xfId="0" applyNumberFormat="1" applyFont="1" applyFill="1" applyBorder="1" applyProtection="1">
      <protection locked="0"/>
    </xf>
    <xf numFmtId="1" fontId="3" fillId="4" borderId="1352" xfId="0" applyNumberFormat="1" applyFont="1" applyFill="1" applyBorder="1" applyProtection="1">
      <protection locked="0"/>
    </xf>
    <xf numFmtId="1" fontId="3" fillId="4" borderId="1369" xfId="0" applyNumberFormat="1" applyFont="1" applyFill="1" applyBorder="1" applyProtection="1">
      <protection locked="0"/>
    </xf>
    <xf numFmtId="1" fontId="5" fillId="17" borderId="596" xfId="0" applyNumberFormat="1" applyFont="1" applyFill="1" applyBorder="1" applyAlignment="1">
      <alignment wrapText="1"/>
    </xf>
    <xf numFmtId="1" fontId="5" fillId="17" borderId="1289" xfId="0" applyNumberFormat="1" applyFont="1" applyFill="1" applyBorder="1"/>
    <xf numFmtId="1" fontId="5" fillId="17" borderId="838" xfId="0" applyNumberFormat="1" applyFont="1" applyFill="1" applyBorder="1"/>
    <xf numFmtId="1" fontId="5" fillId="17" borderId="792" xfId="0" applyNumberFormat="1" applyFont="1" applyFill="1" applyBorder="1"/>
    <xf numFmtId="1" fontId="5" fillId="17" borderId="1271" xfId="0" applyNumberFormat="1" applyFont="1" applyFill="1" applyBorder="1"/>
    <xf numFmtId="1" fontId="5" fillId="17" borderId="220" xfId="0" applyNumberFormat="1" applyFont="1" applyFill="1" applyBorder="1"/>
    <xf numFmtId="1" fontId="5" fillId="17" borderId="596" xfId="0" applyNumberFormat="1" applyFont="1" applyFill="1" applyBorder="1" applyAlignment="1">
      <alignment horizontal="right" vertical="center" wrapText="1"/>
    </xf>
    <xf numFmtId="1" fontId="5" fillId="17" borderId="980" xfId="0" applyNumberFormat="1" applyFont="1" applyFill="1" applyBorder="1"/>
    <xf numFmtId="1" fontId="5" fillId="17" borderId="22" xfId="0" applyNumberFormat="1" applyFont="1" applyFill="1" applyBorder="1"/>
    <xf numFmtId="1" fontId="5" fillId="0" borderId="1348" xfId="0" applyNumberFormat="1" applyFont="1" applyBorder="1" applyAlignment="1">
      <alignment horizontal="center" vertical="center" wrapText="1"/>
    </xf>
    <xf numFmtId="1" fontId="5" fillId="0" borderId="1437" xfId="0" applyNumberFormat="1" applyFont="1" applyBorder="1"/>
    <xf numFmtId="1" fontId="5" fillId="4" borderId="1414" xfId="0" applyNumberFormat="1" applyFont="1" applyFill="1" applyBorder="1" applyProtection="1">
      <protection locked="0"/>
    </xf>
    <xf numFmtId="1" fontId="5" fillId="4" borderId="1410" xfId="0" applyNumberFormat="1" applyFont="1" applyFill="1" applyBorder="1" applyProtection="1">
      <protection locked="0"/>
    </xf>
    <xf numFmtId="1" fontId="5" fillId="31" borderId="1409" xfId="0" applyNumberFormat="1" applyFont="1" applyFill="1" applyBorder="1"/>
    <xf numFmtId="1" fontId="5" fillId="31" borderId="1414" xfId="0" applyNumberFormat="1" applyFont="1" applyFill="1" applyBorder="1"/>
    <xf numFmtId="1" fontId="5" fillId="31" borderId="1424" xfId="0" applyNumberFormat="1" applyFont="1" applyFill="1" applyBorder="1"/>
    <xf numFmtId="1" fontId="5" fillId="31" borderId="1413" xfId="0" applyNumberFormat="1" applyFont="1" applyFill="1" applyBorder="1"/>
    <xf numFmtId="1" fontId="5" fillId="31" borderId="1410" xfId="0" applyNumberFormat="1" applyFont="1" applyFill="1" applyBorder="1"/>
    <xf numFmtId="1" fontId="5" fillId="3" borderId="1404" xfId="0" applyNumberFormat="1" applyFont="1" applyFill="1" applyBorder="1"/>
    <xf numFmtId="1" fontId="5" fillId="3" borderId="1437" xfId="0" applyNumberFormat="1" applyFont="1" applyFill="1" applyBorder="1"/>
    <xf numFmtId="1" fontId="5" fillId="23" borderId="897" xfId="0" applyNumberFormat="1" applyFont="1" applyFill="1" applyBorder="1"/>
    <xf numFmtId="1" fontId="5" fillId="23" borderId="898" xfId="0" applyNumberFormat="1" applyFont="1" applyFill="1" applyBorder="1"/>
    <xf numFmtId="1" fontId="5" fillId="23" borderId="901" xfId="0" applyNumberFormat="1" applyFont="1" applyFill="1" applyBorder="1"/>
    <xf numFmtId="1" fontId="5" fillId="23" borderId="897" xfId="0" applyNumberFormat="1" applyFont="1" applyFill="1" applyBorder="1" applyAlignment="1">
      <alignment horizontal="right" wrapText="1"/>
    </xf>
    <xf numFmtId="1" fontId="5" fillId="23" borderId="899" xfId="0" applyNumberFormat="1" applyFont="1" applyFill="1" applyBorder="1"/>
    <xf numFmtId="1" fontId="5" fillId="23" borderId="894" xfId="0" applyNumberFormat="1" applyFont="1" applyFill="1" applyBorder="1"/>
    <xf numFmtId="1" fontId="5" fillId="23" borderId="20" xfId="0" applyNumberFormat="1" applyFont="1" applyFill="1" applyBorder="1"/>
    <xf numFmtId="1" fontId="5" fillId="23" borderId="226" xfId="0" applyNumberFormat="1" applyFont="1" applyFill="1" applyBorder="1"/>
    <xf numFmtId="1" fontId="5" fillId="23" borderId="256" xfId="0" applyNumberFormat="1" applyFont="1" applyFill="1" applyBorder="1"/>
    <xf numFmtId="1" fontId="5" fillId="23" borderId="22" xfId="0" applyNumberFormat="1" applyFont="1" applyFill="1" applyBorder="1"/>
    <xf numFmtId="1" fontId="5" fillId="23" borderId="919" xfId="0" applyNumberFormat="1" applyFont="1" applyFill="1" applyBorder="1"/>
    <xf numFmtId="1" fontId="5" fillId="23" borderId="932" xfId="0" applyNumberFormat="1" applyFont="1" applyFill="1" applyBorder="1"/>
    <xf numFmtId="1" fontId="5" fillId="23" borderId="922" xfId="0" applyNumberFormat="1" applyFont="1" applyFill="1" applyBorder="1"/>
    <xf numFmtId="1" fontId="5" fillId="23" borderId="917" xfId="0" applyNumberFormat="1" applyFont="1" applyFill="1" applyBorder="1"/>
    <xf numFmtId="1" fontId="5" fillId="23" borderId="909" xfId="0" applyNumberFormat="1" applyFont="1" applyFill="1" applyBorder="1"/>
    <xf numFmtId="1" fontId="5" fillId="23" borderId="919" xfId="0" applyNumberFormat="1" applyFont="1" applyFill="1" applyBorder="1" applyAlignment="1">
      <alignment horizontal="right"/>
    </xf>
    <xf numFmtId="1" fontId="5" fillId="23" borderId="914" xfId="0" applyNumberFormat="1" applyFont="1" applyFill="1" applyBorder="1"/>
    <xf numFmtId="1" fontId="38" fillId="23" borderId="897" xfId="0" applyNumberFormat="1" applyFont="1" applyFill="1" applyBorder="1" applyAlignment="1">
      <alignment horizontal="right" wrapText="1"/>
    </xf>
    <xf numFmtId="1" fontId="38" fillId="23" borderId="897" xfId="0" applyNumberFormat="1" applyFont="1" applyFill="1" applyBorder="1"/>
    <xf numFmtId="1" fontId="38" fillId="23" borderId="898" xfId="0" applyNumberFormat="1" applyFont="1" applyFill="1" applyBorder="1"/>
    <xf numFmtId="1" fontId="38" fillId="23" borderId="901" xfId="0" applyNumberFormat="1" applyFont="1" applyFill="1" applyBorder="1"/>
    <xf numFmtId="1" fontId="38" fillId="23" borderId="899" xfId="0" applyNumberFormat="1" applyFont="1" applyFill="1" applyBorder="1"/>
    <xf numFmtId="1" fontId="38" fillId="23" borderId="894" xfId="0" applyNumberFormat="1" applyFont="1" applyFill="1" applyBorder="1"/>
    <xf numFmtId="1" fontId="38" fillId="23" borderId="20" xfId="0" applyNumberFormat="1" applyFont="1" applyFill="1" applyBorder="1" applyAlignment="1">
      <alignment horizontal="right" wrapText="1"/>
    </xf>
    <xf numFmtId="1" fontId="38" fillId="23" borderId="20" xfId="0" applyNumberFormat="1" applyFont="1" applyFill="1" applyBorder="1"/>
    <xf numFmtId="1" fontId="38" fillId="23" borderId="226" xfId="0" applyNumberFormat="1" applyFont="1" applyFill="1" applyBorder="1"/>
    <xf numFmtId="1" fontId="38" fillId="23" borderId="256" xfId="0" applyNumberFormat="1" applyFont="1" applyFill="1" applyBorder="1"/>
    <xf numFmtId="1" fontId="38" fillId="23" borderId="22" xfId="0" applyNumberFormat="1" applyFont="1" applyFill="1" applyBorder="1"/>
    <xf numFmtId="1" fontId="38" fillId="23" borderId="31" xfId="0" applyNumberFormat="1" applyFont="1" applyFill="1" applyBorder="1"/>
    <xf numFmtId="1" fontId="5" fillId="23" borderId="245" xfId="0" applyNumberFormat="1" applyFont="1" applyFill="1" applyBorder="1"/>
    <xf numFmtId="1" fontId="5" fillId="23" borderId="246" xfId="0" applyNumberFormat="1" applyFont="1" applyFill="1" applyBorder="1"/>
    <xf numFmtId="1" fontId="5" fillId="23" borderId="248" xfId="0" applyNumberFormat="1" applyFont="1" applyFill="1" applyBorder="1"/>
    <xf numFmtId="1" fontId="38" fillId="23" borderId="245" xfId="0" applyNumberFormat="1" applyFont="1" applyFill="1" applyBorder="1" applyAlignment="1">
      <alignment horizontal="right" wrapText="1"/>
    </xf>
    <xf numFmtId="1" fontId="38" fillId="23" borderId="245" xfId="0" applyNumberFormat="1" applyFont="1" applyFill="1" applyBorder="1"/>
    <xf numFmtId="1" fontId="38" fillId="23" borderId="246" xfId="0" applyNumberFormat="1" applyFont="1" applyFill="1" applyBorder="1"/>
    <xf numFmtId="1" fontId="38" fillId="23" borderId="248" xfId="0" applyNumberFormat="1" applyFont="1" applyFill="1" applyBorder="1"/>
    <xf numFmtId="1" fontId="38" fillId="23" borderId="838" xfId="0" applyNumberFormat="1" applyFont="1" applyFill="1" applyBorder="1"/>
    <xf numFmtId="1" fontId="38" fillId="23" borderId="835" xfId="0" applyNumberFormat="1" applyFont="1" applyFill="1" applyBorder="1"/>
    <xf numFmtId="1" fontId="38" fillId="23" borderId="919" xfId="0" applyNumberFormat="1" applyFont="1" applyFill="1" applyBorder="1" applyAlignment="1">
      <alignment horizontal="right"/>
    </xf>
    <xf numFmtId="1" fontId="38" fillId="23" borderId="919" xfId="0" applyNumberFormat="1" applyFont="1" applyFill="1" applyBorder="1"/>
    <xf numFmtId="1" fontId="38" fillId="23" borderId="922" xfId="0" applyNumberFormat="1" applyFont="1" applyFill="1" applyBorder="1"/>
    <xf numFmtId="1" fontId="38" fillId="23" borderId="917" xfId="0" applyNumberFormat="1" applyFont="1" applyFill="1" applyBorder="1"/>
    <xf numFmtId="1" fontId="38" fillId="23" borderId="909" xfId="0" applyNumberFormat="1" applyFont="1" applyFill="1" applyBorder="1"/>
    <xf numFmtId="1" fontId="38" fillId="23" borderId="932" xfId="0" applyNumberFormat="1" applyFont="1" applyFill="1" applyBorder="1"/>
    <xf numFmtId="1" fontId="38" fillId="23" borderId="914" xfId="0" applyNumberFormat="1" applyFont="1" applyFill="1" applyBorder="1"/>
    <xf numFmtId="1" fontId="5" fillId="23" borderId="921" xfId="0" applyNumberFormat="1" applyFont="1" applyFill="1" applyBorder="1"/>
    <xf numFmtId="1" fontId="5" fillId="23" borderId="585" xfId="0" applyNumberFormat="1" applyFont="1" applyFill="1" applyBorder="1"/>
    <xf numFmtId="1" fontId="38" fillId="23" borderId="948" xfId="0" applyNumberFormat="1" applyFont="1" applyFill="1" applyBorder="1" applyAlignment="1">
      <alignment horizontal="right"/>
    </xf>
    <xf numFmtId="1" fontId="38" fillId="23" borderId="955" xfId="0" applyNumberFormat="1" applyFont="1" applyFill="1" applyBorder="1"/>
    <xf numFmtId="1" fontId="38" fillId="23" borderId="956" xfId="0" applyNumberFormat="1" applyFont="1" applyFill="1" applyBorder="1"/>
    <xf numFmtId="1" fontId="38" fillId="23" borderId="957" xfId="0" applyNumberFormat="1" applyFont="1" applyFill="1" applyBorder="1"/>
    <xf numFmtId="1" fontId="38" fillId="23" borderId="958" xfId="0" applyNumberFormat="1" applyFont="1" applyFill="1" applyBorder="1"/>
    <xf numFmtId="1" fontId="38" fillId="23" borderId="959" xfId="0" applyNumberFormat="1" applyFont="1" applyFill="1" applyBorder="1"/>
    <xf numFmtId="1" fontId="38" fillId="23" borderId="948" xfId="0" applyNumberFormat="1" applyFont="1" applyFill="1" applyBorder="1"/>
    <xf numFmtId="1" fontId="5" fillId="23" borderId="804" xfId="0" applyNumberFormat="1" applyFont="1" applyFill="1" applyBorder="1"/>
    <xf numFmtId="1" fontId="5" fillId="23" borderId="947" xfId="0" applyNumberFormat="1" applyFont="1" applyFill="1" applyBorder="1"/>
    <xf numFmtId="1" fontId="5" fillId="23" borderId="676" xfId="0" applyNumberFormat="1" applyFont="1" applyFill="1" applyBorder="1"/>
    <xf numFmtId="1" fontId="5" fillId="31" borderId="225" xfId="0" applyNumberFormat="1" applyFont="1" applyFill="1" applyBorder="1"/>
    <xf numFmtId="1" fontId="5" fillId="31" borderId="911" xfId="0" applyNumberFormat="1" applyFont="1" applyFill="1" applyBorder="1"/>
    <xf numFmtId="1" fontId="5" fillId="31" borderId="27" xfId="0" applyNumberFormat="1" applyFont="1" applyFill="1" applyBorder="1"/>
    <xf numFmtId="1" fontId="5" fillId="31" borderId="1411" xfId="0" applyNumberFormat="1" applyFont="1" applyFill="1" applyBorder="1"/>
    <xf numFmtId="1" fontId="3" fillId="31" borderId="245" xfId="0" applyNumberFormat="1" applyFont="1" applyFill="1" applyBorder="1"/>
    <xf numFmtId="1" fontId="3" fillId="31" borderId="244" xfId="0" applyNumberFormat="1" applyFont="1" applyFill="1" applyBorder="1"/>
    <xf numFmtId="1" fontId="3" fillId="31" borderId="911" xfId="0" applyNumberFormat="1" applyFont="1" applyFill="1" applyBorder="1"/>
    <xf numFmtId="1" fontId="3" fillId="6" borderId="831" xfId="0" applyNumberFormat="1" applyFont="1" applyFill="1" applyBorder="1" applyAlignment="1">
      <alignment horizontal="right" wrapText="1"/>
    </xf>
    <xf numFmtId="1" fontId="5" fillId="23" borderId="1415" xfId="0" applyNumberFormat="1" applyFont="1" applyFill="1" applyBorder="1" applyAlignment="1">
      <alignment horizontal="center" wrapText="1"/>
    </xf>
    <xf numFmtId="1" fontId="5" fillId="23" borderId="1416" xfId="0" applyNumberFormat="1" applyFont="1" applyFill="1" applyBorder="1" applyAlignment="1">
      <alignment vertical="center" wrapText="1"/>
    </xf>
    <xf numFmtId="1" fontId="5" fillId="23" borderId="1404" xfId="0" applyNumberFormat="1" applyFont="1" applyFill="1" applyBorder="1" applyAlignment="1">
      <alignment vertical="center" wrapText="1"/>
    </xf>
    <xf numFmtId="1" fontId="5" fillId="23" borderId="207" xfId="0" applyNumberFormat="1" applyFont="1" applyFill="1" applyBorder="1" applyAlignment="1">
      <alignment vertical="center" wrapText="1"/>
    </xf>
    <xf numFmtId="1" fontId="5" fillId="23" borderId="208" xfId="0" applyNumberFormat="1" applyFont="1" applyFill="1" applyBorder="1"/>
    <xf numFmtId="1" fontId="5" fillId="50" borderId="208" xfId="0" applyNumberFormat="1" applyFont="1" applyFill="1" applyBorder="1"/>
    <xf numFmtId="1" fontId="5" fillId="23" borderId="1439" xfId="0" applyNumberFormat="1" applyFont="1" applyFill="1" applyBorder="1" applyAlignment="1">
      <alignment vertical="center" wrapText="1"/>
    </xf>
    <xf numFmtId="1" fontId="5" fillId="23" borderId="1437" xfId="0" applyNumberFormat="1" applyFont="1" applyFill="1" applyBorder="1" applyAlignment="1">
      <alignment wrapText="1"/>
    </xf>
    <xf numFmtId="1" fontId="3" fillId="4" borderId="1438" xfId="0" applyNumberFormat="1" applyFont="1" applyFill="1" applyBorder="1" applyProtection="1">
      <protection locked="0"/>
    </xf>
    <xf numFmtId="1" fontId="3" fillId="4" borderId="1414" xfId="0" applyNumberFormat="1" applyFont="1" applyFill="1" applyBorder="1" applyProtection="1">
      <protection locked="0"/>
    </xf>
    <xf numFmtId="1" fontId="3" fillId="0" borderId="1403" xfId="0" applyNumberFormat="1" applyFont="1" applyBorder="1" applyAlignment="1" applyProtection="1">
      <alignment horizontal="left" wrapText="1"/>
      <protection hidden="1"/>
    </xf>
    <xf numFmtId="1" fontId="3" fillId="0" borderId="1404" xfId="0" applyNumberFormat="1" applyFont="1" applyBorder="1"/>
    <xf numFmtId="1" fontId="3" fillId="6" borderId="1402" xfId="0" applyNumberFormat="1" applyFont="1" applyFill="1" applyBorder="1"/>
    <xf numFmtId="1" fontId="3" fillId="0" borderId="1441" xfId="0" applyNumberFormat="1" applyFont="1" applyBorder="1" applyAlignment="1" applyProtection="1">
      <alignment horizontal="left" wrapText="1"/>
      <protection hidden="1"/>
    </xf>
    <xf numFmtId="1" fontId="3" fillId="0" borderId="1440" xfId="0" applyNumberFormat="1" applyFont="1" applyBorder="1"/>
    <xf numFmtId="1" fontId="3" fillId="4" borderId="1442" xfId="0" applyNumberFormat="1" applyFont="1" applyFill="1" applyBorder="1" applyProtection="1">
      <protection locked="0"/>
    </xf>
    <xf numFmtId="1" fontId="3" fillId="4" borderId="1443" xfId="0" applyNumberFormat="1" applyFont="1" applyFill="1" applyBorder="1" applyProtection="1">
      <protection locked="0"/>
    </xf>
    <xf numFmtId="1" fontId="3" fillId="6" borderId="1444" xfId="0" applyNumberFormat="1" applyFont="1" applyFill="1" applyBorder="1"/>
    <xf numFmtId="1" fontId="3" fillId="6" borderId="1443" xfId="0" applyNumberFormat="1" applyFont="1" applyFill="1" applyBorder="1"/>
    <xf numFmtId="1" fontId="3" fillId="6" borderId="1445" xfId="0" applyNumberFormat="1" applyFont="1" applyFill="1" applyBorder="1"/>
    <xf numFmtId="1" fontId="3" fillId="4" borderId="1441" xfId="0" applyNumberFormat="1" applyFont="1" applyFill="1" applyBorder="1" applyProtection="1">
      <protection locked="0"/>
    </xf>
    <xf numFmtId="1" fontId="3" fillId="4" borderId="1436" xfId="0" applyNumberFormat="1" applyFont="1" applyFill="1" applyBorder="1" applyProtection="1">
      <protection locked="0"/>
    </xf>
    <xf numFmtId="0" fontId="26" fillId="26" borderId="0" xfId="0" applyFont="1" applyFill="1"/>
    <xf numFmtId="1" fontId="3" fillId="4" borderId="422" xfId="0" applyNumberFormat="1" applyFont="1" applyFill="1" applyBorder="1" applyAlignment="1" applyProtection="1">
      <alignment horizontal="right" vertical="center"/>
      <protection locked="0"/>
    </xf>
    <xf numFmtId="1" fontId="3" fillId="4" borderId="103" xfId="0" applyNumberFormat="1" applyFont="1" applyFill="1" applyBorder="1" applyAlignment="1" applyProtection="1">
      <alignment horizontal="right" vertical="center"/>
      <protection locked="0"/>
    </xf>
    <xf numFmtId="1" fontId="3" fillId="4" borderId="441" xfId="0" applyNumberFormat="1" applyFont="1" applyFill="1" applyBorder="1" applyAlignment="1" applyProtection="1">
      <alignment horizontal="right" vertical="center"/>
      <protection locked="0"/>
    </xf>
    <xf numFmtId="1" fontId="3" fillId="4" borderId="27" xfId="0" applyNumberFormat="1" applyFont="1" applyFill="1" applyBorder="1" applyAlignment="1" applyProtection="1">
      <alignment horizontal="right" vertical="center"/>
      <protection locked="0"/>
    </xf>
    <xf numFmtId="1" fontId="3" fillId="4" borderId="15" xfId="0" applyNumberFormat="1" applyFont="1" applyFill="1" applyBorder="1" applyAlignment="1" applyProtection="1">
      <alignment horizontal="right" vertical="center"/>
      <protection locked="0"/>
    </xf>
    <xf numFmtId="1" fontId="3" fillId="4" borderId="12" xfId="0" applyNumberFormat="1" applyFont="1" applyFill="1" applyBorder="1" applyAlignment="1" applyProtection="1">
      <alignment horizontal="right" vertical="center"/>
      <protection locked="0"/>
    </xf>
    <xf numFmtId="1" fontId="3" fillId="4" borderId="225" xfId="0" applyNumberFormat="1" applyFont="1" applyFill="1" applyBorder="1" applyAlignment="1" applyProtection="1">
      <alignment horizontal="right" vertical="center"/>
      <protection locked="0"/>
    </xf>
    <xf numFmtId="1" fontId="3" fillId="4" borderId="251" xfId="0" applyNumberFormat="1" applyFont="1" applyFill="1" applyBorder="1" applyAlignment="1" applyProtection="1">
      <alignment horizontal="right" vertical="center"/>
      <protection locked="0"/>
    </xf>
    <xf numFmtId="1" fontId="3" fillId="4" borderId="22" xfId="0" applyNumberFormat="1" applyFont="1" applyFill="1" applyBorder="1" applyAlignment="1" applyProtection="1">
      <alignment horizontal="right" vertical="center"/>
      <protection locked="0"/>
    </xf>
    <xf numFmtId="1" fontId="3" fillId="4" borderId="375" xfId="0" applyNumberFormat="1" applyFont="1" applyFill="1" applyBorder="1" applyAlignment="1" applyProtection="1">
      <alignment horizontal="right" vertical="center"/>
      <protection locked="0"/>
    </xf>
    <xf numFmtId="1" fontId="3" fillId="4" borderId="10" xfId="0" applyNumberFormat="1" applyFont="1" applyFill="1" applyBorder="1" applyAlignment="1" applyProtection="1">
      <alignment horizontal="right" vertical="center"/>
      <protection locked="0"/>
    </xf>
    <xf numFmtId="1" fontId="3" fillId="4" borderId="417" xfId="0" applyNumberFormat="1" applyFont="1" applyFill="1" applyBorder="1" applyAlignment="1" applyProtection="1">
      <alignment horizontal="right" vertical="center"/>
      <protection locked="0"/>
    </xf>
    <xf numFmtId="1" fontId="0" fillId="26" borderId="0" xfId="0" applyNumberFormat="1" applyFill="1" applyAlignment="1">
      <alignment horizontal="right"/>
    </xf>
    <xf numFmtId="1" fontId="5" fillId="7" borderId="1300" xfId="0" applyNumberFormat="1" applyFont="1" applyFill="1" applyBorder="1"/>
    <xf numFmtId="1" fontId="5" fillId="7" borderId="1301" xfId="0" applyNumberFormat="1" applyFont="1" applyFill="1" applyBorder="1"/>
    <xf numFmtId="1" fontId="5" fillId="7" borderId="1288" xfId="0" applyNumberFormat="1" applyFont="1" applyFill="1" applyBorder="1"/>
    <xf numFmtId="1" fontId="5" fillId="4" borderId="1446" xfId="0" applyNumberFormat="1" applyFont="1" applyFill="1" applyBorder="1" applyProtection="1">
      <protection locked="0"/>
    </xf>
    <xf numFmtId="1" fontId="5" fillId="7" borderId="1317" xfId="0" applyNumberFormat="1" applyFont="1" applyFill="1" applyBorder="1"/>
    <xf numFmtId="1" fontId="5" fillId="7" borderId="1334" xfId="0" applyNumberFormat="1" applyFont="1" applyFill="1" applyBorder="1"/>
    <xf numFmtId="1" fontId="5" fillId="6" borderId="1403" xfId="0" applyNumberFormat="1" applyFont="1" applyFill="1" applyBorder="1"/>
    <xf numFmtId="1" fontId="5" fillId="7" borderId="920" xfId="0" applyNumberFormat="1" applyFont="1" applyFill="1" applyBorder="1"/>
    <xf numFmtId="1" fontId="5" fillId="7" borderId="1437" xfId="0" applyNumberFormat="1" applyFont="1" applyFill="1" applyBorder="1"/>
    <xf numFmtId="1" fontId="26" fillId="13" borderId="0" xfId="0" applyNumberFormat="1" applyFont="1" applyFill="1"/>
    <xf numFmtId="1" fontId="26" fillId="13" borderId="0" xfId="0" applyNumberFormat="1" applyFont="1" applyFill="1" applyProtection="1">
      <protection locked="0"/>
    </xf>
    <xf numFmtId="0" fontId="0" fillId="16" borderId="0" xfId="0" applyFill="1"/>
    <xf numFmtId="1" fontId="5" fillId="0" borderId="1421" xfId="0" applyNumberFormat="1" applyFont="1" applyBorder="1" applyAlignment="1">
      <alignment horizontal="center" vertical="center" wrapText="1"/>
    </xf>
    <xf numFmtId="0" fontId="5" fillId="0" borderId="1415" xfId="0" applyFont="1" applyBorder="1"/>
    <xf numFmtId="1" fontId="5" fillId="7" borderId="10" xfId="0" applyNumberFormat="1" applyFont="1" applyFill="1" applyBorder="1" applyAlignment="1">
      <alignment horizontal="right"/>
    </xf>
    <xf numFmtId="1" fontId="5" fillId="4" borderId="20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1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8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2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2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5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0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76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2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26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247" xfId="0" applyNumberFormat="1" applyFont="1" applyFill="1" applyBorder="1" applyAlignment="1">
      <alignment horizontal="right"/>
    </xf>
    <xf numFmtId="1" fontId="5" fillId="7" borderId="52" xfId="0" applyNumberFormat="1" applyFont="1" applyFill="1" applyBorder="1" applyAlignment="1">
      <alignment horizontal="right"/>
    </xf>
    <xf numFmtId="1" fontId="5" fillId="4" borderId="25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1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259" xfId="0" applyNumberFormat="1" applyFont="1" applyFill="1" applyBorder="1" applyAlignment="1">
      <alignment horizontal="right"/>
    </xf>
    <xf numFmtId="1" fontId="5" fillId="4" borderId="24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4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4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6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4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8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0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2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74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0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2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5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6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4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7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0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50" xfId="0" applyNumberFormat="1" applyFont="1" applyFill="1" applyBorder="1" applyAlignment="1" applyProtection="1">
      <alignment horizontal="right" vertical="center" wrapText="1"/>
      <protection locked="0"/>
    </xf>
    <xf numFmtId="0" fontId="26" fillId="21" borderId="205" xfId="0" applyFont="1" applyFill="1" applyBorder="1" applyAlignment="1">
      <alignment horizontal="right"/>
    </xf>
    <xf numFmtId="0" fontId="26" fillId="21" borderId="104" xfId="0" applyFont="1" applyFill="1" applyBorder="1" applyAlignment="1">
      <alignment horizontal="right"/>
    </xf>
    <xf numFmtId="0" fontId="26" fillId="21" borderId="211" xfId="0" applyFont="1" applyFill="1" applyBorder="1" applyAlignment="1">
      <alignment horizontal="right"/>
    </xf>
    <xf numFmtId="1" fontId="5" fillId="6" borderId="23" xfId="0" applyNumberFormat="1" applyFont="1" applyFill="1" applyBorder="1" applyAlignment="1">
      <alignment horizontal="right" vertical="center" wrapText="1"/>
    </xf>
    <xf numFmtId="1" fontId="5" fillId="6" borderId="42" xfId="0" applyNumberFormat="1" applyFont="1" applyFill="1" applyBorder="1" applyAlignment="1">
      <alignment horizontal="right" vertical="center" wrapText="1"/>
    </xf>
    <xf numFmtId="1" fontId="5" fillId="4" borderId="9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9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8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699" xfId="0" applyNumberFormat="1" applyFont="1" applyFill="1" applyBorder="1" applyAlignment="1" applyProtection="1">
      <alignment horizontal="right" vertical="center" wrapText="1"/>
      <protection locked="0"/>
    </xf>
    <xf numFmtId="0" fontId="26" fillId="21" borderId="245" xfId="0" applyFont="1" applyFill="1" applyBorder="1" applyAlignment="1">
      <alignment horizontal="right"/>
    </xf>
    <xf numFmtId="0" fontId="26" fillId="21" borderId="246" xfId="0" applyFont="1" applyFill="1" applyBorder="1" applyAlignment="1">
      <alignment horizontal="right"/>
    </xf>
    <xf numFmtId="1" fontId="5" fillId="6" borderId="1437" xfId="0" applyNumberFormat="1" applyFont="1" applyFill="1" applyBorder="1"/>
    <xf numFmtId="1" fontId="5" fillId="0" borderId="453" xfId="0" applyNumberFormat="1" applyFont="1" applyBorder="1" applyAlignment="1">
      <alignment horizontal="center" vertical="center" wrapText="1"/>
    </xf>
    <xf numFmtId="1" fontId="5" fillId="0" borderId="459" xfId="0" applyNumberFormat="1" applyFont="1" applyBorder="1" applyAlignment="1">
      <alignment horizontal="center" vertical="center" wrapText="1"/>
    </xf>
    <xf numFmtId="1" fontId="3" fillId="6" borderId="1419" xfId="0" applyNumberFormat="1" applyFont="1" applyFill="1" applyBorder="1"/>
    <xf numFmtId="1" fontId="3" fillId="4" borderId="1404" xfId="0" applyNumberFormat="1" applyFont="1" applyFill="1" applyBorder="1" applyProtection="1">
      <protection locked="0"/>
    </xf>
    <xf numFmtId="1" fontId="5" fillId="4" borderId="109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83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438" xfId="0" applyNumberFormat="1" applyFont="1" applyFill="1" applyBorder="1" applyAlignment="1" applyProtection="1">
      <alignment horizontal="right"/>
      <protection locked="0"/>
    </xf>
    <xf numFmtId="1" fontId="3" fillId="0" borderId="1343" xfId="0" applyNumberFormat="1" applyFont="1" applyBorder="1" applyAlignment="1">
      <alignment horizontal="center" vertical="center" wrapText="1"/>
    </xf>
    <xf numFmtId="1" fontId="5" fillId="19" borderId="1447" xfId="2" applyNumberFormat="1" applyFont="1" applyFill="1" applyBorder="1" applyProtection="1">
      <protection locked="0"/>
    </xf>
    <xf numFmtId="1" fontId="5" fillId="19" borderId="1448" xfId="2" applyNumberFormat="1" applyFont="1" applyFill="1" applyBorder="1" applyProtection="1">
      <protection locked="0"/>
    </xf>
    <xf numFmtId="1" fontId="5" fillId="19" borderId="1449" xfId="2" applyNumberFormat="1" applyFont="1" applyFill="1" applyBorder="1" applyProtection="1">
      <protection locked="0"/>
    </xf>
    <xf numFmtId="1" fontId="5" fillId="19" borderId="337" xfId="2" applyNumberFormat="1" applyFont="1" applyFill="1" applyBorder="1" applyProtection="1">
      <protection locked="0"/>
    </xf>
    <xf numFmtId="1" fontId="5" fillId="19" borderId="1450" xfId="2" applyNumberFormat="1" applyFont="1" applyFill="1" applyBorder="1" applyProtection="1">
      <protection locked="0"/>
    </xf>
    <xf numFmtId="1" fontId="5" fillId="19" borderId="1451" xfId="2" applyNumberFormat="1" applyFont="1" applyFill="1" applyBorder="1" applyProtection="1">
      <protection locked="0"/>
    </xf>
    <xf numFmtId="1" fontId="5" fillId="19" borderId="333" xfId="2" applyNumberFormat="1" applyFont="1" applyFill="1" applyBorder="1" applyProtection="1">
      <protection locked="0"/>
    </xf>
    <xf numFmtId="1" fontId="5" fillId="19" borderId="346" xfId="2" applyNumberFormat="1" applyFont="1" applyFill="1" applyBorder="1" applyProtection="1">
      <protection locked="0"/>
    </xf>
    <xf numFmtId="1" fontId="5" fillId="19" borderId="1452" xfId="2" applyNumberFormat="1" applyFont="1" applyFill="1" applyBorder="1" applyProtection="1">
      <protection locked="0"/>
    </xf>
    <xf numFmtId="1" fontId="5" fillId="19" borderId="350" xfId="2" applyNumberFormat="1" applyFont="1" applyFill="1" applyBorder="1" applyProtection="1">
      <protection locked="0"/>
    </xf>
    <xf numFmtId="1" fontId="3" fillId="7" borderId="1415" xfId="0" applyNumberFormat="1" applyFont="1" applyFill="1" applyBorder="1"/>
    <xf numFmtId="1" fontId="3" fillId="0" borderId="747" xfId="0" applyNumberFormat="1" applyFont="1" applyBorder="1" applyProtection="1">
      <protection hidden="1"/>
    </xf>
    <xf numFmtId="1" fontId="3" fillId="4" borderId="1363" xfId="0" applyNumberFormat="1" applyFont="1" applyFill="1" applyBorder="1" applyProtection="1">
      <protection locked="0"/>
    </xf>
    <xf numFmtId="1" fontId="5" fillId="0" borderId="207" xfId="0" applyNumberFormat="1" applyFont="1" applyBorder="1" applyAlignment="1">
      <alignment horizontal="left" vertical="center" wrapText="1"/>
    </xf>
    <xf numFmtId="1" fontId="5" fillId="0" borderId="0" xfId="15" quotePrefix="1" applyNumberFormat="1" applyFont="1" applyAlignment="1">
      <alignment vertical="center" wrapText="1"/>
    </xf>
    <xf numFmtId="1" fontId="5" fillId="0" borderId="0" xfId="15" applyNumberFormat="1" applyFont="1" applyProtection="1">
      <protection locked="0"/>
    </xf>
    <xf numFmtId="1" fontId="5" fillId="4" borderId="1418" xfId="15" applyNumberFormat="1" applyFont="1" applyFill="1" applyBorder="1" applyProtection="1">
      <protection locked="0"/>
    </xf>
    <xf numFmtId="1" fontId="5" fillId="4" borderId="259" xfId="15" applyNumberFormat="1" applyFont="1" applyFill="1" applyBorder="1" applyProtection="1">
      <protection locked="0"/>
    </xf>
    <xf numFmtId="1" fontId="5" fillId="4" borderId="920" xfId="15" applyNumberFormat="1" applyFont="1" applyFill="1" applyBorder="1" applyProtection="1">
      <protection locked="0"/>
    </xf>
    <xf numFmtId="1" fontId="5" fillId="0" borderId="0" xfId="15" applyNumberFormat="1" applyFont="1" applyAlignment="1">
      <alignment vertical="center" wrapText="1"/>
    </xf>
    <xf numFmtId="1" fontId="5" fillId="4" borderId="46" xfId="15" applyNumberFormat="1" applyFont="1" applyFill="1" applyBorder="1" applyProtection="1">
      <protection locked="0"/>
    </xf>
    <xf numFmtId="1" fontId="5" fillId="0" borderId="1416" xfId="0" applyNumberFormat="1" applyFont="1" applyBorder="1" applyAlignment="1">
      <alignment horizontal="left" vertical="center" wrapText="1"/>
    </xf>
    <xf numFmtId="1" fontId="5" fillId="0" borderId="1439" xfId="0" applyNumberFormat="1" applyFont="1" applyBorder="1" applyAlignment="1">
      <alignment horizontal="left" vertical="center" wrapText="1"/>
    </xf>
    <xf numFmtId="1" fontId="5" fillId="23" borderId="1437" xfId="0" applyNumberFormat="1" applyFont="1" applyFill="1" applyBorder="1"/>
    <xf numFmtId="1" fontId="38" fillId="23" borderId="1404" xfId="0" applyNumberFormat="1" applyFont="1" applyFill="1" applyBorder="1"/>
    <xf numFmtId="1" fontId="3" fillId="31" borderId="1404" xfId="0" applyNumberFormat="1" applyFont="1" applyFill="1" applyBorder="1"/>
    <xf numFmtId="1" fontId="3" fillId="31" borderId="835" xfId="0" applyNumberFormat="1" applyFont="1" applyFill="1" applyBorder="1"/>
    <xf numFmtId="1" fontId="3" fillId="31" borderId="246" xfId="0" applyNumberFormat="1" applyFont="1" applyFill="1" applyBorder="1"/>
    <xf numFmtId="1" fontId="3" fillId="6" borderId="792" xfId="0" applyNumberFormat="1" applyFont="1" applyFill="1" applyBorder="1" applyAlignment="1">
      <alignment horizontal="right" wrapText="1"/>
    </xf>
    <xf numFmtId="1" fontId="5" fillId="6" borderId="920" xfId="15" applyNumberFormat="1" applyFont="1" applyFill="1" applyBorder="1"/>
    <xf numFmtId="0" fontId="61" fillId="46" borderId="1164" xfId="0" applyFont="1" applyFill="1" applyBorder="1" applyAlignment="1">
      <alignment horizontal="center" vertical="center" wrapText="1"/>
    </xf>
    <xf numFmtId="0" fontId="62" fillId="0" borderId="977" xfId="0" applyFont="1" applyBorder="1" applyAlignment="1">
      <alignment horizontal="center" vertical="center" wrapText="1"/>
    </xf>
    <xf numFmtId="0" fontId="62" fillId="0" borderId="1154" xfId="0" applyFont="1" applyBorder="1" applyAlignment="1">
      <alignment horizontal="center" vertical="center" wrapText="1"/>
    </xf>
    <xf numFmtId="0" fontId="20" fillId="45" borderId="1062" xfId="0" applyFont="1" applyFill="1" applyBorder="1" applyAlignment="1">
      <alignment horizontal="center" vertical="center" wrapText="1"/>
    </xf>
    <xf numFmtId="0" fontId="20" fillId="0" borderId="1057" xfId="0" applyFont="1" applyBorder="1" applyAlignment="1">
      <alignment horizontal="center" vertical="center" wrapText="1"/>
    </xf>
    <xf numFmtId="0" fontId="15" fillId="45" borderId="1062" xfId="0" applyFont="1" applyFill="1" applyBorder="1" applyAlignment="1">
      <alignment horizontal="center" vertical="center" wrapText="1"/>
    </xf>
    <xf numFmtId="0" fontId="15" fillId="45" borderId="1060" xfId="0" applyFont="1" applyFill="1" applyBorder="1" applyAlignment="1">
      <alignment horizontal="center" vertical="center" wrapText="1"/>
    </xf>
    <xf numFmtId="0" fontId="15" fillId="45" borderId="1057" xfId="0" applyFont="1" applyFill="1" applyBorder="1" applyAlignment="1">
      <alignment horizontal="center" vertical="center" wrapText="1"/>
    </xf>
    <xf numFmtId="0" fontId="39" fillId="46" borderId="1062" xfId="7" applyFont="1" applyFill="1" applyBorder="1" applyAlignment="1">
      <alignment horizontal="center" vertical="center"/>
    </xf>
    <xf numFmtId="0" fontId="39" fillId="46" borderId="1057" xfId="7" applyFont="1" applyFill="1" applyBorder="1" applyAlignment="1">
      <alignment horizontal="center" vertical="center"/>
    </xf>
    <xf numFmtId="0" fontId="39" fillId="45" borderId="1062" xfId="0" applyFont="1" applyFill="1" applyBorder="1" applyAlignment="1">
      <alignment horizontal="center" vertical="center"/>
    </xf>
    <xf numFmtId="0" fontId="39" fillId="45" borderId="1057" xfId="0" applyFont="1" applyFill="1" applyBorder="1" applyAlignment="1">
      <alignment horizontal="center" vertical="center"/>
    </xf>
    <xf numFmtId="1" fontId="17" fillId="3" borderId="0" xfId="0" applyNumberFormat="1" applyFont="1" applyFill="1" applyAlignment="1">
      <alignment horizontal="center" vertical="center" wrapText="1"/>
    </xf>
    <xf numFmtId="1" fontId="5" fillId="0" borderId="768" xfId="0" applyNumberFormat="1" applyFont="1" applyBorder="1" applyAlignment="1">
      <alignment horizontal="center" vertical="center"/>
    </xf>
    <xf numFmtId="1" fontId="5" fillId="0" borderId="676" xfId="0" applyNumberFormat="1" applyFont="1" applyBorder="1" applyAlignment="1">
      <alignment horizontal="center" vertical="center"/>
    </xf>
    <xf numFmtId="1" fontId="5" fillId="0" borderId="768" xfId="0" applyNumberFormat="1" applyFont="1" applyBorder="1" applyAlignment="1">
      <alignment horizontal="center" vertical="center" wrapText="1"/>
    </xf>
    <xf numFmtId="1" fontId="5" fillId="0" borderId="676" xfId="0" applyNumberFormat="1" applyFont="1" applyBorder="1" applyAlignment="1">
      <alignment horizontal="center" vertical="center" wrapText="1"/>
    </xf>
    <xf numFmtId="1" fontId="5" fillId="0" borderId="819" xfId="0" applyNumberFormat="1" applyFont="1" applyBorder="1" applyAlignment="1">
      <alignment horizontal="center" vertical="center" wrapText="1"/>
    </xf>
    <xf numFmtId="1" fontId="5" fillId="0" borderId="779" xfId="0" applyNumberFormat="1" applyFont="1" applyBorder="1" applyAlignment="1">
      <alignment horizontal="center" vertical="center" wrapText="1"/>
    </xf>
    <xf numFmtId="1" fontId="5" fillId="0" borderId="827" xfId="0" applyNumberFormat="1" applyFont="1" applyBorder="1" applyAlignment="1">
      <alignment horizontal="center" vertical="center" wrapText="1"/>
    </xf>
    <xf numFmtId="1" fontId="5" fillId="0" borderId="500" xfId="0" applyNumberFormat="1" applyFont="1" applyBorder="1" applyAlignment="1">
      <alignment horizontal="left" vertical="center" wrapText="1"/>
    </xf>
    <xf numFmtId="1" fontId="5" fillId="0" borderId="768" xfId="0" applyNumberFormat="1" applyFont="1" applyBorder="1" applyAlignment="1">
      <alignment horizontal="left" vertical="center" wrapText="1"/>
    </xf>
    <xf numFmtId="1" fontId="5" fillId="0" borderId="676" xfId="0" applyNumberFormat="1" applyFont="1" applyBorder="1" applyAlignment="1">
      <alignment horizontal="left" vertical="center" wrapText="1"/>
    </xf>
    <xf numFmtId="1" fontId="5" fillId="0" borderId="500" xfId="0" applyNumberFormat="1" applyFont="1" applyBorder="1" applyAlignment="1">
      <alignment horizontal="left" vertical="center"/>
    </xf>
    <xf numFmtId="1" fontId="5" fillId="0" borderId="676" xfId="0" applyNumberFormat="1" applyFont="1" applyBorder="1" applyAlignment="1">
      <alignment horizontal="left" vertical="center"/>
    </xf>
    <xf numFmtId="1" fontId="5" fillId="0" borderId="751" xfId="0" applyNumberFormat="1" applyFont="1" applyBorder="1" applyAlignment="1">
      <alignment horizontal="center" vertical="center" wrapText="1"/>
    </xf>
    <xf numFmtId="1" fontId="5" fillId="0" borderId="737" xfId="0" applyNumberFormat="1" applyFont="1" applyBorder="1" applyAlignment="1">
      <alignment horizontal="center" vertical="center" wrapText="1"/>
    </xf>
    <xf numFmtId="1" fontId="5" fillId="0" borderId="780" xfId="0" applyNumberFormat="1" applyFont="1" applyBorder="1" applyAlignment="1">
      <alignment horizontal="center" vertical="center" wrapText="1"/>
    </xf>
    <xf numFmtId="1" fontId="5" fillId="3" borderId="768" xfId="0" applyNumberFormat="1" applyFont="1" applyFill="1" applyBorder="1" applyAlignment="1">
      <alignment horizontal="center" vertical="center" wrapText="1"/>
    </xf>
    <xf numFmtId="1" fontId="5" fillId="3" borderId="676" xfId="0" applyNumberFormat="1" applyFont="1" applyFill="1" applyBorder="1" applyAlignment="1">
      <alignment horizontal="center" vertical="center" wrapText="1"/>
    </xf>
    <xf numFmtId="1" fontId="5" fillId="0" borderId="846" xfId="0" applyNumberFormat="1" applyFont="1" applyBorder="1" applyAlignment="1">
      <alignment horizontal="center" vertical="center"/>
    </xf>
    <xf numFmtId="1" fontId="5" fillId="0" borderId="500" xfId="0" applyNumberFormat="1" applyFont="1" applyBorder="1" applyAlignment="1">
      <alignment horizontal="center" vertical="center"/>
    </xf>
    <xf numFmtId="1" fontId="5" fillId="0" borderId="847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 wrapText="1"/>
    </xf>
    <xf numFmtId="1" fontId="5" fillId="0" borderId="555" xfId="0" applyNumberFormat="1" applyFont="1" applyBorder="1" applyAlignment="1">
      <alignment horizontal="center" vertical="center" wrapText="1"/>
    </xf>
    <xf numFmtId="1" fontId="5" fillId="0" borderId="663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220" xfId="0" applyNumberFormat="1" applyFont="1" applyBorder="1" applyAlignment="1">
      <alignment horizontal="center" vertical="center" wrapText="1"/>
    </xf>
    <xf numFmtId="1" fontId="5" fillId="0" borderId="584" xfId="0" applyNumberFormat="1" applyFont="1" applyBorder="1" applyAlignment="1">
      <alignment horizontal="center" vertical="center" wrapText="1"/>
    </xf>
    <xf numFmtId="1" fontId="5" fillId="0" borderId="585" xfId="0" applyNumberFormat="1" applyFont="1" applyBorder="1" applyAlignment="1">
      <alignment horizontal="center" vertical="center" wrapText="1"/>
    </xf>
    <xf numFmtId="1" fontId="5" fillId="0" borderId="434" xfId="0" applyNumberFormat="1" applyFont="1" applyBorder="1" applyAlignment="1">
      <alignment horizontal="center" vertical="center" wrapText="1"/>
    </xf>
    <xf numFmtId="1" fontId="5" fillId="0" borderId="777" xfId="0" applyNumberFormat="1" applyFont="1" applyBorder="1" applyAlignment="1">
      <alignment horizontal="center" vertical="center" wrapText="1"/>
    </xf>
    <xf numFmtId="1" fontId="5" fillId="0" borderId="584" xfId="0" applyNumberFormat="1" applyFont="1" applyBorder="1" applyAlignment="1">
      <alignment horizontal="center" vertical="center"/>
    </xf>
    <xf numFmtId="1" fontId="5" fillId="0" borderId="581" xfId="0" applyNumberFormat="1" applyFont="1" applyBorder="1" applyAlignment="1">
      <alignment horizontal="center" vertical="center"/>
    </xf>
    <xf numFmtId="1" fontId="5" fillId="0" borderId="819" xfId="0" applyNumberFormat="1" applyFont="1" applyBorder="1" applyAlignment="1">
      <alignment horizontal="center" vertical="center"/>
    </xf>
    <xf numFmtId="1" fontId="5" fillId="0" borderId="779" xfId="0" applyNumberFormat="1" applyFont="1" applyBorder="1" applyAlignment="1">
      <alignment horizontal="center" vertical="center"/>
    </xf>
    <xf numFmtId="1" fontId="5" fillId="0" borderId="827" xfId="0" applyNumberFormat="1" applyFont="1" applyBorder="1" applyAlignment="1">
      <alignment horizontal="center" vertical="center"/>
    </xf>
    <xf numFmtId="1" fontId="5" fillId="3" borderId="819" xfId="0" applyNumberFormat="1" applyFont="1" applyFill="1" applyBorder="1" applyAlignment="1">
      <alignment horizontal="center" vertical="center" wrapText="1"/>
    </xf>
    <xf numFmtId="1" fontId="5" fillId="3" borderId="827" xfId="0" applyNumberFormat="1" applyFont="1" applyFill="1" applyBorder="1" applyAlignment="1">
      <alignment horizontal="center" vertical="center" wrapText="1"/>
    </xf>
    <xf numFmtId="1" fontId="5" fillId="0" borderId="435" xfId="0" applyNumberFormat="1" applyFont="1" applyBorder="1" applyAlignment="1">
      <alignment horizontal="center" vertical="center" wrapText="1"/>
    </xf>
    <xf numFmtId="1" fontId="5" fillId="0" borderId="500" xfId="0" applyNumberFormat="1" applyFont="1" applyBorder="1" applyAlignment="1">
      <alignment horizontal="center" vertical="center" wrapText="1"/>
    </xf>
    <xf numFmtId="1" fontId="5" fillId="0" borderId="581" xfId="0" applyNumberFormat="1" applyFont="1" applyBorder="1" applyAlignment="1">
      <alignment horizontal="center" vertical="center" wrapText="1"/>
    </xf>
    <xf numFmtId="1" fontId="5" fillId="0" borderId="434" xfId="0" applyNumberFormat="1" applyFont="1" applyBorder="1" applyAlignment="1">
      <alignment horizontal="center" vertical="center"/>
    </xf>
    <xf numFmtId="1" fontId="5" fillId="0" borderId="435" xfId="0" applyNumberFormat="1" applyFont="1" applyBorder="1" applyAlignment="1">
      <alignment horizontal="left" vertical="center" wrapText="1"/>
    </xf>
    <xf numFmtId="1" fontId="5" fillId="0" borderId="859" xfId="0" applyNumberFormat="1" applyFont="1" applyBorder="1" applyAlignment="1">
      <alignment horizontal="left" vertical="center" wrapText="1"/>
    </xf>
    <xf numFmtId="1" fontId="5" fillId="0" borderId="869" xfId="0" applyNumberFormat="1" applyFont="1" applyBorder="1" applyAlignment="1">
      <alignment horizontal="left" vertical="center" wrapText="1"/>
    </xf>
    <xf numFmtId="1" fontId="5" fillId="0" borderId="881" xfId="0" applyNumberFormat="1" applyFont="1" applyBorder="1" applyAlignment="1">
      <alignment horizontal="left" vertical="center" wrapText="1"/>
    </xf>
    <xf numFmtId="1" fontId="5" fillId="0" borderId="435" xfId="0" applyNumberFormat="1" applyFont="1" applyBorder="1" applyAlignment="1">
      <alignment horizontal="center" vertical="center"/>
    </xf>
    <xf numFmtId="1" fontId="5" fillId="0" borderId="432" xfId="0" applyNumberFormat="1" applyFont="1" applyBorder="1" applyAlignment="1">
      <alignment horizontal="center" vertical="center" wrapText="1"/>
    </xf>
    <xf numFmtId="1" fontId="5" fillId="0" borderId="917" xfId="0" applyNumberFormat="1" applyFont="1" applyBorder="1" applyAlignment="1">
      <alignment horizontal="center" vertical="center" wrapText="1"/>
    </xf>
    <xf numFmtId="1" fontId="5" fillId="0" borderId="918" xfId="0" applyNumberFormat="1" applyFont="1" applyBorder="1" applyAlignment="1">
      <alignment horizontal="center" vertical="center" wrapText="1"/>
    </xf>
    <xf numFmtId="1" fontId="5" fillId="0" borderId="585" xfId="0" applyNumberFormat="1" applyFont="1" applyBorder="1" applyAlignment="1">
      <alignment horizontal="center" vertical="center"/>
    </xf>
    <xf numFmtId="1" fontId="5" fillId="0" borderId="915" xfId="0" applyNumberFormat="1" applyFont="1" applyBorder="1" applyAlignment="1">
      <alignment horizontal="center" vertical="center"/>
    </xf>
    <xf numFmtId="1" fontId="5" fillId="0" borderId="1343" xfId="0" applyNumberFormat="1" applyFont="1" applyBorder="1" applyAlignment="1">
      <alignment horizontal="center" vertical="center"/>
    </xf>
    <xf numFmtId="1" fontId="5" fillId="0" borderId="1415" xfId="0" applyNumberFormat="1" applyFont="1" applyBorder="1" applyAlignment="1">
      <alignment horizontal="center" vertical="center" wrapText="1"/>
    </xf>
    <xf numFmtId="1" fontId="5" fillId="0" borderId="893" xfId="0" applyNumberFormat="1" applyFont="1" applyBorder="1" applyAlignment="1">
      <alignment horizontal="left" vertical="center" wrapText="1"/>
    </xf>
    <xf numFmtId="1" fontId="5" fillId="0" borderId="907" xfId="0" applyNumberFormat="1" applyFont="1" applyBorder="1" applyAlignment="1">
      <alignment horizontal="center" vertical="center" wrapText="1"/>
    </xf>
    <xf numFmtId="1" fontId="5" fillId="0" borderId="908" xfId="0" applyNumberFormat="1" applyFont="1" applyBorder="1" applyAlignment="1">
      <alignment horizontal="center" vertical="center" wrapText="1"/>
    </xf>
    <xf numFmtId="1" fontId="5" fillId="0" borderId="738" xfId="0" applyNumberFormat="1" applyFont="1" applyBorder="1" applyAlignment="1">
      <alignment horizontal="center" vertical="center" wrapText="1"/>
    </xf>
    <xf numFmtId="1" fontId="5" fillId="0" borderId="894" xfId="0" applyNumberFormat="1" applyFont="1" applyBorder="1" applyAlignment="1">
      <alignment horizontal="left" vertical="center" wrapText="1"/>
    </xf>
    <xf numFmtId="1" fontId="5" fillId="0" borderId="835" xfId="0" applyNumberFormat="1" applyFont="1" applyBorder="1" applyAlignment="1">
      <alignment horizontal="left" vertical="center" wrapText="1"/>
    </xf>
    <xf numFmtId="1" fontId="5" fillId="0" borderId="33" xfId="0" applyNumberFormat="1" applyFont="1" applyBorder="1" applyAlignment="1">
      <alignment horizontal="left" vertical="center" wrapText="1"/>
    </xf>
    <xf numFmtId="1" fontId="5" fillId="3" borderId="914" xfId="0" applyNumberFormat="1" applyFont="1" applyFill="1" applyBorder="1" applyAlignment="1">
      <alignment horizontal="center" vertical="center" wrapText="1"/>
    </xf>
    <xf numFmtId="1" fontId="5" fillId="0" borderId="1348" xfId="0" applyNumberFormat="1" applyFont="1" applyBorder="1" applyAlignment="1">
      <alignment horizontal="center" vertical="center" wrapText="1"/>
    </xf>
    <xf numFmtId="1" fontId="5" fillId="0" borderId="1405" xfId="0" applyNumberFormat="1" applyFont="1" applyBorder="1" applyAlignment="1">
      <alignment horizontal="center" vertical="center" wrapText="1"/>
    </xf>
    <xf numFmtId="1" fontId="5" fillId="0" borderId="1406" xfId="0" applyNumberFormat="1" applyFont="1" applyBorder="1" applyAlignment="1">
      <alignment horizontal="center" vertical="center" wrapText="1"/>
    </xf>
    <xf numFmtId="1" fontId="5" fillId="0" borderId="1343" xfId="0" applyNumberFormat="1" applyFont="1" applyBorder="1" applyAlignment="1">
      <alignment horizontal="center" vertical="center" wrapText="1"/>
    </xf>
    <xf numFmtId="1" fontId="5" fillId="0" borderId="1407" xfId="0" applyNumberFormat="1" applyFont="1" applyBorder="1" applyAlignment="1">
      <alignment horizontal="center" vertical="center" wrapText="1"/>
    </xf>
    <xf numFmtId="1" fontId="5" fillId="0" borderId="893" xfId="0" applyNumberFormat="1" applyFont="1" applyBorder="1" applyAlignment="1">
      <alignment horizontal="center" vertical="center" wrapText="1"/>
    </xf>
    <xf numFmtId="1" fontId="5" fillId="0" borderId="1305" xfId="0" applyNumberFormat="1" applyFont="1" applyBorder="1" applyAlignment="1">
      <alignment horizontal="center" vertical="center" wrapText="1"/>
    </xf>
    <xf numFmtId="1" fontId="5" fillId="0" borderId="1399" xfId="0" applyNumberFormat="1" applyFont="1" applyBorder="1" applyAlignment="1">
      <alignment horizontal="center" vertical="center" wrapText="1"/>
    </xf>
    <xf numFmtId="1" fontId="5" fillId="0" borderId="1345" xfId="0" applyNumberFormat="1" applyFont="1" applyBorder="1" applyAlignment="1">
      <alignment horizontal="center" vertical="center" wrapText="1"/>
    </xf>
    <xf numFmtId="1" fontId="5" fillId="0" borderId="1362" xfId="0" applyNumberFormat="1" applyFont="1" applyBorder="1" applyAlignment="1">
      <alignment horizontal="center" vertical="center" wrapText="1"/>
    </xf>
    <xf numFmtId="1" fontId="5" fillId="0" borderId="915" xfId="0" applyNumberFormat="1" applyFont="1" applyBorder="1" applyAlignment="1">
      <alignment horizontal="center" vertical="center" wrapText="1"/>
    </xf>
    <xf numFmtId="1" fontId="5" fillId="0" borderId="917" xfId="0" applyNumberFormat="1" applyFont="1" applyBorder="1" applyAlignment="1">
      <alignment horizontal="center" vertical="center"/>
    </xf>
    <xf numFmtId="1" fontId="5" fillId="0" borderId="1406" xfId="0" applyNumberFormat="1" applyFont="1" applyBorder="1" applyAlignment="1">
      <alignment horizontal="center" vertical="center"/>
    </xf>
    <xf numFmtId="1" fontId="5" fillId="0" borderId="1405" xfId="0" applyNumberFormat="1" applyFont="1" applyBorder="1" applyAlignment="1">
      <alignment horizontal="center" vertical="center"/>
    </xf>
    <xf numFmtId="1" fontId="5" fillId="0" borderId="918" xfId="0" applyNumberFormat="1" applyFont="1" applyBorder="1" applyAlignment="1">
      <alignment horizontal="center" vertical="center"/>
    </xf>
    <xf numFmtId="1" fontId="5" fillId="0" borderId="1421" xfId="0" applyNumberFormat="1" applyFont="1" applyBorder="1" applyAlignment="1">
      <alignment horizontal="center" vertical="center" wrapText="1"/>
    </xf>
    <xf numFmtId="1" fontId="5" fillId="3" borderId="435" xfId="0" applyNumberFormat="1" applyFont="1" applyFill="1" applyBorder="1" applyAlignment="1">
      <alignment horizontal="center" vertical="center" wrapText="1"/>
    </xf>
    <xf numFmtId="1" fontId="5" fillId="0" borderId="915" xfId="0" applyNumberFormat="1" applyFont="1" applyBorder="1"/>
    <xf numFmtId="1" fontId="5" fillId="0" borderId="456" xfId="0" applyNumberFormat="1" applyFont="1" applyBorder="1" applyAlignment="1">
      <alignment horizontal="center" vertical="center" wrapText="1"/>
    </xf>
    <xf numFmtId="1" fontId="5" fillId="0" borderId="674" xfId="0" applyNumberFormat="1" applyFont="1" applyBorder="1" applyAlignment="1">
      <alignment horizontal="center" vertical="center" wrapText="1"/>
    </xf>
    <xf numFmtId="1" fontId="3" fillId="0" borderId="555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center" vertical="center" wrapText="1"/>
    </xf>
    <xf numFmtId="0" fontId="3" fillId="0" borderId="1346" xfId="0" applyFont="1" applyBorder="1" applyAlignment="1">
      <alignment horizontal="center" vertical="center" wrapText="1"/>
    </xf>
    <xf numFmtId="0" fontId="5" fillId="0" borderId="1347" xfId="0" applyFont="1" applyBorder="1" applyAlignment="1">
      <alignment horizontal="center" vertical="center" wrapText="1"/>
    </xf>
    <xf numFmtId="0" fontId="3" fillId="0" borderId="133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347" xfId="0" applyFont="1" applyBorder="1" applyAlignment="1">
      <alignment horizontal="left" vertical="center" wrapText="1"/>
    </xf>
    <xf numFmtId="1" fontId="5" fillId="0" borderId="932" xfId="0" applyNumberFormat="1" applyFont="1" applyBorder="1" applyAlignment="1">
      <alignment horizontal="center" vertical="center" wrapText="1"/>
    </xf>
    <xf numFmtId="1" fontId="5" fillId="0" borderId="933" xfId="0" applyNumberFormat="1" applyFont="1" applyBorder="1" applyAlignment="1">
      <alignment horizontal="center" vertical="center" wrapText="1"/>
    </xf>
    <xf numFmtId="1" fontId="5" fillId="0" borderId="930" xfId="0" applyNumberFormat="1" applyFont="1" applyBorder="1" applyAlignment="1">
      <alignment horizontal="center" vertical="center" wrapText="1"/>
    </xf>
    <xf numFmtId="1" fontId="5" fillId="0" borderId="931" xfId="0" applyNumberFormat="1" applyFont="1" applyBorder="1" applyAlignment="1">
      <alignment horizontal="center" vertical="center" wrapText="1"/>
    </xf>
    <xf numFmtId="1" fontId="5" fillId="0" borderId="43" xfId="0" applyNumberFormat="1" applyFont="1" applyBorder="1" applyAlignment="1">
      <alignment horizontal="center" vertical="center" wrapText="1"/>
    </xf>
    <xf numFmtId="1" fontId="5" fillId="0" borderId="1313" xfId="0" applyNumberFormat="1" applyFont="1" applyBorder="1" applyAlignment="1">
      <alignment horizontal="center" vertical="center" wrapText="1"/>
    </xf>
    <xf numFmtId="1" fontId="5" fillId="0" borderId="63" xfId="0" applyNumberFormat="1" applyFont="1" applyBorder="1" applyAlignment="1">
      <alignment horizontal="center" vertical="center" wrapText="1"/>
    </xf>
    <xf numFmtId="1" fontId="5" fillId="0" borderId="1149" xfId="0" applyNumberFormat="1" applyFont="1" applyBorder="1" applyAlignment="1">
      <alignment horizontal="center" vertical="center" wrapText="1"/>
    </xf>
    <xf numFmtId="1" fontId="5" fillId="0" borderId="1369" xfId="0" applyNumberFormat="1" applyFont="1" applyBorder="1" applyAlignment="1">
      <alignment horizontal="center" vertical="center" wrapText="1"/>
    </xf>
    <xf numFmtId="1" fontId="5" fillId="0" borderId="451" xfId="0" applyNumberFormat="1" applyFont="1" applyBorder="1" applyAlignment="1">
      <alignment horizontal="center" vertical="center" wrapText="1"/>
    </xf>
    <xf numFmtId="1" fontId="5" fillId="0" borderId="1216" xfId="0" applyNumberFormat="1" applyFont="1" applyBorder="1" applyAlignment="1">
      <alignment horizontal="center" vertical="center" wrapText="1"/>
    </xf>
    <xf numFmtId="1" fontId="5" fillId="0" borderId="914" xfId="0" applyNumberFormat="1" applyFont="1" applyBorder="1" applyAlignment="1">
      <alignment horizontal="left" vertical="center" wrapText="1"/>
    </xf>
    <xf numFmtId="1" fontId="5" fillId="0" borderId="555" xfId="0" applyNumberFormat="1" applyFont="1" applyBorder="1" applyAlignment="1">
      <alignment horizontal="left" vertical="center" wrapText="1"/>
    </xf>
    <xf numFmtId="1" fontId="5" fillId="0" borderId="737" xfId="0" applyNumberFormat="1" applyFont="1" applyBorder="1" applyAlignment="1">
      <alignment horizontal="left" vertical="center" wrapText="1"/>
    </xf>
    <xf numFmtId="1" fontId="17" fillId="3" borderId="159" xfId="0" applyNumberFormat="1" applyFont="1" applyFill="1" applyBorder="1" applyAlignment="1">
      <alignment horizontal="center" vertical="center" wrapText="1"/>
    </xf>
    <xf numFmtId="1" fontId="5" fillId="0" borderId="914" xfId="0" applyNumberFormat="1" applyFont="1" applyBorder="1" applyAlignment="1">
      <alignment horizontal="center" vertical="center" wrapText="1"/>
    </xf>
    <xf numFmtId="1" fontId="5" fillId="0" borderId="917" xfId="0" applyNumberFormat="1" applyFont="1" applyBorder="1" applyAlignment="1">
      <alignment horizontal="left" vertical="center" wrapText="1"/>
    </xf>
    <xf numFmtId="1" fontId="5" fillId="0" borderId="932" xfId="0" applyNumberFormat="1" applyFont="1" applyBorder="1" applyAlignment="1">
      <alignment horizontal="left" vertical="center" wrapText="1"/>
    </xf>
    <xf numFmtId="1" fontId="5" fillId="0" borderId="939" xfId="0" applyNumberFormat="1" applyFont="1" applyBorder="1" applyAlignment="1">
      <alignment horizontal="left" vertical="center" wrapText="1"/>
    </xf>
    <xf numFmtId="1" fontId="5" fillId="0" borderId="438" xfId="0" applyNumberFormat="1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900" xfId="0" applyNumberFormat="1" applyFont="1" applyBorder="1" applyAlignment="1">
      <alignment horizontal="left" vertical="center" wrapText="1"/>
    </xf>
    <xf numFmtId="1" fontId="5" fillId="0" borderId="899" xfId="0" applyNumberFormat="1" applyFont="1" applyBorder="1" applyAlignment="1">
      <alignment horizontal="left" vertical="center" wrapText="1"/>
    </xf>
    <xf numFmtId="1" fontId="5" fillId="0" borderId="1206" xfId="0" applyNumberFormat="1" applyFont="1" applyBorder="1" applyAlignment="1">
      <alignment horizontal="center" vertical="center" wrapText="1"/>
    </xf>
    <xf numFmtId="1" fontId="5" fillId="0" borderId="1155" xfId="0" applyNumberFormat="1" applyFont="1" applyBorder="1" applyAlignment="1">
      <alignment horizontal="center" vertical="center" wrapText="1"/>
    </xf>
    <xf numFmtId="1" fontId="5" fillId="0" borderId="1219" xfId="0" applyNumberFormat="1" applyFont="1" applyBorder="1" applyAlignment="1">
      <alignment horizontal="center" vertical="center" wrapText="1"/>
    </xf>
    <xf numFmtId="1" fontId="5" fillId="0" borderId="1205" xfId="0" applyNumberFormat="1" applyFont="1" applyBorder="1" applyAlignment="1">
      <alignment horizontal="center" vertical="center" wrapText="1"/>
    </xf>
    <xf numFmtId="1" fontId="5" fillId="0" borderId="916" xfId="0" applyNumberFormat="1" applyFont="1" applyBorder="1" applyAlignment="1">
      <alignment horizontal="center" vertical="center" wrapText="1"/>
    </xf>
    <xf numFmtId="1" fontId="5" fillId="0" borderId="479" xfId="0" applyNumberFormat="1" applyFont="1" applyBorder="1" applyAlignment="1">
      <alignment horizontal="center" vertical="center" wrapText="1"/>
    </xf>
    <xf numFmtId="1" fontId="5" fillId="0" borderId="713" xfId="0" applyNumberFormat="1" applyFont="1" applyBorder="1" applyAlignment="1">
      <alignment horizontal="center" vertical="center" wrapText="1"/>
    </xf>
    <xf numFmtId="1" fontId="5" fillId="0" borderId="454" xfId="0" applyNumberFormat="1" applyFont="1" applyBorder="1" applyAlignment="1">
      <alignment horizontal="center" vertical="center" wrapText="1"/>
    </xf>
    <xf numFmtId="1" fontId="5" fillId="0" borderId="807" xfId="0" applyNumberFormat="1" applyFont="1" applyBorder="1" applyAlignment="1">
      <alignment horizontal="center" vertical="center" wrapText="1"/>
    </xf>
    <xf numFmtId="1" fontId="5" fillId="0" borderId="942" xfId="0" applyNumberFormat="1" applyFont="1" applyBorder="1" applyAlignment="1">
      <alignment horizontal="left" vertical="center" wrapText="1"/>
    </xf>
    <xf numFmtId="1" fontId="5" fillId="0" borderId="838" xfId="0" applyNumberFormat="1" applyFont="1" applyBorder="1" applyAlignment="1">
      <alignment horizontal="left" vertical="center" wrapText="1"/>
    </xf>
    <xf numFmtId="1" fontId="5" fillId="0" borderId="903" xfId="0" applyNumberFormat="1" applyFont="1" applyBorder="1" applyAlignment="1">
      <alignment horizontal="left" vertical="center" wrapText="1"/>
    </xf>
    <xf numFmtId="1" fontId="5" fillId="0" borderId="11" xfId="0" applyNumberFormat="1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left" vertical="center" wrapText="1"/>
    </xf>
    <xf numFmtId="1" fontId="5" fillId="0" borderId="738" xfId="0" applyNumberFormat="1" applyFont="1" applyBorder="1" applyAlignment="1">
      <alignment horizontal="left" vertical="center" wrapText="1"/>
    </xf>
    <xf numFmtId="1" fontId="5" fillId="0" borderId="944" xfId="0" applyNumberFormat="1" applyFont="1" applyBorder="1" applyAlignment="1">
      <alignment horizontal="left"/>
    </xf>
    <xf numFmtId="1" fontId="5" fillId="0" borderId="899" xfId="0" applyNumberFormat="1" applyFont="1" applyBorder="1" applyAlignment="1">
      <alignment horizontal="left"/>
    </xf>
    <xf numFmtId="1" fontId="5" fillId="0" borderId="942" xfId="0" applyNumberFormat="1" applyFont="1" applyBorder="1" applyAlignment="1">
      <alignment horizontal="left"/>
    </xf>
    <xf numFmtId="1" fontId="5" fillId="0" borderId="838" xfId="0" applyNumberFormat="1" applyFont="1" applyBorder="1" applyAlignment="1">
      <alignment horizontal="left"/>
    </xf>
    <xf numFmtId="1" fontId="5" fillId="0" borderId="1271" xfId="0" applyNumberFormat="1" applyFont="1" applyBorder="1" applyAlignment="1">
      <alignment horizontal="left" vertical="center" wrapText="1"/>
    </xf>
    <xf numFmtId="1" fontId="5" fillId="0" borderId="1357" xfId="0" applyNumberFormat="1" applyFont="1" applyBorder="1" applyAlignment="1">
      <alignment horizontal="left" vertical="center" wrapText="1"/>
    </xf>
    <xf numFmtId="1" fontId="5" fillId="0" borderId="977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/>
    </xf>
    <xf numFmtId="1" fontId="5" fillId="0" borderId="220" xfId="0" applyNumberFormat="1" applyFont="1" applyBorder="1" applyAlignment="1">
      <alignment horizontal="left"/>
    </xf>
    <xf numFmtId="1" fontId="5" fillId="0" borderId="57" xfId="0" applyNumberFormat="1" applyFont="1" applyBorder="1" applyAlignment="1">
      <alignment horizontal="left"/>
    </xf>
    <xf numFmtId="1" fontId="5" fillId="0" borderId="12" xfId="0" applyNumberFormat="1" applyFont="1" applyBorder="1" applyAlignment="1">
      <alignment horizontal="left"/>
    </xf>
    <xf numFmtId="1" fontId="15" fillId="3" borderId="0" xfId="0" applyNumberFormat="1" applyFont="1" applyFill="1" applyAlignment="1">
      <alignment wrapText="1"/>
    </xf>
    <xf numFmtId="1" fontId="15" fillId="3" borderId="777" xfId="0" applyNumberFormat="1" applyFont="1" applyFill="1" applyBorder="1" applyAlignment="1">
      <alignment horizontal="left" wrapText="1"/>
    </xf>
    <xf numFmtId="1" fontId="15" fillId="3" borderId="0" xfId="0" applyNumberFormat="1" applyFont="1" applyFill="1" applyAlignment="1">
      <alignment horizontal="left" wrapText="1"/>
    </xf>
    <xf numFmtId="1" fontId="5" fillId="0" borderId="432" xfId="0" applyNumberFormat="1" applyFont="1" applyBorder="1" applyAlignment="1">
      <alignment horizontal="center" vertical="center"/>
    </xf>
    <xf numFmtId="1" fontId="5" fillId="0" borderId="555" xfId="0" applyNumberFormat="1" applyFont="1" applyBorder="1" applyAlignment="1">
      <alignment horizontal="center" vertical="center"/>
    </xf>
    <xf numFmtId="1" fontId="5" fillId="0" borderId="939" xfId="0" applyNumberFormat="1" applyFont="1" applyBorder="1" applyAlignment="1">
      <alignment horizontal="center" vertical="center"/>
    </xf>
    <xf numFmtId="1" fontId="5" fillId="0" borderId="220" xfId="0" applyNumberFormat="1" applyFont="1" applyBorder="1" applyAlignment="1">
      <alignment horizontal="center" vertical="center"/>
    </xf>
    <xf numFmtId="1" fontId="5" fillId="0" borderId="738" xfId="0" applyNumberFormat="1" applyFont="1" applyBorder="1" applyAlignment="1">
      <alignment horizontal="center" vertical="center"/>
    </xf>
    <xf numFmtId="1" fontId="5" fillId="0" borderId="737" xfId="0" applyNumberFormat="1" applyFont="1" applyBorder="1" applyAlignment="1">
      <alignment horizontal="center" vertical="center"/>
    </xf>
    <xf numFmtId="1" fontId="5" fillId="0" borderId="932" xfId="0" applyNumberFormat="1" applyFont="1" applyBorder="1" applyAlignment="1">
      <alignment horizontal="center" vertical="center"/>
    </xf>
    <xf numFmtId="1" fontId="5" fillId="0" borderId="894" xfId="0" applyNumberFormat="1" applyFont="1" applyBorder="1" applyAlignment="1">
      <alignment horizontal="left" vertical="center"/>
    </xf>
    <xf numFmtId="1" fontId="5" fillId="0" borderId="835" xfId="0" applyNumberFormat="1" applyFont="1" applyBorder="1" applyAlignment="1">
      <alignment horizontal="left" vertical="center"/>
    </xf>
    <xf numFmtId="1" fontId="5" fillId="0" borderId="903" xfId="0" applyNumberFormat="1" applyFont="1" applyBorder="1" applyAlignment="1">
      <alignment horizontal="left" vertical="center"/>
    </xf>
    <xf numFmtId="0" fontId="26" fillId="0" borderId="838" xfId="0" applyFont="1" applyBorder="1" applyAlignment="1">
      <alignment horizontal="left" vertical="center"/>
    </xf>
    <xf numFmtId="1" fontId="5" fillId="5" borderId="917" xfId="0" applyNumberFormat="1" applyFont="1" applyFill="1" applyBorder="1" applyAlignment="1">
      <alignment horizontal="center" vertical="center" wrapText="1"/>
    </xf>
    <xf numFmtId="1" fontId="5" fillId="5" borderId="932" xfId="0" applyNumberFormat="1" applyFont="1" applyFill="1" applyBorder="1" applyAlignment="1">
      <alignment horizontal="center" vertical="center" wrapText="1"/>
    </xf>
    <xf numFmtId="1" fontId="5" fillId="0" borderId="939" xfId="0" applyNumberFormat="1" applyFont="1" applyBorder="1" applyAlignment="1">
      <alignment horizontal="center" vertical="center" wrapText="1"/>
    </xf>
    <xf numFmtId="1" fontId="5" fillId="0" borderId="946" xfId="0" applyNumberFormat="1" applyFont="1" applyBorder="1" applyAlignment="1">
      <alignment horizontal="center" vertical="center" wrapText="1"/>
    </xf>
    <xf numFmtId="1" fontId="5" fillId="0" borderId="947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1" fontId="5" fillId="0" borderId="432" xfId="0" applyNumberFormat="1" applyFont="1" applyBorder="1" applyAlignment="1">
      <alignment horizontal="left" vertical="center" wrapText="1"/>
    </xf>
    <xf numFmtId="1" fontId="5" fillId="0" borderId="946" xfId="0" applyNumberFormat="1" applyFont="1" applyBorder="1" applyAlignment="1">
      <alignment horizontal="left" vertical="center" wrapText="1"/>
    </xf>
    <xf numFmtId="1" fontId="5" fillId="0" borderId="31" xfId="0" applyNumberFormat="1" applyFont="1" applyBorder="1" applyAlignment="1">
      <alignment horizontal="left" vertical="center" wrapText="1"/>
    </xf>
    <xf numFmtId="1" fontId="5" fillId="0" borderId="13" xfId="0" applyNumberFormat="1" applyFont="1" applyBorder="1" applyAlignment="1">
      <alignment horizontal="left" vertical="center" wrapText="1"/>
    </xf>
    <xf numFmtId="1" fontId="5" fillId="0" borderId="919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horizontal="center" vertical="center" wrapText="1"/>
    </xf>
    <xf numFmtId="1" fontId="5" fillId="0" borderId="922" xfId="0" applyNumberFormat="1" applyFont="1" applyBorder="1" applyAlignment="1">
      <alignment horizontal="center" vertical="center" wrapText="1"/>
    </xf>
    <xf numFmtId="1" fontId="15" fillId="3" borderId="36" xfId="0" applyNumberFormat="1" applyFont="1" applyFill="1" applyBorder="1" applyAlignment="1">
      <alignment wrapText="1"/>
    </xf>
    <xf numFmtId="1" fontId="5" fillId="5" borderId="585" xfId="0" applyNumberFormat="1" applyFont="1" applyFill="1" applyBorder="1" applyAlignment="1">
      <alignment horizontal="center" vertical="center" wrapText="1"/>
    </xf>
    <xf numFmtId="1" fontId="5" fillId="0" borderId="555" xfId="0" applyNumberFormat="1" applyFont="1" applyBorder="1" applyAlignment="1">
      <alignment horizontal="left" vertical="center"/>
    </xf>
    <xf numFmtId="1" fontId="5" fillId="0" borderId="220" xfId="0" applyNumberFormat="1" applyFont="1" applyBorder="1" applyAlignment="1">
      <alignment horizontal="left" vertical="center"/>
    </xf>
    <xf numFmtId="1" fontId="5" fillId="0" borderId="947" xfId="0" applyNumberFormat="1" applyFont="1" applyBorder="1" applyAlignment="1">
      <alignment horizontal="left" vertical="center"/>
    </xf>
    <xf numFmtId="1" fontId="5" fillId="0" borderId="903" xfId="0" applyNumberFormat="1" applyFont="1" applyBorder="1" applyAlignment="1">
      <alignment horizontal="left"/>
    </xf>
    <xf numFmtId="1" fontId="5" fillId="0" borderId="903" xfId="0" applyNumberFormat="1" applyFont="1" applyBorder="1" applyAlignment="1">
      <alignment horizontal="left" wrapText="1"/>
    </xf>
    <xf numFmtId="1" fontId="5" fillId="0" borderId="838" xfId="0" applyNumberFormat="1" applyFont="1" applyBorder="1" applyAlignment="1">
      <alignment horizontal="left" wrapText="1"/>
    </xf>
    <xf numFmtId="1" fontId="5" fillId="0" borderId="897" xfId="0" applyNumberFormat="1" applyFont="1" applyBorder="1" applyAlignment="1">
      <alignment horizontal="center" vertical="center" wrapText="1"/>
    </xf>
    <xf numFmtId="1" fontId="5" fillId="0" borderId="103" xfId="0" applyNumberFormat="1" applyFont="1" applyBorder="1" applyAlignment="1">
      <alignment horizontal="center" vertical="center" wrapText="1"/>
    </xf>
    <xf numFmtId="1" fontId="5" fillId="0" borderId="898" xfId="0" applyNumberFormat="1" applyFont="1" applyBorder="1" applyAlignment="1">
      <alignment horizontal="center" vertical="center" wrapText="1"/>
    </xf>
    <xf numFmtId="1" fontId="5" fillId="0" borderId="831" xfId="0" applyNumberFormat="1" applyFont="1" applyBorder="1" applyAlignment="1">
      <alignment horizontal="center" vertical="center" wrapText="1"/>
    </xf>
    <xf numFmtId="1" fontId="5" fillId="0" borderId="832" xfId="0" applyNumberFormat="1" applyFont="1" applyBorder="1" applyAlignment="1">
      <alignment horizontal="center" vertical="center" wrapText="1"/>
    </xf>
    <xf numFmtId="1" fontId="5" fillId="0" borderId="833" xfId="0" applyNumberFormat="1" applyFont="1" applyBorder="1" applyAlignment="1">
      <alignment horizontal="center" vertical="center" wrapText="1"/>
    </xf>
    <xf numFmtId="1" fontId="5" fillId="0" borderId="921" xfId="0" applyNumberFormat="1" applyFont="1" applyBorder="1" applyAlignment="1">
      <alignment horizontal="center" vertical="center" wrapText="1"/>
    </xf>
    <xf numFmtId="1" fontId="5" fillId="0" borderId="900" xfId="0" applyNumberFormat="1" applyFont="1" applyBorder="1" applyAlignment="1">
      <alignment horizontal="left" vertical="center"/>
    </xf>
    <xf numFmtId="1" fontId="5" fillId="0" borderId="899" xfId="0" applyNumberFormat="1" applyFont="1" applyBorder="1" applyAlignment="1">
      <alignment horizontal="left" vertical="center"/>
    </xf>
    <xf numFmtId="1" fontId="5" fillId="0" borderId="939" xfId="0" applyNumberFormat="1" applyFont="1" applyBorder="1" applyAlignment="1">
      <alignment horizontal="left" vertical="center"/>
    </xf>
    <xf numFmtId="1" fontId="5" fillId="0" borderId="1062" xfId="0" applyNumberFormat="1" applyFont="1" applyBorder="1" applyAlignment="1">
      <alignment horizontal="left" wrapText="1"/>
    </xf>
    <xf numFmtId="1" fontId="5" fillId="0" borderId="1057" xfId="0" applyNumberFormat="1" applyFont="1" applyBorder="1" applyAlignment="1">
      <alignment horizontal="left" wrapText="1"/>
    </xf>
    <xf numFmtId="1" fontId="5" fillId="0" borderId="432" xfId="15" applyNumberFormat="1" applyFont="1" applyBorder="1" applyAlignment="1">
      <alignment horizontal="center" vertical="center" wrapText="1"/>
    </xf>
    <xf numFmtId="1" fontId="5" fillId="0" borderId="555" xfId="15" applyNumberFormat="1" applyFont="1" applyBorder="1" applyAlignment="1">
      <alignment horizontal="center" vertical="center" wrapText="1"/>
    </xf>
    <xf numFmtId="1" fontId="5" fillId="0" borderId="939" xfId="15" applyNumberFormat="1" applyFont="1" applyBorder="1" applyAlignment="1">
      <alignment horizontal="center" vertical="center" wrapText="1"/>
    </xf>
    <xf numFmtId="1" fontId="5" fillId="0" borderId="220" xfId="15" applyNumberFormat="1" applyFont="1" applyBorder="1" applyAlignment="1">
      <alignment horizontal="center" vertical="center" wrapText="1"/>
    </xf>
    <xf numFmtId="1" fontId="5" fillId="0" borderId="946" xfId="15" applyNumberFormat="1" applyFont="1" applyBorder="1" applyAlignment="1">
      <alignment horizontal="center" vertical="center" wrapText="1"/>
    </xf>
    <xf numFmtId="1" fontId="5" fillId="0" borderId="947" xfId="15" applyNumberFormat="1" applyFont="1" applyBorder="1" applyAlignment="1">
      <alignment horizontal="center" vertical="center" wrapText="1"/>
    </xf>
    <xf numFmtId="1" fontId="5" fillId="0" borderId="432" xfId="14" applyNumberFormat="1" applyFont="1" applyBorder="1" applyAlignment="1">
      <alignment horizontal="center" vertical="center"/>
    </xf>
    <xf numFmtId="1" fontId="5" fillId="0" borderId="36" xfId="14" applyNumberFormat="1" applyFont="1" applyBorder="1" applyAlignment="1">
      <alignment horizontal="center" vertical="center"/>
    </xf>
    <xf numFmtId="1" fontId="5" fillId="0" borderId="555" xfId="14" applyNumberFormat="1" applyFont="1" applyBorder="1" applyAlignment="1">
      <alignment horizontal="center" vertical="center"/>
    </xf>
    <xf numFmtId="1" fontId="5" fillId="0" borderId="946" xfId="14" applyNumberFormat="1" applyFont="1" applyBorder="1" applyAlignment="1">
      <alignment horizontal="center" vertical="center"/>
    </xf>
    <xf numFmtId="1" fontId="5" fillId="0" borderId="777" xfId="14" applyNumberFormat="1" applyFont="1" applyBorder="1" applyAlignment="1">
      <alignment horizontal="center" vertical="center"/>
    </xf>
    <xf numFmtId="1" fontId="5" fillId="0" borderId="947" xfId="14" applyNumberFormat="1" applyFont="1" applyBorder="1" applyAlignment="1">
      <alignment horizontal="center" vertical="center"/>
    </xf>
    <xf numFmtId="1" fontId="5" fillId="0" borderId="914" xfId="15" quotePrefix="1" applyNumberFormat="1" applyFont="1" applyBorder="1" applyAlignment="1">
      <alignment horizontal="center" vertical="center" wrapText="1"/>
    </xf>
    <xf numFmtId="1" fontId="5" fillId="0" borderId="916" xfId="15" quotePrefix="1" applyNumberFormat="1" applyFont="1" applyBorder="1" applyAlignment="1">
      <alignment horizontal="center" vertical="center" wrapText="1"/>
    </xf>
    <xf numFmtId="1" fontId="5" fillId="0" borderId="914" xfId="15" applyNumberFormat="1" applyFont="1" applyBorder="1" applyAlignment="1">
      <alignment horizontal="center" vertical="center" wrapText="1"/>
    </xf>
    <xf numFmtId="1" fontId="5" fillId="0" borderId="468" xfId="15" applyNumberFormat="1" applyFont="1" applyBorder="1" applyAlignment="1" applyProtection="1">
      <alignment horizontal="center" vertical="center" wrapText="1"/>
      <protection locked="0"/>
    </xf>
    <xf numFmtId="1" fontId="5" fillId="0" borderId="555" xfId="15" applyNumberFormat="1" applyFont="1" applyBorder="1" applyAlignment="1" applyProtection="1">
      <alignment horizontal="center" vertical="center" wrapText="1"/>
      <protection locked="0"/>
    </xf>
    <xf numFmtId="1" fontId="5" fillId="0" borderId="722" xfId="15" applyNumberFormat="1" applyFont="1" applyBorder="1" applyAlignment="1" applyProtection="1">
      <alignment horizontal="center" vertical="center" wrapText="1"/>
      <protection locked="0"/>
    </xf>
    <xf numFmtId="1" fontId="5" fillId="0" borderId="947" xfId="15" applyNumberFormat="1" applyFont="1" applyBorder="1" applyAlignment="1" applyProtection="1">
      <alignment horizontal="center" vertical="center" wrapText="1"/>
      <protection locked="0"/>
    </xf>
    <xf numFmtId="1" fontId="5" fillId="0" borderId="36" xfId="15" applyNumberFormat="1" applyFont="1" applyBorder="1" applyAlignment="1" applyProtection="1">
      <alignment horizontal="center" vertical="center" wrapText="1"/>
      <protection locked="0"/>
    </xf>
    <xf numFmtId="1" fontId="5" fillId="0" borderId="777" xfId="15" applyNumberFormat="1" applyFont="1" applyBorder="1" applyAlignment="1" applyProtection="1">
      <alignment horizontal="center" vertical="center" wrapText="1"/>
      <protection locked="0"/>
    </xf>
    <xf numFmtId="1" fontId="5" fillId="0" borderId="432" xfId="15" applyNumberFormat="1" applyFont="1" applyBorder="1" applyAlignment="1" applyProtection="1">
      <alignment horizontal="center" vertical="center" wrapText="1"/>
      <protection locked="0"/>
    </xf>
    <xf numFmtId="1" fontId="5" fillId="0" borderId="939" xfId="15" applyNumberFormat="1" applyFont="1" applyBorder="1" applyAlignment="1" applyProtection="1">
      <alignment horizontal="center" vertical="center" wrapText="1"/>
      <protection locked="0"/>
    </xf>
    <xf numFmtId="1" fontId="5" fillId="0" borderId="946" xfId="15" applyNumberFormat="1" applyFont="1" applyBorder="1" applyAlignment="1" applyProtection="1">
      <alignment horizontal="center" vertical="center" wrapText="1"/>
      <protection locked="0"/>
    </xf>
    <xf numFmtId="1" fontId="5" fillId="0" borderId="435" xfId="15" applyNumberFormat="1" applyFont="1" applyBorder="1" applyAlignment="1" applyProtection="1">
      <alignment horizontal="center" vertical="center" wrapText="1"/>
      <protection locked="0"/>
    </xf>
    <xf numFmtId="1" fontId="5" fillId="0" borderId="500" xfId="15" applyNumberFormat="1" applyFont="1" applyBorder="1" applyAlignment="1" applyProtection="1">
      <alignment horizontal="center" vertical="center" wrapText="1"/>
      <protection locked="0"/>
    </xf>
    <xf numFmtId="1" fontId="5" fillId="0" borderId="676" xfId="15" applyNumberFormat="1" applyFont="1" applyBorder="1" applyAlignment="1" applyProtection="1">
      <alignment horizontal="center" vertical="center" wrapText="1"/>
      <protection locked="0"/>
    </xf>
    <xf numFmtId="1" fontId="5" fillId="0" borderId="909" xfId="0" applyNumberFormat="1" applyFont="1" applyBorder="1" applyAlignment="1">
      <alignment horizontal="center" vertical="center" wrapText="1"/>
    </xf>
    <xf numFmtId="1" fontId="5" fillId="0" borderId="435" xfId="15" applyNumberFormat="1" applyFont="1" applyBorder="1" applyAlignment="1">
      <alignment horizontal="left" vertical="center" wrapText="1"/>
    </xf>
    <xf numFmtId="1" fontId="5" fillId="0" borderId="676" xfId="15" applyNumberFormat="1" applyFont="1" applyBorder="1" applyAlignment="1">
      <alignment horizontal="left" vertical="center" wrapText="1"/>
    </xf>
    <xf numFmtId="1" fontId="5" fillId="0" borderId="946" xfId="15" applyNumberFormat="1" applyFont="1" applyBorder="1" applyAlignment="1">
      <alignment horizontal="center"/>
    </xf>
    <xf numFmtId="1" fontId="5" fillId="0" borderId="947" xfId="15" applyNumberFormat="1" applyFont="1" applyBorder="1" applyAlignment="1">
      <alignment horizontal="center"/>
    </xf>
    <xf numFmtId="1" fontId="5" fillId="0" borderId="1156" xfId="15" applyNumberFormat="1" applyFont="1" applyBorder="1" applyAlignment="1">
      <alignment horizontal="center" vertical="center" wrapText="1"/>
    </xf>
    <xf numFmtId="1" fontId="5" fillId="0" borderId="1056" xfId="15" applyNumberFormat="1" applyFont="1" applyBorder="1" applyAlignment="1">
      <alignment horizontal="center" vertical="center" wrapText="1"/>
    </xf>
    <xf numFmtId="1" fontId="5" fillId="0" borderId="1112" xfId="15" applyNumberFormat="1" applyFont="1" applyBorder="1" applyAlignment="1">
      <alignment horizontal="center" vertical="center" wrapText="1"/>
    </xf>
    <xf numFmtId="1" fontId="5" fillId="0" borderId="784" xfId="14" applyNumberFormat="1" applyFont="1" applyBorder="1" applyAlignment="1">
      <alignment horizontal="center" vertical="center"/>
    </xf>
    <xf numFmtId="1" fontId="5" fillId="0" borderId="1041" xfId="14" applyNumberFormat="1" applyFont="1" applyBorder="1" applyAlignment="1">
      <alignment horizontal="center" vertical="center"/>
    </xf>
    <xf numFmtId="1" fontId="5" fillId="0" borderId="917" xfId="15" quotePrefix="1" applyNumberFormat="1" applyFont="1" applyBorder="1" applyAlignment="1">
      <alignment horizontal="center" vertical="center" wrapText="1"/>
    </xf>
    <xf numFmtId="1" fontId="5" fillId="0" borderId="585" xfId="15" quotePrefix="1" applyNumberFormat="1" applyFont="1" applyBorder="1" applyAlignment="1">
      <alignment horizontal="center" vertical="center" wrapText="1"/>
    </xf>
    <xf numFmtId="1" fontId="5" fillId="0" borderId="1060" xfId="15" quotePrefix="1" applyNumberFormat="1" applyFont="1" applyBorder="1" applyAlignment="1">
      <alignment horizontal="center" vertical="center" wrapText="1"/>
    </xf>
    <xf numFmtId="1" fontId="5" fillId="0" borderId="1067" xfId="15" quotePrefix="1" applyNumberFormat="1" applyFont="1" applyBorder="1" applyAlignment="1">
      <alignment horizontal="center" vertical="center" wrapText="1"/>
    </xf>
    <xf numFmtId="1" fontId="5" fillId="0" borderId="1084" xfId="15" applyNumberFormat="1" applyFont="1" applyBorder="1" applyAlignment="1" applyProtection="1">
      <alignment horizontal="center" vertical="center" wrapText="1"/>
      <protection locked="0"/>
    </xf>
    <xf numFmtId="1" fontId="5" fillId="0" borderId="60" xfId="15" applyNumberFormat="1" applyFont="1" applyBorder="1" applyAlignment="1" applyProtection="1">
      <alignment horizontal="center" vertical="center" wrapText="1"/>
      <protection locked="0"/>
    </xf>
    <xf numFmtId="1" fontId="5" fillId="0" borderId="1053" xfId="15" applyNumberFormat="1" applyFont="1" applyBorder="1" applyAlignment="1" applyProtection="1">
      <alignment horizontal="center" vertical="center" wrapText="1"/>
      <protection locked="0"/>
    </xf>
    <xf numFmtId="1" fontId="5" fillId="0" borderId="977" xfId="15" applyNumberFormat="1" applyFont="1" applyBorder="1" applyAlignment="1" applyProtection="1">
      <alignment horizontal="center" vertical="center" wrapText="1"/>
      <protection locked="0"/>
    </xf>
    <xf numFmtId="1" fontId="5" fillId="0" borderId="1089" xfId="15" applyNumberFormat="1" applyFont="1" applyBorder="1" applyAlignment="1" applyProtection="1">
      <alignment horizontal="center" vertical="center" wrapText="1"/>
      <protection locked="0"/>
    </xf>
    <xf numFmtId="1" fontId="5" fillId="0" borderId="1053" xfId="15" applyNumberFormat="1" applyFont="1" applyBorder="1" applyAlignment="1">
      <alignment horizontal="center" vertical="center" wrapText="1"/>
    </xf>
    <xf numFmtId="1" fontId="5" fillId="0" borderId="1089" xfId="15" applyNumberFormat="1" applyFont="1" applyBorder="1" applyAlignment="1">
      <alignment horizontal="center" vertical="center" wrapText="1"/>
    </xf>
    <xf numFmtId="1" fontId="5" fillId="0" borderId="1054" xfId="15" applyNumberFormat="1" applyFont="1" applyBorder="1" applyAlignment="1">
      <alignment horizontal="center" vertical="center" wrapText="1"/>
    </xf>
    <xf numFmtId="1" fontId="5" fillId="0" borderId="1062" xfId="0" applyNumberFormat="1" applyFont="1" applyBorder="1" applyAlignment="1">
      <alignment horizontal="center" vertical="center" wrapText="1"/>
    </xf>
    <xf numFmtId="1" fontId="5" fillId="0" borderId="1070" xfId="15" applyNumberFormat="1" applyFont="1" applyBorder="1" applyAlignment="1">
      <alignment horizontal="center" vertical="center" wrapText="1"/>
    </xf>
    <xf numFmtId="1" fontId="5" fillId="0" borderId="713" xfId="15" applyNumberFormat="1" applyFont="1" applyBorder="1" applyAlignment="1">
      <alignment horizontal="center" vertical="center" wrapText="1"/>
    </xf>
    <xf numFmtId="1" fontId="5" fillId="0" borderId="1182" xfId="15" applyNumberFormat="1" applyFont="1" applyBorder="1" applyAlignment="1">
      <alignment horizontal="left" vertical="center" wrapText="1"/>
    </xf>
    <xf numFmtId="1" fontId="5" fillId="0" borderId="1183" xfId="15" applyNumberFormat="1" applyFont="1" applyBorder="1" applyAlignment="1">
      <alignment horizontal="left" vertical="center" wrapText="1"/>
    </xf>
    <xf numFmtId="1" fontId="5" fillId="0" borderId="371" xfId="15" applyNumberFormat="1" applyFont="1" applyBorder="1" applyAlignment="1">
      <alignment horizontal="left" vertical="center" wrapText="1"/>
    </xf>
    <xf numFmtId="1" fontId="5" fillId="0" borderId="372" xfId="15" applyNumberFormat="1" applyFont="1" applyBorder="1" applyAlignment="1">
      <alignment horizontal="left" vertical="center" wrapText="1"/>
    </xf>
    <xf numFmtId="1" fontId="5" fillId="0" borderId="831" xfId="15" applyNumberFormat="1" applyFont="1" applyBorder="1" applyAlignment="1">
      <alignment horizontal="left" vertical="center" wrapText="1"/>
    </xf>
    <xf numFmtId="1" fontId="5" fillId="0" borderId="833" xfId="15" applyNumberFormat="1" applyFont="1" applyBorder="1" applyAlignment="1">
      <alignment horizontal="left" vertical="center" wrapText="1"/>
    </xf>
    <xf numFmtId="1" fontId="5" fillId="0" borderId="1291" xfId="0" applyNumberFormat="1" applyFont="1" applyBorder="1" applyAlignment="1">
      <alignment horizontal="center" vertical="center" wrapText="1"/>
    </xf>
    <xf numFmtId="1" fontId="5" fillId="0" borderId="1356" xfId="0" applyNumberFormat="1" applyFont="1" applyBorder="1" applyAlignment="1">
      <alignment horizontal="center" vertical="center" wrapText="1"/>
    </xf>
    <xf numFmtId="1" fontId="5" fillId="0" borderId="1369" xfId="15" applyNumberFormat="1" applyFont="1" applyBorder="1" applyAlignment="1">
      <alignment horizontal="center" vertical="center" wrapText="1"/>
    </xf>
    <xf numFmtId="1" fontId="5" fillId="0" borderId="1216" xfId="15" applyNumberFormat="1" applyFont="1" applyBorder="1" applyAlignment="1">
      <alignment horizontal="center" vertical="center" wrapText="1"/>
    </xf>
    <xf numFmtId="1" fontId="5" fillId="0" borderId="432" xfId="15" applyNumberFormat="1" applyFont="1" applyBorder="1" applyAlignment="1">
      <alignment horizontal="center" vertical="center"/>
    </xf>
    <xf numFmtId="1" fontId="5" fillId="0" borderId="946" xfId="15" applyNumberFormat="1" applyFont="1" applyBorder="1" applyAlignment="1">
      <alignment horizontal="center" vertical="center"/>
    </xf>
    <xf numFmtId="1" fontId="5" fillId="0" borderId="900" xfId="15" applyNumberFormat="1" applyFont="1" applyBorder="1" applyAlignment="1">
      <alignment horizontal="left" vertical="center" wrapText="1"/>
    </xf>
    <xf numFmtId="1" fontId="5" fillId="0" borderId="899" xfId="15" applyNumberFormat="1" applyFont="1" applyBorder="1" applyAlignment="1">
      <alignment horizontal="left" vertical="center" wrapText="1"/>
    </xf>
    <xf numFmtId="1" fontId="5" fillId="0" borderId="903" xfId="15" applyNumberFormat="1" applyFont="1" applyBorder="1" applyAlignment="1">
      <alignment horizontal="left" vertical="center" wrapText="1"/>
    </xf>
    <xf numFmtId="1" fontId="5" fillId="0" borderId="838" xfId="15" applyNumberFormat="1" applyFont="1" applyBorder="1" applyAlignment="1">
      <alignment horizontal="left" vertical="center" wrapText="1"/>
    </xf>
    <xf numFmtId="1" fontId="5" fillId="0" borderId="917" xfId="15" applyNumberFormat="1" applyFont="1" applyBorder="1" applyAlignment="1">
      <alignment horizontal="center" vertical="center" wrapText="1"/>
    </xf>
    <xf numFmtId="1" fontId="5" fillId="0" borderId="932" xfId="15" applyNumberFormat="1" applyFont="1" applyBorder="1" applyAlignment="1">
      <alignment horizontal="center" vertical="center" wrapText="1"/>
    </xf>
    <xf numFmtId="1" fontId="5" fillId="0" borderId="11" xfId="15" applyNumberFormat="1" applyFont="1" applyBorder="1" applyAlignment="1">
      <alignment horizontal="left" vertical="center" wrapText="1"/>
    </xf>
    <xf numFmtId="1" fontId="5" fillId="0" borderId="12" xfId="15" applyNumberFormat="1" applyFont="1" applyBorder="1" applyAlignment="1">
      <alignment horizontal="left" vertical="center" wrapText="1"/>
    </xf>
    <xf numFmtId="1" fontId="5" fillId="0" borderId="220" xfId="15" applyNumberFormat="1" applyFont="1" applyBorder="1" applyAlignment="1">
      <alignment horizontal="left" vertical="center" wrapText="1"/>
    </xf>
    <xf numFmtId="1" fontId="5" fillId="0" borderId="947" xfId="15" applyNumberFormat="1" applyFont="1" applyBorder="1" applyAlignment="1">
      <alignment horizontal="left" vertical="center" wrapText="1"/>
    </xf>
    <xf numFmtId="1" fontId="5" fillId="0" borderId="555" xfId="15" applyNumberFormat="1" applyFont="1" applyBorder="1" applyAlignment="1">
      <alignment horizontal="left" vertical="center" wrapText="1"/>
    </xf>
    <xf numFmtId="0" fontId="3" fillId="0" borderId="1347" xfId="0" applyFont="1" applyBorder="1" applyAlignment="1">
      <alignment horizontal="center" vertical="center" wrapText="1"/>
    </xf>
    <xf numFmtId="0" fontId="3" fillId="0" borderId="1348" xfId="0" applyFont="1" applyBorder="1" applyAlignment="1">
      <alignment horizontal="center" vertical="center" wrapText="1"/>
    </xf>
    <xf numFmtId="0" fontId="3" fillId="0" borderId="1343" xfId="0" applyFont="1" applyBorder="1" applyAlignment="1">
      <alignment horizontal="center" vertical="center" wrapText="1"/>
    </xf>
    <xf numFmtId="1" fontId="5" fillId="0" borderId="359" xfId="2" applyNumberFormat="1" applyFont="1" applyBorder="1" applyAlignment="1">
      <alignment horizontal="center" vertical="center" wrapText="1"/>
    </xf>
    <xf numFmtId="0" fontId="48" fillId="0" borderId="278" xfId="2" applyFont="1" applyBorder="1"/>
    <xf numFmtId="1" fontId="5" fillId="0" borderId="946" xfId="15" applyNumberFormat="1" applyFont="1" applyBorder="1" applyAlignment="1">
      <alignment horizontal="left" vertical="center" wrapText="1"/>
    </xf>
    <xf numFmtId="1" fontId="15" fillId="32" borderId="274" xfId="2" applyNumberFormat="1" applyFont="1" applyFill="1" applyBorder="1" applyAlignment="1">
      <alignment horizontal="left" wrapText="1"/>
    </xf>
    <xf numFmtId="1" fontId="5" fillId="0" borderId="266" xfId="2" applyNumberFormat="1" applyFont="1" applyBorder="1" applyAlignment="1">
      <alignment horizontal="center" vertical="center"/>
    </xf>
    <xf numFmtId="1" fontId="5" fillId="0" borderId="267" xfId="2" applyNumberFormat="1" applyFont="1" applyBorder="1" applyAlignment="1">
      <alignment horizontal="center" vertical="center"/>
    </xf>
    <xf numFmtId="1" fontId="5" fillId="0" borderId="271" xfId="2" applyNumberFormat="1" applyFont="1" applyBorder="1" applyAlignment="1">
      <alignment horizontal="center" vertical="center"/>
    </xf>
    <xf numFmtId="1" fontId="5" fillId="0" borderId="272" xfId="2" applyNumberFormat="1" applyFont="1" applyBorder="1" applyAlignment="1">
      <alignment horizontal="center" vertical="center"/>
    </xf>
    <xf numFmtId="1" fontId="5" fillId="0" borderId="273" xfId="2" applyNumberFormat="1" applyFont="1" applyBorder="1" applyAlignment="1">
      <alignment horizontal="center" vertical="center"/>
    </xf>
    <xf numFmtId="1" fontId="5" fillId="0" borderId="275" xfId="2" applyNumberFormat="1" applyFont="1" applyBorder="1" applyAlignment="1">
      <alignment horizontal="center" vertical="center"/>
    </xf>
    <xf numFmtId="1" fontId="5" fillId="0" borderId="266" xfId="2" applyNumberFormat="1" applyFont="1" applyBorder="1" applyAlignment="1">
      <alignment horizontal="center" vertical="center" wrapText="1"/>
    </xf>
    <xf numFmtId="0" fontId="48" fillId="0" borderId="268" xfId="2" applyFont="1" applyBorder="1"/>
    <xf numFmtId="0" fontId="48" fillId="0" borderId="267" xfId="2" applyFont="1" applyBorder="1"/>
    <xf numFmtId="0" fontId="48" fillId="0" borderId="273" xfId="2" applyFont="1" applyBorder="1"/>
    <xf numFmtId="0" fontId="48" fillId="0" borderId="274" xfId="2" applyFont="1" applyBorder="1"/>
    <xf numFmtId="0" fontId="48" fillId="0" borderId="275" xfId="2" applyFont="1" applyBorder="1"/>
    <xf numFmtId="1" fontId="5" fillId="0" borderId="359" xfId="2" applyNumberFormat="1" applyFont="1" applyBorder="1" applyAlignment="1">
      <alignment horizontal="center" vertical="center"/>
    </xf>
    <xf numFmtId="1" fontId="5" fillId="0" borderId="303" xfId="2" applyNumberFormat="1" applyFont="1" applyBorder="1" applyAlignment="1">
      <alignment horizontal="center" vertical="center"/>
    </xf>
    <xf numFmtId="1" fontId="5" fillId="0" borderId="278" xfId="2" applyNumberFormat="1" applyFont="1" applyBorder="1" applyAlignment="1">
      <alignment horizontal="center" vertical="center"/>
    </xf>
    <xf numFmtId="1" fontId="5" fillId="0" borderId="307" xfId="2" applyNumberFormat="1" applyFont="1" applyBorder="1" applyAlignment="1">
      <alignment horizontal="left" vertical="center"/>
    </xf>
    <xf numFmtId="1" fontId="5" fillId="0" borderId="324" xfId="2" applyNumberFormat="1" applyFont="1" applyBorder="1" applyAlignment="1">
      <alignment horizontal="left" vertical="center"/>
    </xf>
    <xf numFmtId="1" fontId="5" fillId="0" borderId="309" xfId="2" applyNumberFormat="1" applyFont="1" applyBorder="1" applyAlignment="1">
      <alignment horizontal="left" vertical="center"/>
    </xf>
    <xf numFmtId="1" fontId="5" fillId="0" borderId="332" xfId="2" applyNumberFormat="1" applyFont="1" applyBorder="1" applyAlignment="1">
      <alignment horizontal="left" vertical="center"/>
    </xf>
    <xf numFmtId="1" fontId="5" fillId="23" borderId="917" xfId="0" applyNumberFormat="1" applyFont="1" applyFill="1" applyBorder="1" applyAlignment="1">
      <alignment horizontal="center" vertical="center"/>
    </xf>
    <xf numFmtId="1" fontId="5" fillId="23" borderId="932" xfId="0" applyNumberFormat="1" applyFont="1" applyFill="1" applyBorder="1" applyAlignment="1">
      <alignment horizontal="center" vertical="center"/>
    </xf>
    <xf numFmtId="1" fontId="5" fillId="0" borderId="952" xfId="2" applyNumberFormat="1" applyFont="1" applyBorder="1" applyAlignment="1">
      <alignment horizontal="left" vertical="center"/>
    </xf>
    <xf numFmtId="1" fontId="5" fillId="0" borderId="1189" xfId="2" applyNumberFormat="1" applyFont="1" applyBorder="1" applyAlignment="1">
      <alignment horizontal="left" vertical="center"/>
    </xf>
    <xf numFmtId="1" fontId="5" fillId="0" borderId="280" xfId="2" applyNumberFormat="1" applyFont="1" applyBorder="1" applyAlignment="1">
      <alignment horizontal="left" vertical="center" wrapText="1"/>
    </xf>
    <xf numFmtId="1" fontId="5" fillId="0" borderId="289" xfId="2" applyNumberFormat="1" applyFont="1" applyBorder="1" applyAlignment="1">
      <alignment horizontal="left" vertical="center" wrapText="1"/>
    </xf>
    <xf numFmtId="1" fontId="5" fillId="0" borderId="292" xfId="2" applyNumberFormat="1" applyFont="1" applyBorder="1" applyAlignment="1">
      <alignment horizontal="left" vertical="center" wrapText="1"/>
    </xf>
    <xf numFmtId="0" fontId="5" fillId="0" borderId="914" xfId="0" applyFont="1" applyBorder="1" applyAlignment="1">
      <alignment horizontal="center" vertical="center"/>
    </xf>
    <xf numFmtId="1" fontId="5" fillId="0" borderId="0" xfId="15" applyNumberFormat="1" applyFont="1" applyAlignment="1">
      <alignment horizontal="center" vertical="center" wrapText="1"/>
    </xf>
    <xf numFmtId="1" fontId="5" fillId="0" borderId="1314" xfId="15" applyNumberFormat="1" applyFont="1" applyBorder="1" applyAlignment="1">
      <alignment horizontal="center" vertical="center" wrapText="1"/>
    </xf>
    <xf numFmtId="1" fontId="5" fillId="0" borderId="43" xfId="15" applyNumberFormat="1" applyFont="1" applyBorder="1" applyAlignment="1">
      <alignment horizontal="center" vertical="center" wrapText="1"/>
    </xf>
    <xf numFmtId="1" fontId="5" fillId="0" borderId="1365" xfId="15" applyNumberFormat="1" applyFont="1" applyBorder="1" applyAlignment="1">
      <alignment horizontal="center" vertical="center" wrapText="1"/>
    </xf>
    <xf numFmtId="1" fontId="5" fillId="23" borderId="435" xfId="0" applyNumberFormat="1" applyFont="1" applyFill="1" applyBorder="1" applyAlignment="1">
      <alignment horizontal="center" vertical="center"/>
    </xf>
    <xf numFmtId="1" fontId="5" fillId="23" borderId="500" xfId="0" applyNumberFormat="1" applyFont="1" applyFill="1" applyBorder="1" applyAlignment="1">
      <alignment horizontal="center" vertical="center"/>
    </xf>
    <xf numFmtId="1" fontId="5" fillId="23" borderId="676" xfId="0" applyNumberFormat="1" applyFont="1" applyFill="1" applyBorder="1" applyAlignment="1">
      <alignment horizontal="center" vertical="center"/>
    </xf>
    <xf numFmtId="1" fontId="5" fillId="23" borderId="432" xfId="0" applyNumberFormat="1" applyFont="1" applyFill="1" applyBorder="1" applyAlignment="1">
      <alignment horizontal="center" vertical="center" wrapText="1"/>
    </xf>
    <xf numFmtId="1" fontId="5" fillId="23" borderId="36" xfId="0" applyNumberFormat="1" applyFont="1" applyFill="1" applyBorder="1" applyAlignment="1">
      <alignment horizontal="center" vertical="center" wrapText="1"/>
    </xf>
    <xf numFmtId="1" fontId="5" fillId="23" borderId="555" xfId="0" applyNumberFormat="1" applyFont="1" applyFill="1" applyBorder="1" applyAlignment="1">
      <alignment horizontal="center" vertical="center" wrapText="1"/>
    </xf>
    <xf numFmtId="1" fontId="5" fillId="23" borderId="946" xfId="0" applyNumberFormat="1" applyFont="1" applyFill="1" applyBorder="1" applyAlignment="1">
      <alignment horizontal="center" vertical="center" wrapText="1"/>
    </xf>
    <xf numFmtId="1" fontId="5" fillId="23" borderId="777" xfId="0" applyNumberFormat="1" applyFont="1" applyFill="1" applyBorder="1" applyAlignment="1">
      <alignment horizontal="center" vertical="center" wrapText="1"/>
    </xf>
    <xf numFmtId="1" fontId="5" fillId="23" borderId="947" xfId="0" applyNumberFormat="1" applyFont="1" applyFill="1" applyBorder="1" applyAlignment="1">
      <alignment horizontal="center" vertical="center" wrapText="1"/>
    </xf>
    <xf numFmtId="1" fontId="5" fillId="23" borderId="954" xfId="0" applyNumberFormat="1" applyFont="1" applyFill="1" applyBorder="1" applyAlignment="1">
      <alignment horizontal="center" vertical="center" wrapText="1"/>
    </xf>
    <xf numFmtId="1" fontId="5" fillId="23" borderId="585" xfId="0" applyNumberFormat="1" applyFont="1" applyFill="1" applyBorder="1" applyAlignment="1">
      <alignment horizontal="center" vertical="center" wrapText="1"/>
    </xf>
    <xf numFmtId="1" fontId="5" fillId="23" borderId="918" xfId="0" applyNumberFormat="1" applyFont="1" applyFill="1" applyBorder="1" applyAlignment="1">
      <alignment horizontal="center" vertical="center" wrapText="1"/>
    </xf>
    <xf numFmtId="1" fontId="5" fillId="23" borderId="220" xfId="0" applyNumberFormat="1" applyFont="1" applyFill="1" applyBorder="1" applyAlignment="1">
      <alignment horizontal="center" vertical="center" wrapText="1"/>
    </xf>
    <xf numFmtId="1" fontId="5" fillId="23" borderId="435" xfId="0" applyNumberFormat="1" applyFont="1" applyFill="1" applyBorder="1" applyAlignment="1">
      <alignment horizontal="center" vertical="center" wrapText="1"/>
    </xf>
    <xf numFmtId="1" fontId="5" fillId="23" borderId="500" xfId="0" applyNumberFormat="1" applyFont="1" applyFill="1" applyBorder="1" applyAlignment="1">
      <alignment horizontal="center" vertical="center" wrapText="1"/>
    </xf>
    <xf numFmtId="1" fontId="5" fillId="23" borderId="676" xfId="0" applyNumberFormat="1" applyFont="1" applyFill="1" applyBorder="1" applyAlignment="1">
      <alignment horizontal="center" vertical="center" wrapText="1"/>
    </xf>
    <xf numFmtId="1" fontId="5" fillId="23" borderId="917" xfId="0" applyNumberFormat="1" applyFont="1" applyFill="1" applyBorder="1" applyAlignment="1">
      <alignment horizontal="center" vertical="center" wrapText="1"/>
    </xf>
    <xf numFmtId="1" fontId="5" fillId="23" borderId="932" xfId="0" applyNumberFormat="1" applyFont="1" applyFill="1" applyBorder="1" applyAlignment="1">
      <alignment horizontal="center" vertical="center" wrapText="1"/>
    </xf>
    <xf numFmtId="1" fontId="5" fillId="23" borderId="918" xfId="0" applyNumberFormat="1" applyFont="1" applyFill="1" applyBorder="1" applyAlignment="1">
      <alignment horizontal="center" vertical="center"/>
    </xf>
    <xf numFmtId="0" fontId="5" fillId="23" borderId="676" xfId="0" applyFont="1" applyFill="1" applyBorder="1" applyAlignment="1">
      <alignment horizontal="center" vertical="center" wrapText="1"/>
    </xf>
    <xf numFmtId="0" fontId="5" fillId="0" borderId="1054" xfId="0" applyFont="1" applyBorder="1" applyAlignment="1">
      <alignment horizontal="center" vertical="center"/>
    </xf>
    <xf numFmtId="0" fontId="5" fillId="0" borderId="939" xfId="0" applyFont="1" applyBorder="1" applyAlignment="1">
      <alignment horizontal="center" vertical="center"/>
    </xf>
    <xf numFmtId="1" fontId="5" fillId="5" borderId="1053" xfId="0" applyNumberFormat="1" applyFont="1" applyFill="1" applyBorder="1" applyAlignment="1" applyProtection="1">
      <alignment horizontal="center" vertical="center" wrapText="1"/>
      <protection hidden="1"/>
    </xf>
    <xf numFmtId="1" fontId="5" fillId="5" borderId="977" xfId="0" applyNumberFormat="1" applyFont="1" applyFill="1" applyBorder="1" applyAlignment="1" applyProtection="1">
      <alignment horizontal="center" vertical="center" wrapText="1"/>
      <protection hidden="1"/>
    </xf>
    <xf numFmtId="1" fontId="5" fillId="0" borderId="1060" xfId="0" applyNumberFormat="1" applyFont="1" applyBorder="1" applyAlignment="1">
      <alignment horizontal="center" vertical="center" wrapText="1"/>
    </xf>
    <xf numFmtId="1" fontId="5" fillId="0" borderId="1413" xfId="0" applyNumberFormat="1" applyFont="1" applyBorder="1" applyAlignment="1">
      <alignment horizontal="center" vertical="center" wrapText="1"/>
    </xf>
    <xf numFmtId="1" fontId="3" fillId="5" borderId="1062" xfId="0" applyNumberFormat="1" applyFont="1" applyFill="1" applyBorder="1" applyAlignment="1">
      <alignment horizontal="center" vertical="center" wrapText="1"/>
    </xf>
    <xf numFmtId="1" fontId="3" fillId="5" borderId="1060" xfId="0" applyNumberFormat="1" applyFont="1" applyFill="1" applyBorder="1" applyAlignment="1">
      <alignment horizontal="center" vertical="center" wrapText="1"/>
    </xf>
    <xf numFmtId="1" fontId="3" fillId="5" borderId="1057" xfId="0" applyNumberFormat="1" applyFont="1" applyFill="1" applyBorder="1" applyAlignment="1">
      <alignment horizontal="center" vertical="center" wrapText="1"/>
    </xf>
    <xf numFmtId="1" fontId="3" fillId="5" borderId="1061" xfId="0" applyNumberFormat="1" applyFont="1" applyFill="1" applyBorder="1" applyAlignment="1">
      <alignment horizontal="center" vertical="center"/>
    </xf>
    <xf numFmtId="1" fontId="3" fillId="5" borderId="1061" xfId="0" applyNumberFormat="1" applyFont="1" applyFill="1" applyBorder="1" applyAlignment="1">
      <alignment horizontal="center" vertical="center" wrapText="1"/>
    </xf>
    <xf numFmtId="1" fontId="3" fillId="5" borderId="917" xfId="0" applyNumberFormat="1" applyFont="1" applyFill="1" applyBorder="1" applyAlignment="1">
      <alignment horizontal="center" vertical="center" wrapText="1"/>
    </xf>
    <xf numFmtId="1" fontId="3" fillId="5" borderId="585" xfId="0" applyNumberFormat="1" applyFont="1" applyFill="1" applyBorder="1" applyAlignment="1">
      <alignment horizontal="center" vertical="center" wrapText="1"/>
    </xf>
    <xf numFmtId="1" fontId="3" fillId="5" borderId="932" xfId="0" applyNumberFormat="1" applyFont="1" applyFill="1" applyBorder="1" applyAlignment="1">
      <alignment horizontal="center" vertical="center" wrapText="1"/>
    </xf>
    <xf numFmtId="1" fontId="3" fillId="5" borderId="914" xfId="0" applyNumberFormat="1" applyFont="1" applyFill="1" applyBorder="1" applyAlignment="1">
      <alignment horizontal="center" vertical="center" wrapText="1"/>
    </xf>
    <xf numFmtId="1" fontId="3" fillId="5" borderId="916" xfId="0" applyNumberFormat="1" applyFont="1" applyFill="1" applyBorder="1" applyAlignment="1">
      <alignment horizontal="center" vertical="center" wrapText="1"/>
    </xf>
    <xf numFmtId="1" fontId="3" fillId="5" borderId="914" xfId="0" applyNumberFormat="1" applyFont="1" applyFill="1" applyBorder="1" applyAlignment="1">
      <alignment horizontal="center" vertical="center"/>
    </xf>
    <xf numFmtId="1" fontId="3" fillId="5" borderId="1062" xfId="0" applyNumberFormat="1" applyFont="1" applyFill="1" applyBorder="1" applyAlignment="1">
      <alignment horizontal="center" vertical="center"/>
    </xf>
    <xf numFmtId="1" fontId="3" fillId="5" borderId="1060" xfId="0" applyNumberFormat="1" applyFont="1" applyFill="1" applyBorder="1" applyAlignment="1">
      <alignment horizontal="center" vertical="center"/>
    </xf>
    <xf numFmtId="1" fontId="3" fillId="5" borderId="1057" xfId="0" applyNumberFormat="1" applyFont="1" applyFill="1" applyBorder="1" applyAlignment="1">
      <alignment horizontal="center" vertical="center"/>
    </xf>
    <xf numFmtId="0" fontId="3" fillId="0" borderId="917" xfId="0" applyFont="1" applyBorder="1" applyAlignment="1">
      <alignment horizontal="center" vertical="center"/>
    </xf>
    <xf numFmtId="0" fontId="3" fillId="0" borderId="585" xfId="0" applyFont="1" applyBorder="1" applyAlignment="1">
      <alignment horizontal="center" vertical="center"/>
    </xf>
    <xf numFmtId="0" fontId="3" fillId="0" borderId="932" xfId="0" applyFont="1" applyBorder="1" applyAlignment="1">
      <alignment horizontal="center" vertical="center"/>
    </xf>
    <xf numFmtId="0" fontId="3" fillId="0" borderId="918" xfId="0" applyFont="1" applyBorder="1" applyAlignment="1">
      <alignment horizontal="center" vertical="center"/>
    </xf>
    <xf numFmtId="0" fontId="5" fillId="23" borderId="555" xfId="0" applyFont="1" applyFill="1" applyBorder="1" applyAlignment="1">
      <alignment horizontal="left" vertical="center" wrapText="1"/>
    </xf>
    <xf numFmtId="0" fontId="5" fillId="23" borderId="220" xfId="0" applyFont="1" applyFill="1" applyBorder="1" applyAlignment="1">
      <alignment horizontal="left" vertical="center" wrapText="1"/>
    </xf>
    <xf numFmtId="0" fontId="5" fillId="23" borderId="947" xfId="0" applyFont="1" applyFill="1" applyBorder="1" applyAlignment="1">
      <alignment horizontal="left" vertical="center" wrapText="1"/>
    </xf>
    <xf numFmtId="0" fontId="5" fillId="0" borderId="435" xfId="0" applyFont="1" applyBorder="1" applyAlignment="1">
      <alignment horizontal="left" vertical="center" wrapText="1"/>
    </xf>
    <xf numFmtId="0" fontId="5" fillId="0" borderId="500" xfId="0" applyFont="1" applyBorder="1" applyAlignment="1">
      <alignment horizontal="left" vertical="center" wrapText="1"/>
    </xf>
    <xf numFmtId="0" fontId="5" fillId="0" borderId="676" xfId="0" applyFont="1" applyBorder="1" applyAlignment="1">
      <alignment horizontal="left" vertical="center" wrapText="1"/>
    </xf>
    <xf numFmtId="0" fontId="5" fillId="0" borderId="644" xfId="0" applyFont="1" applyBorder="1" applyAlignment="1">
      <alignment horizontal="center" vertical="center" wrapText="1"/>
    </xf>
    <xf numFmtId="1" fontId="3" fillId="0" borderId="617" xfId="0" applyNumberFormat="1" applyFont="1" applyBorder="1" applyAlignment="1">
      <alignment horizontal="left" vertical="center" wrapText="1"/>
    </xf>
    <xf numFmtId="1" fontId="3" fillId="0" borderId="500" xfId="0" applyNumberFormat="1" applyFont="1" applyBorder="1" applyAlignment="1">
      <alignment horizontal="left" vertical="center" wrapText="1"/>
    </xf>
    <xf numFmtId="1" fontId="3" fillId="0" borderId="556" xfId="0" applyNumberFormat="1" applyFont="1" applyBorder="1" applyAlignment="1">
      <alignment horizontal="left" vertical="center" wrapText="1"/>
    </xf>
    <xf numFmtId="1" fontId="3" fillId="0" borderId="623" xfId="0" applyNumberFormat="1" applyFont="1" applyBorder="1" applyAlignment="1">
      <alignment horizontal="left" vertical="center" wrapText="1"/>
    </xf>
    <xf numFmtId="1" fontId="5" fillId="0" borderId="623" xfId="0" applyNumberFormat="1" applyFont="1" applyBorder="1" applyAlignment="1">
      <alignment horizontal="center" vertical="center" wrapText="1"/>
    </xf>
    <xf numFmtId="1" fontId="5" fillId="0" borderId="556" xfId="0" applyNumberFormat="1" applyFont="1" applyBorder="1" applyAlignment="1">
      <alignment horizontal="center" vertical="center" wrapText="1"/>
    </xf>
    <xf numFmtId="0" fontId="5" fillId="0" borderId="623" xfId="0" applyFont="1" applyBorder="1" applyAlignment="1">
      <alignment horizontal="center" vertical="center"/>
    </xf>
    <xf numFmtId="0" fontId="5" fillId="0" borderId="556" xfId="0" applyFont="1" applyBorder="1" applyAlignment="1">
      <alignment horizontal="center" vertical="center"/>
    </xf>
    <xf numFmtId="0" fontId="5" fillId="0" borderId="625" xfId="0" applyFont="1" applyBorder="1" applyAlignment="1">
      <alignment horizontal="center" vertical="center"/>
    </xf>
    <xf numFmtId="0" fontId="5" fillId="0" borderId="626" xfId="0" applyFont="1" applyBorder="1" applyAlignment="1">
      <alignment horizontal="center" vertical="center"/>
    </xf>
    <xf numFmtId="0" fontId="5" fillId="0" borderId="627" xfId="0" applyFont="1" applyBorder="1" applyAlignment="1">
      <alignment horizontal="center" vertical="center"/>
    </xf>
    <xf numFmtId="0" fontId="5" fillId="0" borderId="643" xfId="0" applyFont="1" applyBorder="1" applyAlignment="1">
      <alignment horizontal="center" vertical="center" wrapText="1"/>
    </xf>
    <xf numFmtId="1" fontId="3" fillId="0" borderId="628" xfId="0" applyNumberFormat="1" applyFont="1" applyBorder="1" applyAlignment="1">
      <alignment horizontal="center" vertical="center" wrapText="1"/>
    </xf>
    <xf numFmtId="1" fontId="3" fillId="0" borderId="629" xfId="0" applyNumberFormat="1" applyFont="1" applyBorder="1" applyAlignment="1">
      <alignment horizontal="center" vertical="center" wrapText="1"/>
    </xf>
    <xf numFmtId="1" fontId="3" fillId="0" borderId="624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1" fontId="3" fillId="0" borderId="533" xfId="0" applyNumberFormat="1" applyFont="1" applyBorder="1" applyAlignment="1">
      <alignment horizontal="center" vertical="center" wrapText="1"/>
    </xf>
    <xf numFmtId="1" fontId="3" fillId="0" borderId="622" xfId="0" applyNumberFormat="1" applyFont="1" applyBorder="1" applyAlignment="1">
      <alignment horizontal="center" vertical="center"/>
    </xf>
    <xf numFmtId="1" fontId="3" fillId="0" borderId="220" xfId="0" applyNumberFormat="1" applyFont="1" applyBorder="1" applyAlignment="1">
      <alignment horizontal="center" vertical="center"/>
    </xf>
    <xf numFmtId="1" fontId="3" fillId="0" borderId="512" xfId="0" applyNumberFormat="1" applyFont="1" applyBorder="1" applyAlignment="1">
      <alignment horizontal="center" vertical="center"/>
    </xf>
    <xf numFmtId="0" fontId="3" fillId="0" borderId="625" xfId="0" applyFont="1" applyBorder="1" applyAlignment="1">
      <alignment horizontal="center" vertical="center"/>
    </xf>
    <xf numFmtId="0" fontId="3" fillId="0" borderId="626" xfId="0" applyFont="1" applyBorder="1" applyAlignment="1">
      <alignment horizontal="center" vertical="center"/>
    </xf>
    <xf numFmtId="0" fontId="3" fillId="0" borderId="627" xfId="0" applyFont="1" applyBorder="1" applyAlignment="1">
      <alignment horizontal="center" vertical="center"/>
    </xf>
    <xf numFmtId="1" fontId="5" fillId="0" borderId="607" xfId="0" applyNumberFormat="1" applyFont="1" applyBorder="1" applyAlignment="1">
      <alignment horizontal="left" vertical="center" wrapText="1"/>
    </xf>
    <xf numFmtId="1" fontId="5" fillId="0" borderId="556" xfId="0" applyNumberFormat="1" applyFont="1" applyBorder="1" applyAlignment="1">
      <alignment horizontal="left" vertical="center" wrapText="1"/>
    </xf>
    <xf numFmtId="1" fontId="5" fillId="0" borderId="617" xfId="0" applyNumberFormat="1" applyFont="1" applyBorder="1" applyAlignment="1">
      <alignment horizontal="left" vertical="center" wrapText="1"/>
    </xf>
    <xf numFmtId="0" fontId="3" fillId="0" borderId="622" xfId="0" applyFont="1" applyBorder="1" applyAlignment="1">
      <alignment horizontal="center" vertical="center"/>
    </xf>
    <xf numFmtId="0" fontId="3" fillId="0" borderId="220" xfId="0" applyFont="1" applyBorder="1" applyAlignment="1">
      <alignment horizontal="center" vertical="center"/>
    </xf>
    <xf numFmtId="0" fontId="3" fillId="0" borderId="512" xfId="0" applyFont="1" applyBorder="1" applyAlignment="1">
      <alignment horizontal="center" vertical="center"/>
    </xf>
    <xf numFmtId="1" fontId="3" fillId="0" borderId="623" xfId="0" applyNumberFormat="1" applyFont="1" applyBorder="1" applyAlignment="1">
      <alignment horizontal="center" vertical="center" wrapText="1"/>
    </xf>
    <xf numFmtId="1" fontId="3" fillId="0" borderId="500" xfId="0" applyNumberFormat="1" applyFont="1" applyBorder="1" applyAlignment="1">
      <alignment horizontal="center" vertical="center" wrapText="1"/>
    </xf>
    <xf numFmtId="1" fontId="3" fillId="0" borderId="556" xfId="0" applyNumberFormat="1" applyFont="1" applyBorder="1" applyAlignment="1">
      <alignment horizontal="center" vertical="center" wrapText="1"/>
    </xf>
    <xf numFmtId="1" fontId="3" fillId="0" borderId="631" xfId="0" applyNumberFormat="1" applyFont="1" applyBorder="1" applyAlignment="1">
      <alignment horizontal="center" vertical="center" wrapText="1"/>
    </xf>
    <xf numFmtId="1" fontId="3" fillId="0" borderId="630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/>
    </xf>
    <xf numFmtId="1" fontId="5" fillId="0" borderId="512" xfId="0" applyNumberFormat="1" applyFont="1" applyBorder="1" applyAlignment="1">
      <alignment horizontal="center" vertical="center"/>
    </xf>
    <xf numFmtId="1" fontId="5" fillId="0" borderId="607" xfId="0" applyNumberFormat="1" applyFont="1" applyBorder="1" applyAlignment="1">
      <alignment horizontal="center" vertical="center"/>
    </xf>
    <xf numFmtId="1" fontId="5" fillId="0" borderId="556" xfId="0" applyNumberFormat="1" applyFont="1" applyBorder="1" applyAlignment="1">
      <alignment horizontal="center" vertical="center"/>
    </xf>
    <xf numFmtId="1" fontId="5" fillId="0" borderId="1128" xfId="0" applyNumberFormat="1" applyFont="1" applyBorder="1" applyAlignment="1">
      <alignment horizontal="center" vertical="center"/>
    </xf>
    <xf numFmtId="1" fontId="5" fillId="0" borderId="1129" xfId="0" applyNumberFormat="1" applyFont="1" applyBorder="1" applyAlignment="1">
      <alignment horizontal="center" vertical="center"/>
    </xf>
    <xf numFmtId="1" fontId="5" fillId="0" borderId="1130" xfId="0" applyNumberFormat="1" applyFont="1" applyBorder="1" applyAlignment="1">
      <alignment horizontal="center" vertical="center"/>
    </xf>
    <xf numFmtId="1" fontId="5" fillId="0" borderId="1123" xfId="0" applyNumberFormat="1" applyFont="1" applyBorder="1" applyAlignment="1">
      <alignment horizontal="center" vertical="center"/>
    </xf>
    <xf numFmtId="1" fontId="5" fillId="0" borderId="777" xfId="0" applyNumberFormat="1" applyFont="1" applyBorder="1" applyAlignment="1">
      <alignment horizontal="center" vertical="center"/>
    </xf>
    <xf numFmtId="1" fontId="5" fillId="0" borderId="1096" xfId="0" applyNumberFormat="1" applyFont="1" applyBorder="1" applyAlignment="1">
      <alignment horizontal="center" vertical="center" wrapText="1"/>
    </xf>
    <xf numFmtId="1" fontId="5" fillId="0" borderId="1111" xfId="0" applyNumberFormat="1" applyFont="1" applyBorder="1" applyAlignment="1">
      <alignment horizontal="center" vertical="center" wrapText="1"/>
    </xf>
    <xf numFmtId="1" fontId="5" fillId="0" borderId="1110" xfId="0" applyNumberFormat="1" applyFont="1" applyBorder="1" applyAlignment="1">
      <alignment horizontal="center" vertical="center"/>
    </xf>
    <xf numFmtId="1" fontId="5" fillId="0" borderId="1112" xfId="0" applyNumberFormat="1" applyFont="1" applyBorder="1" applyAlignment="1">
      <alignment horizontal="center" vertical="center"/>
    </xf>
    <xf numFmtId="1" fontId="5" fillId="0" borderId="609" xfId="0" applyNumberFormat="1" applyFont="1" applyBorder="1" applyAlignment="1">
      <alignment horizontal="center" vertical="center"/>
    </xf>
    <xf numFmtId="1" fontId="5" fillId="0" borderId="612" xfId="0" applyNumberFormat="1" applyFont="1" applyBorder="1" applyAlignment="1">
      <alignment horizontal="center" vertical="center"/>
    </xf>
    <xf numFmtId="1" fontId="5" fillId="0" borderId="512" xfId="0" applyNumberFormat="1" applyFont="1" applyBorder="1" applyAlignment="1">
      <alignment horizontal="center" vertical="center" wrapText="1"/>
    </xf>
    <xf numFmtId="1" fontId="5" fillId="0" borderId="609" xfId="0" applyNumberFormat="1" applyFont="1" applyBorder="1" applyAlignment="1">
      <alignment horizontal="center" vertical="center" wrapText="1"/>
    </xf>
    <xf numFmtId="1" fontId="5" fillId="0" borderId="610" xfId="0" applyNumberFormat="1" applyFont="1" applyBorder="1" applyAlignment="1">
      <alignment horizontal="center" vertical="center"/>
    </xf>
    <xf numFmtId="1" fontId="5" fillId="0" borderId="611" xfId="0" applyNumberFormat="1" applyFont="1" applyBorder="1" applyAlignment="1">
      <alignment horizontal="center" vertical="center"/>
    </xf>
    <xf numFmtId="1" fontId="5" fillId="0" borderId="594" xfId="29" applyNumberFormat="1" applyFont="1" applyBorder="1" applyAlignment="1">
      <alignment horizontal="center" vertical="center" wrapText="1"/>
    </xf>
    <xf numFmtId="1" fontId="5" fillId="0" borderId="521" xfId="29" applyNumberFormat="1" applyFont="1" applyBorder="1" applyAlignment="1">
      <alignment horizontal="center" vertical="center" wrapText="1"/>
    </xf>
    <xf numFmtId="1" fontId="5" fillId="0" borderId="571" xfId="29" applyNumberFormat="1" applyFont="1" applyBorder="1" applyAlignment="1">
      <alignment horizontal="center" vertical="center" wrapText="1"/>
    </xf>
    <xf numFmtId="1" fontId="5" fillId="0" borderId="556" xfId="29" applyNumberFormat="1" applyFont="1" applyBorder="1" applyAlignment="1">
      <alignment horizontal="center" vertical="center" wrapText="1"/>
    </xf>
    <xf numFmtId="1" fontId="5" fillId="0" borderId="584" xfId="29" applyNumberFormat="1" applyFont="1" applyBorder="1" applyAlignment="1">
      <alignment horizontal="center" vertical="center" wrapText="1"/>
    </xf>
    <xf numFmtId="1" fontId="5" fillId="0" borderId="603" xfId="29" applyNumberFormat="1" applyFont="1" applyBorder="1" applyAlignment="1">
      <alignment horizontal="center" vertical="center" wrapText="1"/>
    </xf>
    <xf numFmtId="1" fontId="5" fillId="0" borderId="596" xfId="29" applyNumberFormat="1" applyFont="1" applyBorder="1" applyAlignment="1">
      <alignment horizontal="center" vertical="center" wrapText="1"/>
    </xf>
    <xf numFmtId="1" fontId="5" fillId="0" borderId="608" xfId="0" applyNumberFormat="1" applyFont="1" applyBorder="1" applyAlignment="1">
      <alignment horizontal="center" vertical="center" wrapText="1"/>
    </xf>
    <xf numFmtId="1" fontId="5" fillId="0" borderId="521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 wrapText="1"/>
    </xf>
    <xf numFmtId="1" fontId="5" fillId="0" borderId="591" xfId="30" applyNumberFormat="1" applyFont="1" applyBorder="1" applyAlignment="1">
      <alignment horizontal="center" vertical="center"/>
    </xf>
    <xf numFmtId="1" fontId="5" fillId="0" borderId="592" xfId="30" applyNumberFormat="1" applyFont="1" applyBorder="1" applyAlignment="1">
      <alignment horizontal="center" vertical="center"/>
    </xf>
    <xf numFmtId="1" fontId="5" fillId="0" borderId="521" xfId="30" applyNumberFormat="1" applyFont="1" applyBorder="1" applyAlignment="1">
      <alignment horizontal="center" vertical="center"/>
    </xf>
    <xf numFmtId="1" fontId="5" fillId="0" borderId="541" xfId="30" applyNumberFormat="1" applyFont="1" applyBorder="1" applyAlignment="1">
      <alignment horizontal="center" vertical="center"/>
    </xf>
    <xf numFmtId="1" fontId="5" fillId="0" borderId="593" xfId="30" applyNumberFormat="1" applyFont="1" applyBorder="1" applyAlignment="1">
      <alignment horizontal="center" vertical="center" wrapText="1"/>
    </xf>
    <xf numFmtId="1" fontId="5" fillId="0" borderId="592" xfId="30" applyNumberFormat="1" applyFont="1" applyBorder="1" applyAlignment="1">
      <alignment horizontal="center" vertical="center" wrapText="1"/>
    </xf>
    <xf numFmtId="1" fontId="5" fillId="0" borderId="595" xfId="30" applyNumberFormat="1" applyFont="1" applyBorder="1" applyAlignment="1">
      <alignment horizontal="center" vertical="center" wrapText="1"/>
    </xf>
    <xf numFmtId="1" fontId="5" fillId="0" borderId="541" xfId="30" applyNumberFormat="1" applyFont="1" applyBorder="1" applyAlignment="1">
      <alignment horizontal="center" vertical="center" wrapText="1"/>
    </xf>
    <xf numFmtId="1" fontId="5" fillId="0" borderId="555" xfId="30" applyNumberFormat="1" applyFont="1" applyBorder="1" applyAlignment="1">
      <alignment horizontal="center" vertical="center" wrapText="1"/>
    </xf>
    <xf numFmtId="1" fontId="5" fillId="0" borderId="220" xfId="30" applyNumberFormat="1" applyFont="1" applyBorder="1" applyAlignment="1">
      <alignment horizontal="center" vertical="center" wrapText="1"/>
    </xf>
    <xf numFmtId="1" fontId="5" fillId="0" borderId="512" xfId="30" applyNumberFormat="1" applyFont="1" applyBorder="1" applyAlignment="1">
      <alignment horizontal="center" vertical="center" wrapText="1"/>
    </xf>
    <xf numFmtId="1" fontId="5" fillId="0" borderId="594" xfId="30" applyNumberFormat="1" applyFont="1" applyBorder="1" applyAlignment="1">
      <alignment horizontal="center" vertical="center" wrapText="1"/>
    </xf>
    <xf numFmtId="1" fontId="5" fillId="0" borderId="36" xfId="30" applyNumberFormat="1" applyFont="1" applyBorder="1" applyAlignment="1">
      <alignment horizontal="center" vertical="center" wrapText="1"/>
    </xf>
    <xf numFmtId="1" fontId="5" fillId="0" borderId="521" xfId="30" applyNumberFormat="1" applyFont="1" applyBorder="1" applyAlignment="1">
      <alignment horizontal="center" vertical="center" wrapText="1"/>
    </xf>
    <xf numFmtId="1" fontId="5" fillId="0" borderId="524" xfId="30" applyNumberFormat="1" applyFont="1" applyBorder="1" applyAlignment="1">
      <alignment horizontal="center" vertical="center" wrapText="1"/>
    </xf>
    <xf numFmtId="1" fontId="18" fillId="0" borderId="584" xfId="0" applyNumberFormat="1" applyFont="1" applyBorder="1" applyAlignment="1">
      <alignment horizontal="left" vertical="center"/>
    </xf>
    <xf numFmtId="1" fontId="18" fillId="0" borderId="585" xfId="0" applyNumberFormat="1" applyFont="1" applyBorder="1" applyAlignment="1">
      <alignment horizontal="left" vertical="center"/>
    </xf>
    <xf numFmtId="1" fontId="18" fillId="0" borderId="581" xfId="0" applyNumberFormat="1" applyFont="1" applyBorder="1" applyAlignment="1">
      <alignment horizontal="left" vertical="center"/>
    </xf>
    <xf numFmtId="1" fontId="15" fillId="5" borderId="585" xfId="29" quotePrefix="1" applyNumberFormat="1" applyFont="1" applyFill="1" applyBorder="1" applyAlignment="1">
      <alignment horizontal="left"/>
    </xf>
    <xf numFmtId="1" fontId="15" fillId="5" borderId="588" xfId="29" quotePrefix="1" applyNumberFormat="1" applyFont="1" applyFill="1" applyBorder="1" applyAlignment="1">
      <alignment horizontal="left"/>
    </xf>
    <xf numFmtId="1" fontId="5" fillId="0" borderId="590" xfId="29" applyNumberFormat="1" applyFont="1" applyBorder="1" applyAlignment="1">
      <alignment horizontal="center" vertical="center" wrapText="1"/>
    </xf>
    <xf numFmtId="1" fontId="5" fillId="0" borderId="500" xfId="29" applyNumberFormat="1" applyFont="1" applyBorder="1" applyAlignment="1">
      <alignment horizontal="center" vertical="center" wrapText="1"/>
    </xf>
    <xf numFmtId="1" fontId="5" fillId="0" borderId="36" xfId="30" applyNumberFormat="1" applyFont="1" applyBorder="1" applyAlignment="1">
      <alignment horizontal="center" vertical="center"/>
    </xf>
    <xf numFmtId="1" fontId="5" fillId="0" borderId="555" xfId="30" applyNumberFormat="1" applyFont="1" applyBorder="1" applyAlignment="1">
      <alignment horizontal="center" vertical="center"/>
    </xf>
    <xf numFmtId="1" fontId="5" fillId="0" borderId="524" xfId="30" applyNumberFormat="1" applyFont="1" applyBorder="1" applyAlignment="1">
      <alignment horizontal="center" vertical="center"/>
    </xf>
    <xf numFmtId="1" fontId="5" fillId="0" borderId="512" xfId="30" applyNumberFormat="1" applyFont="1" applyBorder="1" applyAlignment="1">
      <alignment horizontal="center" vertical="center"/>
    </xf>
    <xf numFmtId="1" fontId="5" fillId="0" borderId="550" xfId="0" applyNumberFormat="1" applyFont="1" applyBorder="1" applyAlignment="1">
      <alignment horizontal="center" vertical="center"/>
    </xf>
    <xf numFmtId="1" fontId="5" fillId="0" borderId="550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center" vertical="center" wrapText="1"/>
    </xf>
    <xf numFmtId="1" fontId="5" fillId="0" borderId="568" xfId="0" applyNumberFormat="1" applyFont="1" applyBorder="1" applyAlignment="1">
      <alignment horizontal="center" vertical="center" wrapText="1"/>
    </xf>
    <xf numFmtId="1" fontId="5" fillId="0" borderId="560" xfId="0" applyNumberFormat="1" applyFont="1" applyBorder="1" applyAlignment="1">
      <alignment horizontal="center" vertical="center" wrapText="1"/>
    </xf>
    <xf numFmtId="1" fontId="5" fillId="0" borderId="576" xfId="0" applyNumberFormat="1" applyFont="1" applyBorder="1" applyAlignment="1">
      <alignment horizontal="left" vertical="center"/>
    </xf>
    <xf numFmtId="1" fontId="5" fillId="0" borderId="571" xfId="0" applyNumberFormat="1" applyFont="1" applyBorder="1" applyAlignment="1">
      <alignment horizontal="center" vertical="center" wrapText="1"/>
    </xf>
    <xf numFmtId="1" fontId="5" fillId="0" borderId="568" xfId="0" applyNumberFormat="1" applyFont="1" applyBorder="1" applyAlignment="1">
      <alignment horizontal="center" vertical="center"/>
    </xf>
    <xf numFmtId="1" fontId="5" fillId="0" borderId="560" xfId="0" applyNumberFormat="1" applyFont="1" applyBorder="1" applyAlignment="1">
      <alignment horizontal="center" vertical="center"/>
    </xf>
    <xf numFmtId="1" fontId="15" fillId="0" borderId="561" xfId="0" applyNumberFormat="1" applyFont="1" applyBorder="1" applyAlignment="1">
      <alignment horizontal="left"/>
    </xf>
    <xf numFmtId="1" fontId="5" fillId="0" borderId="566" xfId="0" applyNumberFormat="1" applyFont="1" applyBorder="1" applyAlignment="1">
      <alignment horizontal="center" vertical="center"/>
    </xf>
    <xf numFmtId="1" fontId="5" fillId="0" borderId="567" xfId="0" applyNumberFormat="1" applyFont="1" applyBorder="1" applyAlignment="1">
      <alignment horizontal="center" vertical="center" wrapText="1"/>
    </xf>
    <xf numFmtId="1" fontId="5" fillId="0" borderId="411" xfId="0" applyNumberFormat="1" applyFont="1" applyBorder="1" applyAlignment="1">
      <alignment horizontal="center" vertical="center" wrapText="1"/>
    </xf>
    <xf numFmtId="1" fontId="5" fillId="0" borderId="561" xfId="0" applyNumberFormat="1" applyFont="1" applyBorder="1" applyAlignment="1">
      <alignment horizontal="center" vertical="center"/>
    </xf>
    <xf numFmtId="1" fontId="5" fillId="0" borderId="569" xfId="0" applyNumberFormat="1" applyFont="1" applyBorder="1" applyAlignment="1">
      <alignment horizontal="center" vertical="center"/>
    </xf>
    <xf numFmtId="1" fontId="5" fillId="0" borderId="570" xfId="0" applyNumberFormat="1" applyFont="1" applyBorder="1" applyAlignment="1">
      <alignment horizontal="center" vertical="center" wrapText="1"/>
    </xf>
    <xf numFmtId="1" fontId="5" fillId="0" borderId="575" xfId="0" applyNumberFormat="1" applyFont="1" applyBorder="1" applyAlignment="1">
      <alignment horizontal="center" vertical="center" wrapText="1"/>
    </xf>
    <xf numFmtId="1" fontId="5" fillId="0" borderId="522" xfId="0" applyNumberFormat="1" applyFont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431" xfId="0" applyNumberFormat="1" applyFont="1" applyBorder="1" applyAlignment="1">
      <alignment horizontal="center" vertical="center" wrapText="1"/>
    </xf>
    <xf numFmtId="1" fontId="5" fillId="0" borderId="539" xfId="0" applyNumberFormat="1" applyFont="1" applyBorder="1" applyAlignment="1">
      <alignment horizontal="center" vertical="center"/>
    </xf>
    <xf numFmtId="1" fontId="5" fillId="0" borderId="508" xfId="0" applyNumberFormat="1" applyFont="1" applyBorder="1" applyAlignment="1">
      <alignment horizontal="center" vertical="center"/>
    </xf>
    <xf numFmtId="1" fontId="5" fillId="0" borderId="540" xfId="0" applyNumberFormat="1" applyFont="1" applyBorder="1" applyAlignment="1">
      <alignment horizontal="center" vertical="center" wrapText="1"/>
    </xf>
    <xf numFmtId="1" fontId="5" fillId="0" borderId="522" xfId="0" applyNumberFormat="1" applyFont="1" applyBorder="1" applyAlignment="1">
      <alignment horizontal="center" vertical="center"/>
    </xf>
    <xf numFmtId="1" fontId="5" fillId="0" borderId="433" xfId="0" applyNumberFormat="1" applyFont="1" applyBorder="1" applyAlignment="1">
      <alignment horizontal="center" vertical="center"/>
    </xf>
    <xf numFmtId="1" fontId="5" fillId="0" borderId="508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center" vertical="center" wrapText="1"/>
    </xf>
    <xf numFmtId="1" fontId="5" fillId="0" borderId="436" xfId="0" applyNumberFormat="1" applyFont="1" applyBorder="1" applyAlignment="1">
      <alignment horizontal="center" vertical="center" wrapText="1"/>
    </xf>
    <xf numFmtId="1" fontId="5" fillId="0" borderId="541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3" fillId="5" borderId="699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676" xfId="0" applyFont="1" applyFill="1" applyBorder="1" applyAlignment="1">
      <alignment horizontal="center" vertical="center" wrapText="1"/>
    </xf>
    <xf numFmtId="1" fontId="3" fillId="0" borderId="692" xfId="0" applyNumberFormat="1" applyFont="1" applyBorder="1" applyAlignment="1">
      <alignment horizontal="center"/>
    </xf>
    <xf numFmtId="1" fontId="3" fillId="0" borderId="694" xfId="0" applyNumberFormat="1" applyFont="1" applyBorder="1" applyAlignment="1">
      <alignment horizontal="center"/>
    </xf>
    <xf numFmtId="1" fontId="3" fillId="0" borderId="692" xfId="0" applyNumberFormat="1" applyFont="1" applyBorder="1" applyAlignment="1">
      <alignment horizontal="center" vertical="center" wrapText="1"/>
    </xf>
    <xf numFmtId="1" fontId="3" fillId="0" borderId="694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 applyAlignment="1">
      <alignment horizontal="center" vertical="center"/>
    </xf>
    <xf numFmtId="1" fontId="3" fillId="0" borderId="220" xfId="0" applyNumberFormat="1" applyFont="1" applyBorder="1" applyAlignment="1">
      <alignment horizontal="center" vertical="center" wrapText="1"/>
    </xf>
    <xf numFmtId="1" fontId="3" fillId="0" borderId="699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1" fontId="3" fillId="0" borderId="676" xfId="0" applyNumberFormat="1" applyFont="1" applyBorder="1" applyAlignment="1">
      <alignment horizontal="center" vertical="center" wrapText="1"/>
    </xf>
    <xf numFmtId="1" fontId="3" fillId="0" borderId="693" xfId="0" applyNumberFormat="1" applyFont="1" applyBorder="1" applyAlignment="1">
      <alignment horizontal="center" vertical="center" wrapText="1"/>
    </xf>
    <xf numFmtId="1" fontId="3" fillId="0" borderId="695" xfId="0" applyNumberFormat="1" applyFont="1" applyBorder="1" applyAlignment="1">
      <alignment horizontal="center" vertical="center" wrapText="1"/>
    </xf>
    <xf numFmtId="1" fontId="3" fillId="0" borderId="699" xfId="0" applyNumberFormat="1" applyFont="1" applyBorder="1" applyAlignment="1">
      <alignment horizontal="left" vertical="center" wrapText="1"/>
    </xf>
    <xf numFmtId="1" fontId="3" fillId="0" borderId="26" xfId="0" applyNumberFormat="1" applyFont="1" applyBorder="1" applyAlignment="1">
      <alignment horizontal="left" vertical="center" wrapText="1"/>
    </xf>
    <xf numFmtId="1" fontId="3" fillId="0" borderId="676" xfId="0" applyNumberFormat="1" applyFont="1" applyBorder="1" applyAlignment="1">
      <alignment horizontal="left" vertical="center" wrapText="1"/>
    </xf>
    <xf numFmtId="1" fontId="3" fillId="0" borderId="555" xfId="0" applyNumberFormat="1" applyFont="1" applyBorder="1" applyAlignment="1">
      <alignment horizontal="left" vertical="center" wrapText="1"/>
    </xf>
    <xf numFmtId="1" fontId="3" fillId="0" borderId="220" xfId="0" applyNumberFormat="1" applyFont="1" applyBorder="1" applyAlignment="1">
      <alignment horizontal="left" vertical="center" wrapText="1"/>
    </xf>
    <xf numFmtId="1" fontId="3" fillId="0" borderId="737" xfId="0" applyNumberFormat="1" applyFont="1" applyBorder="1" applyAlignment="1">
      <alignment horizontal="left" vertical="center" wrapText="1"/>
    </xf>
    <xf numFmtId="1" fontId="3" fillId="0" borderId="699" xfId="0" applyNumberFormat="1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1" fontId="3" fillId="0" borderId="676" xfId="0" applyNumberFormat="1" applyFont="1" applyBorder="1" applyAlignment="1">
      <alignment horizontal="center" vertical="center"/>
    </xf>
    <xf numFmtId="1" fontId="3" fillId="0" borderId="691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1" fontId="3" fillId="0" borderId="738" xfId="0" applyNumberFormat="1" applyFont="1" applyBorder="1" applyAlignment="1">
      <alignment horizontal="center" vertical="center" wrapText="1"/>
    </xf>
    <xf numFmtId="1" fontId="3" fillId="0" borderId="524" xfId="0" applyNumberFormat="1" applyFont="1" applyBorder="1" applyAlignment="1">
      <alignment horizontal="center" vertical="center" wrapText="1"/>
    </xf>
    <xf numFmtId="1" fontId="3" fillId="0" borderId="692" xfId="0" applyNumberFormat="1" applyFont="1" applyBorder="1" applyAlignment="1" applyProtection="1">
      <alignment horizontal="center" vertical="center" wrapText="1"/>
      <protection locked="0"/>
    </xf>
    <xf numFmtId="1" fontId="3" fillId="0" borderId="693" xfId="0" applyNumberFormat="1" applyFont="1" applyBorder="1" applyAlignment="1" applyProtection="1">
      <alignment horizontal="center" vertical="center" wrapText="1"/>
      <protection locked="0"/>
    </xf>
    <xf numFmtId="1" fontId="3" fillId="0" borderId="695" xfId="0" applyNumberFormat="1" applyFont="1" applyBorder="1" applyAlignment="1" applyProtection="1">
      <alignment horizontal="center" vertical="center" wrapText="1"/>
      <protection locked="0"/>
    </xf>
    <xf numFmtId="1" fontId="3" fillId="0" borderId="725" xfId="0" applyNumberFormat="1" applyFont="1" applyBorder="1" applyAlignment="1">
      <alignment horizontal="center" vertical="center" wrapText="1"/>
    </xf>
    <xf numFmtId="1" fontId="3" fillId="0" borderId="651" xfId="0" applyNumberFormat="1" applyFont="1" applyBorder="1" applyAlignment="1">
      <alignment horizontal="center" vertical="center" wrapText="1"/>
    </xf>
    <xf numFmtId="1" fontId="3" fillId="0" borderId="727" xfId="0" applyNumberFormat="1" applyFont="1" applyBorder="1" applyAlignment="1">
      <alignment horizontal="center" vertical="center" wrapText="1"/>
    </xf>
    <xf numFmtId="1" fontId="3" fillId="0" borderId="511" xfId="0" applyNumberFormat="1" applyFont="1" applyBorder="1" applyAlignment="1">
      <alignment horizontal="center" vertical="center" wrapText="1"/>
    </xf>
    <xf numFmtId="1" fontId="3" fillId="0" borderId="748" xfId="0" applyNumberFormat="1" applyFont="1" applyBorder="1" applyAlignment="1">
      <alignment horizontal="center" vertical="center" wrapText="1"/>
    </xf>
    <xf numFmtId="1" fontId="3" fillId="0" borderId="662" xfId="0" applyNumberFormat="1" applyFont="1" applyBorder="1" applyAlignment="1">
      <alignment horizontal="center" vertical="center" wrapText="1"/>
    </xf>
    <xf numFmtId="1" fontId="3" fillId="0" borderId="755" xfId="0" applyNumberFormat="1" applyFont="1" applyBorder="1" applyAlignment="1">
      <alignment horizontal="center" vertical="center" wrapText="1"/>
    </xf>
    <xf numFmtId="1" fontId="3" fillId="0" borderId="779" xfId="0" applyNumberFormat="1" applyFont="1" applyBorder="1" applyAlignment="1">
      <alignment horizontal="center" vertical="center" wrapText="1"/>
    </xf>
    <xf numFmtId="1" fontId="3" fillId="0" borderId="780" xfId="0" applyNumberFormat="1" applyFont="1" applyBorder="1" applyAlignment="1">
      <alignment horizontal="center" vertical="center" wrapText="1"/>
    </xf>
    <xf numFmtId="1" fontId="3" fillId="0" borderId="728" xfId="0" applyNumberFormat="1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/>
    <xf numFmtId="1" fontId="3" fillId="0" borderId="1343" xfId="0" applyNumberFormat="1" applyFont="1" applyBorder="1" applyAlignment="1">
      <alignment horizontal="center" vertical="center" wrapText="1"/>
    </xf>
    <xf numFmtId="0" fontId="70" fillId="0" borderId="1345" xfId="0" applyFont="1" applyBorder="1" applyAlignment="1">
      <alignment horizontal="center" vertical="center" wrapText="1"/>
    </xf>
    <xf numFmtId="0" fontId="5" fillId="0" borderId="977" xfId="0" applyFont="1" applyBorder="1" applyAlignment="1">
      <alignment horizontal="center" vertical="center" wrapText="1"/>
    </xf>
    <xf numFmtId="0" fontId="5" fillId="0" borderId="1362" xfId="0" applyFont="1" applyBorder="1" applyAlignment="1">
      <alignment horizontal="center" vertical="center" wrapText="1"/>
    </xf>
    <xf numFmtId="1" fontId="3" fillId="0" borderId="743" xfId="0" applyNumberFormat="1" applyFont="1" applyBorder="1" applyAlignment="1">
      <alignment horizontal="center" vertical="center" wrapText="1"/>
    </xf>
    <xf numFmtId="1" fontId="3" fillId="0" borderId="744" xfId="0" applyNumberFormat="1" applyFont="1" applyBorder="1" applyAlignment="1">
      <alignment horizontal="center" vertical="center" wrapText="1"/>
    </xf>
    <xf numFmtId="1" fontId="3" fillId="0" borderId="745" xfId="0" applyNumberFormat="1" applyFont="1" applyBorder="1" applyAlignment="1">
      <alignment horizontal="center" vertical="center" wrapText="1"/>
    </xf>
    <xf numFmtId="1" fontId="3" fillId="0" borderId="746" xfId="0" applyNumberFormat="1" applyFont="1" applyBorder="1" applyAlignment="1">
      <alignment horizontal="center" vertical="center" wrapText="1"/>
    </xf>
    <xf numFmtId="1" fontId="3" fillId="0" borderId="747" xfId="0" applyNumberFormat="1" applyFont="1" applyBorder="1" applyAlignment="1">
      <alignment horizontal="center" vertical="center" wrapText="1"/>
    </xf>
    <xf numFmtId="1" fontId="3" fillId="0" borderId="1345" xfId="0" applyNumberFormat="1" applyFont="1" applyBorder="1" applyAlignment="1">
      <alignment horizontal="center" vertical="center" wrapText="1"/>
    </xf>
    <xf numFmtId="1" fontId="3" fillId="0" borderId="977" xfId="0" applyNumberFormat="1" applyFont="1" applyBorder="1" applyAlignment="1">
      <alignment horizontal="center" vertical="center" wrapText="1"/>
    </xf>
    <xf numFmtId="1" fontId="3" fillId="0" borderId="1362" xfId="0" applyNumberFormat="1" applyFont="1" applyBorder="1" applyAlignment="1">
      <alignment horizontal="center" vertical="center" wrapText="1"/>
    </xf>
    <xf numFmtId="1" fontId="70" fillId="0" borderId="1314" xfId="15" applyNumberFormat="1" applyFont="1" applyBorder="1" applyAlignment="1">
      <alignment horizontal="center" vertical="center" wrapText="1"/>
    </xf>
    <xf numFmtId="1" fontId="70" fillId="0" borderId="43" xfId="15" applyNumberFormat="1" applyFont="1" applyBorder="1" applyAlignment="1">
      <alignment horizontal="center" vertical="center" wrapText="1"/>
    </xf>
    <xf numFmtId="1" fontId="70" fillId="0" borderId="1365" xfId="15" applyNumberFormat="1" applyFont="1" applyBorder="1" applyAlignment="1">
      <alignment horizontal="center" vertical="center" wrapText="1"/>
    </xf>
    <xf numFmtId="1" fontId="3" fillId="0" borderId="718" xfId="0" applyNumberFormat="1" applyFont="1" applyBorder="1" applyAlignment="1">
      <alignment horizontal="center" vertical="center" wrapText="1"/>
    </xf>
    <xf numFmtId="1" fontId="3" fillId="0" borderId="692" xfId="0" applyNumberFormat="1" applyFont="1" applyBorder="1" applyAlignment="1">
      <alignment horizontal="center" vertical="center"/>
    </xf>
    <xf numFmtId="1" fontId="3" fillId="0" borderId="694" xfId="0" applyNumberFormat="1" applyFont="1" applyBorder="1" applyAlignment="1">
      <alignment horizontal="center" vertical="center"/>
    </xf>
    <xf numFmtId="1" fontId="3" fillId="0" borderId="59" xfId="0" applyNumberFormat="1" applyFont="1" applyBorder="1" applyAlignment="1">
      <alignment wrapText="1"/>
    </xf>
    <xf numFmtId="1" fontId="3" fillId="0" borderId="22" xfId="0" applyNumberFormat="1" applyFont="1" applyBorder="1" applyAlignment="1">
      <alignment wrapText="1"/>
    </xf>
    <xf numFmtId="1" fontId="3" fillId="5" borderId="11" xfId="0" applyNumberFormat="1" applyFont="1" applyFill="1" applyBorder="1" applyAlignment="1">
      <alignment wrapText="1"/>
    </xf>
    <xf numFmtId="1" fontId="3" fillId="5" borderId="12" xfId="0" applyNumberFormat="1" applyFont="1" applyFill="1" applyBorder="1" applyAlignment="1">
      <alignment wrapText="1"/>
    </xf>
    <xf numFmtId="1" fontId="3" fillId="0" borderId="663" xfId="0" applyNumberFormat="1" applyFont="1" applyBorder="1" applyAlignment="1">
      <alignment horizontal="center" vertical="center" wrapText="1"/>
    </xf>
    <xf numFmtId="1" fontId="3" fillId="0" borderId="693" xfId="0" applyNumberFormat="1" applyFont="1" applyBorder="1" applyAlignment="1">
      <alignment horizontal="center" vertical="center"/>
    </xf>
    <xf numFmtId="1" fontId="3" fillId="0" borderId="695" xfId="0" applyNumberFormat="1" applyFont="1" applyBorder="1" applyAlignment="1">
      <alignment horizontal="center" vertical="center"/>
    </xf>
    <xf numFmtId="1" fontId="3" fillId="0" borderId="726" xfId="0" applyNumberFormat="1" applyFont="1" applyBorder="1" applyAlignment="1">
      <alignment horizontal="center" vertical="center" wrapText="1"/>
    </xf>
    <xf numFmtId="0" fontId="3" fillId="0" borderId="693" xfId="0" applyFont="1" applyBorder="1" applyAlignment="1">
      <alignment wrapText="1"/>
    </xf>
    <xf numFmtId="0" fontId="3" fillId="0" borderId="694" xfId="0" applyFont="1" applyBorder="1" applyAlignment="1">
      <alignment wrapText="1"/>
    </xf>
    <xf numFmtId="1" fontId="3" fillId="0" borderId="704" xfId="0" applyNumberFormat="1" applyFont="1" applyBorder="1" applyAlignment="1">
      <alignment wrapText="1"/>
    </xf>
    <xf numFmtId="1" fontId="3" fillId="0" borderId="691" xfId="0" applyNumberFormat="1" applyFont="1" applyBorder="1" applyAlignment="1">
      <alignment horizontal="center" vertical="center"/>
    </xf>
    <xf numFmtId="1" fontId="3" fillId="0" borderId="36" xfId="0" applyNumberFormat="1" applyFont="1" applyBorder="1" applyAlignment="1">
      <alignment horizontal="center" vertical="center"/>
    </xf>
    <xf numFmtId="1" fontId="3" fillId="0" borderId="555" xfId="0" applyNumberFormat="1" applyFont="1" applyBorder="1" applyAlignment="1">
      <alignment horizontal="center" vertical="center"/>
    </xf>
    <xf numFmtId="1" fontId="3" fillId="0" borderId="738" xfId="0" applyNumberFormat="1" applyFont="1" applyBorder="1" applyAlignment="1">
      <alignment horizontal="center" vertical="center"/>
    </xf>
    <xf numFmtId="1" fontId="3" fillId="0" borderId="524" xfId="0" applyNumberFormat="1" applyFont="1" applyBorder="1" applyAlignment="1">
      <alignment horizontal="center" vertical="center"/>
    </xf>
    <xf numFmtId="1" fontId="3" fillId="0" borderId="737" xfId="0" applyNumberFormat="1" applyFont="1" applyBorder="1" applyAlignment="1">
      <alignment horizontal="center" vertical="center"/>
    </xf>
    <xf numFmtId="1" fontId="3" fillId="0" borderId="755" xfId="0" applyNumberFormat="1" applyFont="1" applyBorder="1" applyAlignment="1">
      <alignment horizontal="center" vertical="center"/>
    </xf>
    <xf numFmtId="1" fontId="3" fillId="0" borderId="779" xfId="0" applyNumberFormat="1" applyFont="1" applyBorder="1" applyAlignment="1">
      <alignment horizontal="center" vertical="center"/>
    </xf>
    <xf numFmtId="1" fontId="3" fillId="0" borderId="780" xfId="0" applyNumberFormat="1" applyFont="1" applyBorder="1" applyAlignment="1">
      <alignment horizontal="center" vertical="center"/>
    </xf>
    <xf numFmtId="1" fontId="3" fillId="0" borderId="1062" xfId="0" applyNumberFormat="1" applyFont="1" applyBorder="1" applyAlignment="1">
      <alignment horizontal="center" vertical="center" wrapText="1"/>
    </xf>
    <xf numFmtId="1" fontId="3" fillId="0" borderId="1057" xfId="0" applyNumberFormat="1" applyFont="1" applyBorder="1" applyAlignment="1">
      <alignment horizontal="center" vertical="center" wrapText="1"/>
    </xf>
    <xf numFmtId="1" fontId="3" fillId="0" borderId="220" xfId="0" applyNumberFormat="1" applyFont="1" applyBorder="1" applyAlignment="1">
      <alignment horizontal="left" vertical="center"/>
    </xf>
    <xf numFmtId="1" fontId="3" fillId="0" borderId="652" xfId="0" applyNumberFormat="1" applyFont="1" applyBorder="1" applyAlignment="1">
      <alignment horizontal="left" vertical="center"/>
    </xf>
    <xf numFmtId="1" fontId="3" fillId="0" borderId="555" xfId="0" applyNumberFormat="1" applyFont="1" applyBorder="1" applyAlignment="1">
      <alignment horizontal="left" vertical="center"/>
    </xf>
    <xf numFmtId="1" fontId="3" fillId="0" borderId="737" xfId="0" applyNumberFormat="1" applyFont="1" applyBorder="1" applyAlignment="1">
      <alignment horizontal="left" vertical="center"/>
    </xf>
    <xf numFmtId="1" fontId="3" fillId="0" borderId="684" xfId="0" applyNumberFormat="1" applyFont="1" applyBorder="1" applyAlignment="1">
      <alignment horizontal="center" vertical="center" wrapText="1"/>
    </xf>
    <xf numFmtId="1" fontId="3" fillId="0" borderId="652" xfId="0" applyNumberFormat="1" applyFont="1" applyBorder="1" applyAlignment="1">
      <alignment horizontal="center" vertical="center" wrapText="1"/>
    </xf>
    <xf numFmtId="1" fontId="3" fillId="0" borderId="717" xfId="0" applyNumberFormat="1" applyFont="1" applyBorder="1" applyAlignment="1">
      <alignment horizontal="center" vertical="center" wrapText="1"/>
    </xf>
    <xf numFmtId="1" fontId="3" fillId="0" borderId="699" xfId="0" applyNumberFormat="1" applyFont="1" applyBorder="1" applyAlignment="1" applyProtection="1">
      <alignment horizontal="left" vertical="center" wrapText="1"/>
      <protection hidden="1"/>
    </xf>
    <xf numFmtId="1" fontId="3" fillId="0" borderId="676" xfId="0" applyNumberFormat="1" applyFont="1" applyBorder="1" applyAlignment="1" applyProtection="1">
      <alignment horizontal="left" vertical="center" wrapText="1"/>
      <protection hidden="1"/>
    </xf>
    <xf numFmtId="1" fontId="3" fillId="0" borderId="692" xfId="0" applyNumberFormat="1" applyFont="1" applyBorder="1" applyAlignment="1" applyProtection="1">
      <alignment horizontal="center" vertical="center"/>
      <protection hidden="1"/>
    </xf>
    <xf numFmtId="1" fontId="3" fillId="0" borderId="693" xfId="0" applyNumberFormat="1" applyFont="1" applyBorder="1" applyAlignment="1" applyProtection="1">
      <alignment horizontal="center" vertical="center"/>
      <protection hidden="1"/>
    </xf>
    <xf numFmtId="1" fontId="3" fillId="0" borderId="695" xfId="0" applyNumberFormat="1" applyFont="1" applyBorder="1" applyAlignment="1" applyProtection="1">
      <alignment horizontal="center" vertical="center"/>
      <protection hidden="1"/>
    </xf>
    <xf numFmtId="1" fontId="3" fillId="0" borderId="190" xfId="0" applyNumberFormat="1" applyFont="1" applyBorder="1" applyAlignment="1">
      <alignment horizontal="left" wrapText="1"/>
    </xf>
    <xf numFmtId="1" fontId="3" fillId="0" borderId="1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left" wrapText="1"/>
    </xf>
    <xf numFmtId="1" fontId="3" fillId="0" borderId="12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wrapText="1"/>
    </xf>
    <xf numFmtId="1" fontId="3" fillId="0" borderId="12" xfId="0" applyNumberFormat="1" applyFont="1" applyBorder="1" applyAlignment="1">
      <alignment wrapText="1"/>
    </xf>
    <xf numFmtId="1" fontId="3" fillId="0" borderId="699" xfId="0" applyNumberFormat="1" applyFont="1" applyBorder="1" applyAlignment="1" applyProtection="1">
      <alignment horizontal="center" vertical="center"/>
      <protection hidden="1"/>
    </xf>
    <xf numFmtId="1" fontId="3" fillId="0" borderId="26" xfId="0" applyNumberFormat="1" applyFont="1" applyBorder="1" applyAlignment="1" applyProtection="1">
      <alignment horizontal="center" vertical="center"/>
      <protection hidden="1"/>
    </xf>
    <xf numFmtId="1" fontId="3" fillId="0" borderId="676" xfId="0" applyNumberFormat="1" applyFont="1" applyBorder="1" applyAlignment="1" applyProtection="1">
      <alignment horizontal="center" vertical="center"/>
      <protection hidden="1"/>
    </xf>
    <xf numFmtId="1" fontId="3" fillId="0" borderId="699" xfId="0" applyNumberFormat="1" applyFont="1" applyBorder="1" applyAlignment="1" applyProtection="1">
      <alignment horizontal="center" vertical="center" wrapText="1"/>
      <protection hidden="1"/>
    </xf>
    <xf numFmtId="1" fontId="3" fillId="0" borderId="26" xfId="0" applyNumberFormat="1" applyFont="1" applyBorder="1" applyAlignment="1" applyProtection="1">
      <alignment horizontal="center" vertical="center" wrapText="1"/>
      <protection hidden="1"/>
    </xf>
    <xf numFmtId="1" fontId="3" fillId="0" borderId="676" xfId="0" applyNumberFormat="1" applyFont="1" applyBorder="1" applyAlignment="1" applyProtection="1">
      <alignment horizontal="center" vertical="center" wrapText="1"/>
      <protection hidden="1"/>
    </xf>
    <xf numFmtId="1" fontId="5" fillId="0" borderId="699" xfId="0" applyNumberFormat="1" applyFont="1" applyBorder="1" applyAlignment="1">
      <alignment horizontal="left" vertical="center" wrapText="1"/>
    </xf>
    <xf numFmtId="1" fontId="5" fillId="0" borderId="26" xfId="0" applyNumberFormat="1" applyFont="1" applyBorder="1" applyAlignment="1">
      <alignment horizontal="left" vertical="center" wrapText="1"/>
    </xf>
    <xf numFmtId="1" fontId="5" fillId="0" borderId="685" xfId="0" applyNumberFormat="1" applyFont="1" applyBorder="1" applyAlignment="1">
      <alignment horizontal="left" wrapText="1"/>
    </xf>
    <xf numFmtId="1" fontId="5" fillId="0" borderId="703" xfId="0" applyNumberFormat="1" applyFont="1" applyBorder="1" applyAlignment="1">
      <alignment horizontal="left" wrapText="1"/>
    </xf>
    <xf numFmtId="1" fontId="3" fillId="0" borderId="190" xfId="0" applyNumberFormat="1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left" vertical="center" wrapText="1"/>
    </xf>
    <xf numFmtId="1" fontId="2" fillId="0" borderId="692" xfId="0" applyNumberFormat="1" applyFont="1" applyBorder="1" applyAlignment="1">
      <alignment wrapText="1"/>
    </xf>
    <xf numFmtId="1" fontId="2" fillId="0" borderId="694" xfId="0" applyNumberFormat="1" applyFont="1" applyBorder="1" applyAlignment="1">
      <alignment wrapText="1"/>
    </xf>
    <xf numFmtId="1" fontId="3" fillId="0" borderId="692" xfId="0" applyNumberFormat="1" applyFont="1" applyBorder="1" applyAlignment="1">
      <alignment wrapText="1"/>
    </xf>
    <xf numFmtId="1" fontId="3" fillId="0" borderId="694" xfId="0" applyNumberFormat="1" applyFont="1" applyBorder="1" applyAlignment="1">
      <alignment wrapText="1"/>
    </xf>
    <xf numFmtId="1" fontId="2" fillId="0" borderId="692" xfId="0" applyNumberFormat="1" applyFont="1" applyBorder="1"/>
    <xf numFmtId="1" fontId="2" fillId="0" borderId="694" xfId="0" applyNumberFormat="1" applyFont="1" applyBorder="1"/>
    <xf numFmtId="1" fontId="3" fillId="0" borderId="1423" xfId="0" applyNumberFormat="1" applyFont="1" applyBorder="1" applyAlignment="1">
      <alignment horizontal="center" vertical="center" wrapText="1"/>
    </xf>
    <xf numFmtId="1" fontId="3" fillId="0" borderId="1407" xfId="0" applyNumberFormat="1" applyFont="1" applyBorder="1" applyAlignment="1">
      <alignment horizontal="center" vertical="center" wrapText="1"/>
    </xf>
    <xf numFmtId="1" fontId="3" fillId="0" borderId="1403" xfId="0" applyNumberFormat="1" applyFont="1" applyBorder="1" applyAlignment="1">
      <alignment horizontal="center" vertical="center" wrapText="1"/>
    </xf>
    <xf numFmtId="1" fontId="3" fillId="0" borderId="792" xfId="0" applyNumberFormat="1" applyFont="1" applyBorder="1" applyAlignment="1">
      <alignment horizontal="center" vertical="center" wrapText="1"/>
    </xf>
    <xf numFmtId="1" fontId="3" fillId="0" borderId="638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1" fontId="2" fillId="0" borderId="693" xfId="0" applyNumberFormat="1" applyFont="1" applyBorder="1"/>
    <xf numFmtId="1" fontId="3" fillId="0" borderId="716" xfId="0" applyNumberFormat="1" applyFont="1" applyBorder="1" applyAlignment="1">
      <alignment horizontal="center" vertical="center" wrapText="1"/>
    </xf>
    <xf numFmtId="1" fontId="3" fillId="0" borderId="47" xfId="0" applyNumberFormat="1" applyFont="1" applyBorder="1" applyAlignment="1">
      <alignment horizontal="center" vertical="center" wrapText="1"/>
    </xf>
    <xf numFmtId="1" fontId="3" fillId="0" borderId="1345" xfId="0" applyNumberFormat="1" applyFont="1" applyBorder="1" applyAlignment="1">
      <alignment horizontal="left" vertical="center" wrapText="1"/>
    </xf>
    <xf numFmtId="1" fontId="3" fillId="0" borderId="977" xfId="0" applyNumberFormat="1" applyFont="1" applyBorder="1" applyAlignment="1">
      <alignment horizontal="left" vertical="center" wrapText="1"/>
    </xf>
    <xf numFmtId="1" fontId="3" fillId="0" borderId="1362" xfId="0" applyNumberFormat="1" applyFont="1" applyBorder="1" applyAlignment="1">
      <alignment horizontal="left" vertical="center" wrapText="1"/>
    </xf>
    <xf numFmtId="1" fontId="3" fillId="0" borderId="704" xfId="0" applyNumberFormat="1" applyFont="1" applyBorder="1" applyAlignment="1">
      <alignment horizontal="center"/>
    </xf>
    <xf numFmtId="1" fontId="3" fillId="0" borderId="676" xfId="0" applyNumberFormat="1" applyFont="1" applyBorder="1" applyAlignment="1">
      <alignment horizontal="center"/>
    </xf>
    <xf numFmtId="1" fontId="3" fillId="0" borderId="684" xfId="0" applyNumberFormat="1" applyFont="1" applyBorder="1"/>
    <xf numFmtId="1" fontId="3" fillId="0" borderId="652" xfId="0" applyNumberFormat="1" applyFont="1" applyBorder="1"/>
    <xf numFmtId="1" fontId="3" fillId="0" borderId="708" xfId="0" applyNumberFormat="1" applyFont="1" applyBorder="1" applyAlignment="1">
      <alignment horizontal="center" vertical="center" wrapText="1"/>
    </xf>
    <xf numFmtId="1" fontId="3" fillId="0" borderId="685" xfId="0" applyNumberFormat="1" applyFont="1" applyBorder="1" applyAlignment="1">
      <alignment horizontal="left" wrapText="1"/>
    </xf>
    <xf numFmtId="1" fontId="3" fillId="0" borderId="678" xfId="0" applyNumberFormat="1" applyFont="1" applyBorder="1" applyAlignment="1">
      <alignment horizontal="left" wrapText="1"/>
    </xf>
    <xf numFmtId="1" fontId="3" fillId="0" borderId="644" xfId="0" applyNumberFormat="1" applyFont="1" applyBorder="1" applyAlignment="1">
      <alignment horizontal="center" vertical="center"/>
    </xf>
    <xf numFmtId="1" fontId="3" fillId="0" borderId="625" xfId="0" applyNumberFormat="1" applyFont="1" applyBorder="1" applyAlignment="1">
      <alignment horizontal="center" vertical="center" wrapText="1"/>
    </xf>
    <xf numFmtId="1" fontId="3" fillId="0" borderId="643" xfId="0" applyNumberFormat="1" applyFont="1" applyBorder="1" applyAlignment="1">
      <alignment horizontal="center" vertical="center" wrapText="1"/>
    </xf>
    <xf numFmtId="1" fontId="3" fillId="0" borderId="696" xfId="0" applyNumberFormat="1" applyFont="1" applyBorder="1" applyAlignment="1">
      <alignment horizontal="center" vertical="center" wrapText="1"/>
    </xf>
    <xf numFmtId="1" fontId="3" fillId="0" borderId="674" xfId="0" applyNumberFormat="1" applyFont="1" applyBorder="1" applyAlignment="1">
      <alignment horizontal="center" vertical="center" wrapText="1"/>
    </xf>
    <xf numFmtId="1" fontId="3" fillId="0" borderId="683" xfId="0" applyNumberFormat="1" applyFont="1" applyBorder="1" applyAlignment="1">
      <alignment horizontal="center"/>
    </xf>
    <xf numFmtId="1" fontId="3" fillId="0" borderId="644" xfId="0" applyNumberFormat="1" applyFont="1" applyBorder="1" applyAlignment="1">
      <alignment horizontal="center"/>
    </xf>
    <xf numFmtId="1" fontId="3" fillId="0" borderId="656" xfId="0" applyNumberFormat="1" applyFont="1" applyBorder="1" applyAlignment="1">
      <alignment horizontal="center"/>
    </xf>
    <xf numFmtId="1" fontId="3" fillId="0" borderId="627" xfId="0" applyNumberFormat="1" applyFont="1" applyBorder="1" applyAlignment="1">
      <alignment horizontal="center" vertical="center" wrapText="1"/>
    </xf>
    <xf numFmtId="1" fontId="3" fillId="0" borderId="654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 wrapText="1"/>
    </xf>
    <xf numFmtId="1" fontId="3" fillId="0" borderId="675" xfId="0" applyNumberFormat="1" applyFont="1" applyBorder="1" applyAlignment="1">
      <alignment horizontal="center" vertical="center" wrapText="1"/>
    </xf>
    <xf numFmtId="1" fontId="3" fillId="0" borderId="625" xfId="0" applyNumberFormat="1" applyFont="1" applyBorder="1"/>
    <xf numFmtId="1" fontId="3" fillId="0" borderId="643" xfId="0" applyNumberFormat="1" applyFont="1" applyBorder="1"/>
    <xf numFmtId="1" fontId="3" fillId="0" borderId="59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626" xfId="0" applyNumberFormat="1" applyFont="1" applyBorder="1" applyAlignment="1">
      <alignment horizontal="center" vertical="center" wrapText="1"/>
    </xf>
    <xf numFmtId="1" fontId="3" fillId="0" borderId="660" xfId="0" applyNumberFormat="1" applyFont="1" applyBorder="1" applyAlignment="1">
      <alignment horizontal="center"/>
    </xf>
    <xf numFmtId="1" fontId="3" fillId="0" borderId="626" xfId="0" applyNumberFormat="1" applyFont="1" applyBorder="1" applyAlignment="1">
      <alignment horizontal="center"/>
    </xf>
    <xf numFmtId="1" fontId="3" fillId="0" borderId="627" xfId="0" applyNumberFormat="1" applyFont="1" applyBorder="1" applyAlignment="1">
      <alignment horizontal="center"/>
    </xf>
    <xf numFmtId="1" fontId="3" fillId="0" borderId="43" xfId="0" applyNumberFormat="1" applyFont="1" applyBorder="1" applyAlignment="1">
      <alignment horizontal="center" vertical="center" wrapText="1"/>
    </xf>
    <xf numFmtId="1" fontId="3" fillId="0" borderId="644" xfId="0" applyNumberFormat="1" applyFont="1" applyBorder="1" applyAlignment="1">
      <alignment horizontal="left" vertical="center" wrapText="1"/>
    </xf>
    <xf numFmtId="1" fontId="3" fillId="0" borderId="669" xfId="0" applyNumberFormat="1" applyFont="1" applyBorder="1" applyAlignment="1">
      <alignment horizontal="center" vertical="center" wrapText="1"/>
    </xf>
    <xf numFmtId="1" fontId="3" fillId="0" borderId="512" xfId="0" applyNumberFormat="1" applyFont="1" applyBorder="1" applyAlignment="1">
      <alignment horizontal="center" vertical="center" wrapText="1"/>
    </xf>
    <xf numFmtId="1" fontId="3" fillId="0" borderId="625" xfId="0" applyNumberFormat="1" applyFont="1" applyBorder="1" applyAlignment="1">
      <alignment horizontal="center" vertical="center"/>
    </xf>
    <xf numFmtId="1" fontId="3" fillId="0" borderId="643" xfId="0" applyNumberFormat="1" applyFont="1" applyBorder="1" applyAlignment="1">
      <alignment horizontal="center" vertical="center"/>
    </xf>
    <xf numFmtId="1" fontId="3" fillId="0" borderId="653" xfId="0" applyNumberFormat="1" applyFont="1" applyBorder="1" applyAlignment="1">
      <alignment wrapText="1"/>
    </xf>
    <xf numFmtId="1" fontId="3" fillId="0" borderId="640" xfId="0" applyNumberFormat="1" applyFont="1" applyBorder="1" applyAlignment="1">
      <alignment wrapText="1"/>
    </xf>
    <xf numFmtId="1" fontId="3" fillId="0" borderId="190" xfId="0" applyNumberFormat="1" applyFont="1" applyBorder="1" applyAlignment="1">
      <alignment wrapText="1"/>
    </xf>
    <xf numFmtId="1" fontId="3" fillId="0" borderId="10" xfId="0" applyNumberFormat="1" applyFont="1" applyBorder="1" applyAlignment="1">
      <alignment wrapText="1"/>
    </xf>
    <xf numFmtId="1" fontId="3" fillId="0" borderId="521" xfId="0" applyNumberFormat="1" applyFont="1" applyBorder="1" applyAlignment="1">
      <alignment horizontal="center" vertical="center" wrapText="1"/>
    </xf>
    <xf numFmtId="1" fontId="3" fillId="0" borderId="777" xfId="0" applyNumberFormat="1" applyFont="1" applyBorder="1" applyAlignment="1">
      <alignment horizontal="center" vertical="center" wrapText="1"/>
    </xf>
    <xf numFmtId="1" fontId="3" fillId="0" borderId="378" xfId="0" applyNumberFormat="1" applyFont="1" applyBorder="1" applyAlignment="1">
      <alignment horizontal="left" wrapText="1"/>
    </xf>
    <xf numFmtId="1" fontId="3" fillId="0" borderId="792" xfId="0" applyNumberFormat="1" applyFont="1" applyBorder="1" applyAlignment="1">
      <alignment horizontal="left" wrapText="1"/>
    </xf>
    <xf numFmtId="1" fontId="3" fillId="0" borderId="625" xfId="0" applyNumberFormat="1" applyFont="1" applyBorder="1" applyAlignment="1">
      <alignment wrapText="1"/>
    </xf>
    <xf numFmtId="1" fontId="3" fillId="0" borderId="643" xfId="0" applyNumberFormat="1" applyFont="1" applyBorder="1" applyAlignment="1">
      <alignment wrapText="1"/>
    </xf>
    <xf numFmtId="1" fontId="3" fillId="0" borderId="756" xfId="0" applyNumberFormat="1" applyFont="1" applyBorder="1" applyAlignment="1">
      <alignment horizontal="left" wrapText="1"/>
    </xf>
    <xf numFmtId="1" fontId="3" fillId="0" borderId="781" xfId="0" applyNumberFormat="1" applyFont="1" applyBorder="1" applyAlignment="1">
      <alignment horizontal="left" wrapText="1"/>
    </xf>
    <xf numFmtId="1" fontId="3" fillId="0" borderId="771" xfId="0" applyNumberFormat="1" applyFont="1" applyBorder="1" applyAlignment="1">
      <alignment horizontal="center" vertical="center" wrapText="1"/>
    </xf>
    <xf numFmtId="1" fontId="3" fillId="0" borderId="772" xfId="0" applyNumberFormat="1" applyFont="1" applyBorder="1" applyAlignment="1">
      <alignment horizontal="center" vertical="center" wrapText="1"/>
    </xf>
    <xf numFmtId="1" fontId="3" fillId="5" borderId="770" xfId="0" applyNumberFormat="1" applyFont="1" applyFill="1" applyBorder="1" applyAlignment="1">
      <alignment horizontal="center" vertical="center" wrapText="1"/>
    </xf>
    <xf numFmtId="1" fontId="3" fillId="5" borderId="779" xfId="0" applyNumberFormat="1" applyFont="1" applyFill="1" applyBorder="1" applyAlignment="1">
      <alignment horizontal="center" vertical="center" wrapText="1"/>
    </xf>
    <xf numFmtId="1" fontId="3" fillId="5" borderId="772" xfId="0" applyNumberFormat="1" applyFont="1" applyFill="1" applyBorder="1" applyAlignment="1">
      <alignment horizontal="center" vertical="center" wrapText="1"/>
    </xf>
    <xf numFmtId="1" fontId="3" fillId="0" borderId="770" xfId="0" applyNumberFormat="1" applyFont="1" applyBorder="1" applyAlignment="1">
      <alignment horizontal="center" vertical="center" wrapText="1"/>
    </xf>
    <xf numFmtId="1" fontId="3" fillId="0" borderId="785" xfId="0" applyNumberFormat="1" applyFont="1" applyBorder="1" applyAlignment="1">
      <alignment horizontal="center" vertical="center" wrapText="1"/>
    </xf>
    <xf numFmtId="1" fontId="5" fillId="3" borderId="779" xfId="0" applyNumberFormat="1" applyFont="1" applyFill="1" applyBorder="1" applyAlignment="1">
      <alignment horizontal="center" vertical="center" wrapText="1"/>
    </xf>
    <xf numFmtId="1" fontId="5" fillId="3" borderId="772" xfId="0" applyNumberFormat="1" applyFont="1" applyFill="1" applyBorder="1" applyAlignment="1">
      <alignment horizontal="center" vertical="center" wrapText="1"/>
    </xf>
    <xf numFmtId="1" fontId="5" fillId="3" borderId="782" xfId="0" applyNumberFormat="1" applyFont="1" applyFill="1" applyBorder="1" applyAlignment="1">
      <alignment horizontal="center" vertical="center" wrapText="1"/>
    </xf>
    <xf numFmtId="1" fontId="5" fillId="3" borderId="783" xfId="0" applyNumberFormat="1" applyFont="1" applyFill="1" applyBorder="1" applyAlignment="1">
      <alignment horizontal="center" vertical="center" wrapText="1"/>
    </xf>
    <xf numFmtId="1" fontId="5" fillId="3" borderId="738" xfId="0" applyNumberFormat="1" applyFont="1" applyFill="1" applyBorder="1" applyAlignment="1">
      <alignment horizontal="center" vertical="center" wrapText="1"/>
    </xf>
    <xf numFmtId="1" fontId="5" fillId="3" borderId="737" xfId="0" applyNumberFormat="1" applyFont="1" applyFill="1" applyBorder="1" applyAlignment="1">
      <alignment horizontal="center" vertical="center" wrapText="1"/>
    </xf>
    <xf numFmtId="1" fontId="3" fillId="0" borderId="782" xfId="0" applyNumberFormat="1" applyFont="1" applyBorder="1" applyAlignment="1">
      <alignment horizontal="center" vertical="center" wrapText="1"/>
    </xf>
    <xf numFmtId="1" fontId="3" fillId="0" borderId="783" xfId="0" applyNumberFormat="1" applyFont="1" applyBorder="1" applyAlignment="1">
      <alignment horizontal="center" vertical="center" wrapText="1"/>
    </xf>
    <xf numFmtId="1" fontId="3" fillId="0" borderId="784" xfId="0" applyNumberFormat="1" applyFont="1" applyBorder="1" applyAlignment="1">
      <alignment horizontal="center" vertical="center" wrapText="1"/>
    </xf>
    <xf numFmtId="1" fontId="3" fillId="0" borderId="1440" xfId="0" applyNumberFormat="1" applyFont="1" applyBorder="1" applyAlignment="1">
      <alignment horizontal="left" vertical="center" wrapText="1"/>
    </xf>
    <xf numFmtId="1" fontId="3" fillId="0" borderId="59" xfId="0" applyNumberFormat="1" applyFont="1" applyBorder="1" applyAlignment="1">
      <alignment horizontal="left"/>
    </xf>
    <xf numFmtId="1" fontId="3" fillId="0" borderId="1099" xfId="0" applyNumberFormat="1" applyFont="1" applyBorder="1" applyAlignment="1">
      <alignment horizontal="left"/>
    </xf>
    <xf numFmtId="1" fontId="3" fillId="0" borderId="521" xfId="0" applyNumberFormat="1" applyFont="1" applyBorder="1" applyAlignment="1">
      <alignment horizontal="left"/>
    </xf>
    <xf numFmtId="1" fontId="3" fillId="0" borderId="512" xfId="0" applyNumberFormat="1" applyFont="1" applyBorder="1" applyAlignment="1">
      <alignment horizontal="left"/>
    </xf>
    <xf numFmtId="1" fontId="5" fillId="0" borderId="623" xfId="0" applyNumberFormat="1" applyFont="1" applyBorder="1" applyAlignment="1">
      <alignment horizontal="left" vertical="center" wrapText="1"/>
    </xf>
    <xf numFmtId="1" fontId="3" fillId="0" borderId="626" xfId="0" applyNumberFormat="1" applyFont="1" applyBorder="1" applyAlignment="1" applyProtection="1">
      <alignment wrapText="1"/>
      <protection hidden="1"/>
    </xf>
    <xf numFmtId="1" fontId="3" fillId="0" borderId="643" xfId="0" applyNumberFormat="1" applyFont="1" applyBorder="1" applyAlignment="1" applyProtection="1">
      <alignment wrapText="1"/>
      <protection hidden="1"/>
    </xf>
    <xf numFmtId="1" fontId="3" fillId="0" borderId="644" xfId="0" applyNumberFormat="1" applyFont="1" applyBorder="1"/>
    <xf numFmtId="1" fontId="3" fillId="0" borderId="653" xfId="0" applyNumberFormat="1" applyFont="1" applyBorder="1"/>
    <xf numFmtId="1" fontId="3" fillId="0" borderId="640" xfId="0" applyNumberFormat="1" applyFont="1" applyBorder="1"/>
    <xf numFmtId="1" fontId="3" fillId="0" borderId="11" xfId="0" applyNumberFormat="1" applyFont="1" applyBorder="1"/>
    <xf numFmtId="1" fontId="3" fillId="0" borderId="12" xfId="0" applyNumberFormat="1" applyFont="1" applyBorder="1"/>
    <xf numFmtId="1" fontId="5" fillId="0" borderId="784" xfId="0" applyNumberFormat="1" applyFont="1" applyBorder="1" applyAlignment="1">
      <alignment horizontal="center" vertical="center" wrapText="1"/>
    </xf>
    <xf numFmtId="1" fontId="5" fillId="0" borderId="786" xfId="0" applyNumberFormat="1" applyFont="1" applyBorder="1" applyAlignment="1">
      <alignment horizontal="center" vertical="center" wrapText="1"/>
    </xf>
    <xf numFmtId="1" fontId="5" fillId="0" borderId="662" xfId="0" applyNumberFormat="1" applyFont="1" applyBorder="1" applyAlignment="1">
      <alignment horizontal="center" vertical="center" wrapText="1"/>
    </xf>
    <xf numFmtId="1" fontId="5" fillId="0" borderId="772" xfId="0" applyNumberFormat="1" applyFont="1" applyBorder="1" applyAlignment="1">
      <alignment horizontal="center" vertical="center" wrapText="1"/>
    </xf>
    <xf numFmtId="1" fontId="3" fillId="0" borderId="411" xfId="0" applyNumberFormat="1" applyFont="1" applyBorder="1" applyAlignment="1">
      <alignment horizontal="center" vertical="center" wrapText="1"/>
    </xf>
    <xf numFmtId="1" fontId="3" fillId="0" borderId="626" xfId="0" applyNumberFormat="1" applyFont="1" applyBorder="1" applyAlignment="1">
      <alignment horizontal="center" vertical="center"/>
    </xf>
    <xf numFmtId="1" fontId="3" fillId="0" borderId="627" xfId="0" applyNumberFormat="1" applyFont="1" applyBorder="1" applyAlignment="1">
      <alignment horizontal="center" vertical="center"/>
    </xf>
    <xf numFmtId="1" fontId="3" fillId="0" borderId="575" xfId="0" applyNumberFormat="1" applyFont="1" applyBorder="1" applyAlignment="1">
      <alignment horizontal="center" vertical="center" wrapText="1"/>
    </xf>
    <xf numFmtId="1" fontId="3" fillId="0" borderId="626" xfId="0" applyNumberFormat="1" applyFont="1" applyBorder="1" applyAlignment="1" applyProtection="1">
      <alignment horizontal="left" wrapText="1"/>
      <protection hidden="1"/>
    </xf>
    <xf numFmtId="1" fontId="3" fillId="0" borderId="643" xfId="0" applyNumberFormat="1" applyFont="1" applyBorder="1" applyAlignment="1" applyProtection="1">
      <alignment horizontal="left" wrapText="1"/>
      <protection hidden="1"/>
    </xf>
    <xf numFmtId="1" fontId="1" fillId="0" borderId="0" xfId="0" applyNumberFormat="1" applyFont="1" applyAlignment="1">
      <alignment horizontal="center" vertical="center" wrapText="1"/>
    </xf>
    <xf numFmtId="1" fontId="3" fillId="0" borderId="650" xfId="0" applyNumberFormat="1" applyFont="1" applyBorder="1" applyAlignment="1">
      <alignment horizontal="center" vertical="center" wrapText="1"/>
    </xf>
    <xf numFmtId="1" fontId="3" fillId="0" borderId="1370" xfId="0" applyNumberFormat="1" applyFont="1" applyBorder="1" applyAlignment="1">
      <alignment horizontal="center" vertical="center" wrapText="1"/>
    </xf>
    <xf numFmtId="1" fontId="3" fillId="0" borderId="1366" xfId="0" applyNumberFormat="1" applyFont="1" applyBorder="1" applyAlignment="1">
      <alignment horizontal="center" vertical="center" wrapText="1"/>
    </xf>
    <xf numFmtId="1" fontId="3" fillId="0" borderId="1277" xfId="0" applyNumberFormat="1" applyFont="1" applyBorder="1" applyAlignment="1">
      <alignment horizontal="center" vertical="center" wrapText="1"/>
    </xf>
    <xf numFmtId="1" fontId="3" fillId="0" borderId="1360" xfId="0" applyNumberFormat="1" applyFont="1" applyBorder="1" applyAlignment="1">
      <alignment horizontal="center" vertical="center" wrapText="1"/>
    </xf>
    <xf numFmtId="1" fontId="3" fillId="0" borderId="625" xfId="0" applyNumberFormat="1" applyFont="1" applyBorder="1" applyAlignment="1">
      <alignment horizontal="left" wrapText="1"/>
    </xf>
    <xf numFmtId="1" fontId="3" fillId="0" borderId="643" xfId="0" applyNumberFormat="1" applyFont="1" applyBorder="1" applyAlignment="1">
      <alignment horizontal="left" wrapText="1"/>
    </xf>
    <xf numFmtId="1" fontId="3" fillId="0" borderId="638" xfId="0" applyNumberFormat="1" applyFont="1" applyBorder="1"/>
    <xf numFmtId="1" fontId="3" fillId="0" borderId="373" xfId="0" applyNumberFormat="1" applyFont="1" applyBorder="1"/>
    <xf numFmtId="1" fontId="3" fillId="5" borderId="785" xfId="0" applyNumberFormat="1" applyFont="1" applyFill="1" applyBorder="1" applyAlignment="1">
      <alignment horizontal="center" vertical="center" wrapText="1"/>
    </xf>
    <xf numFmtId="1" fontId="3" fillId="0" borderId="653" xfId="0" applyNumberFormat="1" applyFont="1" applyBorder="1" applyAlignment="1">
      <alignment horizontal="left" wrapText="1"/>
    </xf>
    <xf numFmtId="1" fontId="3" fillId="0" borderId="640" xfId="0" applyNumberFormat="1" applyFont="1" applyBorder="1" applyAlignment="1">
      <alignment horizontal="left" wrapText="1"/>
    </xf>
    <xf numFmtId="1" fontId="3" fillId="3" borderId="779" xfId="0" applyNumberFormat="1" applyFont="1" applyFill="1" applyBorder="1" applyAlignment="1">
      <alignment horizontal="center" vertical="center" wrapText="1"/>
    </xf>
    <xf numFmtId="1" fontId="3" fillId="3" borderId="772" xfId="0" applyNumberFormat="1" applyFont="1" applyFill="1" applyBorder="1" applyAlignment="1">
      <alignment horizontal="center" vertical="center" wrapText="1"/>
    </xf>
    <xf numFmtId="1" fontId="3" fillId="0" borderId="1353" xfId="0" applyNumberFormat="1" applyFont="1" applyBorder="1" applyAlignment="1">
      <alignment horizontal="center" vertical="center"/>
    </xf>
    <xf numFmtId="1" fontId="3" fillId="0" borderId="1420" xfId="0" applyNumberFormat="1" applyFont="1" applyBorder="1" applyAlignment="1">
      <alignment horizontal="center" vertical="center"/>
    </xf>
    <xf numFmtId="1" fontId="3" fillId="0" borderId="1248" xfId="0" applyNumberFormat="1" applyFont="1" applyBorder="1" applyAlignment="1">
      <alignment horizontal="center" vertical="center"/>
    </xf>
    <xf numFmtId="1" fontId="3" fillId="0" borderId="1249" xfId="0" applyNumberFormat="1" applyFont="1" applyBorder="1" applyAlignment="1">
      <alignment horizontal="center" vertical="center"/>
    </xf>
    <xf numFmtId="1" fontId="5" fillId="0" borderId="1164" xfId="0" applyNumberFormat="1" applyFont="1" applyBorder="1" applyAlignment="1">
      <alignment horizontal="center" vertical="center" wrapText="1"/>
    </xf>
    <xf numFmtId="1" fontId="5" fillId="0" borderId="1250" xfId="0" applyNumberFormat="1" applyFont="1" applyBorder="1" applyAlignment="1">
      <alignment horizontal="center" vertical="center" wrapText="1"/>
    </xf>
    <xf numFmtId="1" fontId="5" fillId="0" borderId="977" xfId="0" applyNumberFormat="1" applyFont="1" applyBorder="1" applyAlignment="1">
      <alignment horizontal="center" vertical="center" wrapText="1"/>
    </xf>
    <xf numFmtId="1" fontId="5" fillId="0" borderId="1212" xfId="0" applyNumberFormat="1" applyFont="1" applyBorder="1" applyAlignment="1">
      <alignment horizontal="center" vertical="center" wrapText="1"/>
    </xf>
    <xf numFmtId="1" fontId="5" fillId="0" borderId="985" xfId="0" applyNumberFormat="1" applyFont="1" applyBorder="1" applyAlignment="1">
      <alignment horizontal="center" vertical="center" wrapText="1"/>
    </xf>
    <xf numFmtId="1" fontId="5" fillId="0" borderId="1257" xfId="0" applyNumberFormat="1" applyFont="1" applyBorder="1" applyAlignment="1">
      <alignment horizontal="center" vertical="center" wrapText="1"/>
    </xf>
    <xf numFmtId="1" fontId="5" fillId="0" borderId="1156" xfId="0" applyNumberFormat="1" applyFont="1" applyBorder="1" applyAlignment="1">
      <alignment horizontal="center" vertical="center" wrapText="1"/>
    </xf>
    <xf numFmtId="1" fontId="5" fillId="0" borderId="1256" xfId="0" applyNumberFormat="1" applyFont="1" applyBorder="1" applyAlignment="1">
      <alignment horizontal="center" vertical="center" wrapText="1"/>
    </xf>
    <xf numFmtId="1" fontId="3" fillId="0" borderId="1156" xfId="0" applyNumberFormat="1" applyFont="1" applyBorder="1" applyAlignment="1">
      <alignment horizontal="center" vertical="center" wrapText="1"/>
    </xf>
    <xf numFmtId="1" fontId="3" fillId="0" borderId="1256" xfId="0" applyNumberFormat="1" applyFont="1" applyBorder="1" applyAlignment="1">
      <alignment horizontal="center" vertical="center" wrapText="1"/>
    </xf>
    <xf numFmtId="1" fontId="5" fillId="0" borderId="1214" xfId="0" applyNumberFormat="1" applyFont="1" applyBorder="1" applyAlignment="1">
      <alignment horizontal="left" vertical="center" wrapText="1"/>
    </xf>
    <xf numFmtId="1" fontId="5" fillId="0" borderId="1168" xfId="0" applyNumberFormat="1" applyFont="1" applyBorder="1" applyAlignment="1">
      <alignment horizontal="center" wrapText="1"/>
    </xf>
    <xf numFmtId="1" fontId="5" fillId="0" borderId="1252" xfId="0" applyNumberFormat="1" applyFont="1" applyBorder="1" applyAlignment="1">
      <alignment horizontal="center" wrapText="1"/>
    </xf>
    <xf numFmtId="1" fontId="3" fillId="0" borderId="1164" xfId="0" applyNumberFormat="1" applyFont="1" applyBorder="1" applyAlignment="1">
      <alignment horizontal="center" vertical="center" wrapText="1"/>
    </xf>
    <xf numFmtId="1" fontId="3" fillId="0" borderId="1250" xfId="0" applyNumberFormat="1" applyFont="1" applyBorder="1" applyAlignment="1">
      <alignment horizontal="center" vertical="center" wrapText="1"/>
    </xf>
    <xf numFmtId="1" fontId="15" fillId="0" borderId="1255" xfId="0" applyNumberFormat="1" applyFont="1" applyBorder="1" applyAlignment="1">
      <alignment horizontal="left"/>
    </xf>
    <xf numFmtId="1" fontId="5" fillId="0" borderId="1164" xfId="0" applyNumberFormat="1" applyFont="1" applyBorder="1" applyAlignment="1">
      <alignment horizontal="center" vertical="center"/>
    </xf>
    <xf numFmtId="1" fontId="5" fillId="0" borderId="977" xfId="0" applyNumberFormat="1" applyFont="1" applyBorder="1" applyAlignment="1">
      <alignment horizontal="center" vertical="center"/>
    </xf>
    <xf numFmtId="1" fontId="5" fillId="0" borderId="1250" xfId="0" applyNumberFormat="1" applyFont="1" applyBorder="1" applyAlignment="1">
      <alignment horizontal="center" vertical="center"/>
    </xf>
    <xf numFmtId="1" fontId="5" fillId="0" borderId="1228" xfId="0" applyNumberFormat="1" applyFont="1" applyBorder="1" applyAlignment="1">
      <alignment horizontal="center" vertical="center" wrapText="1"/>
    </xf>
    <xf numFmtId="1" fontId="5" fillId="0" borderId="1123" xfId="0" applyNumberFormat="1" applyFont="1" applyBorder="1" applyAlignment="1">
      <alignment horizontal="center" vertical="center" wrapText="1"/>
    </xf>
    <xf numFmtId="1" fontId="5" fillId="0" borderId="1248" xfId="0" applyNumberFormat="1" applyFont="1" applyBorder="1" applyAlignment="1">
      <alignment horizontal="center" vertical="center" wrapText="1"/>
    </xf>
    <xf numFmtId="1" fontId="5" fillId="0" borderId="1255" xfId="0" applyNumberFormat="1" applyFont="1" applyBorder="1" applyAlignment="1">
      <alignment horizontal="center" vertical="center" wrapText="1"/>
    </xf>
    <xf numFmtId="1" fontId="5" fillId="0" borderId="1214" xfId="0" applyNumberFormat="1" applyFont="1" applyBorder="1" applyAlignment="1">
      <alignment horizontal="center" vertical="center" wrapText="1"/>
    </xf>
    <xf numFmtId="1" fontId="5" fillId="0" borderId="1211" xfId="0" applyNumberFormat="1" applyFont="1" applyBorder="1" applyAlignment="1">
      <alignment horizontal="center" vertical="center" wrapText="1"/>
    </xf>
    <xf numFmtId="0" fontId="3" fillId="5" borderId="1164" xfId="0" applyFont="1" applyFill="1" applyBorder="1" applyAlignment="1">
      <alignment horizontal="left" vertical="center" wrapText="1"/>
    </xf>
    <xf numFmtId="0" fontId="3" fillId="5" borderId="977" xfId="0" applyFont="1" applyFill="1" applyBorder="1" applyAlignment="1">
      <alignment horizontal="left" vertical="center" wrapText="1"/>
    </xf>
    <xf numFmtId="0" fontId="3" fillId="5" borderId="1250" xfId="0" applyFont="1" applyFill="1" applyBorder="1" applyAlignment="1">
      <alignment horizontal="left" vertical="center" wrapText="1"/>
    </xf>
    <xf numFmtId="1" fontId="3" fillId="0" borderId="1164" xfId="0" applyNumberFormat="1" applyFont="1" applyBorder="1" applyAlignment="1">
      <alignment horizontal="center" vertical="center"/>
    </xf>
    <xf numFmtId="1" fontId="3" fillId="0" borderId="977" xfId="0" applyNumberFormat="1" applyFont="1" applyBorder="1" applyAlignment="1">
      <alignment horizontal="center" vertical="center"/>
    </xf>
    <xf numFmtId="1" fontId="3" fillId="0" borderId="1250" xfId="0" applyNumberFormat="1" applyFont="1" applyBorder="1" applyAlignment="1">
      <alignment horizontal="center" vertical="center"/>
    </xf>
    <xf numFmtId="1" fontId="3" fillId="0" borderId="1206" xfId="0" applyNumberFormat="1" applyFont="1" applyBorder="1" applyAlignment="1">
      <alignment horizontal="center" vertical="center"/>
    </xf>
    <xf numFmtId="1" fontId="3" fillId="0" borderId="1205" xfId="0" applyNumberFormat="1" applyFont="1" applyBorder="1" applyAlignment="1">
      <alignment horizontal="center" vertical="center"/>
    </xf>
    <xf numFmtId="1" fontId="3" fillId="0" borderId="1198" xfId="0" applyNumberFormat="1" applyFont="1" applyBorder="1" applyAlignment="1">
      <alignment horizontal="center" vertical="center"/>
    </xf>
    <xf numFmtId="1" fontId="3" fillId="0" borderId="1212" xfId="0" applyNumberFormat="1" applyFont="1" applyBorder="1" applyAlignment="1">
      <alignment horizontal="center" vertical="center" wrapText="1"/>
    </xf>
    <xf numFmtId="1" fontId="3" fillId="0" borderId="985" xfId="0" applyNumberFormat="1" applyFont="1" applyBorder="1" applyAlignment="1">
      <alignment horizontal="center" vertical="center" wrapText="1"/>
    </xf>
    <xf numFmtId="1" fontId="3" fillId="0" borderId="1257" xfId="0" applyNumberFormat="1" applyFont="1" applyBorder="1" applyAlignment="1">
      <alignment horizontal="center" vertical="center" wrapText="1"/>
    </xf>
    <xf numFmtId="1" fontId="3" fillId="0" borderId="1123" xfId="0" applyNumberFormat="1" applyFont="1" applyBorder="1" applyAlignment="1">
      <alignment horizontal="center" vertical="center"/>
    </xf>
    <xf numFmtId="1" fontId="3" fillId="0" borderId="1214" xfId="0" applyNumberFormat="1" applyFont="1" applyBorder="1" applyAlignment="1">
      <alignment horizontal="center" vertical="center" wrapText="1"/>
    </xf>
    <xf numFmtId="1" fontId="3" fillId="0" borderId="1255" xfId="0" applyNumberFormat="1" applyFont="1" applyBorder="1" applyAlignment="1">
      <alignment horizontal="center" vertical="center"/>
    </xf>
    <xf numFmtId="1" fontId="3" fillId="0" borderId="1228" xfId="0" applyNumberFormat="1" applyFont="1" applyBorder="1" applyAlignment="1">
      <alignment horizontal="center" vertical="center"/>
    </xf>
    <xf numFmtId="1" fontId="5" fillId="0" borderId="1198" xfId="0" applyNumberFormat="1" applyFont="1" applyBorder="1" applyAlignment="1">
      <alignment horizontal="center" vertical="center" wrapText="1"/>
    </xf>
    <xf numFmtId="1" fontId="3" fillId="0" borderId="1206" xfId="0" applyNumberFormat="1" applyFont="1" applyBorder="1" applyAlignment="1">
      <alignment horizontal="center" vertical="center" wrapText="1"/>
    </xf>
    <xf numFmtId="1" fontId="3" fillId="0" borderId="1198" xfId="0" applyNumberFormat="1" applyFont="1" applyBorder="1" applyAlignment="1">
      <alignment horizontal="center" vertical="center" wrapText="1"/>
    </xf>
    <xf numFmtId="1" fontId="3" fillId="0" borderId="1228" xfId="0" applyNumberFormat="1" applyFont="1" applyBorder="1" applyAlignment="1">
      <alignment horizontal="center" vertical="center" wrapText="1"/>
    </xf>
    <xf numFmtId="1" fontId="3" fillId="0" borderId="1123" xfId="0" applyNumberFormat="1" applyFont="1" applyBorder="1" applyAlignment="1">
      <alignment horizontal="center" vertical="center" wrapText="1"/>
    </xf>
    <xf numFmtId="1" fontId="3" fillId="0" borderId="1248" xfId="0" applyNumberFormat="1" applyFont="1" applyBorder="1" applyAlignment="1">
      <alignment horizontal="center" vertical="center" wrapText="1"/>
    </xf>
    <xf numFmtId="1" fontId="3" fillId="0" borderId="1255" xfId="0" applyNumberFormat="1" applyFont="1" applyBorder="1" applyAlignment="1">
      <alignment horizontal="center" vertical="center" wrapText="1"/>
    </xf>
    <xf numFmtId="1" fontId="3" fillId="0" borderId="1205" xfId="0" applyNumberFormat="1" applyFont="1" applyBorder="1" applyAlignment="1">
      <alignment horizontal="center" vertical="center" wrapText="1"/>
    </xf>
    <xf numFmtId="1" fontId="3" fillId="0" borderId="1210" xfId="0" applyNumberFormat="1" applyFont="1" applyBorder="1" applyAlignment="1">
      <alignment horizontal="center" vertical="center" wrapText="1"/>
    </xf>
    <xf numFmtId="1" fontId="3" fillId="0" borderId="1210" xfId="0" applyNumberFormat="1" applyFont="1" applyBorder="1" applyAlignment="1">
      <alignment horizontal="center" vertical="center"/>
    </xf>
    <xf numFmtId="1" fontId="3" fillId="0" borderId="1242" xfId="0" applyNumberFormat="1" applyFont="1" applyBorder="1" applyAlignment="1">
      <alignment horizontal="center" vertical="center" wrapText="1"/>
    </xf>
    <xf numFmtId="1" fontId="3" fillId="5" borderId="1244" xfId="0" applyNumberFormat="1" applyFont="1" applyFill="1" applyBorder="1" applyAlignment="1">
      <alignment horizontal="center" vertical="center" wrapText="1"/>
    </xf>
    <xf numFmtId="1" fontId="3" fillId="5" borderId="1245" xfId="0" applyNumberFormat="1" applyFont="1" applyFill="1" applyBorder="1" applyAlignment="1">
      <alignment horizontal="center" vertical="center" wrapText="1"/>
    </xf>
    <xf numFmtId="1" fontId="3" fillId="0" borderId="1241" xfId="0" applyNumberFormat="1" applyFont="1" applyBorder="1" applyAlignment="1">
      <alignment horizontal="center" vertical="center" wrapText="1"/>
    </xf>
    <xf numFmtId="1" fontId="3" fillId="0" borderId="1154" xfId="0" applyNumberFormat="1" applyFont="1" applyBorder="1" applyAlignment="1">
      <alignment horizontal="center" vertical="center" wrapText="1"/>
    </xf>
    <xf numFmtId="1" fontId="3" fillId="0" borderId="1164" xfId="0" applyNumberFormat="1" applyFont="1" applyBorder="1" applyAlignment="1" applyProtection="1">
      <alignment horizontal="center" vertical="center" wrapText="1"/>
      <protection hidden="1"/>
    </xf>
    <xf numFmtId="1" fontId="3" fillId="0" borderId="1154" xfId="0" applyNumberFormat="1" applyFont="1" applyBorder="1" applyAlignment="1" applyProtection="1">
      <alignment horizontal="center" vertical="center" wrapText="1"/>
      <protection hidden="1"/>
    </xf>
    <xf numFmtId="1" fontId="3" fillId="0" borderId="1206" xfId="0" applyNumberFormat="1" applyFont="1" applyBorder="1" applyAlignment="1" applyProtection="1">
      <alignment horizontal="center" vertical="center" wrapText="1"/>
      <protection hidden="1"/>
    </xf>
    <xf numFmtId="1" fontId="3" fillId="0" borderId="1198" xfId="0" applyNumberFormat="1" applyFont="1" applyBorder="1" applyAlignment="1" applyProtection="1">
      <alignment horizontal="center" vertical="center" wrapText="1"/>
      <protection hidden="1"/>
    </xf>
    <xf numFmtId="1" fontId="3" fillId="0" borderId="1242" xfId="0" applyNumberFormat="1" applyFont="1" applyBorder="1" applyAlignment="1">
      <alignment horizontal="center" vertical="center"/>
    </xf>
    <xf numFmtId="1" fontId="3" fillId="0" borderId="1239" xfId="0" applyNumberFormat="1" applyFont="1" applyBorder="1" applyAlignment="1">
      <alignment horizontal="center" vertical="center" wrapText="1"/>
    </xf>
    <xf numFmtId="1" fontId="3" fillId="0" borderId="1240" xfId="0" applyNumberFormat="1" applyFont="1" applyBorder="1" applyAlignment="1">
      <alignment horizontal="center" vertical="center" wrapText="1"/>
    </xf>
    <xf numFmtId="1" fontId="3" fillId="0" borderId="1214" xfId="0" applyNumberFormat="1" applyFont="1" applyBorder="1" applyAlignment="1" applyProtection="1">
      <alignment horizontal="center" vertical="center" wrapText="1"/>
      <protection hidden="1"/>
    </xf>
    <xf numFmtId="1" fontId="3" fillId="0" borderId="1211" xfId="0" applyNumberFormat="1" applyFont="1" applyBorder="1" applyAlignment="1" applyProtection="1">
      <alignment horizontal="center" vertical="center" wrapText="1"/>
      <protection hidden="1"/>
    </xf>
    <xf numFmtId="1" fontId="3" fillId="0" borderId="1164" xfId="0" applyNumberFormat="1" applyFont="1" applyBorder="1" applyAlignment="1" applyProtection="1">
      <alignment horizontal="left" vertical="center" wrapText="1"/>
      <protection hidden="1"/>
    </xf>
    <xf numFmtId="1" fontId="3" fillId="0" borderId="977" xfId="0" applyNumberFormat="1" applyFont="1" applyBorder="1" applyAlignment="1" applyProtection="1">
      <alignment horizontal="left" vertical="center" wrapText="1"/>
      <protection hidden="1"/>
    </xf>
    <xf numFmtId="1" fontId="3" fillId="0" borderId="1154" xfId="0" applyNumberFormat="1" applyFont="1" applyBorder="1" applyAlignment="1" applyProtection="1">
      <alignment horizontal="left" vertical="center" wrapText="1"/>
      <protection hidden="1"/>
    </xf>
    <xf numFmtId="1" fontId="3" fillId="0" borderId="947" xfId="0" applyNumberFormat="1" applyFont="1" applyBorder="1" applyAlignment="1">
      <alignment horizontal="center" vertical="center" wrapText="1"/>
    </xf>
    <xf numFmtId="1" fontId="2" fillId="0" borderId="1205" xfId="0" applyNumberFormat="1" applyFont="1" applyBorder="1" applyAlignment="1" applyProtection="1">
      <alignment horizontal="left" wrapText="1"/>
      <protection hidden="1"/>
    </xf>
    <xf numFmtId="1" fontId="3" fillId="0" borderId="1228" xfId="0" applyNumberFormat="1" applyFont="1" applyBorder="1" applyAlignment="1" applyProtection="1">
      <alignment horizontal="center" vertical="center"/>
      <protection hidden="1"/>
    </xf>
    <xf numFmtId="1" fontId="3" fillId="0" borderId="1156" xfId="0" applyNumberFormat="1" applyFont="1" applyBorder="1" applyAlignment="1" applyProtection="1">
      <alignment horizontal="center" vertical="center"/>
      <protection hidden="1"/>
    </xf>
    <xf numFmtId="1" fontId="3" fillId="0" borderId="939" xfId="0" applyNumberFormat="1" applyFont="1" applyBorder="1" applyAlignment="1" applyProtection="1">
      <alignment horizontal="center" vertical="center"/>
      <protection hidden="1"/>
    </xf>
    <xf numFmtId="1" fontId="3" fillId="0" borderId="220" xfId="0" applyNumberFormat="1" applyFont="1" applyBorder="1" applyAlignment="1" applyProtection="1">
      <alignment horizontal="center" vertical="center"/>
      <protection hidden="1"/>
    </xf>
    <xf numFmtId="1" fontId="3" fillId="0" borderId="738" xfId="0" applyNumberFormat="1" applyFont="1" applyBorder="1" applyAlignment="1" applyProtection="1">
      <alignment horizontal="center" vertical="center"/>
      <protection hidden="1"/>
    </xf>
    <xf numFmtId="1" fontId="3" fillId="0" borderId="947" xfId="0" applyNumberFormat="1" applyFont="1" applyBorder="1" applyAlignment="1" applyProtection="1">
      <alignment horizontal="center" vertical="center"/>
      <protection hidden="1"/>
    </xf>
    <xf numFmtId="1" fontId="3" fillId="0" borderId="1123" xfId="0" applyNumberFormat="1" applyFont="1" applyBorder="1" applyAlignment="1" applyProtection="1">
      <alignment horizontal="center" vertical="center" wrapText="1"/>
      <protection hidden="1"/>
    </xf>
    <xf numFmtId="1" fontId="3" fillId="0" borderId="1156" xfId="0" applyNumberFormat="1" applyFont="1" applyBorder="1" applyAlignment="1" applyProtection="1">
      <alignment horizontal="center" vertical="center" wrapText="1"/>
      <protection hidden="1"/>
    </xf>
    <xf numFmtId="1" fontId="3" fillId="0" borderId="777" xfId="0" applyNumberFormat="1" applyFont="1" applyBorder="1" applyAlignment="1" applyProtection="1">
      <alignment horizontal="center" vertical="center" wrapText="1"/>
      <protection hidden="1"/>
    </xf>
    <xf numFmtId="1" fontId="3" fillId="0" borderId="947" xfId="0" applyNumberFormat="1" applyFont="1" applyBorder="1" applyAlignment="1" applyProtection="1">
      <alignment horizontal="center" vertical="center" wrapText="1"/>
      <protection hidden="1"/>
    </xf>
    <xf numFmtId="1" fontId="3" fillId="0" borderId="1205" xfId="0" applyNumberFormat="1" applyFont="1" applyBorder="1" applyAlignment="1" applyProtection="1">
      <alignment horizontal="center" vertical="center" wrapText="1"/>
      <protection hidden="1"/>
    </xf>
    <xf numFmtId="1" fontId="3" fillId="0" borderId="1210" xfId="0" applyNumberFormat="1" applyFont="1" applyBorder="1" applyAlignment="1" applyProtection="1">
      <alignment horizontal="center" vertical="center" wrapText="1"/>
      <protection hidden="1"/>
    </xf>
    <xf numFmtId="1" fontId="3" fillId="0" borderId="1164" xfId="0" applyNumberFormat="1" applyFont="1" applyBorder="1" applyAlignment="1">
      <alignment horizontal="left" vertical="center" wrapText="1"/>
    </xf>
    <xf numFmtId="1" fontId="3" fillId="0" borderId="1154" xfId="0" applyNumberFormat="1" applyFont="1" applyBorder="1" applyAlignment="1">
      <alignment horizontal="left" vertical="center" wrapText="1"/>
    </xf>
    <xf numFmtId="1" fontId="3" fillId="0" borderId="1228" xfId="0" applyNumberFormat="1" applyFont="1" applyBorder="1" applyAlignment="1" applyProtection="1">
      <alignment horizontal="center" vertical="center" wrapText="1"/>
      <protection hidden="1"/>
    </xf>
    <xf numFmtId="1" fontId="3" fillId="0" borderId="738" xfId="0" applyNumberFormat="1" applyFont="1" applyBorder="1" applyAlignment="1" applyProtection="1">
      <alignment horizontal="center" vertical="center" wrapText="1"/>
      <protection hidden="1"/>
    </xf>
    <xf numFmtId="0" fontId="3" fillId="5" borderId="1206" xfId="0" applyFont="1" applyFill="1" applyBorder="1" applyAlignment="1">
      <alignment horizontal="center" vertical="center"/>
    </xf>
    <xf numFmtId="0" fontId="3" fillId="5" borderId="1205" xfId="0" applyFont="1" applyFill="1" applyBorder="1" applyAlignment="1">
      <alignment horizontal="center" vertical="center"/>
    </xf>
    <xf numFmtId="0" fontId="3" fillId="5" borderId="1198" xfId="0" applyFont="1" applyFill="1" applyBorder="1" applyAlignment="1">
      <alignment horizontal="center" vertical="center"/>
    </xf>
    <xf numFmtId="1" fontId="3" fillId="0" borderId="1408" xfId="0" applyNumberFormat="1" applyFont="1" applyBorder="1" applyAlignment="1">
      <alignment horizontal="center" vertical="center" wrapText="1"/>
    </xf>
    <xf numFmtId="1" fontId="3" fillId="0" borderId="1413" xfId="0" applyNumberFormat="1" applyFont="1" applyBorder="1" applyAlignment="1">
      <alignment horizontal="center" vertical="center" wrapText="1"/>
    </xf>
    <xf numFmtId="1" fontId="3" fillId="0" borderId="1206" xfId="0" applyNumberFormat="1" applyFont="1" applyBorder="1" applyAlignment="1">
      <alignment horizontal="left" vertical="center" wrapText="1"/>
    </xf>
    <xf numFmtId="1" fontId="3" fillId="0" borderId="1198" xfId="0" applyNumberFormat="1" applyFont="1" applyBorder="1" applyAlignment="1">
      <alignment horizontal="left" vertical="center" wrapText="1"/>
    </xf>
    <xf numFmtId="1" fontId="3" fillId="0" borderId="1156" xfId="0" applyNumberFormat="1" applyFont="1" applyBorder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 wrapText="1"/>
    </xf>
    <xf numFmtId="1" fontId="3" fillId="0" borderId="1154" xfId="0" applyNumberFormat="1" applyFont="1" applyBorder="1" applyAlignment="1">
      <alignment horizontal="center" vertical="center"/>
    </xf>
    <xf numFmtId="1" fontId="3" fillId="0" borderId="1163" xfId="0" applyNumberFormat="1" applyFont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left" vertical="center"/>
    </xf>
    <xf numFmtId="0" fontId="37" fillId="0" borderId="292" xfId="0" applyFont="1" applyBorder="1" applyAlignment="1">
      <alignment horizontal="left" vertical="center"/>
    </xf>
    <xf numFmtId="0" fontId="37" fillId="0" borderId="1268" xfId="0" applyFont="1" applyBorder="1" applyAlignment="1">
      <alignment horizontal="left" vertical="center"/>
    </xf>
    <xf numFmtId="1" fontId="5" fillId="0" borderId="272" xfId="0" applyNumberFormat="1" applyFont="1" applyBorder="1" applyAlignment="1">
      <alignment horizontal="center" vertical="center"/>
    </xf>
    <xf numFmtId="0" fontId="19" fillId="0" borderId="275" xfId="0" applyFont="1" applyBorder="1" applyAlignment="1">
      <alignment horizontal="center" vertical="center"/>
    </xf>
    <xf numFmtId="1" fontId="5" fillId="0" borderId="280" xfId="0" applyNumberFormat="1" applyFont="1" applyBorder="1" applyAlignment="1">
      <alignment horizontal="center" vertical="center" wrapText="1"/>
    </xf>
    <xf numFmtId="0" fontId="37" fillId="0" borderId="292" xfId="0" applyFont="1" applyBorder="1"/>
    <xf numFmtId="1" fontId="5" fillId="0" borderId="292" xfId="0" applyNumberFormat="1" applyFont="1" applyBorder="1" applyAlignment="1">
      <alignment horizontal="left" vertical="center"/>
    </xf>
    <xf numFmtId="1" fontId="5" fillId="0" borderId="764" xfId="0" applyNumberFormat="1" applyFont="1" applyBorder="1" applyAlignment="1">
      <alignment horizontal="left" vertical="center"/>
    </xf>
    <xf numFmtId="0" fontId="37" fillId="0" borderId="765" xfId="0" applyFont="1" applyBorder="1"/>
    <xf numFmtId="1" fontId="5" fillId="27" borderId="280" xfId="0" applyNumberFormat="1" applyFont="1" applyFill="1" applyBorder="1" applyAlignment="1">
      <alignment horizontal="left" vertical="center"/>
    </xf>
    <xf numFmtId="1" fontId="3" fillId="0" borderId="359" xfId="0" applyNumberFormat="1" applyFont="1" applyBorder="1" applyAlignment="1">
      <alignment horizontal="center" vertical="center" wrapText="1"/>
    </xf>
    <xf numFmtId="0" fontId="37" fillId="0" borderId="278" xfId="0" applyFont="1" applyBorder="1"/>
    <xf numFmtId="0" fontId="37" fillId="0" borderId="757" xfId="0" applyFont="1" applyBorder="1"/>
    <xf numFmtId="1" fontId="5" fillId="0" borderId="272" xfId="0" applyNumberFormat="1" applyFont="1" applyBorder="1" applyAlignment="1">
      <alignment horizontal="center" vertical="center" wrapText="1"/>
    </xf>
    <xf numFmtId="1" fontId="5" fillId="0" borderId="292" xfId="0" applyNumberFormat="1" applyFont="1" applyBorder="1" applyAlignment="1">
      <alignment horizontal="center" vertical="center" wrapText="1"/>
    </xf>
    <xf numFmtId="1" fontId="5" fillId="0" borderId="359" xfId="0" applyNumberFormat="1" applyFont="1" applyBorder="1" applyAlignment="1">
      <alignment horizontal="center" vertical="center" wrapText="1"/>
    </xf>
    <xf numFmtId="1" fontId="3" fillId="0" borderId="764" xfId="0" applyNumberFormat="1" applyFont="1" applyBorder="1" applyAlignment="1">
      <alignment horizontal="center" vertical="center" wrapText="1"/>
    </xf>
    <xf numFmtId="0" fontId="37" fillId="0" borderId="1426" xfId="0" applyFont="1" applyBorder="1"/>
    <xf numFmtId="1" fontId="3" fillId="0" borderId="267" xfId="0" applyNumberFormat="1" applyFont="1" applyBorder="1" applyAlignment="1">
      <alignment horizontal="center" vertical="center" wrapText="1"/>
    </xf>
    <xf numFmtId="0" fontId="37" fillId="0" borderId="272" xfId="0" applyFont="1" applyBorder="1"/>
    <xf numFmtId="0" fontId="37" fillId="0" borderId="275" xfId="0" applyFont="1" applyBorder="1"/>
    <xf numFmtId="1" fontId="5" fillId="0" borderId="1164" xfId="0" applyNumberFormat="1" applyFont="1" applyBorder="1" applyAlignment="1">
      <alignment horizontal="left" vertical="center" wrapText="1"/>
    </xf>
    <xf numFmtId="1" fontId="5" fillId="0" borderId="1250" xfId="0" applyNumberFormat="1" applyFont="1" applyBorder="1" applyAlignment="1">
      <alignment horizontal="left" vertical="center" wrapText="1"/>
    </xf>
    <xf numFmtId="1" fontId="5" fillId="0" borderId="266" xfId="0" applyNumberFormat="1" applyFont="1" applyBorder="1" applyAlignment="1">
      <alignment horizontal="center" vertical="center"/>
    </xf>
    <xf numFmtId="0" fontId="37" fillId="0" borderId="267" xfId="0" applyFont="1" applyBorder="1"/>
    <xf numFmtId="0" fontId="37" fillId="0" borderId="271" xfId="0" applyFont="1" applyBorder="1"/>
    <xf numFmtId="0" fontId="37" fillId="0" borderId="273" xfId="0" applyFont="1" applyBorder="1"/>
    <xf numFmtId="1" fontId="3" fillId="0" borderId="266" xfId="0" applyNumberFormat="1" applyFont="1" applyBorder="1" applyAlignment="1">
      <alignment horizontal="center" vertical="center" wrapText="1"/>
    </xf>
    <xf numFmtId="0" fontId="37" fillId="0" borderId="268" xfId="0" applyFont="1" applyBorder="1"/>
    <xf numFmtId="0" fontId="37" fillId="0" borderId="274" xfId="0" applyFont="1" applyBorder="1"/>
    <xf numFmtId="0" fontId="37" fillId="0" borderId="303" xfId="0" applyFont="1" applyBorder="1"/>
    <xf numFmtId="1" fontId="5" fillId="0" borderId="303" xfId="0" applyNumberFormat="1" applyFont="1" applyBorder="1" applyAlignment="1">
      <alignment horizontal="center" vertical="center" wrapText="1"/>
    </xf>
    <xf numFmtId="1" fontId="5" fillId="0" borderId="278" xfId="0" applyNumberFormat="1" applyFont="1" applyBorder="1" applyAlignment="1">
      <alignment horizontal="center" vertical="center" wrapText="1"/>
    </xf>
    <xf numFmtId="1" fontId="5" fillId="0" borderId="289" xfId="0" applyNumberFormat="1" applyFont="1" applyBorder="1" applyAlignment="1">
      <alignment horizontal="center" vertical="center" wrapText="1"/>
    </xf>
    <xf numFmtId="1" fontId="5" fillId="0" borderId="1236" xfId="0" applyNumberFormat="1" applyFont="1" applyBorder="1" applyAlignment="1">
      <alignment horizontal="left" vertical="center" wrapText="1"/>
    </xf>
    <xf numFmtId="1" fontId="5" fillId="0" borderId="1236" xfId="0" applyNumberFormat="1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left" vertical="center"/>
    </xf>
    <xf numFmtId="1" fontId="5" fillId="0" borderId="1156" xfId="0" applyNumberFormat="1" applyFont="1" applyBorder="1" applyAlignment="1">
      <alignment horizontal="left" vertical="center"/>
    </xf>
    <xf numFmtId="1" fontId="5" fillId="0" borderId="1206" xfId="0" applyNumberFormat="1" applyFont="1" applyBorder="1" applyAlignment="1">
      <alignment horizontal="center" vertical="center"/>
    </xf>
    <xf numFmtId="1" fontId="5" fillId="0" borderId="1198" xfId="0" applyNumberFormat="1" applyFont="1" applyBorder="1" applyAlignment="1">
      <alignment horizontal="center" vertical="center"/>
    </xf>
    <xf numFmtId="1" fontId="5" fillId="0" borderId="1241" xfId="0" applyNumberFormat="1" applyFont="1" applyBorder="1" applyAlignment="1">
      <alignment horizontal="center" vertical="center" wrapText="1"/>
    </xf>
    <xf numFmtId="1" fontId="5" fillId="0" borderId="1210" xfId="0" applyNumberFormat="1" applyFont="1" applyBorder="1" applyAlignment="1">
      <alignment horizontal="center" vertical="center"/>
    </xf>
    <xf numFmtId="1" fontId="5" fillId="0" borderId="1228" xfId="0" applyNumberFormat="1" applyFont="1" applyBorder="1" applyAlignment="1">
      <alignment horizontal="center" vertical="center"/>
    </xf>
    <xf numFmtId="1" fontId="5" fillId="0" borderId="1156" xfId="0" applyNumberFormat="1" applyFont="1" applyBorder="1" applyAlignment="1">
      <alignment horizontal="center" vertical="center"/>
    </xf>
    <xf numFmtId="1" fontId="5" fillId="0" borderId="1239" xfId="0" applyNumberFormat="1" applyFont="1" applyBorder="1" applyAlignment="1">
      <alignment horizontal="center" vertical="center"/>
    </xf>
    <xf numFmtId="1" fontId="5" fillId="0" borderId="1240" xfId="0" applyNumberFormat="1" applyFont="1" applyBorder="1" applyAlignment="1">
      <alignment horizontal="center" vertical="center"/>
    </xf>
    <xf numFmtId="1" fontId="5" fillId="0" borderId="1241" xfId="0" applyNumberFormat="1" applyFont="1" applyBorder="1" applyAlignment="1">
      <alignment horizontal="center" vertical="center"/>
    </xf>
    <xf numFmtId="1" fontId="5" fillId="0" borderId="1205" xfId="0" applyNumberFormat="1" applyFont="1" applyBorder="1" applyAlignment="1">
      <alignment horizontal="center" vertical="center"/>
    </xf>
    <xf numFmtId="1" fontId="5" fillId="0" borderId="1230" xfId="0" applyNumberFormat="1" applyFont="1" applyBorder="1" applyAlignment="1">
      <alignment horizontal="left" vertical="center"/>
    </xf>
    <xf numFmtId="1" fontId="5" fillId="0" borderId="1199" xfId="0" applyNumberFormat="1" applyFont="1" applyBorder="1" applyAlignment="1">
      <alignment horizontal="left" vertical="center"/>
    </xf>
    <xf numFmtId="1" fontId="5" fillId="0" borderId="838" xfId="0" applyNumberFormat="1" applyFont="1" applyBorder="1" applyAlignment="1">
      <alignment horizontal="left" vertical="center"/>
    </xf>
    <xf numFmtId="1" fontId="5" fillId="0" borderId="903" xfId="0" applyNumberFormat="1" applyFont="1" applyBorder="1" applyAlignment="1">
      <alignment horizontal="left" vertical="center" shrinkToFit="1"/>
    </xf>
    <xf numFmtId="1" fontId="5" fillId="0" borderId="838" xfId="0" applyNumberFormat="1" applyFont="1" applyBorder="1" applyAlignment="1">
      <alignment horizontal="left" vertical="center" shrinkToFit="1"/>
    </xf>
    <xf numFmtId="1" fontId="5" fillId="0" borderId="11" xfId="0" applyNumberFormat="1" applyFont="1" applyBorder="1" applyAlignment="1">
      <alignment horizontal="left" vertical="center"/>
    </xf>
    <xf numFmtId="1" fontId="5" fillId="0" borderId="12" xfId="0" applyNumberFormat="1" applyFont="1" applyBorder="1" applyAlignment="1">
      <alignment horizontal="left" vertical="center"/>
    </xf>
    <xf numFmtId="1" fontId="5" fillId="0" borderId="1407" xfId="0" applyNumberFormat="1" applyFont="1" applyBorder="1" applyAlignment="1">
      <alignment horizontal="center" vertical="center"/>
    </xf>
    <xf numFmtId="1" fontId="5" fillId="0" borderId="1228" xfId="0" applyNumberFormat="1" applyFont="1" applyBorder="1" applyAlignment="1">
      <alignment horizontal="left" vertical="center"/>
    </xf>
    <xf numFmtId="1" fontId="5" fillId="0" borderId="1344" xfId="0" applyNumberFormat="1" applyFont="1" applyBorder="1" applyAlignment="1">
      <alignment horizontal="center" vertical="center" wrapText="1"/>
    </xf>
    <xf numFmtId="1" fontId="5" fillId="0" borderId="1336" xfId="0" applyNumberFormat="1" applyFont="1" applyBorder="1" applyAlignment="1">
      <alignment horizontal="center" vertical="center" wrapText="1"/>
    </xf>
    <xf numFmtId="1" fontId="5" fillId="25" borderId="1228" xfId="0" applyNumberFormat="1" applyFont="1" applyFill="1" applyBorder="1" applyAlignment="1">
      <alignment horizontal="center" vertical="center" wrapText="1"/>
    </xf>
    <xf numFmtId="1" fontId="5" fillId="25" borderId="1156" xfId="0" applyNumberFormat="1" applyFont="1" applyFill="1" applyBorder="1" applyAlignment="1">
      <alignment horizontal="center" vertical="center" wrapText="1"/>
    </xf>
    <xf numFmtId="1" fontId="5" fillId="5" borderId="1228" xfId="0" applyNumberFormat="1" applyFont="1" applyFill="1" applyBorder="1" applyAlignment="1">
      <alignment horizontal="center" vertical="center" wrapText="1"/>
    </xf>
    <xf numFmtId="1" fontId="5" fillId="5" borderId="1123" xfId="0" applyNumberFormat="1" applyFont="1" applyFill="1" applyBorder="1" applyAlignment="1">
      <alignment horizontal="center" vertical="center" wrapText="1"/>
    </xf>
    <xf numFmtId="1" fontId="5" fillId="5" borderId="1156" xfId="0" applyNumberFormat="1" applyFont="1" applyFill="1" applyBorder="1" applyAlignment="1">
      <alignment horizontal="center" vertical="center" wrapText="1"/>
    </xf>
    <xf numFmtId="1" fontId="5" fillId="5" borderId="1344" xfId="0" applyNumberFormat="1" applyFont="1" applyFill="1" applyBorder="1" applyAlignment="1">
      <alignment horizontal="center" vertical="center"/>
    </xf>
    <xf numFmtId="1" fontId="5" fillId="5" borderId="1343" xfId="0" applyNumberFormat="1" applyFont="1" applyFill="1" applyBorder="1" applyAlignment="1">
      <alignment horizontal="center" vertical="center"/>
    </xf>
    <xf numFmtId="1" fontId="5" fillId="5" borderId="1336" xfId="0" applyNumberFormat="1" applyFont="1" applyFill="1" applyBorder="1" applyAlignment="1">
      <alignment horizontal="center" vertical="center"/>
    </xf>
    <xf numFmtId="1" fontId="17" fillId="3" borderId="0" xfId="0" applyNumberFormat="1" applyFont="1" applyFill="1" applyAlignment="1">
      <alignment horizontal="center" vertical="center"/>
    </xf>
    <xf numFmtId="1" fontId="18" fillId="0" borderId="1206" xfId="0" applyNumberFormat="1" applyFont="1" applyBorder="1" applyAlignment="1">
      <alignment horizontal="center" vertical="center"/>
    </xf>
    <xf numFmtId="1" fontId="18" fillId="0" borderId="1205" xfId="0" applyNumberFormat="1" applyFont="1" applyBorder="1" applyAlignment="1">
      <alignment horizontal="center" vertical="center"/>
    </xf>
    <xf numFmtId="1" fontId="18" fillId="0" borderId="1198" xfId="0" applyNumberFormat="1" applyFont="1" applyBorder="1" applyAlignment="1">
      <alignment horizontal="center" vertical="center"/>
    </xf>
    <xf numFmtId="1" fontId="5" fillId="5" borderId="1214" xfId="0" applyNumberFormat="1" applyFont="1" applyFill="1" applyBorder="1" applyAlignment="1">
      <alignment horizontal="center" vertical="center" wrapText="1"/>
    </xf>
    <xf numFmtId="1" fontId="5" fillId="0" borderId="9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77" xfId="0" applyNumberFormat="1" applyFont="1" applyBorder="1" applyAlignment="1">
      <alignment horizontal="center" vertical="center"/>
    </xf>
    <xf numFmtId="1" fontId="5" fillId="0" borderId="89" xfId="0" applyNumberFormat="1" applyFont="1" applyBorder="1" applyAlignment="1">
      <alignment horizontal="center" vertical="center" wrapText="1"/>
    </xf>
    <xf numFmtId="1" fontId="5" fillId="0" borderId="90" xfId="0" applyNumberFormat="1" applyFont="1" applyBorder="1" applyAlignment="1">
      <alignment horizontal="center" vertical="center" wrapText="1"/>
    </xf>
    <xf numFmtId="1" fontId="5" fillId="0" borderId="79" xfId="0" applyNumberFormat="1" applyFont="1" applyBorder="1" applyAlignment="1">
      <alignment horizontal="center" vertical="center" wrapText="1"/>
    </xf>
    <xf numFmtId="1" fontId="5" fillId="0" borderId="73" xfId="0" applyNumberFormat="1" applyFont="1" applyBorder="1" applyAlignment="1">
      <alignment horizontal="center" vertical="center" wrapText="1"/>
    </xf>
    <xf numFmtId="1" fontId="5" fillId="0" borderId="77" xfId="0" applyNumberFormat="1" applyFont="1" applyBorder="1" applyAlignment="1">
      <alignment horizontal="center" vertical="center" wrapText="1"/>
    </xf>
    <xf numFmtId="1" fontId="5" fillId="0" borderId="95" xfId="0" applyNumberFormat="1" applyFont="1" applyBorder="1" applyAlignment="1">
      <alignment horizontal="center" vertical="center"/>
    </xf>
    <xf numFmtId="1" fontId="5" fillId="0" borderId="96" xfId="0" applyNumberFormat="1" applyFont="1" applyBorder="1" applyAlignment="1">
      <alignment horizontal="center" vertical="center"/>
    </xf>
    <xf numFmtId="1" fontId="5" fillId="0" borderId="98" xfId="0" applyNumberFormat="1" applyFont="1" applyBorder="1" applyAlignment="1">
      <alignment horizontal="center" vertical="center"/>
    </xf>
    <xf numFmtId="1" fontId="5" fillId="0" borderId="130" xfId="0" applyNumberFormat="1" applyFont="1" applyBorder="1" applyAlignment="1">
      <alignment horizontal="center" vertical="center" wrapText="1"/>
    </xf>
    <xf numFmtId="1" fontId="5" fillId="0" borderId="16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97" xfId="0" applyNumberFormat="1" applyFont="1" applyBorder="1" applyAlignment="1">
      <alignment horizontal="center" vertical="center"/>
    </xf>
    <xf numFmtId="1" fontId="5" fillId="0" borderId="94" xfId="0" applyNumberFormat="1" applyFont="1" applyBorder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1" fontId="5" fillId="0" borderId="78" xfId="0" applyNumberFormat="1" applyFont="1" applyBorder="1" applyAlignment="1">
      <alignment horizontal="center" vertical="center"/>
    </xf>
    <xf numFmtId="1" fontId="5" fillId="0" borderId="89" xfId="0" applyNumberFormat="1" applyFont="1" applyBorder="1" applyAlignment="1">
      <alignment horizontal="center" vertical="center"/>
    </xf>
    <xf numFmtId="1" fontId="5" fillId="0" borderId="79" xfId="0" applyNumberFormat="1" applyFont="1" applyBorder="1" applyAlignment="1">
      <alignment horizontal="center" vertical="center"/>
    </xf>
    <xf numFmtId="1" fontId="5" fillId="0" borderId="73" xfId="0" applyNumberFormat="1" applyFont="1" applyBorder="1" applyAlignment="1">
      <alignment horizontal="center" vertical="center"/>
    </xf>
    <xf numFmtId="1" fontId="5" fillId="0" borderId="75" xfId="0" applyNumberFormat="1" applyFont="1" applyBorder="1" applyAlignment="1">
      <alignment horizontal="center" vertical="center"/>
    </xf>
    <xf numFmtId="1" fontId="5" fillId="0" borderId="95" xfId="0" applyNumberFormat="1" applyFont="1" applyBorder="1" applyAlignment="1">
      <alignment horizontal="center" wrapText="1"/>
    </xf>
    <xf numFmtId="1" fontId="5" fillId="0" borderId="96" xfId="0" applyNumberFormat="1" applyFont="1" applyBorder="1" applyAlignment="1">
      <alignment horizontal="center" wrapText="1"/>
    </xf>
    <xf numFmtId="1" fontId="5" fillId="0" borderId="98" xfId="0" applyNumberFormat="1" applyFont="1" applyBorder="1" applyAlignment="1">
      <alignment horizontal="center" wrapText="1"/>
    </xf>
    <xf numFmtId="1" fontId="5" fillId="0" borderId="95" xfId="0" applyNumberFormat="1" applyFont="1" applyBorder="1" applyAlignment="1">
      <alignment horizontal="center" vertical="center" wrapText="1"/>
    </xf>
    <xf numFmtId="1" fontId="5" fillId="0" borderId="97" xfId="0" applyNumberFormat="1" applyFont="1" applyBorder="1" applyAlignment="1">
      <alignment horizontal="center" vertical="center" wrapText="1"/>
    </xf>
    <xf numFmtId="1" fontId="5" fillId="0" borderId="98" xfId="0" applyNumberFormat="1" applyFont="1" applyBorder="1" applyAlignment="1">
      <alignment horizontal="center" vertical="center" wrapText="1"/>
    </xf>
    <xf numFmtId="1" fontId="5" fillId="0" borderId="161" xfId="0" applyNumberFormat="1" applyFont="1" applyBorder="1" applyAlignment="1">
      <alignment horizontal="center" vertical="center" wrapText="1"/>
    </xf>
    <xf numFmtId="1" fontId="5" fillId="0" borderId="162" xfId="0" applyNumberFormat="1" applyFont="1" applyBorder="1" applyAlignment="1">
      <alignment horizontal="center" vertical="center" wrapText="1"/>
    </xf>
    <xf numFmtId="1" fontId="5" fillId="0" borderId="75" xfId="0" applyNumberFormat="1" applyFont="1" applyBorder="1" applyAlignment="1">
      <alignment horizontal="center" vertical="center" wrapText="1"/>
    </xf>
    <xf numFmtId="1" fontId="5" fillId="0" borderId="115" xfId="0" applyNumberFormat="1" applyFont="1" applyBorder="1" applyAlignment="1">
      <alignment horizontal="center" vertical="center"/>
    </xf>
    <xf numFmtId="1" fontId="5" fillId="0" borderId="115" xfId="0" applyNumberFormat="1" applyFont="1" applyBorder="1" applyAlignment="1">
      <alignment horizontal="center" vertical="center" wrapText="1"/>
    </xf>
    <xf numFmtId="1" fontId="5" fillId="0" borderId="81" xfId="0" applyNumberFormat="1" applyFont="1" applyBorder="1" applyAlignment="1">
      <alignment horizontal="center" vertical="center"/>
    </xf>
    <xf numFmtId="1" fontId="5" fillId="0" borderId="115" xfId="0" applyNumberFormat="1" applyFont="1" applyBorder="1" applyAlignment="1">
      <alignment horizontal="left" vertical="center" wrapText="1"/>
    </xf>
    <xf numFmtId="1" fontId="5" fillId="0" borderId="94" xfId="0" applyNumberFormat="1" applyFont="1" applyBorder="1" applyAlignment="1">
      <alignment horizontal="center" vertical="center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0" borderId="78" xfId="0" applyNumberFormat="1" applyFont="1" applyBorder="1" applyAlignment="1">
      <alignment horizontal="center" vertical="center" wrapText="1"/>
    </xf>
    <xf numFmtId="1" fontId="5" fillId="0" borderId="95" xfId="0" applyNumberFormat="1" applyFont="1" applyBorder="1" applyAlignment="1">
      <alignment horizontal="center"/>
    </xf>
    <xf numFmtId="1" fontId="5" fillId="0" borderId="98" xfId="0" applyNumberFormat="1" applyFont="1" applyBorder="1" applyAlignment="1">
      <alignment horizontal="center"/>
    </xf>
    <xf numFmtId="1" fontId="5" fillId="0" borderId="56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92" xfId="0" applyNumberFormat="1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left" vertical="center" wrapText="1"/>
    </xf>
    <xf numFmtId="1" fontId="5" fillId="0" borderId="94" xfId="0" applyNumberFormat="1" applyFont="1" applyBorder="1" applyAlignment="1">
      <alignment horizontal="left" vertical="center" wrapText="1"/>
    </xf>
    <xf numFmtId="1" fontId="5" fillId="0" borderId="51" xfId="0" applyNumberFormat="1" applyFont="1" applyBorder="1" applyAlignment="1">
      <alignment horizontal="left" vertical="center" wrapText="1"/>
    </xf>
    <xf numFmtId="1" fontId="5" fillId="0" borderId="78" xfId="0" applyNumberFormat="1" applyFont="1" applyBorder="1" applyAlignment="1">
      <alignment horizontal="left" vertical="center" wrapText="1"/>
    </xf>
    <xf numFmtId="1" fontId="5" fillId="0" borderId="89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1" fontId="5" fillId="0" borderId="90" xfId="0" applyNumberFormat="1" applyFont="1" applyBorder="1" applyAlignment="1" applyProtection="1">
      <alignment horizontal="center" vertical="center"/>
      <protection locked="0"/>
    </xf>
    <xf numFmtId="1" fontId="5" fillId="0" borderId="79" xfId="0" applyNumberFormat="1" applyFont="1" applyBorder="1" applyAlignment="1" applyProtection="1">
      <alignment horizontal="center" vertical="center"/>
      <protection locked="0"/>
    </xf>
    <xf numFmtId="1" fontId="5" fillId="0" borderId="73" xfId="0" applyNumberFormat="1" applyFont="1" applyBorder="1" applyAlignment="1" applyProtection="1">
      <alignment horizontal="center" vertical="center"/>
      <protection locked="0"/>
    </xf>
    <xf numFmtId="1" fontId="5" fillId="0" borderId="75" xfId="0" applyNumberFormat="1" applyFont="1" applyBorder="1" applyAlignment="1" applyProtection="1">
      <alignment horizontal="center" vertical="center"/>
      <protection locked="0"/>
    </xf>
    <xf numFmtId="1" fontId="5" fillId="0" borderId="96" xfId="0" applyNumberFormat="1" applyFont="1" applyBorder="1" applyAlignment="1">
      <alignment horizontal="center"/>
    </xf>
    <xf numFmtId="1" fontId="5" fillId="0" borderId="97" xfId="0" applyNumberFormat="1" applyFont="1" applyBorder="1" applyAlignment="1">
      <alignment horizontal="center"/>
    </xf>
    <xf numFmtId="1" fontId="5" fillId="0" borderId="129" xfId="0" applyNumberFormat="1" applyFont="1" applyBorder="1" applyAlignment="1">
      <alignment horizontal="center" vertical="center" wrapText="1"/>
    </xf>
    <xf numFmtId="1" fontId="5" fillId="0" borderId="131" xfId="0" applyNumberFormat="1" applyFont="1" applyBorder="1" applyAlignment="1">
      <alignment horizontal="center" vertical="center" wrapText="1"/>
    </xf>
    <xf numFmtId="1" fontId="5" fillId="0" borderId="100" xfId="0" applyNumberFormat="1" applyFont="1" applyBorder="1" applyAlignment="1">
      <alignment horizontal="center" vertical="center" wrapText="1"/>
    </xf>
    <xf numFmtId="1" fontId="5" fillId="0" borderId="71" xfId="0" applyNumberFormat="1" applyFont="1" applyBorder="1" applyAlignment="1">
      <alignment horizontal="center" vertical="center" wrapText="1"/>
    </xf>
    <xf numFmtId="1" fontId="5" fillId="0" borderId="101" xfId="0" applyNumberFormat="1" applyFont="1" applyBorder="1" applyAlignment="1">
      <alignment horizontal="center" vertical="center" wrapText="1"/>
    </xf>
    <xf numFmtId="1" fontId="5" fillId="0" borderId="72" xfId="0" applyNumberFormat="1" applyFont="1" applyBorder="1" applyAlignment="1">
      <alignment horizontal="center" vertical="center" wrapText="1"/>
    </xf>
    <xf numFmtId="1" fontId="5" fillId="0" borderId="96" xfId="0" applyNumberFormat="1" applyFont="1" applyBorder="1" applyAlignment="1">
      <alignment horizontal="center" vertical="center" wrapText="1"/>
    </xf>
    <xf numFmtId="1" fontId="5" fillId="0" borderId="110" xfId="0" applyNumberFormat="1" applyFont="1" applyBorder="1" applyAlignment="1">
      <alignment horizontal="left" vertical="center" wrapText="1"/>
    </xf>
    <xf numFmtId="1" fontId="5" fillId="0" borderId="106" xfId="0" applyNumberFormat="1" applyFont="1" applyBorder="1" applyAlignment="1">
      <alignment horizontal="left" vertical="center" wrapText="1"/>
    </xf>
    <xf numFmtId="1" fontId="5" fillId="0" borderId="79" xfId="0" applyNumberFormat="1" applyFont="1" applyBorder="1" applyAlignment="1">
      <alignment horizontal="left" vertical="center"/>
    </xf>
    <xf numFmtId="1" fontId="5" fillId="0" borderId="75" xfId="0" applyNumberFormat="1" applyFont="1" applyBorder="1" applyAlignment="1">
      <alignment horizontal="left" vertical="center"/>
    </xf>
    <xf numFmtId="1" fontId="5" fillId="0" borderId="12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left" vertical="center" wrapText="1"/>
    </xf>
    <xf numFmtId="1" fontId="5" fillId="0" borderId="10" xfId="0" applyNumberFormat="1" applyFont="1" applyBorder="1" applyAlignment="1">
      <alignment horizontal="left" vertical="center" wrapText="1"/>
    </xf>
    <xf numFmtId="1" fontId="5" fillId="0" borderId="95" xfId="0" quotePrefix="1" applyNumberFormat="1" applyFont="1" applyBorder="1" applyAlignment="1">
      <alignment horizontal="center" vertical="center" wrapText="1"/>
    </xf>
    <xf numFmtId="1" fontId="5" fillId="0" borderId="89" xfId="0" applyNumberFormat="1" applyFont="1" applyBorder="1" applyAlignment="1">
      <alignment horizontal="left" vertical="center" wrapText="1"/>
    </xf>
    <xf numFmtId="1" fontId="5" fillId="0" borderId="90" xfId="0" applyNumberFormat="1" applyFont="1" applyBorder="1" applyAlignment="1">
      <alignment horizontal="left" vertical="center" wrapText="1"/>
    </xf>
    <xf numFmtId="1" fontId="5" fillId="0" borderId="56" xfId="0" applyNumberFormat="1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/>
    </xf>
    <xf numFmtId="1" fontId="5" fillId="0" borderId="79" xfId="0" applyNumberFormat="1" applyFont="1" applyBorder="1" applyAlignment="1">
      <alignment horizontal="left" vertical="center" wrapText="1"/>
    </xf>
    <xf numFmtId="1" fontId="5" fillId="0" borderId="77" xfId="0" applyNumberFormat="1" applyFont="1" applyBorder="1" applyAlignment="1">
      <alignment horizontal="left" vertical="center" wrapText="1"/>
    </xf>
    <xf numFmtId="1" fontId="15" fillId="0" borderId="73" xfId="0" applyNumberFormat="1" applyFont="1" applyBorder="1" applyAlignment="1">
      <alignment horizontal="left"/>
    </xf>
    <xf numFmtId="1" fontId="15" fillId="0" borderId="118" xfId="0" applyNumberFormat="1" applyFont="1" applyBorder="1" applyAlignment="1">
      <alignment horizontal="left"/>
    </xf>
    <xf numFmtId="1" fontId="5" fillId="0" borderId="97" xfId="0" applyNumberFormat="1" applyFont="1" applyBorder="1" applyAlignment="1">
      <alignment horizontal="center" wrapText="1"/>
    </xf>
    <xf numFmtId="1" fontId="5" fillId="0" borderId="95" xfId="0" applyNumberFormat="1" applyFont="1" applyBorder="1" applyAlignment="1">
      <alignment horizontal="left" vertical="center" wrapText="1"/>
    </xf>
    <xf numFmtId="1" fontId="5" fillId="0" borderId="97" xfId="0" applyNumberFormat="1" applyFont="1" applyBorder="1" applyAlignment="1">
      <alignment horizontal="left" vertical="center" wrapText="1"/>
    </xf>
    <xf numFmtId="1" fontId="5" fillId="0" borderId="1345" xfId="0" applyNumberFormat="1" applyFont="1" applyBorder="1" applyAlignment="1">
      <alignment horizontal="left" vertical="center" wrapText="1"/>
    </xf>
    <xf numFmtId="1" fontId="5" fillId="0" borderId="1357" xfId="0" applyNumberFormat="1" applyFont="1" applyBorder="1" applyAlignment="1">
      <alignment horizontal="left" wrapText="1"/>
    </xf>
    <xf numFmtId="1" fontId="5" fillId="0" borderId="59" xfId="0" applyNumberFormat="1" applyFont="1" applyBorder="1" applyAlignment="1">
      <alignment horizontal="left" vertical="center"/>
    </xf>
    <xf numFmtId="1" fontId="5" fillId="0" borderId="1099" xfId="0" applyNumberFormat="1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left" vertical="center"/>
    </xf>
    <xf numFmtId="1" fontId="5" fillId="0" borderId="10" xfId="0" applyNumberFormat="1" applyFont="1" applyBorder="1" applyAlignment="1">
      <alignment horizontal="left" vertical="center"/>
    </xf>
    <xf numFmtId="1" fontId="5" fillId="0" borderId="56" xfId="0" applyNumberFormat="1" applyFont="1" applyBorder="1" applyAlignment="1">
      <alignment horizontal="center" vertical="center" wrapText="1"/>
    </xf>
    <xf numFmtId="1" fontId="15" fillId="0" borderId="96" xfId="0" applyNumberFormat="1" applyFont="1" applyBorder="1" applyAlignment="1">
      <alignment horizontal="left"/>
    </xf>
    <xf numFmtId="1" fontId="5" fillId="0" borderId="51" xfId="0" applyNumberFormat="1" applyFont="1" applyBorder="1" applyAlignment="1">
      <alignment horizontal="center" vertical="center"/>
    </xf>
    <xf numFmtId="1" fontId="5" fillId="0" borderId="99" xfId="0" applyNumberFormat="1" applyFont="1" applyBorder="1" applyAlignment="1">
      <alignment horizontal="center" vertical="center" wrapText="1"/>
    </xf>
    <xf numFmtId="1" fontId="5" fillId="0" borderId="85" xfId="0" applyNumberFormat="1" applyFont="1" applyBorder="1" applyAlignment="1">
      <alignment horizontal="center" vertical="center" wrapText="1"/>
    </xf>
    <xf numFmtId="1" fontId="5" fillId="0" borderId="93" xfId="0" applyNumberFormat="1" applyFont="1" applyBorder="1" applyAlignment="1">
      <alignment horizontal="center" vertical="center" wrapText="1"/>
    </xf>
    <xf numFmtId="1" fontId="5" fillId="0" borderId="398" xfId="0" applyNumberFormat="1" applyFont="1" applyBorder="1" applyAlignment="1">
      <alignment horizontal="center" vertical="center" wrapText="1"/>
    </xf>
    <xf numFmtId="1" fontId="5" fillId="0" borderId="257" xfId="0" applyNumberFormat="1" applyFont="1" applyBorder="1" applyAlignment="1">
      <alignment horizontal="center" vertical="center" wrapText="1"/>
    </xf>
    <xf numFmtId="1" fontId="5" fillId="0" borderId="1206" xfId="0" applyNumberFormat="1" applyFont="1" applyBorder="1" applyAlignment="1">
      <alignment horizontal="right"/>
    </xf>
    <xf numFmtId="1" fontId="5" fillId="0" borderId="1205" xfId="0" applyNumberFormat="1" applyFont="1" applyBorder="1" applyAlignment="1">
      <alignment horizontal="right"/>
    </xf>
    <xf numFmtId="1" fontId="5" fillId="0" borderId="1198" xfId="0" applyNumberFormat="1" applyFont="1" applyBorder="1" applyAlignment="1">
      <alignment horizontal="right"/>
    </xf>
    <xf numFmtId="1" fontId="5" fillId="0" borderId="1206" xfId="0" applyNumberFormat="1" applyFont="1" applyBorder="1" applyAlignment="1">
      <alignment horizontal="right" vertical="center" wrapText="1"/>
    </xf>
    <xf numFmtId="1" fontId="5" fillId="0" borderId="1205" xfId="0" applyNumberFormat="1" applyFont="1" applyBorder="1" applyAlignment="1">
      <alignment horizontal="right" vertical="center" wrapText="1"/>
    </xf>
    <xf numFmtId="1" fontId="5" fillId="0" borderId="1198" xfId="0" applyNumberFormat="1" applyFont="1" applyBorder="1" applyAlignment="1">
      <alignment horizontal="right" vertical="center" wrapText="1"/>
    </xf>
    <xf numFmtId="1" fontId="5" fillId="5" borderId="1164" xfId="0" applyNumberFormat="1" applyFont="1" applyFill="1" applyBorder="1" applyAlignment="1">
      <alignment horizontal="center" vertical="center" wrapText="1"/>
    </xf>
    <xf numFmtId="1" fontId="5" fillId="5" borderId="977" xfId="0" applyNumberFormat="1" applyFont="1" applyFill="1" applyBorder="1" applyAlignment="1">
      <alignment horizontal="center" vertical="center" wrapText="1"/>
    </xf>
    <xf numFmtId="1" fontId="5" fillId="5" borderId="1089" xfId="0" applyNumberFormat="1" applyFont="1" applyFill="1" applyBorder="1" applyAlignment="1">
      <alignment horizontal="center" vertical="center" wrapText="1"/>
    </xf>
    <xf numFmtId="1" fontId="5" fillId="0" borderId="378" xfId="0" applyNumberFormat="1" applyFont="1" applyBorder="1" applyAlignment="1" applyProtection="1">
      <alignment horizontal="left" vertical="center" wrapText="1"/>
      <protection hidden="1"/>
    </xf>
    <xf numFmtId="1" fontId="5" fillId="0" borderId="10" xfId="0" applyNumberFormat="1" applyFont="1" applyBorder="1" applyAlignment="1" applyProtection="1">
      <alignment horizontal="left" vertical="center" wrapText="1"/>
      <protection hidden="1"/>
    </xf>
    <xf numFmtId="1" fontId="5" fillId="0" borderId="56" xfId="0" applyNumberFormat="1" applyFont="1" applyBorder="1" applyAlignment="1" applyProtection="1">
      <alignment horizontal="left" vertical="center" wrapText="1"/>
      <protection hidden="1"/>
    </xf>
    <xf numFmtId="1" fontId="5" fillId="0" borderId="2" xfId="0" applyNumberFormat="1" applyFont="1" applyBorder="1" applyAlignment="1" applyProtection="1">
      <alignment horizontal="left" vertical="center" wrapText="1"/>
      <protection hidden="1"/>
    </xf>
    <xf numFmtId="1" fontId="5" fillId="5" borderId="378" xfId="0" applyNumberFormat="1" applyFont="1" applyFill="1" applyBorder="1" applyAlignment="1" applyProtection="1">
      <alignment horizontal="left" vertical="center" wrapText="1"/>
      <protection hidden="1"/>
    </xf>
    <xf numFmtId="1" fontId="5" fillId="5" borderId="10" xfId="0" applyNumberFormat="1" applyFont="1" applyFill="1" applyBorder="1" applyAlignment="1" applyProtection="1">
      <alignment horizontal="left" vertical="center" wrapText="1"/>
      <protection hidden="1"/>
    </xf>
    <xf numFmtId="1" fontId="5" fillId="0" borderId="395" xfId="0" applyNumberFormat="1" applyFont="1" applyBorder="1" applyAlignment="1">
      <alignment horizontal="center" vertical="center" wrapText="1"/>
    </xf>
    <xf numFmtId="1" fontId="5" fillId="0" borderId="399" xfId="0" applyNumberFormat="1" applyFont="1" applyBorder="1" applyAlignment="1">
      <alignment horizontal="center" vertical="center"/>
    </xf>
    <xf numFmtId="1" fontId="5" fillId="0" borderId="383" xfId="0" applyNumberFormat="1" applyFont="1" applyBorder="1" applyAlignment="1">
      <alignment horizontal="center" vertical="center" wrapText="1"/>
    </xf>
    <xf numFmtId="1" fontId="5" fillId="0" borderId="203" xfId="0" applyNumberFormat="1" applyFont="1" applyBorder="1" applyAlignment="1">
      <alignment horizontal="center" vertical="center" wrapText="1"/>
    </xf>
    <xf numFmtId="1" fontId="5" fillId="3" borderId="396" xfId="0" applyNumberFormat="1" applyFont="1" applyFill="1" applyBorder="1" applyAlignment="1">
      <alignment horizontal="center" vertical="center"/>
    </xf>
    <xf numFmtId="1" fontId="5" fillId="3" borderId="399" xfId="0" applyNumberFormat="1" applyFont="1" applyFill="1" applyBorder="1" applyAlignment="1">
      <alignment horizontal="center" vertical="center"/>
    </xf>
    <xf numFmtId="1" fontId="5" fillId="0" borderId="399" xfId="0" applyNumberFormat="1" applyFont="1" applyBorder="1" applyAlignment="1">
      <alignment horizontal="center" vertical="center" wrapText="1"/>
    </xf>
    <xf numFmtId="1" fontId="5" fillId="0" borderId="396" xfId="0" applyNumberFormat="1" applyFont="1" applyBorder="1" applyAlignment="1">
      <alignment horizontal="center" vertical="center" wrapText="1"/>
    </xf>
    <xf numFmtId="1" fontId="5" fillId="3" borderId="977" xfId="0" applyNumberFormat="1" applyFont="1" applyFill="1" applyBorder="1" applyAlignment="1">
      <alignment horizontal="left" vertical="center" wrapText="1"/>
    </xf>
    <xf numFmtId="1" fontId="5" fillId="3" borderId="51" xfId="0" applyNumberFormat="1" applyFont="1" applyFill="1" applyBorder="1" applyAlignment="1">
      <alignment horizontal="left" vertical="center" wrapText="1"/>
    </xf>
    <xf numFmtId="1" fontId="5" fillId="3" borderId="203" xfId="0" applyNumberFormat="1" applyFont="1" applyFill="1" applyBorder="1" applyAlignment="1">
      <alignment horizontal="left" vertical="center" wrapText="1"/>
    </xf>
    <xf numFmtId="1" fontId="5" fillId="3" borderId="208" xfId="0" applyNumberFormat="1" applyFont="1" applyFill="1" applyBorder="1" applyAlignment="1">
      <alignment horizontal="left" vertical="center" wrapText="1"/>
    </xf>
    <xf numFmtId="1" fontId="5" fillId="3" borderId="373" xfId="0" applyNumberFormat="1" applyFont="1" applyFill="1" applyBorder="1" applyAlignment="1">
      <alignment horizontal="left" vertical="center" wrapText="1"/>
    </xf>
    <xf numFmtId="1" fontId="5" fillId="3" borderId="378" xfId="0" applyNumberFormat="1" applyFont="1" applyFill="1" applyBorder="1" applyAlignment="1">
      <alignment horizontal="left" vertical="center" wrapText="1"/>
    </xf>
    <xf numFmtId="1" fontId="5" fillId="3" borderId="10" xfId="0" applyNumberFormat="1" applyFont="1" applyFill="1" applyBorder="1" applyAlignment="1">
      <alignment horizontal="left" vertical="center" wrapText="1"/>
    </xf>
    <xf numFmtId="1" fontId="5" fillId="5" borderId="11" xfId="0" applyNumberFormat="1" applyFont="1" applyFill="1" applyBorder="1" applyAlignment="1" applyProtection="1">
      <alignment horizontal="left" vertical="center" wrapText="1"/>
      <protection hidden="1"/>
    </xf>
    <xf numFmtId="1" fontId="5" fillId="5" borderId="12" xfId="0" applyNumberFormat="1" applyFont="1" applyFill="1" applyBorder="1" applyAlignment="1" applyProtection="1">
      <alignment horizontal="left" vertical="center" wrapText="1"/>
      <protection hidden="1"/>
    </xf>
    <xf numFmtId="1" fontId="5" fillId="0" borderId="399" xfId="0" applyNumberFormat="1" applyFont="1" applyBorder="1" applyAlignment="1" applyProtection="1">
      <alignment horizontal="center" vertical="center" wrapText="1"/>
      <protection hidden="1"/>
    </xf>
    <xf numFmtId="1" fontId="5" fillId="0" borderId="402" xfId="0" applyNumberFormat="1" applyFont="1" applyBorder="1" applyAlignment="1" applyProtection="1">
      <alignment horizontal="left" vertical="center" wrapText="1"/>
      <protection hidden="1"/>
    </xf>
    <xf numFmtId="1" fontId="5" fillId="0" borderId="404" xfId="0" applyNumberFormat="1" applyFont="1" applyBorder="1" applyAlignment="1" applyProtection="1">
      <alignment horizontal="left" vertical="center" wrapText="1"/>
      <protection hidden="1"/>
    </xf>
    <xf numFmtId="1" fontId="5" fillId="0" borderId="52" xfId="0" applyNumberFormat="1" applyFont="1" applyBorder="1" applyAlignment="1">
      <alignment horizontal="left"/>
    </xf>
    <xf numFmtId="1" fontId="5" fillId="0" borderId="10" xfId="0" applyNumberFormat="1" applyFont="1" applyBorder="1" applyAlignment="1">
      <alignment horizontal="left"/>
    </xf>
    <xf numFmtId="1" fontId="5" fillId="0" borderId="402" xfId="0" applyNumberFormat="1" applyFont="1" applyBorder="1" applyAlignment="1">
      <alignment horizontal="left" vertical="center" wrapText="1"/>
    </xf>
    <xf numFmtId="1" fontId="5" fillId="0" borderId="403" xfId="0" applyNumberFormat="1" applyFont="1" applyBorder="1" applyAlignment="1">
      <alignment horizontal="left" vertical="center" wrapText="1"/>
    </xf>
    <xf numFmtId="1" fontId="5" fillId="0" borderId="404" xfId="0" applyNumberFormat="1" applyFont="1" applyBorder="1" applyAlignment="1">
      <alignment horizontal="left" vertical="center" wrapText="1"/>
    </xf>
    <xf numFmtId="1" fontId="5" fillId="0" borderId="378" xfId="0" applyNumberFormat="1" applyFont="1" applyBorder="1" applyAlignment="1">
      <alignment horizontal="left" vertical="center" wrapText="1"/>
    </xf>
    <xf numFmtId="1" fontId="5" fillId="0" borderId="52" xfId="0" applyNumberFormat="1" applyFont="1" applyBorder="1" applyAlignment="1">
      <alignment horizontal="left" vertical="center" wrapText="1"/>
    </xf>
    <xf numFmtId="1" fontId="5" fillId="3" borderId="371" xfId="0" applyNumberFormat="1" applyFont="1" applyFill="1" applyBorder="1" applyAlignment="1">
      <alignment horizontal="left" vertical="center" wrapText="1"/>
    </xf>
    <xf numFmtId="1" fontId="5" fillId="3" borderId="374" xfId="0" applyNumberFormat="1" applyFont="1" applyFill="1" applyBorder="1" applyAlignment="1">
      <alignment horizontal="left" vertical="center" wrapText="1"/>
    </xf>
    <xf numFmtId="1" fontId="5" fillId="3" borderId="372" xfId="0" applyNumberFormat="1" applyFont="1" applyFill="1" applyBorder="1" applyAlignment="1">
      <alignment horizontal="left" vertical="center" wrapText="1"/>
    </xf>
    <xf numFmtId="1" fontId="5" fillId="0" borderId="11" xfId="0" applyNumberFormat="1" applyFont="1" applyBorder="1" applyAlignment="1">
      <alignment horizontal="left"/>
    </xf>
    <xf numFmtId="1" fontId="5" fillId="5" borderId="13" xfId="0" applyNumberFormat="1" applyFont="1" applyFill="1" applyBorder="1" applyAlignment="1">
      <alignment horizontal="left" vertical="center" wrapText="1"/>
    </xf>
    <xf numFmtId="1" fontId="5" fillId="0" borderId="392" xfId="0" applyNumberFormat="1" applyFont="1" applyBorder="1" applyAlignment="1">
      <alignment horizontal="center" vertical="center"/>
    </xf>
    <xf numFmtId="1" fontId="5" fillId="0" borderId="393" xfId="0" applyNumberFormat="1" applyFont="1" applyBorder="1" applyAlignment="1">
      <alignment horizontal="center" vertical="center"/>
    </xf>
    <xf numFmtId="1" fontId="5" fillId="0" borderId="394" xfId="0" applyNumberFormat="1" applyFont="1" applyBorder="1" applyAlignment="1">
      <alignment horizontal="center" vertical="center"/>
    </xf>
    <xf numFmtId="1" fontId="5" fillId="0" borderId="204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1" fontId="5" fillId="0" borderId="242" xfId="0" applyNumberFormat="1" applyFont="1" applyBorder="1" applyAlignment="1">
      <alignment horizontal="center" vertical="center"/>
    </xf>
    <xf numFmtId="1" fontId="5" fillId="5" borderId="392" xfId="0" applyNumberFormat="1" applyFont="1" applyFill="1" applyBorder="1" applyAlignment="1">
      <alignment horizontal="center" vertical="center" wrapText="1"/>
    </xf>
    <xf numFmtId="1" fontId="5" fillId="5" borderId="393" xfId="0" applyNumberFormat="1" applyFont="1" applyFill="1" applyBorder="1" applyAlignment="1">
      <alignment horizontal="center" vertical="center" wrapText="1"/>
    </xf>
    <xf numFmtId="1" fontId="5" fillId="5" borderId="394" xfId="0" applyNumberFormat="1" applyFont="1" applyFill="1" applyBorder="1" applyAlignment="1">
      <alignment horizontal="center" vertical="center" wrapText="1"/>
    </xf>
    <xf numFmtId="1" fontId="5" fillId="5" borderId="204" xfId="0" applyNumberFormat="1" applyFont="1" applyFill="1" applyBorder="1" applyAlignment="1">
      <alignment horizontal="center" vertical="center" wrapText="1"/>
    </xf>
    <xf numFmtId="1" fontId="5" fillId="5" borderId="35" xfId="0" applyNumberFormat="1" applyFont="1" applyFill="1" applyBorder="1" applyAlignment="1">
      <alignment horizontal="center" vertical="center" wrapText="1"/>
    </xf>
    <xf numFmtId="1" fontId="5" fillId="5" borderId="242" xfId="0" applyNumberFormat="1" applyFont="1" applyFill="1" applyBorder="1" applyAlignment="1">
      <alignment horizontal="center" vertical="center" wrapText="1"/>
    </xf>
    <xf numFmtId="1" fontId="5" fillId="0" borderId="397" xfId="0" applyNumberFormat="1" applyFont="1" applyBorder="1" applyAlignment="1">
      <alignment horizontal="center" vertical="center" wrapText="1"/>
    </xf>
    <xf numFmtId="1" fontId="5" fillId="0" borderId="220" xfId="0" applyNumberFormat="1" applyFont="1" applyBorder="1" applyAlignment="1">
      <alignment horizontal="left" vertical="center" wrapText="1"/>
    </xf>
    <xf numFmtId="1" fontId="5" fillId="3" borderId="1292" xfId="0" applyNumberFormat="1" applyFont="1" applyFill="1" applyBorder="1" applyAlignment="1">
      <alignment horizontal="left" vertical="center" wrapText="1"/>
    </xf>
    <xf numFmtId="1" fontId="5" fillId="3" borderId="835" xfId="0" applyNumberFormat="1" applyFont="1" applyFill="1" applyBorder="1" applyAlignment="1">
      <alignment horizontal="left" vertical="center" wrapText="1"/>
    </xf>
    <xf numFmtId="1" fontId="5" fillId="3" borderId="903" xfId="0" applyNumberFormat="1" applyFont="1" applyFill="1" applyBorder="1" applyAlignment="1">
      <alignment horizontal="left" vertical="center" wrapText="1"/>
    </xf>
    <xf numFmtId="1" fontId="5" fillId="3" borderId="838" xfId="0" applyNumberFormat="1" applyFont="1" applyFill="1" applyBorder="1" applyAlignment="1">
      <alignment horizontal="left" vertical="center" wrapText="1"/>
    </xf>
    <xf numFmtId="1" fontId="5" fillId="0" borderId="383" xfId="0" applyNumberFormat="1" applyFont="1" applyBorder="1" applyAlignment="1">
      <alignment horizontal="left" vertical="center" wrapText="1"/>
    </xf>
    <xf numFmtId="1" fontId="5" fillId="0" borderId="203" xfId="0" applyNumberFormat="1" applyFont="1" applyBorder="1" applyAlignment="1">
      <alignment horizontal="left" vertical="center" wrapText="1"/>
    </xf>
    <xf numFmtId="1" fontId="5" fillId="5" borderId="383" xfId="0" applyNumberFormat="1" applyFont="1" applyFill="1" applyBorder="1" applyAlignment="1">
      <alignment horizontal="left" vertical="center" wrapText="1"/>
    </xf>
    <xf numFmtId="1" fontId="5" fillId="5" borderId="51" xfId="0" applyNumberFormat="1" applyFont="1" applyFill="1" applyBorder="1" applyAlignment="1">
      <alignment horizontal="left" vertical="center" wrapText="1"/>
    </xf>
    <xf numFmtId="1" fontId="5" fillId="5" borderId="203" xfId="0" applyNumberFormat="1" applyFont="1" applyFill="1" applyBorder="1" applyAlignment="1">
      <alignment horizontal="left" vertical="center" wrapText="1"/>
    </xf>
    <xf numFmtId="1" fontId="5" fillId="0" borderId="386" xfId="0" applyNumberFormat="1" applyFont="1" applyBorder="1" applyAlignment="1">
      <alignment horizontal="left" vertical="center" wrapText="1"/>
    </xf>
    <xf numFmtId="1" fontId="5" fillId="0" borderId="82" xfId="0" applyNumberFormat="1" applyFont="1" applyBorder="1" applyAlignment="1">
      <alignment horizontal="left" vertical="center" wrapText="1"/>
    </xf>
    <xf numFmtId="1" fontId="5" fillId="5" borderId="82" xfId="0" applyNumberFormat="1" applyFont="1" applyFill="1" applyBorder="1" applyAlignment="1">
      <alignment horizontal="left" vertical="center" wrapText="1"/>
    </xf>
    <xf numFmtId="1" fontId="5" fillId="0" borderId="231" xfId="0" applyNumberFormat="1" applyFont="1" applyBorder="1" applyAlignment="1">
      <alignment horizontal="center" vertical="center" wrapText="1"/>
    </xf>
    <xf numFmtId="1" fontId="5" fillId="0" borderId="233" xfId="0" applyNumberFormat="1" applyFont="1" applyBorder="1" applyAlignment="1">
      <alignment horizontal="center" vertical="center"/>
    </xf>
    <xf numFmtId="1" fontId="5" fillId="5" borderId="91" xfId="0" applyNumberFormat="1" applyFont="1" applyFill="1" applyBorder="1" applyAlignment="1">
      <alignment horizontal="center" vertical="center" wrapText="1"/>
    </xf>
    <xf numFmtId="1" fontId="5" fillId="5" borderId="30" xfId="0" applyNumberFormat="1" applyFont="1" applyFill="1" applyBorder="1" applyAlignment="1">
      <alignment horizontal="center" vertical="center" wrapText="1"/>
    </xf>
    <xf numFmtId="1" fontId="5" fillId="5" borderId="369" xfId="0" applyNumberFormat="1" applyFont="1" applyFill="1" applyBorder="1" applyAlignment="1">
      <alignment horizontal="center" vertical="center" wrapText="1"/>
    </xf>
    <xf numFmtId="1" fontId="5" fillId="3" borderId="100" xfId="0" applyNumberFormat="1" applyFont="1" applyFill="1" applyBorder="1" applyAlignment="1">
      <alignment horizontal="center" vertical="center" wrapText="1"/>
    </xf>
    <xf numFmtId="1" fontId="5" fillId="3" borderId="29" xfId="0" applyNumberFormat="1" applyFont="1" applyFill="1" applyBorder="1" applyAlignment="1">
      <alignment horizontal="center" vertical="center" wrapText="1"/>
    </xf>
    <xf numFmtId="1" fontId="5" fillId="3" borderId="370" xfId="0" applyNumberFormat="1" applyFont="1" applyFill="1" applyBorder="1" applyAlignment="1">
      <alignment horizontal="center" vertical="center" wrapText="1"/>
    </xf>
    <xf numFmtId="1" fontId="5" fillId="0" borderId="201" xfId="0" applyNumberFormat="1" applyFont="1" applyBorder="1" applyAlignment="1">
      <alignment horizontal="left" vertical="center" wrapText="1"/>
    </xf>
    <xf numFmtId="1" fontId="5" fillId="0" borderId="189" xfId="0" applyNumberFormat="1" applyFont="1" applyBorder="1" applyAlignment="1">
      <alignment horizontal="left" wrapText="1"/>
    </xf>
    <xf numFmtId="1" fontId="5" fillId="0" borderId="200" xfId="0" applyNumberFormat="1" applyFont="1" applyBorder="1" applyAlignment="1">
      <alignment horizontal="left" wrapText="1"/>
    </xf>
    <xf numFmtId="1" fontId="5" fillId="0" borderId="11" xfId="0" applyNumberFormat="1" applyFont="1" applyBorder="1" applyAlignment="1">
      <alignment horizontal="left" wrapText="1"/>
    </xf>
    <xf numFmtId="1" fontId="5" fillId="0" borderId="12" xfId="0" applyNumberFormat="1" applyFont="1" applyBorder="1" applyAlignment="1">
      <alignment horizontal="left" wrapText="1"/>
    </xf>
    <xf numFmtId="1" fontId="5" fillId="5" borderId="233" xfId="0" applyNumberFormat="1" applyFont="1" applyFill="1" applyBorder="1" applyAlignment="1">
      <alignment horizontal="center" vertical="center" wrapText="1"/>
    </xf>
    <xf numFmtId="1" fontId="5" fillId="3" borderId="231" xfId="0" applyNumberFormat="1" applyFont="1" applyFill="1" applyBorder="1" applyAlignment="1">
      <alignment horizontal="center" vertical="center"/>
    </xf>
    <xf numFmtId="1" fontId="5" fillId="3" borderId="233" xfId="0" applyNumberFormat="1" applyFont="1" applyFill="1" applyBorder="1" applyAlignment="1">
      <alignment horizontal="center" vertical="center"/>
    </xf>
    <xf numFmtId="1" fontId="5" fillId="0" borderId="232" xfId="0" applyNumberFormat="1" applyFont="1" applyBorder="1" applyAlignment="1">
      <alignment horizontal="center" vertical="center" wrapText="1"/>
    </xf>
    <xf numFmtId="1" fontId="5" fillId="0" borderId="233" xfId="0" applyNumberFormat="1" applyFont="1" applyBorder="1" applyAlignment="1">
      <alignment horizontal="center" vertical="center" wrapText="1"/>
    </xf>
    <xf numFmtId="1" fontId="5" fillId="0" borderId="241" xfId="0" applyNumberFormat="1" applyFont="1" applyBorder="1" applyAlignment="1">
      <alignment horizontal="center" vertical="center" wrapText="1"/>
    </xf>
    <xf numFmtId="1" fontId="5" fillId="0" borderId="368" xfId="0" applyNumberFormat="1" applyFont="1" applyBorder="1" applyAlignment="1">
      <alignment horizontal="center" vertical="center" wrapText="1"/>
    </xf>
    <xf numFmtId="1" fontId="5" fillId="0" borderId="260" xfId="0" applyNumberFormat="1" applyFont="1" applyBorder="1" applyAlignment="1">
      <alignment horizontal="center" vertical="center" wrapText="1"/>
    </xf>
    <xf numFmtId="1" fontId="5" fillId="0" borderId="107" xfId="0" applyNumberFormat="1" applyFont="1" applyBorder="1" applyAlignment="1">
      <alignment horizontal="center" vertical="center" wrapText="1"/>
    </xf>
    <xf numFmtId="1" fontId="5" fillId="0" borderId="238" xfId="0" applyNumberFormat="1" applyFont="1" applyBorder="1" applyAlignment="1">
      <alignment horizontal="center" vertical="center" wrapText="1"/>
    </xf>
    <xf numFmtId="1" fontId="5" fillId="5" borderId="231" xfId="0" applyNumberFormat="1" applyFont="1" applyFill="1" applyBorder="1" applyAlignment="1">
      <alignment horizontal="center" vertical="center" wrapText="1"/>
    </xf>
    <xf numFmtId="1" fontId="5" fillId="0" borderId="91" xfId="0" applyNumberFormat="1" applyFont="1" applyBorder="1" applyAlignment="1">
      <alignment horizontal="center" vertical="center" wrapText="1"/>
    </xf>
    <xf numFmtId="1" fontId="5" fillId="0" borderId="369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 wrapText="1"/>
    </xf>
    <xf numFmtId="1" fontId="5" fillId="5" borderId="101" xfId="0" applyNumberFormat="1" applyFont="1" applyFill="1" applyBorder="1" applyAlignment="1">
      <alignment horizontal="center" vertical="center" wrapText="1"/>
    </xf>
    <xf numFmtId="1" fontId="5" fillId="5" borderId="238" xfId="0" applyNumberFormat="1" applyFont="1" applyFill="1" applyBorder="1" applyAlignment="1">
      <alignment horizontal="center" vertical="center" wrapText="1"/>
    </xf>
    <xf numFmtId="1" fontId="5" fillId="0" borderId="205" xfId="0" applyNumberFormat="1" applyFont="1" applyBorder="1" applyAlignment="1">
      <alignment horizontal="left" vertical="center" wrapText="1"/>
    </xf>
    <xf numFmtId="1" fontId="5" fillId="0" borderId="103" xfId="0" applyNumberFormat="1" applyFont="1" applyBorder="1" applyAlignment="1">
      <alignment horizontal="left" vertical="center" wrapText="1"/>
    </xf>
    <xf numFmtId="1" fontId="5" fillId="0" borderId="239" xfId="0" applyNumberFormat="1" applyFont="1" applyBorder="1" applyAlignment="1">
      <alignment horizontal="left" vertical="center" wrapText="1"/>
    </xf>
    <xf numFmtId="1" fontId="5" fillId="0" borderId="249" xfId="0" applyNumberFormat="1" applyFont="1" applyBorder="1" applyAlignment="1">
      <alignment horizontal="left" vertical="center" wrapText="1"/>
    </xf>
    <xf numFmtId="1" fontId="5" fillId="0" borderId="245" xfId="0" applyNumberFormat="1" applyFont="1" applyBorder="1" applyAlignment="1">
      <alignment horizontal="left" vertical="center" wrapText="1"/>
    </xf>
    <xf numFmtId="1" fontId="5" fillId="0" borderId="244" xfId="0" applyNumberFormat="1" applyFont="1" applyBorder="1" applyAlignment="1">
      <alignment horizontal="left" vertical="center" wrapText="1"/>
    </xf>
    <xf numFmtId="1" fontId="5" fillId="0" borderId="246" xfId="0" applyNumberFormat="1" applyFont="1" applyBorder="1" applyAlignment="1">
      <alignment horizontal="left" vertical="center" wrapText="1"/>
    </xf>
    <xf numFmtId="1" fontId="5" fillId="3" borderId="89" xfId="0" applyNumberFormat="1" applyFont="1" applyFill="1" applyBorder="1" applyAlignment="1">
      <alignment horizontal="center" vertical="center" wrapText="1"/>
    </xf>
    <xf numFmtId="1" fontId="5" fillId="3" borderId="36" xfId="0" applyNumberFormat="1" applyFont="1" applyFill="1" applyBorder="1" applyAlignment="1">
      <alignment horizontal="center" vertical="center" wrapText="1"/>
    </xf>
    <xf numFmtId="1" fontId="5" fillId="3" borderId="90" xfId="0" applyNumberFormat="1" applyFont="1" applyFill="1" applyBorder="1" applyAlignment="1">
      <alignment horizontal="center" vertical="center" wrapText="1"/>
    </xf>
    <xf numFmtId="1" fontId="5" fillId="3" borderId="56" xfId="0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" fontId="5" fillId="3" borderId="204" xfId="0" applyNumberFormat="1" applyFont="1" applyFill="1" applyBorder="1" applyAlignment="1">
      <alignment horizontal="center" vertical="center" wrapText="1"/>
    </xf>
    <xf numFmtId="1" fontId="5" fillId="3" borderId="35" xfId="0" applyNumberFormat="1" applyFont="1" applyFill="1" applyBorder="1" applyAlignment="1">
      <alignment horizontal="center" vertical="center" wrapText="1"/>
    </xf>
    <xf numFmtId="1" fontId="5" fillId="3" borderId="242" xfId="0" applyNumberFormat="1" applyFont="1" applyFill="1" applyBorder="1" applyAlignment="1">
      <alignment horizontal="center" vertical="center" wrapText="1"/>
    </xf>
    <xf numFmtId="1" fontId="5" fillId="0" borderId="204" xfId="0" applyNumberFormat="1" applyFont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center" vertical="center" wrapText="1"/>
    </xf>
    <xf numFmtId="1" fontId="5" fillId="0" borderId="242" xfId="0" applyNumberFormat="1" applyFont="1" applyBorder="1" applyAlignment="1">
      <alignment horizontal="center" vertical="center" wrapText="1"/>
    </xf>
    <xf numFmtId="1" fontId="5" fillId="0" borderId="202" xfId="0" applyNumberFormat="1" applyFont="1" applyBorder="1" applyAlignment="1">
      <alignment horizontal="center" vertical="center" wrapText="1"/>
    </xf>
    <xf numFmtId="1" fontId="5" fillId="0" borderId="252" xfId="0" applyNumberFormat="1" applyFont="1" applyBorder="1" applyAlignment="1">
      <alignment horizontal="center" vertical="center" wrapText="1"/>
    </xf>
    <xf numFmtId="1" fontId="5" fillId="0" borderId="231" xfId="0" applyNumberFormat="1" applyFont="1" applyBorder="1" applyAlignment="1">
      <alignment horizontal="center" vertical="center"/>
    </xf>
    <xf numFmtId="1" fontId="5" fillId="3" borderId="189" xfId="0" applyNumberFormat="1" applyFont="1" applyFill="1" applyBorder="1" applyAlignment="1">
      <alignment horizontal="left" vertical="center" wrapText="1"/>
    </xf>
    <xf numFmtId="1" fontId="5" fillId="3" borderId="228" xfId="0" applyNumberFormat="1" applyFont="1" applyFill="1" applyBorder="1" applyAlignment="1">
      <alignment horizontal="left" vertical="center" wrapText="1"/>
    </xf>
    <xf numFmtId="1" fontId="5" fillId="3" borderId="200" xfId="0" applyNumberFormat="1" applyFont="1" applyFill="1" applyBorder="1" applyAlignment="1">
      <alignment horizontal="left" vertical="center" wrapText="1"/>
    </xf>
    <xf numFmtId="1" fontId="5" fillId="3" borderId="249" xfId="0" applyNumberFormat="1" applyFont="1" applyFill="1" applyBorder="1" applyAlignment="1">
      <alignment horizontal="left" vertical="center" wrapText="1"/>
    </xf>
    <xf numFmtId="1" fontId="5" fillId="3" borderId="52" xfId="0" applyNumberFormat="1" applyFont="1" applyFill="1" applyBorder="1" applyAlignment="1">
      <alignment horizontal="left" vertical="center" wrapText="1"/>
    </xf>
    <xf numFmtId="1" fontId="5" fillId="3" borderId="56" xfId="0" applyNumberFormat="1" applyFont="1" applyFill="1" applyBorder="1" applyAlignment="1">
      <alignment horizontal="left" vertical="center" wrapText="1"/>
    </xf>
    <xf numFmtId="1" fontId="5" fillId="3" borderId="0" xfId="0" applyNumberFormat="1" applyFont="1" applyFill="1" applyAlignment="1">
      <alignment horizontal="left" vertical="center" wrapText="1"/>
    </xf>
    <xf numFmtId="1" fontId="5" fillId="3" borderId="220" xfId="0" applyNumberFormat="1" applyFont="1" applyFill="1" applyBorder="1" applyAlignment="1">
      <alignment horizontal="left" vertical="center" wrapText="1"/>
    </xf>
    <xf numFmtId="1" fontId="5" fillId="3" borderId="70" xfId="0" applyNumberFormat="1" applyFont="1" applyFill="1" applyBorder="1" applyAlignment="1">
      <alignment horizontal="left" vertical="center" wrapText="1"/>
    </xf>
    <xf numFmtId="1" fontId="5" fillId="3" borderId="53" xfId="0" applyNumberFormat="1" applyFont="1" applyFill="1" applyBorder="1" applyAlignment="1">
      <alignment horizontal="left" vertical="center" wrapText="1"/>
    </xf>
    <xf numFmtId="1" fontId="5" fillId="3" borderId="220" xfId="0" applyNumberFormat="1" applyFont="1" applyFill="1" applyBorder="1" applyAlignment="1">
      <alignment horizontal="center" vertical="center" wrapText="1"/>
    </xf>
    <xf numFmtId="1" fontId="5" fillId="3" borderId="57" xfId="0" applyNumberFormat="1" applyFont="1" applyFill="1" applyBorder="1" applyAlignment="1">
      <alignment horizontal="left" vertical="center" wrapText="1"/>
    </xf>
    <xf numFmtId="1" fontId="5" fillId="22" borderId="51" xfId="0" applyNumberFormat="1" applyFont="1" applyFill="1" applyBorder="1" applyAlignment="1">
      <alignment horizontal="left" vertical="center" wrapText="1"/>
    </xf>
    <xf numFmtId="1" fontId="5" fillId="22" borderId="203" xfId="0" applyNumberFormat="1" applyFont="1" applyFill="1" applyBorder="1" applyAlignment="1">
      <alignment horizontal="left" vertical="center" wrapText="1"/>
    </xf>
    <xf numFmtId="1" fontId="5" fillId="3" borderId="360" xfId="0" applyNumberFormat="1" applyFont="1" applyFill="1" applyBorder="1" applyAlignment="1">
      <alignment horizontal="center" vertical="center" wrapText="1"/>
    </xf>
    <xf numFmtId="1" fontId="5" fillId="3" borderId="43" xfId="0" applyNumberFormat="1" applyFont="1" applyFill="1" applyBorder="1" applyAlignment="1">
      <alignment horizontal="center" vertical="center" wrapText="1"/>
    </xf>
    <xf numFmtId="1" fontId="5" fillId="3" borderId="257" xfId="0" applyNumberFormat="1" applyFont="1" applyFill="1" applyBorder="1" applyAlignment="1">
      <alignment horizontal="center" vertical="center" wrapText="1"/>
    </xf>
    <xf numFmtId="1" fontId="3" fillId="22" borderId="82" xfId="0" applyNumberFormat="1" applyFont="1" applyFill="1" applyBorder="1" applyAlignment="1">
      <alignment horizontal="left" vertical="center" wrapText="1"/>
    </xf>
    <xf numFmtId="1" fontId="3" fillId="22" borderId="51" xfId="0" applyNumberFormat="1" applyFont="1" applyFill="1" applyBorder="1" applyAlignment="1">
      <alignment horizontal="left" vertical="center" wrapText="1"/>
    </xf>
    <xf numFmtId="1" fontId="3" fillId="22" borderId="203" xfId="0" applyNumberFormat="1" applyFont="1" applyFill="1" applyBorder="1" applyAlignment="1">
      <alignment horizontal="left" vertical="center" wrapText="1"/>
    </xf>
    <xf numFmtId="1" fontId="3" fillId="0" borderId="82" xfId="0" applyNumberFormat="1" applyFont="1" applyBorder="1" applyAlignment="1">
      <alignment horizontal="left" vertical="center" wrapText="1"/>
    </xf>
    <xf numFmtId="1" fontId="3" fillId="0" borderId="51" xfId="0" applyNumberFormat="1" applyFont="1" applyBorder="1" applyAlignment="1">
      <alignment horizontal="left" vertical="center" wrapText="1"/>
    </xf>
    <xf numFmtId="1" fontId="3" fillId="0" borderId="203" xfId="0" applyNumberFormat="1" applyFont="1" applyBorder="1" applyAlignment="1">
      <alignment horizontal="left" vertical="center" wrapText="1"/>
    </xf>
    <xf numFmtId="1" fontId="5" fillId="22" borderId="82" xfId="0" applyNumberFormat="1" applyFont="1" applyFill="1" applyBorder="1" applyAlignment="1">
      <alignment horizontal="left" vertical="center" wrapText="1"/>
    </xf>
    <xf numFmtId="1" fontId="5" fillId="0" borderId="204" xfId="0" applyNumberFormat="1" applyFont="1" applyBorder="1" applyAlignment="1">
      <alignment horizontal="left" vertical="center" wrapText="1"/>
    </xf>
    <xf numFmtId="1" fontId="5" fillId="3" borderId="189" xfId="0" applyNumberFormat="1" applyFont="1" applyFill="1" applyBorder="1" applyAlignment="1">
      <alignment horizontal="left" vertical="center"/>
    </xf>
    <xf numFmtId="1" fontId="5" fillId="3" borderId="200" xfId="0" applyNumberFormat="1" applyFont="1" applyFill="1" applyBorder="1" applyAlignment="1">
      <alignment horizontal="left" vertical="center"/>
    </xf>
    <xf numFmtId="1" fontId="5" fillId="0" borderId="249" xfId="0" applyNumberFormat="1" applyFont="1" applyBorder="1" applyAlignment="1">
      <alignment horizontal="left" vertical="center"/>
    </xf>
    <xf numFmtId="1" fontId="5" fillId="3" borderId="11" xfId="0" applyNumberFormat="1" applyFont="1" applyFill="1" applyBorder="1" applyAlignment="1">
      <alignment horizontal="left" vertical="center" wrapText="1"/>
    </xf>
    <xf numFmtId="1" fontId="5" fillId="3" borderId="12" xfId="0" applyNumberFormat="1" applyFont="1" applyFill="1" applyBorder="1" applyAlignment="1">
      <alignment horizontal="left" vertical="center" wrapText="1"/>
    </xf>
    <xf numFmtId="1" fontId="5" fillId="0" borderId="231" xfId="9" applyNumberFormat="1" applyFont="1" applyFill="1" applyBorder="1" applyAlignment="1">
      <alignment horizontal="center" vertical="center" wrapText="1"/>
    </xf>
    <xf numFmtId="1" fontId="5" fillId="0" borderId="233" xfId="9" applyNumberFormat="1" applyFont="1" applyFill="1" applyBorder="1" applyAlignment="1">
      <alignment horizontal="center" vertical="center"/>
    </xf>
    <xf numFmtId="1" fontId="5" fillId="5" borderId="234" xfId="0" applyNumberFormat="1" applyFont="1" applyFill="1" applyBorder="1" applyAlignment="1">
      <alignment horizontal="center" vertical="center" wrapText="1"/>
    </xf>
    <xf numFmtId="1" fontId="5" fillId="5" borderId="82" xfId="0" applyNumberFormat="1" applyFont="1" applyFill="1" applyBorder="1" applyAlignment="1">
      <alignment horizontal="center" vertical="center" wrapText="1"/>
    </xf>
    <xf numFmtId="1" fontId="5" fillId="5" borderId="51" xfId="0" applyNumberFormat="1" applyFont="1" applyFill="1" applyBorder="1" applyAlignment="1">
      <alignment horizontal="center" vertical="center" wrapText="1"/>
    </xf>
    <xf numFmtId="1" fontId="5" fillId="5" borderId="203" xfId="0" applyNumberFormat="1" applyFont="1" applyFill="1" applyBorder="1" applyAlignment="1">
      <alignment horizontal="center" vertical="center" wrapText="1"/>
    </xf>
    <xf numFmtId="1" fontId="5" fillId="5" borderId="90" xfId="0" applyNumberFormat="1" applyFont="1" applyFill="1" applyBorder="1" applyAlignment="1">
      <alignment horizontal="center" vertical="center" wrapText="1"/>
    </xf>
    <xf numFmtId="1" fontId="5" fillId="5" borderId="220" xfId="0" applyNumberFormat="1" applyFont="1" applyFill="1" applyBorder="1" applyAlignment="1">
      <alignment horizontal="center" vertical="center" wrapText="1"/>
    </xf>
    <xf numFmtId="1" fontId="5" fillId="0" borderId="360" xfId="0" applyNumberFormat="1" applyFont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left" vertical="center"/>
    </xf>
    <xf numFmtId="1" fontId="5" fillId="0" borderId="241" xfId="0" applyNumberFormat="1" applyFont="1" applyBorder="1" applyAlignment="1">
      <alignment horizontal="center" vertical="center"/>
    </xf>
    <xf numFmtId="1" fontId="5" fillId="5" borderId="189" xfId="0" applyNumberFormat="1" applyFont="1" applyFill="1" applyBorder="1" applyAlignment="1">
      <alignment horizontal="left" vertical="center" wrapText="1"/>
    </xf>
    <xf numFmtId="1" fontId="5" fillId="5" borderId="228" xfId="0" applyNumberFormat="1" applyFont="1" applyFill="1" applyBorder="1" applyAlignment="1">
      <alignment horizontal="left" vertical="center" wrapText="1"/>
    </xf>
    <xf numFmtId="1" fontId="5" fillId="5" borderId="200" xfId="0" applyNumberFormat="1" applyFont="1" applyFill="1" applyBorder="1" applyAlignment="1">
      <alignment horizontal="left" vertical="center" wrapText="1"/>
    </xf>
    <xf numFmtId="1" fontId="5" fillId="5" borderId="249" xfId="0" applyNumberFormat="1" applyFont="1" applyFill="1" applyBorder="1" applyAlignment="1">
      <alignment horizontal="left" vertical="center" wrapText="1"/>
    </xf>
    <xf numFmtId="1" fontId="5" fillId="5" borderId="52" xfId="0" applyNumberFormat="1" applyFont="1" applyFill="1" applyBorder="1" applyAlignment="1">
      <alignment horizontal="left" vertical="center" wrapText="1"/>
    </xf>
    <xf numFmtId="1" fontId="5" fillId="5" borderId="10" xfId="0" applyNumberFormat="1" applyFont="1" applyFill="1" applyBorder="1" applyAlignment="1">
      <alignment horizontal="left" vertical="center" wrapText="1"/>
    </xf>
    <xf numFmtId="1" fontId="5" fillId="0" borderId="234" xfId="0" applyNumberFormat="1" applyFont="1" applyBorder="1" applyAlignment="1">
      <alignment horizontal="center" vertical="center" wrapText="1"/>
    </xf>
    <xf numFmtId="1" fontId="5" fillId="3" borderId="234" xfId="0" applyNumberFormat="1" applyFont="1" applyFill="1" applyBorder="1" applyAlignment="1">
      <alignment horizontal="center" vertical="center" wrapText="1"/>
    </xf>
    <xf numFmtId="1" fontId="5" fillId="5" borderId="11" xfId="0" applyNumberFormat="1" applyFont="1" applyFill="1" applyBorder="1" applyAlignment="1">
      <alignment horizontal="left" vertical="center" wrapText="1"/>
    </xf>
    <xf numFmtId="1" fontId="5" fillId="5" borderId="57" xfId="0" applyNumberFormat="1" applyFont="1" applyFill="1" applyBorder="1" applyAlignment="1">
      <alignment horizontal="left" vertical="center" wrapText="1"/>
    </xf>
    <xf numFmtId="1" fontId="5" fillId="5" borderId="12" xfId="0" applyNumberFormat="1" applyFont="1" applyFill="1" applyBorder="1" applyAlignment="1">
      <alignment horizontal="left" vertical="center" wrapText="1"/>
    </xf>
    <xf numFmtId="1" fontId="5" fillId="5" borderId="250" xfId="0" applyNumberFormat="1" applyFont="1" applyFill="1" applyBorder="1" applyAlignment="1">
      <alignment horizontal="left" vertical="center" wrapText="1"/>
    </xf>
    <xf numFmtId="1" fontId="5" fillId="5" borderId="70" xfId="0" applyNumberFormat="1" applyFont="1" applyFill="1" applyBorder="1" applyAlignment="1">
      <alignment horizontal="left" vertical="center" wrapText="1"/>
    </xf>
    <xf numFmtId="1" fontId="5" fillId="5" borderId="53" xfId="0" applyNumberFormat="1" applyFont="1" applyFill="1" applyBorder="1" applyAlignment="1">
      <alignment horizontal="left" vertical="center" wrapText="1"/>
    </xf>
    <xf numFmtId="1" fontId="5" fillId="5" borderId="25" xfId="0" applyNumberFormat="1" applyFont="1" applyFill="1" applyBorder="1" applyAlignment="1">
      <alignment horizontal="left" vertical="center" wrapText="1"/>
    </xf>
    <xf numFmtId="1" fontId="5" fillId="0" borderId="250" xfId="0" applyNumberFormat="1" applyFont="1" applyBorder="1" applyAlignment="1">
      <alignment horizontal="left" vertical="center" wrapText="1"/>
    </xf>
    <xf numFmtId="1" fontId="5" fillId="3" borderId="25" xfId="0" applyNumberFormat="1" applyFont="1" applyFill="1" applyBorder="1" applyAlignment="1">
      <alignment horizontal="left" vertical="center" wrapText="1"/>
    </xf>
    <xf numFmtId="1" fontId="5" fillId="3" borderId="250" xfId="0" applyNumberFormat="1" applyFont="1" applyFill="1" applyBorder="1" applyAlignment="1">
      <alignment horizontal="left" vertical="center" wrapText="1"/>
    </xf>
    <xf numFmtId="1" fontId="5" fillId="0" borderId="1404" xfId="0" applyNumberFormat="1" applyFont="1" applyBorder="1" applyAlignment="1">
      <alignment horizontal="left" vertical="center" wrapText="1"/>
    </xf>
    <xf numFmtId="1" fontId="5" fillId="0" borderId="82" xfId="0" applyNumberFormat="1" applyFont="1" applyBorder="1" applyAlignment="1">
      <alignment horizontal="center" vertical="center" wrapText="1"/>
    </xf>
    <xf numFmtId="1" fontId="5" fillId="0" borderId="82" xfId="0" applyNumberFormat="1" applyFont="1" applyBorder="1" applyAlignment="1">
      <alignment horizontal="center" vertical="center"/>
    </xf>
    <xf numFmtId="1" fontId="5" fillId="0" borderId="203" xfId="0" applyNumberFormat="1" applyFont="1" applyBorder="1" applyAlignment="1">
      <alignment horizontal="center" vertical="center"/>
    </xf>
    <xf numFmtId="1" fontId="5" fillId="0" borderId="57" xfId="0" applyNumberFormat="1" applyFont="1" applyBorder="1" applyAlignment="1">
      <alignment horizontal="left" vertical="center" wrapText="1"/>
    </xf>
    <xf numFmtId="1" fontId="5" fillId="0" borderId="232" xfId="0" applyNumberFormat="1" applyFont="1" applyBorder="1" applyAlignment="1">
      <alignment horizontal="center" vertical="center"/>
    </xf>
    <xf numFmtId="1" fontId="5" fillId="0" borderId="189" xfId="0" applyNumberFormat="1" applyFont="1" applyBorder="1" applyAlignment="1">
      <alignment horizontal="left"/>
    </xf>
    <xf numFmtId="1" fontId="5" fillId="0" borderId="200" xfId="0" applyNumberFormat="1" applyFont="1" applyBorder="1" applyAlignment="1">
      <alignment horizontal="left"/>
    </xf>
    <xf numFmtId="1" fontId="5" fillId="0" borderId="189" xfId="0" applyNumberFormat="1" applyFont="1" applyBorder="1" applyAlignment="1">
      <alignment horizontal="left" vertical="center" wrapText="1"/>
    </xf>
    <xf numFmtId="1" fontId="5" fillId="0" borderId="228" xfId="0" applyNumberFormat="1" applyFont="1" applyBorder="1" applyAlignment="1">
      <alignment horizontal="left" vertical="center" wrapText="1"/>
    </xf>
    <xf numFmtId="1" fontId="5" fillId="0" borderId="200" xfId="0" applyNumberFormat="1" applyFont="1" applyBorder="1" applyAlignment="1">
      <alignment horizontal="left" vertical="center" wrapText="1"/>
    </xf>
    <xf numFmtId="1" fontId="5" fillId="0" borderId="35" xfId="0" applyNumberFormat="1" applyFont="1" applyBorder="1" applyAlignment="1">
      <alignment horizontal="left" vertical="center" wrapText="1"/>
    </xf>
    <xf numFmtId="1" fontId="5" fillId="0" borderId="242" xfId="0" applyNumberFormat="1" applyFont="1" applyBorder="1" applyAlignment="1">
      <alignment horizontal="left" vertical="center" wrapText="1"/>
    </xf>
    <xf numFmtId="1" fontId="5" fillId="0" borderId="497" xfId="0" applyNumberFormat="1" applyFont="1" applyBorder="1" applyAlignment="1">
      <alignment horizontal="left" vertical="center" wrapText="1"/>
    </xf>
    <xf numFmtId="1" fontId="5" fillId="0" borderId="498" xfId="0" applyNumberFormat="1" applyFont="1" applyBorder="1" applyAlignment="1">
      <alignment horizontal="left" vertical="center" wrapText="1"/>
    </xf>
    <xf numFmtId="1" fontId="5" fillId="0" borderId="495" xfId="0" applyNumberFormat="1" applyFont="1" applyBorder="1" applyAlignment="1">
      <alignment horizontal="left" vertical="center" wrapText="1"/>
    </xf>
    <xf numFmtId="1" fontId="5" fillId="0" borderId="231" xfId="0" applyNumberFormat="1" applyFont="1" applyBorder="1" applyAlignment="1">
      <alignment horizontal="left" vertical="center" wrapText="1"/>
    </xf>
    <xf numFmtId="1" fontId="5" fillId="0" borderId="232" xfId="0" applyNumberFormat="1" applyFont="1" applyBorder="1" applyAlignment="1">
      <alignment horizontal="left" vertical="center" wrapText="1"/>
    </xf>
    <xf numFmtId="1" fontId="5" fillId="0" borderId="233" xfId="0" applyNumberFormat="1" applyFont="1" applyBorder="1" applyAlignment="1">
      <alignment horizontal="left" vertical="center" wrapText="1"/>
    </xf>
    <xf numFmtId="1" fontId="5" fillId="0" borderId="207" xfId="0" applyNumberFormat="1" applyFont="1" applyBorder="1" applyAlignment="1">
      <alignment horizontal="left" vertical="center" wrapText="1"/>
    </xf>
    <xf numFmtId="1" fontId="5" fillId="0" borderId="22" xfId="0" applyNumberFormat="1" applyFont="1" applyBorder="1" applyAlignment="1">
      <alignment horizontal="left" vertical="center" wrapText="1"/>
    </xf>
    <xf numFmtId="1" fontId="5" fillId="3" borderId="2" xfId="0" applyNumberFormat="1" applyFont="1" applyFill="1" applyBorder="1" applyAlignment="1">
      <alignment horizontal="left" vertical="center" wrapText="1"/>
    </xf>
    <xf numFmtId="1" fontId="5" fillId="3" borderId="204" xfId="0" applyNumberFormat="1" applyFont="1" applyFill="1" applyBorder="1" applyAlignment="1">
      <alignment horizontal="left" vertical="center" wrapText="1"/>
    </xf>
    <xf numFmtId="1" fontId="5" fillId="3" borderId="242" xfId="0" applyNumberFormat="1" applyFont="1" applyFill="1" applyBorder="1" applyAlignment="1">
      <alignment horizontal="left" vertical="center" wrapText="1"/>
    </xf>
    <xf numFmtId="1" fontId="5" fillId="0" borderId="56" xfId="0" applyNumberFormat="1" applyFont="1" applyBorder="1"/>
    <xf numFmtId="1" fontId="5" fillId="0" borderId="0" xfId="0" applyNumberFormat="1" applyFont="1"/>
    <xf numFmtId="1" fontId="19" fillId="0" borderId="0" xfId="0" applyNumberFormat="1" applyFont="1"/>
    <xf numFmtId="1" fontId="5" fillId="3" borderId="82" xfId="0" applyNumberFormat="1" applyFont="1" applyFill="1" applyBorder="1" applyAlignment="1">
      <alignment horizontal="center" vertical="center" wrapText="1"/>
    </xf>
    <xf numFmtId="1" fontId="5" fillId="3" borderId="203" xfId="0" applyNumberFormat="1" applyFont="1" applyFill="1" applyBorder="1" applyAlignment="1">
      <alignment horizontal="center" vertical="center" wrapText="1"/>
    </xf>
    <xf numFmtId="1" fontId="5" fillId="0" borderId="104" xfId="0" applyNumberFormat="1" applyFont="1" applyBorder="1" applyAlignment="1">
      <alignment horizontal="left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239" xfId="0" applyNumberFormat="1" applyFont="1" applyBorder="1"/>
    <xf numFmtId="1" fontId="5" fillId="0" borderId="228" xfId="0" applyNumberFormat="1" applyFont="1" applyBorder="1"/>
    <xf numFmtId="1" fontId="5" fillId="0" borderId="200" xfId="0" applyNumberFormat="1" applyFont="1" applyBorder="1"/>
    <xf numFmtId="1" fontId="5" fillId="0" borderId="264" xfId="0" applyNumberFormat="1" applyFont="1" applyBorder="1"/>
    <xf numFmtId="1" fontId="5" fillId="0" borderId="52" xfId="0" applyNumberFormat="1" applyFont="1" applyBorder="1"/>
    <xf numFmtId="1" fontId="5" fillId="0" borderId="10" xfId="0" applyNumberFormat="1" applyFont="1" applyBorder="1"/>
    <xf numFmtId="1" fontId="5" fillId="0" borderId="16" xfId="0" applyNumberFormat="1" applyFont="1" applyBorder="1"/>
    <xf numFmtId="1" fontId="5" fillId="0" borderId="57" xfId="0" applyNumberFormat="1" applyFont="1" applyBorder="1"/>
    <xf numFmtId="1" fontId="5" fillId="0" borderId="12" xfId="0" applyNumberFormat="1" applyFont="1" applyBorder="1"/>
    <xf numFmtId="1" fontId="5" fillId="3" borderId="89" xfId="0" applyNumberFormat="1" applyFont="1" applyFill="1" applyBorder="1" applyAlignment="1">
      <alignment horizontal="center" vertical="center"/>
    </xf>
    <xf numFmtId="1" fontId="5" fillId="3" borderId="90" xfId="0" applyNumberFormat="1" applyFont="1" applyFill="1" applyBorder="1" applyAlignment="1">
      <alignment horizontal="center" vertical="center"/>
    </xf>
    <xf numFmtId="0" fontId="26" fillId="0" borderId="0" xfId="0" applyFont="1"/>
    <xf numFmtId="1" fontId="5" fillId="5" borderId="2" xfId="0" applyNumberFormat="1" applyFont="1" applyFill="1" applyBorder="1" applyAlignment="1">
      <alignment horizontal="center" vertical="center" wrapText="1"/>
    </xf>
    <xf numFmtId="0" fontId="5" fillId="0" borderId="1277" xfId="0" applyFont="1" applyBorder="1" applyAlignment="1">
      <alignment horizontal="center" vertical="center" wrapText="1"/>
    </xf>
    <xf numFmtId="0" fontId="5" fillId="0" borderId="1091" xfId="0" applyFont="1" applyBorder="1" applyAlignment="1">
      <alignment horizontal="center" vertical="center" wrapText="1"/>
    </xf>
    <xf numFmtId="0" fontId="5" fillId="0" borderId="1243" xfId="0" applyFont="1" applyBorder="1" applyAlignment="1">
      <alignment horizontal="center" vertical="center" wrapText="1"/>
    </xf>
    <xf numFmtId="0" fontId="5" fillId="0" borderId="1271" xfId="0" applyFont="1" applyBorder="1" applyAlignment="1">
      <alignment horizontal="center" vertical="center" wrapText="1"/>
    </xf>
    <xf numFmtId="0" fontId="5" fillId="0" borderId="220" xfId="0" applyFont="1" applyBorder="1" applyAlignment="1">
      <alignment horizontal="center" vertical="center" wrapText="1"/>
    </xf>
    <xf numFmtId="0" fontId="5" fillId="0" borderId="1241" xfId="0" applyFont="1" applyBorder="1" applyAlignment="1">
      <alignment horizontal="center" vertical="center" wrapText="1"/>
    </xf>
    <xf numFmtId="0" fontId="5" fillId="0" borderId="1295" xfId="0" applyFont="1" applyBorder="1" applyAlignment="1">
      <alignment horizontal="center" vertical="center" wrapText="1"/>
    </xf>
    <xf numFmtId="0" fontId="5" fillId="0" borderId="1296" xfId="0" applyFont="1" applyBorder="1" applyAlignment="1">
      <alignment horizontal="center" vertical="center" wrapText="1"/>
    </xf>
    <xf numFmtId="49" fontId="5" fillId="0" borderId="1295" xfId="0" applyNumberFormat="1" applyFont="1" applyBorder="1" applyAlignment="1">
      <alignment horizontal="center"/>
    </xf>
    <xf numFmtId="49" fontId="5" fillId="0" borderId="1296" xfId="0" applyNumberFormat="1" applyFont="1" applyBorder="1" applyAlignment="1">
      <alignment horizontal="center"/>
    </xf>
    <xf numFmtId="1" fontId="15" fillId="3" borderId="1240" xfId="0" applyNumberFormat="1" applyFont="1" applyFill="1" applyBorder="1" applyAlignment="1">
      <alignment horizontal="left"/>
    </xf>
    <xf numFmtId="0" fontId="5" fillId="0" borderId="1269" xfId="0" applyFont="1" applyBorder="1" applyAlignment="1">
      <alignment horizontal="center" vertical="center"/>
    </xf>
    <xf numFmtId="0" fontId="5" fillId="0" borderId="977" xfId="0" applyFont="1" applyBorder="1" applyAlignment="1">
      <alignment horizontal="center" vertical="center"/>
    </xf>
    <xf numFmtId="0" fontId="5" fillId="0" borderId="1250" xfId="0" applyFont="1" applyBorder="1" applyAlignment="1">
      <alignment horizontal="center" vertical="center"/>
    </xf>
    <xf numFmtId="0" fontId="5" fillId="0" borderId="1293" xfId="0" applyFont="1" applyBorder="1" applyAlignment="1">
      <alignment horizontal="center" vertical="center" wrapText="1"/>
    </xf>
    <xf numFmtId="0" fontId="5" fillId="0" borderId="1291" xfId="0" applyFont="1" applyBorder="1" applyAlignment="1">
      <alignment horizontal="center" vertical="center" wrapText="1"/>
    </xf>
    <xf numFmtId="0" fontId="5" fillId="0" borderId="93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94" xfId="0" applyFont="1" applyBorder="1" applyAlignment="1">
      <alignment horizontal="center" vertical="center"/>
    </xf>
    <xf numFmtId="0" fontId="5" fillId="0" borderId="1312" xfId="0" applyFont="1" applyBorder="1" applyAlignment="1">
      <alignment horizontal="center" vertical="center"/>
    </xf>
    <xf numFmtId="0" fontId="5" fillId="0" borderId="1303" xfId="0" applyFont="1" applyBorder="1" applyAlignment="1">
      <alignment horizontal="center" vertical="center" wrapText="1"/>
    </xf>
    <xf numFmtId="1" fontId="15" fillId="3" borderId="1302" xfId="0" applyNumberFormat="1" applyFont="1" applyFill="1" applyBorder="1" applyAlignment="1">
      <alignment horizontal="left"/>
    </xf>
    <xf numFmtId="0" fontId="5" fillId="0" borderId="1295" xfId="0" applyFont="1" applyBorder="1" applyAlignment="1">
      <alignment horizontal="center" vertical="center"/>
    </xf>
    <xf numFmtId="0" fontId="5" fillId="0" borderId="1302" xfId="0" applyFont="1" applyBorder="1" applyAlignment="1">
      <alignment horizontal="center" vertical="center"/>
    </xf>
    <xf numFmtId="0" fontId="5" fillId="0" borderId="1303" xfId="0" applyFont="1" applyBorder="1" applyAlignment="1">
      <alignment horizontal="center" vertical="center"/>
    </xf>
    <xf numFmtId="0" fontId="5" fillId="0" borderId="1296" xfId="0" applyFont="1" applyBorder="1" applyAlignment="1">
      <alignment horizontal="center" vertical="center"/>
    </xf>
    <xf numFmtId="1" fontId="5" fillId="0" borderId="1297" xfId="0" applyNumberFormat="1" applyFont="1" applyBorder="1" applyAlignment="1">
      <alignment horizontal="center" vertical="center" wrapText="1"/>
    </xf>
    <xf numFmtId="1" fontId="5" fillId="0" borderId="1252" xfId="0" applyNumberFormat="1" applyFont="1" applyBorder="1" applyAlignment="1">
      <alignment horizontal="center" vertical="center" wrapText="1"/>
    </xf>
    <xf numFmtId="1" fontId="5" fillId="0" borderId="1277" xfId="0" applyNumberFormat="1" applyFont="1" applyBorder="1" applyAlignment="1">
      <alignment horizontal="center" vertical="center" wrapText="1"/>
    </xf>
    <xf numFmtId="1" fontId="5" fillId="0" borderId="1243" xfId="0" applyNumberFormat="1" applyFont="1" applyBorder="1" applyAlignment="1">
      <alignment horizontal="center" vertical="center" wrapText="1"/>
    </xf>
    <xf numFmtId="1" fontId="5" fillId="0" borderId="1271" xfId="0" applyNumberFormat="1" applyFont="1" applyBorder="1" applyAlignment="1">
      <alignment horizontal="center" vertical="center" wrapText="1"/>
    </xf>
    <xf numFmtId="0" fontId="5" fillId="0" borderId="1269" xfId="0" applyFont="1" applyBorder="1" applyAlignment="1">
      <alignment horizontal="center" vertical="center" wrapText="1"/>
    </xf>
    <xf numFmtId="0" fontId="5" fillId="0" borderId="1250" xfId="0" applyFont="1" applyBorder="1" applyAlignment="1">
      <alignment horizontal="center" vertical="center" wrapText="1"/>
    </xf>
    <xf numFmtId="0" fontId="5" fillId="0" borderId="1314" xfId="0" applyFont="1" applyBorder="1" applyAlignment="1">
      <alignment horizontal="center" vertical="center" wrapText="1"/>
    </xf>
    <xf numFmtId="0" fontId="5" fillId="0" borderId="1316" xfId="0" applyFont="1" applyBorder="1" applyAlignment="1">
      <alignment horizontal="center" vertical="center" wrapText="1"/>
    </xf>
    <xf numFmtId="0" fontId="5" fillId="0" borderId="1294" xfId="0" applyFont="1" applyBorder="1" applyAlignment="1">
      <alignment horizontal="center" vertical="center" wrapText="1"/>
    </xf>
    <xf numFmtId="0" fontId="5" fillId="0" borderId="1312" xfId="0" applyFont="1" applyBorder="1" applyAlignment="1">
      <alignment horizontal="center" vertical="center" wrapText="1"/>
    </xf>
    <xf numFmtId="1" fontId="5" fillId="0" borderId="1269" xfId="0" applyNumberFormat="1" applyFont="1" applyBorder="1" applyAlignment="1">
      <alignment horizontal="left" vertical="center" wrapText="1"/>
    </xf>
    <xf numFmtId="1" fontId="15" fillId="3" borderId="1291" xfId="0" applyNumberFormat="1" applyFont="1" applyFill="1" applyBorder="1" applyAlignment="1">
      <alignment horizontal="left" vertical="center"/>
    </xf>
    <xf numFmtId="1" fontId="5" fillId="0" borderId="1302" xfId="0" applyNumberFormat="1" applyFont="1" applyBorder="1" applyAlignment="1">
      <alignment horizontal="center" vertical="center"/>
    </xf>
    <xf numFmtId="1" fontId="5" fillId="0" borderId="1296" xfId="0" applyNumberFormat="1" applyFont="1" applyBorder="1" applyAlignment="1">
      <alignment horizontal="center" vertical="center"/>
    </xf>
    <xf numFmtId="1" fontId="5" fillId="0" borderId="1295" xfId="0" applyNumberFormat="1" applyFont="1" applyBorder="1" applyAlignment="1">
      <alignment horizontal="center" vertical="center"/>
    </xf>
    <xf numFmtId="1" fontId="5" fillId="0" borderId="1303" xfId="0" applyNumberFormat="1" applyFont="1" applyBorder="1" applyAlignment="1">
      <alignment horizontal="center" vertical="center"/>
    </xf>
    <xf numFmtId="0" fontId="5" fillId="0" borderId="1304" xfId="0" applyFont="1" applyBorder="1" applyAlignment="1">
      <alignment horizontal="center" vertical="center" wrapText="1"/>
    </xf>
    <xf numFmtId="0" fontId="5" fillId="0" borderId="1293" xfId="0" applyFont="1" applyBorder="1" applyAlignment="1">
      <alignment horizontal="center" vertical="center"/>
    </xf>
    <xf numFmtId="0" fontId="5" fillId="0" borderId="1271" xfId="0" applyFont="1" applyBorder="1" applyAlignment="1">
      <alignment horizontal="center" vertical="center"/>
    </xf>
    <xf numFmtId="0" fontId="5" fillId="0" borderId="220" xfId="0" applyFont="1" applyBorder="1" applyAlignment="1">
      <alignment horizontal="center" vertical="center"/>
    </xf>
    <xf numFmtId="0" fontId="5" fillId="0" borderId="1239" xfId="0" applyFont="1" applyBorder="1" applyAlignment="1">
      <alignment horizontal="center" vertical="center"/>
    </xf>
    <xf numFmtId="0" fontId="5" fillId="0" borderId="1241" xfId="0" applyFont="1" applyBorder="1" applyAlignment="1">
      <alignment horizontal="center" vertical="center"/>
    </xf>
    <xf numFmtId="0" fontId="5" fillId="0" borderId="1291" xfId="0" applyFont="1" applyBorder="1" applyAlignment="1">
      <alignment horizontal="center" vertical="center"/>
    </xf>
    <xf numFmtId="0" fontId="5" fillId="0" borderId="1240" xfId="0" applyFont="1" applyBorder="1" applyAlignment="1">
      <alignment horizontal="center" vertical="center"/>
    </xf>
    <xf numFmtId="1" fontId="5" fillId="5" borderId="1304" xfId="0" applyNumberFormat="1" applyFont="1" applyFill="1" applyBorder="1" applyAlignment="1">
      <alignment horizontal="center" vertical="center" wrapText="1"/>
    </xf>
    <xf numFmtId="1" fontId="5" fillId="5" borderId="1302" xfId="0" applyNumberFormat="1" applyFont="1" applyFill="1" applyBorder="1" applyAlignment="1">
      <alignment horizontal="center" vertical="center" wrapText="1"/>
    </xf>
    <xf numFmtId="1" fontId="5" fillId="5" borderId="1303" xfId="0" applyNumberFormat="1" applyFont="1" applyFill="1" applyBorder="1" applyAlignment="1">
      <alignment horizontal="center" vertical="center" wrapText="1"/>
    </xf>
    <xf numFmtId="1" fontId="5" fillId="5" borderId="1314" xfId="0" applyNumberFormat="1" applyFont="1" applyFill="1" applyBorder="1" applyAlignment="1">
      <alignment horizontal="center" vertical="center" wrapText="1"/>
    </xf>
    <xf numFmtId="1" fontId="5" fillId="5" borderId="1315" xfId="0" applyNumberFormat="1" applyFont="1" applyFill="1" applyBorder="1" applyAlignment="1">
      <alignment horizontal="center" vertical="center" wrapText="1"/>
    </xf>
    <xf numFmtId="1" fontId="5" fillId="5" borderId="1316" xfId="0" applyNumberFormat="1" applyFont="1" applyFill="1" applyBorder="1" applyAlignment="1">
      <alignment horizontal="center" vertical="center" wrapText="1"/>
    </xf>
    <xf numFmtId="1" fontId="5" fillId="5" borderId="1257" xfId="0" applyNumberFormat="1" applyFont="1" applyFill="1" applyBorder="1" applyAlignment="1">
      <alignment horizontal="center" vertical="center" wrapText="1"/>
    </xf>
    <xf numFmtId="1" fontId="5" fillId="0" borderId="1240" xfId="0" applyNumberFormat="1" applyFont="1" applyBorder="1" applyAlignment="1">
      <alignment horizontal="center" vertical="center" wrapText="1"/>
    </xf>
    <xf numFmtId="1" fontId="5" fillId="0" borderId="1295" xfId="0" applyNumberFormat="1" applyFont="1" applyBorder="1" applyAlignment="1">
      <alignment horizontal="center" vertical="center" wrapText="1"/>
    </xf>
    <xf numFmtId="1" fontId="5" fillId="0" borderId="1302" xfId="0" applyNumberFormat="1" applyFont="1" applyBorder="1" applyAlignment="1">
      <alignment horizontal="center" vertical="center" wrapText="1"/>
    </xf>
    <xf numFmtId="0" fontId="5" fillId="0" borderId="1302" xfId="0" applyFont="1" applyBorder="1" applyAlignment="1">
      <alignment horizontal="center" vertical="center" wrapText="1"/>
    </xf>
    <xf numFmtId="0" fontId="5" fillId="0" borderId="1306" xfId="0" applyFont="1" applyBorder="1" applyAlignment="1">
      <alignment horizontal="center" vertical="center" wrapText="1"/>
    </xf>
    <xf numFmtId="1" fontId="5" fillId="0" borderId="58" xfId="0" applyNumberFormat="1" applyFont="1" applyBorder="1" applyAlignment="1">
      <alignment horizontal="center" vertical="center" wrapText="1"/>
    </xf>
    <xf numFmtId="1" fontId="5" fillId="0" borderId="1281" xfId="0" applyNumberFormat="1" applyFont="1" applyBorder="1" applyAlignment="1">
      <alignment horizontal="center" vertical="center" wrapText="1"/>
    </xf>
    <xf numFmtId="0" fontId="5" fillId="0" borderId="1290" xfId="0" applyFont="1" applyBorder="1" applyAlignment="1">
      <alignment horizontal="center" vertical="center"/>
    </xf>
    <xf numFmtId="1" fontId="5" fillId="0" borderId="1304" xfId="0" applyNumberFormat="1" applyFont="1" applyBorder="1" applyAlignment="1">
      <alignment horizontal="center" vertical="center" wrapText="1"/>
    </xf>
    <xf numFmtId="1" fontId="5" fillId="0" borderId="1303" xfId="0" applyNumberFormat="1" applyFont="1" applyBorder="1" applyAlignment="1">
      <alignment horizontal="center" vertical="center" wrapText="1"/>
    </xf>
    <xf numFmtId="0" fontId="3" fillId="0" borderId="903" xfId="0" applyFont="1" applyBorder="1" applyAlignment="1">
      <alignment horizontal="left" vertical="center"/>
    </xf>
    <xf numFmtId="0" fontId="3" fillId="0" borderId="83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0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1" fontId="5" fillId="0" borderId="1292" xfId="0" applyNumberFormat="1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/>
    </xf>
    <xf numFmtId="0" fontId="3" fillId="0" borderId="1099" xfId="0" applyFont="1" applyBorder="1" applyAlignment="1">
      <alignment horizontal="left" vertical="center"/>
    </xf>
    <xf numFmtId="0" fontId="3" fillId="0" borderId="1287" xfId="0" applyFont="1" applyBorder="1" applyAlignment="1">
      <alignment horizontal="left" vertical="center"/>
    </xf>
    <xf numFmtId="0" fontId="3" fillId="0" borderId="1289" xfId="0" applyFont="1" applyBorder="1" applyAlignment="1">
      <alignment horizontal="left" vertical="center"/>
    </xf>
    <xf numFmtId="1" fontId="5" fillId="5" borderId="1305" xfId="0" applyNumberFormat="1" applyFont="1" applyFill="1" applyBorder="1" applyAlignment="1">
      <alignment horizontal="center" vertical="center" wrapText="1"/>
    </xf>
    <xf numFmtId="1" fontId="5" fillId="5" borderId="1276" xfId="0" applyNumberFormat="1" applyFont="1" applyFill="1" applyBorder="1" applyAlignment="1">
      <alignment horizontal="center" vertical="center" wrapText="1"/>
    </xf>
    <xf numFmtId="1" fontId="5" fillId="5" borderId="1280" xfId="0" applyNumberFormat="1" applyFont="1" applyFill="1" applyBorder="1" applyAlignment="1">
      <alignment horizontal="center" vertical="center" wrapText="1"/>
    </xf>
    <xf numFmtId="1" fontId="5" fillId="5" borderId="1281" xfId="0" applyNumberFormat="1" applyFont="1" applyFill="1" applyBorder="1" applyAlignment="1">
      <alignment horizontal="center" vertical="center" wrapText="1"/>
    </xf>
    <xf numFmtId="1" fontId="15" fillId="3" borderId="1302" xfId="0" applyNumberFormat="1" applyFont="1" applyFill="1" applyBorder="1" applyAlignment="1">
      <alignment horizontal="left" vertical="center" wrapText="1"/>
    </xf>
    <xf numFmtId="1" fontId="5" fillId="0" borderId="1293" xfId="0" applyNumberFormat="1" applyFont="1" applyBorder="1" applyAlignment="1">
      <alignment horizontal="center" vertical="center" wrapText="1"/>
    </xf>
    <xf numFmtId="1" fontId="5" fillId="0" borderId="1239" xfId="0" applyNumberFormat="1" applyFont="1" applyBorder="1" applyAlignment="1">
      <alignment horizontal="center" vertical="center" wrapText="1"/>
    </xf>
    <xf numFmtId="1" fontId="5" fillId="0" borderId="1291" xfId="0" applyNumberFormat="1" applyFont="1" applyBorder="1" applyAlignment="1">
      <alignment horizontal="center" vertical="center"/>
    </xf>
    <xf numFmtId="1" fontId="5" fillId="0" borderId="1271" xfId="0" applyNumberFormat="1" applyFont="1" applyBorder="1" applyAlignment="1">
      <alignment horizontal="center" vertical="center"/>
    </xf>
    <xf numFmtId="1" fontId="5" fillId="0" borderId="1297" xfId="0" applyNumberFormat="1" applyFont="1" applyBorder="1"/>
    <xf numFmtId="1" fontId="5" fillId="0" borderId="1298" xfId="0" applyNumberFormat="1" applyFont="1" applyBorder="1"/>
    <xf numFmtId="1" fontId="5" fillId="0" borderId="1252" xfId="0" applyNumberFormat="1" applyFont="1" applyBorder="1"/>
    <xf numFmtId="1" fontId="5" fillId="0" borderId="1216" xfId="0" applyNumberFormat="1" applyFont="1" applyBorder="1"/>
    <xf numFmtId="1" fontId="5" fillId="0" borderId="1297" xfId="0" applyNumberFormat="1" applyFont="1" applyBorder="1" applyAlignment="1">
      <alignment horizontal="left"/>
    </xf>
    <xf numFmtId="1" fontId="5" fillId="0" borderId="1298" xfId="0" applyNumberFormat="1" applyFont="1" applyBorder="1" applyAlignment="1">
      <alignment horizontal="left"/>
    </xf>
    <xf numFmtId="1" fontId="5" fillId="0" borderId="1252" xfId="0" applyNumberFormat="1" applyFont="1" applyBorder="1" applyAlignment="1">
      <alignment horizontal="left"/>
    </xf>
    <xf numFmtId="1" fontId="5" fillId="0" borderId="1216" xfId="0" applyNumberFormat="1" applyFont="1" applyBorder="1" applyAlignment="1">
      <alignment horizontal="left"/>
    </xf>
    <xf numFmtId="1" fontId="5" fillId="0" borderId="1294" xfId="0" applyNumberFormat="1" applyFont="1" applyBorder="1" applyAlignment="1">
      <alignment horizontal="center" vertical="center"/>
    </xf>
    <xf numFmtId="1" fontId="15" fillId="3" borderId="1273" xfId="0" applyNumberFormat="1" applyFont="1" applyFill="1" applyBorder="1" applyAlignment="1">
      <alignment horizontal="left" vertical="center" wrapText="1"/>
    </xf>
    <xf numFmtId="1" fontId="5" fillId="0" borderId="1272" xfId="0" applyNumberFormat="1" applyFont="1" applyBorder="1" applyAlignment="1">
      <alignment horizontal="center" vertical="center"/>
    </xf>
    <xf numFmtId="1" fontId="5" fillId="0" borderId="1273" xfId="0" applyNumberFormat="1" applyFont="1" applyBorder="1" applyAlignment="1">
      <alignment horizontal="center" vertical="center"/>
    </xf>
    <xf numFmtId="1" fontId="5" fillId="0" borderId="1278" xfId="0" applyNumberFormat="1" applyFont="1" applyBorder="1" applyAlignment="1">
      <alignment horizontal="center" vertical="center"/>
    </xf>
    <xf numFmtId="1" fontId="5" fillId="0" borderId="1272" xfId="0" applyNumberFormat="1" applyFont="1" applyBorder="1" applyAlignment="1">
      <alignment horizontal="center" vertical="center" wrapText="1"/>
    </xf>
    <xf numFmtId="1" fontId="5" fillId="0" borderId="1278" xfId="0" applyNumberFormat="1" applyFont="1" applyBorder="1" applyAlignment="1">
      <alignment horizontal="center" vertical="center" wrapText="1"/>
    </xf>
    <xf numFmtId="1" fontId="5" fillId="0" borderId="1290" xfId="0" applyNumberFormat="1" applyFont="1" applyBorder="1" applyAlignment="1">
      <alignment horizontal="center" vertical="center" wrapText="1"/>
    </xf>
    <xf numFmtId="1" fontId="5" fillId="5" borderId="1275" xfId="0" applyNumberFormat="1" applyFont="1" applyFill="1" applyBorder="1" applyAlignment="1">
      <alignment horizontal="center" vertical="center" wrapText="1"/>
    </xf>
    <xf numFmtId="1" fontId="5" fillId="0" borderId="1091" xfId="0" applyNumberFormat="1" applyFont="1" applyBorder="1" applyAlignment="1">
      <alignment horizontal="center" vertical="center" wrapText="1"/>
    </xf>
    <xf numFmtId="1" fontId="5" fillId="0" borderId="1273" xfId="0" applyNumberFormat="1" applyFont="1" applyBorder="1" applyAlignment="1">
      <alignment horizontal="center" vertical="center" wrapText="1"/>
    </xf>
    <xf numFmtId="1" fontId="5" fillId="0" borderId="1279" xfId="0" applyNumberFormat="1" applyFont="1" applyBorder="1" applyAlignment="1">
      <alignment horizontal="center" vertical="center" wrapText="1"/>
    </xf>
    <xf numFmtId="1" fontId="5" fillId="0" borderId="657" xfId="0" applyNumberFormat="1" applyFont="1" applyBorder="1" applyAlignment="1">
      <alignment horizontal="center" vertical="center" wrapText="1"/>
    </xf>
    <xf numFmtId="1" fontId="5" fillId="0" borderId="1274" xfId="0" applyNumberFormat="1" applyFont="1" applyBorder="1" applyAlignment="1">
      <alignment horizontal="center" vertical="center" wrapText="1"/>
    </xf>
    <xf numFmtId="1" fontId="5" fillId="0" borderId="1274" xfId="0" applyNumberFormat="1" applyFont="1" applyBorder="1" applyAlignment="1">
      <alignment horizontal="center" vertical="center"/>
    </xf>
    <xf numFmtId="1" fontId="5" fillId="0" borderId="1269" xfId="0" applyNumberFormat="1" applyFont="1" applyBorder="1" applyAlignment="1">
      <alignment horizontal="center" vertical="center" wrapText="1"/>
    </xf>
    <xf numFmtId="1" fontId="5" fillId="0" borderId="1270" xfId="0" applyNumberFormat="1" applyFont="1" applyBorder="1" applyAlignment="1">
      <alignment horizontal="center" vertical="center"/>
    </xf>
    <xf numFmtId="0" fontId="15" fillId="5" borderId="777" xfId="0" applyFont="1" applyFill="1" applyBorder="1" applyAlignment="1">
      <alignment horizontal="left" wrapText="1"/>
    </xf>
    <xf numFmtId="0" fontId="5" fillId="0" borderId="435" xfId="0" applyFont="1" applyBorder="1" applyAlignment="1">
      <alignment horizontal="center" vertical="center" wrapText="1"/>
    </xf>
    <xf numFmtId="0" fontId="5" fillId="0" borderId="676" xfId="0" applyFont="1" applyBorder="1" applyAlignment="1">
      <alignment horizontal="center" vertical="center" wrapText="1"/>
    </xf>
    <xf numFmtId="0" fontId="5" fillId="0" borderId="435" xfId="0" applyFont="1" applyBorder="1" applyAlignment="1">
      <alignment horizontal="center" vertical="center"/>
    </xf>
    <xf numFmtId="0" fontId="5" fillId="0" borderId="676" xfId="0" applyFont="1" applyBorder="1" applyAlignment="1">
      <alignment horizontal="center" vertical="center"/>
    </xf>
    <xf numFmtId="0" fontId="5" fillId="0" borderId="917" xfId="0" applyFont="1" applyBorder="1" applyAlignment="1">
      <alignment horizontal="center" vertical="center"/>
    </xf>
    <xf numFmtId="0" fontId="5" fillId="0" borderId="585" xfId="0" applyFont="1" applyBorder="1" applyAlignment="1">
      <alignment horizontal="center" vertical="center"/>
    </xf>
    <xf numFmtId="0" fontId="5" fillId="0" borderId="918" xfId="0" applyFont="1" applyBorder="1" applyAlignment="1">
      <alignment horizontal="center" vertical="center"/>
    </xf>
    <xf numFmtId="0" fontId="5" fillId="0" borderId="479" xfId="0" applyFont="1" applyBorder="1" applyAlignment="1">
      <alignment horizontal="center" vertical="center" wrapText="1"/>
    </xf>
    <xf numFmtId="0" fontId="5" fillId="0" borderId="713" xfId="0" applyFont="1" applyBorder="1" applyAlignment="1">
      <alignment horizontal="center" vertical="center" wrapText="1"/>
    </xf>
    <xf numFmtId="0" fontId="5" fillId="0" borderId="555" xfId="0" applyFont="1" applyBorder="1" applyAlignment="1">
      <alignment horizontal="center" vertical="center" wrapText="1"/>
    </xf>
    <xf numFmtId="0" fontId="5" fillId="0" borderId="947" xfId="0" applyFont="1" applyBorder="1" applyAlignment="1">
      <alignment horizontal="center" vertical="center" wrapText="1"/>
    </xf>
    <xf numFmtId="0" fontId="15" fillId="0" borderId="585" xfId="0" applyFont="1" applyBorder="1" applyAlignment="1">
      <alignment horizontal="left" wrapText="1"/>
    </xf>
    <xf numFmtId="0" fontId="15" fillId="0" borderId="777" xfId="0" applyFont="1" applyBorder="1" applyAlignment="1">
      <alignment horizontal="left" wrapText="1"/>
    </xf>
    <xf numFmtId="0" fontId="26" fillId="0" borderId="435" xfId="0" applyFont="1" applyBorder="1" applyAlignment="1">
      <alignment horizontal="center" vertical="center" wrapText="1"/>
    </xf>
    <xf numFmtId="0" fontId="26" fillId="0" borderId="676" xfId="0" applyFont="1" applyBorder="1" applyAlignment="1">
      <alignment horizontal="center" vertical="center" wrapText="1"/>
    </xf>
    <xf numFmtId="0" fontId="18" fillId="0" borderId="1151" xfId="0" applyFont="1" applyBorder="1" applyAlignment="1">
      <alignment horizontal="center" vertical="center" wrapText="1"/>
    </xf>
    <xf numFmtId="0" fontId="18" fillId="0" borderId="1154" xfId="0" applyFont="1" applyBorder="1" applyAlignment="1">
      <alignment horizontal="center" vertical="center" wrapText="1"/>
    </xf>
    <xf numFmtId="0" fontId="5" fillId="0" borderId="1110" xfId="0" applyFont="1" applyBorder="1" applyAlignment="1">
      <alignment horizontal="center"/>
    </xf>
    <xf numFmtId="0" fontId="5" fillId="0" borderId="1150" xfId="0" applyFont="1" applyBorder="1" applyAlignment="1">
      <alignment horizontal="center"/>
    </xf>
    <xf numFmtId="0" fontId="5" fillId="0" borderId="1128" xfId="0" applyFont="1" applyBorder="1" applyAlignment="1">
      <alignment horizontal="center" vertical="center"/>
    </xf>
    <xf numFmtId="0" fontId="5" fillId="0" borderId="1129" xfId="0" applyFont="1" applyBorder="1" applyAlignment="1">
      <alignment horizontal="center" vertical="center"/>
    </xf>
    <xf numFmtId="0" fontId="5" fillId="0" borderId="1152" xfId="0" applyFont="1" applyBorder="1" applyAlignment="1">
      <alignment horizontal="center" vertical="center"/>
    </xf>
    <xf numFmtId="0" fontId="5" fillId="0" borderId="1155" xfId="0" applyFont="1" applyBorder="1" applyAlignment="1">
      <alignment horizontal="center" vertical="center" wrapText="1"/>
    </xf>
    <xf numFmtId="0" fontId="5" fillId="0" borderId="1149" xfId="0" applyFont="1" applyBorder="1" applyAlignment="1">
      <alignment horizontal="center" vertical="center" wrapText="1"/>
    </xf>
    <xf numFmtId="0" fontId="5" fillId="0" borderId="1156" xfId="0" applyFont="1" applyBorder="1" applyAlignment="1">
      <alignment horizontal="center" vertical="center" wrapText="1"/>
    </xf>
    <xf numFmtId="0" fontId="5" fillId="0" borderId="1150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5" fillId="0" borderId="438" xfId="0" applyFont="1" applyBorder="1" applyAlignment="1">
      <alignment horizontal="center" vertical="center" wrapText="1"/>
    </xf>
    <xf numFmtId="0" fontId="5" fillId="0" borderId="739" xfId="0" applyFont="1" applyBorder="1" applyAlignment="1">
      <alignment horizontal="center" vertical="center" wrapText="1"/>
    </xf>
    <xf numFmtId="0" fontId="5" fillId="0" borderId="1164" xfId="0" applyFont="1" applyBorder="1" applyAlignment="1">
      <alignment horizontal="center" vertical="center"/>
    </xf>
    <xf numFmtId="0" fontId="5" fillId="0" borderId="1154" xfId="0" applyFont="1" applyBorder="1" applyAlignment="1">
      <alignment horizontal="center" vertical="center"/>
    </xf>
    <xf numFmtId="1" fontId="5" fillId="0" borderId="1154" xfId="0" applyNumberFormat="1" applyFont="1" applyBorder="1" applyAlignment="1">
      <alignment horizontal="left" vertical="center" wrapText="1"/>
    </xf>
    <xf numFmtId="1" fontId="15" fillId="3" borderId="777" xfId="0" applyNumberFormat="1" applyFont="1" applyFill="1" applyBorder="1" applyAlignment="1">
      <alignment horizontal="left"/>
    </xf>
    <xf numFmtId="1" fontId="5" fillId="0" borderId="436" xfId="0" applyNumberFormat="1" applyFont="1" applyBorder="1" applyAlignment="1">
      <alignment horizontal="center" vertical="center"/>
    </xf>
    <xf numFmtId="1" fontId="3" fillId="0" borderId="435" xfId="0" applyNumberFormat="1" applyFont="1" applyBorder="1" applyAlignment="1">
      <alignment horizontal="center" vertical="center" wrapText="1"/>
    </xf>
    <xf numFmtId="1" fontId="3" fillId="0" borderId="435" xfId="0" applyNumberFormat="1" applyFont="1" applyBorder="1" applyAlignment="1">
      <alignment horizontal="left" vertical="center" wrapText="1"/>
    </xf>
    <xf numFmtId="1" fontId="15" fillId="3" borderId="585" xfId="0" applyNumberFormat="1" applyFont="1" applyFill="1" applyBorder="1" applyAlignment="1">
      <alignment horizontal="left"/>
    </xf>
    <xf numFmtId="1" fontId="15" fillId="3" borderId="0" xfId="0" applyNumberFormat="1" applyFont="1" applyFill="1" applyAlignment="1">
      <alignment horizontal="left"/>
    </xf>
    <xf numFmtId="1" fontId="15" fillId="3" borderId="36" xfId="0" applyNumberFormat="1" applyFont="1" applyFill="1" applyBorder="1" applyAlignment="1">
      <alignment horizontal="left"/>
    </xf>
    <xf numFmtId="1" fontId="5" fillId="5" borderId="918" xfId="0" applyNumberFormat="1" applyFont="1" applyFill="1" applyBorder="1" applyAlignment="1">
      <alignment horizontal="center" vertical="center" wrapText="1"/>
    </xf>
    <xf numFmtId="1" fontId="5" fillId="0" borderId="555" xfId="0" applyNumberFormat="1" applyFont="1" applyBorder="1" applyAlignment="1">
      <alignment horizontal="center" vertical="top" wrapText="1"/>
    </xf>
    <xf numFmtId="1" fontId="5" fillId="0" borderId="947" xfId="0" applyNumberFormat="1" applyFont="1" applyBorder="1" applyAlignment="1">
      <alignment horizontal="center" vertical="top" wrapText="1"/>
    </xf>
    <xf numFmtId="1" fontId="2" fillId="0" borderId="585" xfId="0" applyNumberFormat="1" applyFont="1" applyBorder="1" applyAlignment="1">
      <alignment horizontal="left"/>
    </xf>
    <xf numFmtId="1" fontId="3" fillId="0" borderId="555" xfId="0" applyNumberFormat="1" applyFont="1" applyBorder="1" applyAlignment="1">
      <alignment horizontal="center" vertical="top" wrapText="1"/>
    </xf>
    <xf numFmtId="1" fontId="3" fillId="0" borderId="947" xfId="0" applyNumberFormat="1" applyFont="1" applyBorder="1" applyAlignment="1">
      <alignment horizontal="center" vertical="top" wrapText="1"/>
    </xf>
    <xf numFmtId="1" fontId="3" fillId="0" borderId="917" xfId="0" applyNumberFormat="1" applyFont="1" applyBorder="1" applyAlignment="1">
      <alignment horizontal="center" vertical="center" wrapText="1"/>
    </xf>
    <xf numFmtId="1" fontId="3" fillId="0" borderId="585" xfId="0" applyNumberFormat="1" applyFont="1" applyBorder="1" applyAlignment="1">
      <alignment horizontal="center" vertical="center" wrapText="1"/>
    </xf>
    <xf numFmtId="1" fontId="3" fillId="0" borderId="918" xfId="0" applyNumberFormat="1" applyFont="1" applyBorder="1" applyAlignment="1">
      <alignment horizontal="center" vertical="center" wrapText="1"/>
    </xf>
    <xf numFmtId="0" fontId="3" fillId="0" borderId="568" xfId="0" applyFont="1" applyBorder="1" applyAlignment="1">
      <alignment horizontal="left"/>
    </xf>
    <xf numFmtId="0" fontId="3" fillId="0" borderId="596" xfId="0" applyFont="1" applyBorder="1" applyAlignment="1">
      <alignment horizontal="left"/>
    </xf>
    <xf numFmtId="1" fontId="5" fillId="0" borderId="792" xfId="0" applyNumberFormat="1" applyFont="1" applyBorder="1" applyAlignment="1">
      <alignment horizontal="left" wrapText="1"/>
    </xf>
    <xf numFmtId="1" fontId="5" fillId="0" borderId="568" xfId="0" applyNumberFormat="1" applyFont="1" applyBorder="1" applyAlignment="1">
      <alignment horizontal="center" wrapText="1"/>
    </xf>
    <xf numFmtId="1" fontId="5" fillId="0" borderId="596" xfId="0" applyNumberFormat="1" applyFont="1" applyBorder="1" applyAlignment="1">
      <alignment horizontal="center" wrapText="1"/>
    </xf>
    <xf numFmtId="1" fontId="5" fillId="0" borderId="979" xfId="0" applyNumberFormat="1" applyFont="1" applyBorder="1" applyAlignment="1">
      <alignment horizontal="left" wrapText="1"/>
    </xf>
    <xf numFmtId="1" fontId="5" fillId="0" borderId="980" xfId="0" applyNumberFormat="1" applyFont="1" applyBorder="1" applyAlignment="1">
      <alignment horizontal="left" wrapText="1"/>
    </xf>
    <xf numFmtId="1" fontId="5" fillId="0" borderId="976" xfId="0" applyNumberFormat="1" applyFont="1" applyBorder="1" applyAlignment="1">
      <alignment horizontal="center" vertical="center" wrapText="1"/>
    </xf>
    <xf numFmtId="1" fontId="5" fillId="0" borderId="976" xfId="0" applyNumberFormat="1" applyFont="1" applyBorder="1" applyAlignment="1">
      <alignment horizontal="center" vertical="center"/>
    </xf>
    <xf numFmtId="1" fontId="5" fillId="0" borderId="561" xfId="0" applyNumberFormat="1" applyFont="1" applyBorder="1" applyAlignment="1">
      <alignment horizontal="center" vertical="center" wrapText="1"/>
    </xf>
    <xf numFmtId="1" fontId="5" fillId="0" borderId="596" xfId="0" applyNumberFormat="1" applyFont="1" applyBorder="1" applyAlignment="1">
      <alignment horizontal="center" vertical="center" wrapText="1"/>
    </xf>
    <xf numFmtId="1" fontId="18" fillId="3" borderId="96" xfId="0" applyNumberFormat="1" applyFont="1" applyFill="1" applyBorder="1" applyAlignment="1">
      <alignment horizontal="center" vertical="center"/>
    </xf>
    <xf numFmtId="1" fontId="18" fillId="3" borderId="97" xfId="0" applyNumberFormat="1" applyFont="1" applyFill="1" applyBorder="1" applyAlignment="1">
      <alignment horizontal="center" vertical="center"/>
    </xf>
    <xf numFmtId="1" fontId="5" fillId="3" borderId="79" xfId="0" applyNumberFormat="1" applyFont="1" applyFill="1" applyBorder="1" applyAlignment="1">
      <alignment horizontal="center" vertical="center" wrapText="1"/>
    </xf>
    <xf numFmtId="1" fontId="5" fillId="3" borderId="73" xfId="0" applyNumberFormat="1" applyFont="1" applyFill="1" applyBorder="1" applyAlignment="1">
      <alignment horizontal="center" vertical="center" wrapText="1"/>
    </xf>
    <xf numFmtId="1" fontId="5" fillId="3" borderId="77" xfId="0" applyNumberFormat="1" applyFont="1" applyFill="1" applyBorder="1" applyAlignment="1">
      <alignment horizontal="center" vertical="center" wrapText="1"/>
    </xf>
    <xf numFmtId="1" fontId="5" fillId="3" borderId="130" xfId="0" applyNumberFormat="1" applyFont="1" applyFill="1" applyBorder="1" applyAlignment="1">
      <alignment horizontal="center" vertical="center" wrapText="1"/>
    </xf>
    <xf numFmtId="1" fontId="5" fillId="3" borderId="163" xfId="0" applyNumberFormat="1" applyFont="1" applyFill="1" applyBorder="1" applyAlignment="1">
      <alignment horizontal="center" vertical="center" wrapText="1"/>
    </xf>
    <xf numFmtId="1" fontId="17" fillId="3" borderId="0" xfId="0" applyNumberFormat="1" applyFont="1" applyFill="1" applyAlignment="1">
      <alignment horizont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77" xfId="0" applyNumberFormat="1" applyFont="1" applyFill="1" applyBorder="1" applyAlignment="1">
      <alignment horizontal="center" vertical="center"/>
    </xf>
    <xf numFmtId="1" fontId="5" fillId="3" borderId="91" xfId="0" applyNumberFormat="1" applyFont="1" applyFill="1" applyBorder="1" applyAlignment="1">
      <alignment horizontal="center" vertical="center" wrapText="1"/>
    </xf>
    <xf numFmtId="1" fontId="5" fillId="3" borderId="30" xfId="0" applyNumberFormat="1" applyFont="1" applyFill="1" applyBorder="1" applyAlignment="1">
      <alignment horizontal="center" vertical="center" wrapText="1"/>
    </xf>
    <xf numFmtId="1" fontId="5" fillId="3" borderId="84" xfId="0" applyNumberFormat="1" applyFont="1" applyFill="1" applyBorder="1" applyAlignment="1">
      <alignment horizontal="center" vertical="center" wrapText="1"/>
    </xf>
    <xf numFmtId="1" fontId="5" fillId="3" borderId="71" xfId="0" applyNumberFormat="1" applyFont="1" applyFill="1" applyBorder="1" applyAlignment="1">
      <alignment horizontal="center" vertical="center" wrapText="1"/>
    </xf>
    <xf numFmtId="1" fontId="18" fillId="3" borderId="89" xfId="0" applyNumberFormat="1" applyFont="1" applyFill="1" applyBorder="1" applyAlignment="1">
      <alignment horizontal="center" vertical="center"/>
    </xf>
    <xf numFmtId="1" fontId="18" fillId="3" borderId="36" xfId="0" applyNumberFormat="1" applyFont="1" applyFill="1" applyBorder="1" applyAlignment="1">
      <alignment horizontal="center" vertical="center"/>
    </xf>
    <xf numFmtId="1" fontId="18" fillId="3" borderId="130" xfId="0" applyNumberFormat="1" applyFont="1" applyFill="1" applyBorder="1" applyAlignment="1">
      <alignment horizontal="center" vertical="center"/>
    </xf>
    <xf numFmtId="1" fontId="5" fillId="0" borderId="36" xfId="6" applyNumberFormat="1" applyFont="1" applyBorder="1" applyAlignment="1">
      <alignment horizontal="center" vertical="center" wrapText="1"/>
    </xf>
    <xf numFmtId="1" fontId="5" fillId="0" borderId="90" xfId="6" applyNumberFormat="1" applyFont="1" applyBorder="1" applyAlignment="1">
      <alignment horizontal="center" vertical="center" wrapText="1"/>
    </xf>
    <xf numFmtId="1" fontId="5" fillId="0" borderId="35" xfId="6" applyNumberFormat="1" applyFont="1" applyBorder="1" applyAlignment="1">
      <alignment horizontal="center" vertical="center" wrapText="1"/>
    </xf>
    <xf numFmtId="1" fontId="5" fillId="0" borderId="75" xfId="6" applyNumberFormat="1" applyFont="1" applyBorder="1" applyAlignment="1">
      <alignment horizontal="center" vertical="center" wrapText="1"/>
    </xf>
    <xf numFmtId="1" fontId="5" fillId="0" borderId="82" xfId="6" applyNumberFormat="1" applyFont="1" applyBorder="1" applyAlignment="1">
      <alignment horizontal="center" vertical="center" wrapText="1"/>
    </xf>
    <xf numFmtId="1" fontId="5" fillId="0" borderId="76" xfId="6" applyNumberFormat="1" applyFont="1" applyBorder="1" applyAlignment="1">
      <alignment horizontal="center" vertical="center" wrapText="1"/>
    </xf>
    <xf numFmtId="1" fontId="5" fillId="0" borderId="95" xfId="6" applyNumberFormat="1" applyFont="1" applyBorder="1" applyAlignment="1">
      <alignment horizontal="center" vertical="center" wrapText="1"/>
    </xf>
    <xf numFmtId="1" fontId="5" fillId="0" borderId="66" xfId="6" applyNumberFormat="1" applyFont="1" applyBorder="1" applyAlignment="1">
      <alignment horizontal="center" vertical="center" wrapText="1"/>
    </xf>
    <xf numFmtId="1" fontId="5" fillId="0" borderId="67" xfId="6" applyNumberFormat="1" applyFont="1" applyBorder="1" applyAlignment="1">
      <alignment horizontal="center" vertical="center" wrapText="1"/>
    </xf>
    <xf numFmtId="1" fontId="5" fillId="0" borderId="66" xfId="6" applyNumberFormat="1" applyFont="1" applyBorder="1" applyAlignment="1">
      <alignment horizontal="center" vertical="center"/>
    </xf>
    <xf numFmtId="1" fontId="5" fillId="0" borderId="68" xfId="6" applyNumberFormat="1" applyFont="1" applyBorder="1" applyAlignment="1">
      <alignment horizontal="center" vertical="center"/>
    </xf>
    <xf numFmtId="1" fontId="5" fillId="0" borderId="189" xfId="6" applyNumberFormat="1" applyFont="1" applyBorder="1" applyAlignment="1">
      <alignment horizontal="left"/>
    </xf>
    <xf numFmtId="1" fontId="5" fillId="0" borderId="200" xfId="6" applyNumberFormat="1" applyFont="1" applyBorder="1" applyAlignment="1">
      <alignment horizontal="left"/>
    </xf>
    <xf numFmtId="1" fontId="5" fillId="0" borderId="51" xfId="6" applyNumberFormat="1" applyFont="1" applyBorder="1" applyAlignment="1">
      <alignment horizontal="left" vertical="center"/>
    </xf>
    <xf numFmtId="1" fontId="5" fillId="0" borderId="76" xfId="6" applyNumberFormat="1" applyFont="1" applyBorder="1" applyAlignment="1">
      <alignment horizontal="left" vertical="center"/>
    </xf>
    <xf numFmtId="1" fontId="5" fillId="0" borderId="204" xfId="6" applyNumberFormat="1" applyFont="1" applyBorder="1" applyAlignment="1">
      <alignment horizontal="left"/>
    </xf>
    <xf numFmtId="1" fontId="5" fillId="0" borderId="75" xfId="6" applyNumberFormat="1" applyFont="1" applyBorder="1" applyAlignment="1">
      <alignment horizontal="left"/>
    </xf>
    <xf numFmtId="1" fontId="5" fillId="0" borderId="190" xfId="6" applyNumberFormat="1" applyFont="1" applyBorder="1" applyAlignment="1">
      <alignment horizontal="left"/>
    </xf>
    <xf numFmtId="1" fontId="5" fillId="0" borderId="10" xfId="6" applyNumberFormat="1" applyFont="1" applyBorder="1" applyAlignment="1">
      <alignment horizontal="left"/>
    </xf>
    <xf numFmtId="1" fontId="5" fillId="0" borderId="11" xfId="6" applyNumberFormat="1" applyFont="1" applyBorder="1" applyAlignment="1">
      <alignment horizontal="left"/>
    </xf>
    <xf numFmtId="1" fontId="5" fillId="0" borderId="12" xfId="6" applyNumberFormat="1" applyFont="1" applyBorder="1" applyAlignment="1">
      <alignment horizontal="left"/>
    </xf>
    <xf numFmtId="1" fontId="15" fillId="0" borderId="215" xfId="0" applyNumberFormat="1" applyFont="1" applyBorder="1"/>
    <xf numFmtId="1" fontId="15" fillId="0" borderId="35" xfId="0" applyNumberFormat="1" applyFont="1" applyBorder="1"/>
    <xf numFmtId="1" fontId="15" fillId="0" borderId="216" xfId="0" applyNumberFormat="1" applyFont="1" applyBorder="1"/>
    <xf numFmtId="1" fontId="5" fillId="0" borderId="214" xfId="6" applyNumberFormat="1" applyFont="1" applyBorder="1" applyAlignment="1">
      <alignment horizontal="left" wrapText="1"/>
    </xf>
    <xf numFmtId="1" fontId="5" fillId="0" borderId="68" xfId="6" applyNumberFormat="1" applyFont="1" applyBorder="1" applyAlignment="1">
      <alignment horizontal="left" wrapText="1"/>
    </xf>
    <xf numFmtId="1" fontId="5" fillId="0" borderId="82" xfId="6" applyNumberFormat="1" applyFont="1" applyBorder="1" applyAlignment="1">
      <alignment horizontal="left" vertical="center" wrapText="1"/>
    </xf>
    <xf numFmtId="1" fontId="5" fillId="0" borderId="76" xfId="6" applyNumberFormat="1" applyFont="1" applyBorder="1" applyAlignment="1">
      <alignment horizontal="left" vertical="center" wrapText="1"/>
    </xf>
    <xf numFmtId="1" fontId="5" fillId="0" borderId="220" xfId="6" applyNumberFormat="1" applyFont="1" applyBorder="1" applyAlignment="1">
      <alignment horizontal="center" vertical="center" wrapText="1"/>
    </xf>
    <xf numFmtId="1" fontId="5" fillId="0" borderId="89" xfId="6" applyNumberFormat="1" applyFont="1" applyBorder="1" applyAlignment="1">
      <alignment horizontal="center" vertical="center" wrapText="1"/>
    </xf>
    <xf numFmtId="1" fontId="5" fillId="0" borderId="204" xfId="6" applyNumberFormat="1" applyFont="1" applyBorder="1" applyAlignment="1">
      <alignment horizontal="center" vertical="center" wrapText="1"/>
    </xf>
    <xf numFmtId="1" fontId="5" fillId="0" borderId="76" xfId="0" applyNumberFormat="1" applyFont="1" applyBorder="1" applyAlignment="1">
      <alignment horizontal="center" vertical="center" wrapText="1"/>
    </xf>
    <xf numFmtId="1" fontId="5" fillId="0" borderId="66" xfId="0" applyNumberFormat="1" applyFont="1" applyBorder="1" applyAlignment="1">
      <alignment horizontal="center" vertical="center" wrapText="1"/>
    </xf>
    <xf numFmtId="1" fontId="5" fillId="0" borderId="161" xfId="0" applyNumberFormat="1" applyFont="1" applyBorder="1" applyAlignment="1">
      <alignment horizontal="center" vertical="center"/>
    </xf>
    <xf numFmtId="1" fontId="5" fillId="0" borderId="214" xfId="6" applyNumberFormat="1" applyFont="1" applyBorder="1" applyAlignment="1">
      <alignment horizontal="center" vertical="center" wrapText="1"/>
    </xf>
    <xf numFmtId="1" fontId="5" fillId="0" borderId="68" xfId="6" applyNumberFormat="1" applyFont="1" applyBorder="1" applyAlignment="1">
      <alignment horizontal="center" vertical="center" wrapText="1"/>
    </xf>
    <xf numFmtId="1" fontId="15" fillId="0" borderId="36" xfId="6" applyNumberFormat="1" applyFont="1" applyBorder="1" applyAlignment="1">
      <alignment horizontal="left" wrapText="1"/>
    </xf>
    <xf numFmtId="1" fontId="3" fillId="0" borderId="431" xfId="0" applyNumberFormat="1" applyFont="1" applyBorder="1" applyAlignment="1">
      <alignment horizontal="center" vertical="center"/>
    </xf>
    <xf numFmtId="1" fontId="3" fillId="0" borderId="427" xfId="0" applyNumberFormat="1" applyFont="1" applyBorder="1" applyAlignment="1">
      <alignment horizontal="center" vertical="center"/>
    </xf>
    <xf numFmtId="1" fontId="3" fillId="3" borderId="907" xfId="0" applyNumberFormat="1" applyFont="1" applyFill="1" applyBorder="1" applyAlignment="1">
      <alignment horizontal="center" vertical="center"/>
    </xf>
    <xf numFmtId="1" fontId="3" fillId="3" borderId="784" xfId="0" applyNumberFormat="1" applyFont="1" applyFill="1" applyBorder="1" applyAlignment="1">
      <alignment horizontal="center" vertical="center"/>
    </xf>
    <xf numFmtId="1" fontId="3" fillId="3" borderId="1156" xfId="0" applyNumberFormat="1" applyFont="1" applyFill="1" applyBorder="1" applyAlignment="1">
      <alignment horizontal="center" vertical="center"/>
    </xf>
    <xf numFmtId="1" fontId="3" fillId="3" borderId="1056" xfId="0" applyNumberFormat="1" applyFont="1" applyFill="1" applyBorder="1" applyAlignment="1">
      <alignment horizontal="center" vertical="center"/>
    </xf>
    <xf numFmtId="1" fontId="3" fillId="3" borderId="777" xfId="0" applyNumberFormat="1" applyFont="1" applyFill="1" applyBorder="1" applyAlignment="1">
      <alignment horizontal="center" vertical="center"/>
    </xf>
    <xf numFmtId="1" fontId="3" fillId="3" borderId="737" xfId="0" applyNumberFormat="1" applyFont="1" applyFill="1" applyBorder="1" applyAlignment="1">
      <alignment horizontal="center" vertical="center"/>
    </xf>
    <xf numFmtId="1" fontId="3" fillId="3" borderId="433" xfId="0" applyNumberFormat="1" applyFont="1" applyFill="1" applyBorder="1" applyAlignment="1">
      <alignment horizontal="center"/>
    </xf>
    <xf numFmtId="1" fontId="3" fillId="3" borderId="434" xfId="0" applyNumberFormat="1" applyFont="1" applyFill="1" applyBorder="1" applyAlignment="1">
      <alignment horizontal="center"/>
    </xf>
    <xf numFmtId="1" fontId="3" fillId="0" borderId="431" xfId="0" applyNumberFormat="1" applyFont="1" applyBorder="1" applyAlignment="1">
      <alignment horizontal="center" vertical="center" wrapText="1"/>
    </xf>
    <xf numFmtId="1" fontId="3" fillId="0" borderId="427" xfId="0" applyNumberFormat="1" applyFont="1" applyBorder="1" applyAlignment="1">
      <alignment horizontal="center" vertical="center" wrapText="1"/>
    </xf>
    <xf numFmtId="1" fontId="3" fillId="0" borderId="410" xfId="0" applyNumberFormat="1" applyFont="1" applyBorder="1" applyAlignment="1">
      <alignment horizontal="center" vertical="center" wrapText="1"/>
    </xf>
    <xf numFmtId="1" fontId="3" fillId="0" borderId="430" xfId="0" applyNumberFormat="1" applyFont="1" applyBorder="1" applyAlignment="1">
      <alignment horizontal="center" vertical="center" wrapText="1"/>
    </xf>
    <xf numFmtId="1" fontId="3" fillId="0" borderId="432" xfId="0" applyNumberFormat="1" applyFont="1" applyBorder="1" applyAlignment="1">
      <alignment horizontal="center" vertical="center"/>
    </xf>
    <xf numFmtId="1" fontId="3" fillId="0" borderId="432" xfId="0" applyNumberFormat="1" applyFont="1" applyBorder="1" applyAlignment="1">
      <alignment horizontal="center" vertical="center" wrapText="1"/>
    </xf>
    <xf numFmtId="1" fontId="3" fillId="0" borderId="436" xfId="0" applyNumberFormat="1" applyFont="1" applyBorder="1" applyAlignment="1">
      <alignment horizontal="center" vertical="center"/>
    </xf>
    <xf numFmtId="1" fontId="3" fillId="3" borderId="449" xfId="0" applyNumberFormat="1" applyFont="1" applyFill="1" applyBorder="1" applyAlignment="1">
      <alignment horizontal="center" vertical="center"/>
    </xf>
    <xf numFmtId="1" fontId="3" fillId="3" borderId="433" xfId="0" applyNumberFormat="1" applyFont="1" applyFill="1" applyBorder="1" applyAlignment="1">
      <alignment horizontal="center" vertical="center"/>
    </xf>
    <xf numFmtId="1" fontId="3" fillId="3" borderId="434" xfId="0" applyNumberFormat="1" applyFont="1" applyFill="1" applyBorder="1" applyAlignment="1">
      <alignment horizontal="center" vertical="center"/>
    </xf>
    <xf numFmtId="1" fontId="3" fillId="0" borderId="435" xfId="0" applyNumberFormat="1" applyFont="1" applyBorder="1" applyAlignment="1">
      <alignment horizontal="left" vertical="center"/>
    </xf>
    <xf numFmtId="1" fontId="3" fillId="0" borderId="410" xfId="0" applyNumberFormat="1" applyFont="1" applyBorder="1" applyAlignment="1">
      <alignment horizontal="left" vertical="center"/>
    </xf>
    <xf numFmtId="1" fontId="3" fillId="0" borderId="415" xfId="0" applyNumberFormat="1" applyFont="1" applyBorder="1" applyAlignment="1">
      <alignment horizontal="left" vertical="center"/>
    </xf>
    <xf numFmtId="1" fontId="3" fillId="0" borderId="432" xfId="0" applyNumberFormat="1" applyFont="1" applyBorder="1" applyAlignment="1">
      <alignment horizontal="left" vertical="center" wrapText="1"/>
    </xf>
    <xf numFmtId="1" fontId="3" fillId="0" borderId="416" xfId="0" applyNumberFormat="1" applyFont="1" applyBorder="1" applyAlignment="1">
      <alignment horizontal="left" vertical="center" wrapText="1"/>
    </xf>
    <xf numFmtId="1" fontId="3" fillId="0" borderId="421" xfId="0" applyNumberFormat="1" applyFont="1" applyBorder="1" applyAlignment="1">
      <alignment horizontal="left" vertical="center"/>
    </xf>
    <xf numFmtId="1" fontId="3" fillId="0" borderId="441" xfId="0" applyNumberFormat="1" applyFont="1" applyBorder="1" applyAlignment="1">
      <alignment horizontal="left" vertical="center"/>
    </xf>
    <xf numFmtId="1" fontId="3" fillId="0" borderId="378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378" xfId="0" applyNumberFormat="1" applyFont="1" applyBorder="1" applyAlignment="1">
      <alignment horizontal="left" vertical="center" wrapText="1"/>
    </xf>
    <xf numFmtId="1" fontId="3" fillId="0" borderId="52" xfId="0" applyNumberFormat="1" applyFont="1" applyBorder="1" applyAlignment="1">
      <alignment horizontal="left" vertical="center"/>
    </xf>
    <xf numFmtId="1" fontId="3" fillId="0" borderId="410" xfId="0" applyNumberFormat="1" applyFont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437" xfId="0" applyNumberFormat="1" applyFont="1" applyBorder="1" applyAlignment="1">
      <alignment horizontal="center" vertical="center"/>
    </xf>
    <xf numFmtId="1" fontId="3" fillId="3" borderId="432" xfId="0" applyNumberFormat="1" applyFont="1" applyFill="1" applyBorder="1" applyAlignment="1">
      <alignment horizontal="center" vertical="center"/>
    </xf>
    <xf numFmtId="1" fontId="3" fillId="3" borderId="36" xfId="0" applyNumberFormat="1" applyFont="1" applyFill="1" applyBorder="1" applyAlignment="1">
      <alignment horizontal="center" vertical="center"/>
    </xf>
    <xf numFmtId="1" fontId="3" fillId="3" borderId="431" xfId="0" applyNumberFormat="1" applyFont="1" applyFill="1" applyBorder="1" applyAlignment="1">
      <alignment horizontal="center" vertical="center"/>
    </xf>
    <xf numFmtId="1" fontId="3" fillId="3" borderId="411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1" fontId="3" fillId="3" borderId="220" xfId="0" applyNumberFormat="1" applyFont="1" applyFill="1" applyBorder="1" applyAlignment="1">
      <alignment horizontal="center" vertical="center"/>
    </xf>
    <xf numFmtId="1" fontId="3" fillId="0" borderId="11" xfId="0" applyNumberFormat="1" applyFont="1" applyBorder="1" applyAlignment="1">
      <alignment horizontal="left" vertical="center"/>
    </xf>
    <xf numFmtId="1" fontId="3" fillId="0" borderId="12" xfId="0" applyNumberFormat="1" applyFont="1" applyBorder="1" applyAlignment="1">
      <alignment horizontal="left" vertical="center"/>
    </xf>
    <xf numFmtId="1" fontId="3" fillId="0" borderId="453" xfId="0" applyNumberFormat="1" applyFont="1" applyBorder="1" applyAlignment="1">
      <alignment horizontal="center" vertical="center"/>
    </xf>
    <xf numFmtId="1" fontId="3" fillId="0" borderId="431" xfId="14" applyNumberFormat="1" applyFont="1" applyBorder="1" applyAlignment="1">
      <alignment horizontal="center" vertical="center" wrapText="1"/>
    </xf>
    <xf numFmtId="1" fontId="3" fillId="0" borderId="220" xfId="14" applyNumberFormat="1" applyFont="1" applyBorder="1" applyAlignment="1">
      <alignment horizontal="center" vertical="center" wrapText="1"/>
    </xf>
    <xf numFmtId="1" fontId="3" fillId="0" borderId="242" xfId="14" applyNumberFormat="1" applyFont="1" applyBorder="1" applyAlignment="1">
      <alignment horizontal="center" vertical="center" wrapText="1"/>
    </xf>
    <xf numFmtId="1" fontId="3" fillId="0" borderId="907" xfId="14" applyNumberFormat="1" applyFont="1" applyBorder="1" applyAlignment="1">
      <alignment horizontal="center" vertical="center" wrapText="1"/>
    </xf>
    <xf numFmtId="1" fontId="3" fillId="0" borderId="784" xfId="14" applyNumberFormat="1" applyFont="1" applyBorder="1" applyAlignment="1">
      <alignment horizontal="center" vertical="center" wrapText="1"/>
    </xf>
    <xf numFmtId="1" fontId="3" fillId="0" borderId="1156" xfId="14" applyNumberFormat="1" applyFont="1" applyBorder="1" applyAlignment="1">
      <alignment horizontal="center" vertical="center" wrapText="1"/>
    </xf>
    <xf numFmtId="1" fontId="3" fillId="0" borderId="1056" xfId="14" applyNumberFormat="1" applyFont="1" applyBorder="1" applyAlignment="1">
      <alignment horizontal="center" vertical="center" wrapText="1"/>
    </xf>
    <xf numFmtId="1" fontId="3" fillId="0" borderId="777" xfId="14" applyNumberFormat="1" applyFont="1" applyBorder="1" applyAlignment="1">
      <alignment horizontal="center" vertical="center" wrapText="1"/>
    </xf>
    <xf numFmtId="1" fontId="3" fillId="0" borderId="737" xfId="14" applyNumberFormat="1" applyFont="1" applyBorder="1" applyAlignment="1">
      <alignment horizontal="center" vertical="center" wrapText="1"/>
    </xf>
    <xf numFmtId="1" fontId="3" fillId="0" borderId="449" xfId="0" applyNumberFormat="1" applyFont="1" applyBorder="1" applyAlignment="1">
      <alignment horizontal="center"/>
    </xf>
    <xf numFmtId="1" fontId="3" fillId="0" borderId="433" xfId="0" applyNumberFormat="1" applyFont="1" applyBorder="1" applyAlignment="1">
      <alignment horizontal="center"/>
    </xf>
    <xf numFmtId="1" fontId="3" fillId="0" borderId="1129" xfId="0" applyNumberFormat="1" applyFont="1" applyBorder="1" applyAlignment="1">
      <alignment horizontal="center"/>
    </xf>
    <xf numFmtId="1" fontId="3" fillId="0" borderId="1223" xfId="14" quotePrefix="1" applyNumberFormat="1" applyFont="1" applyBorder="1" applyAlignment="1" applyProtection="1">
      <alignment horizontal="center" vertical="center"/>
      <protection hidden="1"/>
    </xf>
    <xf numFmtId="1" fontId="3" fillId="0" borderId="1156" xfId="14" quotePrefix="1" applyNumberFormat="1" applyFont="1" applyBorder="1" applyAlignment="1" applyProtection="1">
      <alignment horizontal="center" vertical="center"/>
      <protection hidden="1"/>
    </xf>
    <xf numFmtId="1" fontId="3" fillId="0" borderId="1165" xfId="14" quotePrefix="1" applyNumberFormat="1" applyFont="1" applyBorder="1" applyAlignment="1" applyProtection="1">
      <alignment horizontal="center" vertical="center"/>
      <protection hidden="1"/>
    </xf>
    <xf numFmtId="1" fontId="3" fillId="0" borderId="737" xfId="14" quotePrefix="1" applyNumberFormat="1" applyFont="1" applyBorder="1" applyAlignment="1" applyProtection="1">
      <alignment horizontal="center" vertical="center"/>
      <protection hidden="1"/>
    </xf>
    <xf numFmtId="1" fontId="3" fillId="0" borderId="445" xfId="0" applyNumberFormat="1" applyFont="1" applyBorder="1" applyAlignment="1">
      <alignment horizontal="center" vertical="center" wrapText="1"/>
    </xf>
    <xf numFmtId="1" fontId="3" fillId="0" borderId="784" xfId="0" applyNumberFormat="1" applyFont="1" applyBorder="1" applyAlignment="1">
      <alignment horizontal="center" vertical="center"/>
    </xf>
    <xf numFmtId="1" fontId="3" fillId="0" borderId="242" xfId="0" applyNumberFormat="1" applyFont="1" applyBorder="1" applyAlignment="1">
      <alignment horizontal="center" vertical="center"/>
    </xf>
    <xf numFmtId="1" fontId="3" fillId="0" borderId="411" xfId="0" applyNumberFormat="1" applyFont="1" applyBorder="1" applyAlignment="1">
      <alignment horizontal="center" vertical="center"/>
    </xf>
    <xf numFmtId="1" fontId="3" fillId="0" borderId="434" xfId="0" applyNumberFormat="1" applyFont="1" applyBorder="1" applyAlignment="1">
      <alignment horizontal="center"/>
    </xf>
    <xf numFmtId="1" fontId="3" fillId="0" borderId="242" xfId="0" applyNumberFormat="1" applyFont="1" applyBorder="1" applyAlignment="1">
      <alignment horizontal="center" vertical="center" wrapText="1"/>
    </xf>
    <xf numFmtId="1" fontId="3" fillId="0" borderId="433" xfId="0" applyNumberFormat="1" applyFont="1" applyBorder="1" applyAlignment="1">
      <alignment horizontal="center" vertical="center"/>
    </xf>
    <xf numFmtId="1" fontId="3" fillId="0" borderId="449" xfId="0" applyNumberFormat="1" applyFont="1" applyBorder="1" applyAlignment="1">
      <alignment horizontal="center" vertical="center"/>
    </xf>
    <xf numFmtId="1" fontId="3" fillId="0" borderId="445" xfId="0" applyNumberFormat="1" applyFont="1" applyBorder="1" applyAlignment="1">
      <alignment horizontal="center" vertical="center"/>
    </xf>
    <xf numFmtId="1" fontId="3" fillId="0" borderId="433" xfId="0" applyNumberFormat="1" applyFont="1" applyBorder="1" applyAlignment="1">
      <alignment horizontal="center" vertical="center" wrapText="1"/>
    </xf>
    <xf numFmtId="1" fontId="3" fillId="0" borderId="434" xfId="0" applyNumberFormat="1" applyFont="1" applyBorder="1" applyAlignment="1">
      <alignment horizontal="center" vertical="center"/>
    </xf>
    <xf numFmtId="1" fontId="3" fillId="0" borderId="421" xfId="0" applyNumberFormat="1" applyFont="1" applyBorder="1" applyAlignment="1">
      <alignment horizontal="left" vertical="center" wrapText="1"/>
    </xf>
    <xf numFmtId="1" fontId="3" fillId="0" borderId="441" xfId="0" applyNumberFormat="1" applyFont="1" applyBorder="1" applyAlignment="1">
      <alignment horizontal="left" vertical="center" wrapText="1"/>
    </xf>
    <xf numFmtId="1" fontId="3" fillId="0" borderId="445" xfId="0" applyNumberFormat="1" applyFont="1" applyBorder="1" applyAlignment="1">
      <alignment horizontal="center"/>
    </xf>
    <xf numFmtId="1" fontId="3" fillId="0" borderId="456" xfId="0" applyNumberFormat="1" applyFont="1" applyBorder="1" applyAlignment="1">
      <alignment horizontal="center" vertical="center" wrapText="1"/>
    </xf>
    <xf numFmtId="1" fontId="3" fillId="0" borderId="414" xfId="0" applyNumberFormat="1" applyFont="1" applyBorder="1" applyAlignment="1">
      <alignment horizontal="center" vertical="center" wrapText="1"/>
    </xf>
    <xf numFmtId="1" fontId="3" fillId="0" borderId="415" xfId="0" applyNumberFormat="1" applyFont="1" applyBorder="1" applyAlignment="1">
      <alignment horizontal="center" vertical="center" wrapText="1"/>
    </xf>
    <xf numFmtId="1" fontId="3" fillId="0" borderId="449" xfId="0" applyNumberFormat="1" applyFont="1" applyBorder="1" applyAlignment="1">
      <alignment horizontal="center" vertical="center" wrapText="1"/>
    </xf>
    <xf numFmtId="1" fontId="3" fillId="0" borderId="416" xfId="0" applyNumberFormat="1" applyFont="1" applyBorder="1" applyAlignment="1">
      <alignment horizontal="center" vertical="center"/>
    </xf>
    <xf numFmtId="1" fontId="3" fillId="0" borderId="35" xfId="0" applyNumberFormat="1" applyFont="1" applyBorder="1" applyAlignment="1">
      <alignment horizontal="center" vertical="center"/>
    </xf>
    <xf numFmtId="1" fontId="3" fillId="3" borderId="416" xfId="0" applyNumberFormat="1" applyFont="1" applyFill="1" applyBorder="1" applyAlignment="1">
      <alignment horizontal="center" vertical="center"/>
    </xf>
    <xf numFmtId="1" fontId="3" fillId="3" borderId="35" xfId="0" applyNumberFormat="1" applyFont="1" applyFill="1" applyBorder="1" applyAlignment="1">
      <alignment horizontal="center" vertical="center"/>
    </xf>
    <xf numFmtId="1" fontId="3" fillId="3" borderId="242" xfId="0" applyNumberFormat="1" applyFont="1" applyFill="1" applyBorder="1" applyAlignment="1">
      <alignment horizontal="center" vertical="center"/>
    </xf>
    <xf numFmtId="1" fontId="3" fillId="3" borderId="445" xfId="0" applyNumberFormat="1" applyFont="1" applyFill="1" applyBorder="1" applyAlignment="1">
      <alignment horizontal="center" vertical="center"/>
    </xf>
    <xf numFmtId="1" fontId="3" fillId="0" borderId="771" xfId="0" applyNumberFormat="1" applyFont="1" applyBorder="1" applyAlignment="1">
      <alignment horizontal="center" vertical="center"/>
    </xf>
    <xf numFmtId="1" fontId="3" fillId="0" borderId="77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1" fontId="3" fillId="0" borderId="435" xfId="0" applyNumberFormat="1" applyFont="1" applyBorder="1" applyAlignment="1">
      <alignment horizontal="center" vertical="center"/>
    </xf>
    <xf numFmtId="1" fontId="3" fillId="0" borderId="410" xfId="0" applyNumberFormat="1" applyFont="1" applyBorder="1" applyAlignment="1">
      <alignment horizontal="center" vertical="center"/>
    </xf>
    <xf numFmtId="1" fontId="3" fillId="0" borderId="415" xfId="0" applyNumberFormat="1" applyFont="1" applyBorder="1" applyAlignment="1">
      <alignment horizontal="center" vertical="center"/>
    </xf>
    <xf numFmtId="1" fontId="3" fillId="3" borderId="449" xfId="0" applyNumberFormat="1" applyFont="1" applyFill="1" applyBorder="1" applyAlignment="1">
      <alignment horizontal="center" vertical="center" wrapText="1"/>
    </xf>
    <xf numFmtId="1" fontId="3" fillId="3" borderId="445" xfId="0" applyNumberFormat="1" applyFont="1" applyFill="1" applyBorder="1" applyAlignment="1">
      <alignment horizontal="center" vertical="center" wrapText="1"/>
    </xf>
    <xf numFmtId="1" fontId="3" fillId="3" borderId="420" xfId="0" applyNumberFormat="1" applyFont="1" applyFill="1" applyBorder="1" applyAlignment="1">
      <alignment horizontal="left" vertical="center" wrapText="1"/>
    </xf>
    <xf numFmtId="1" fontId="3" fillId="3" borderId="373" xfId="0" applyNumberFormat="1" applyFont="1" applyFill="1" applyBorder="1" applyAlignment="1">
      <alignment horizontal="left" vertical="center" wrapText="1"/>
    </xf>
    <xf numFmtId="1" fontId="3" fillId="3" borderId="13" xfId="0" applyNumberFormat="1" applyFont="1" applyFill="1" applyBorder="1" applyAlignment="1">
      <alignment horizontal="left" vertical="center" wrapText="1"/>
    </xf>
    <xf numFmtId="1" fontId="3" fillId="3" borderId="449" xfId="0" applyNumberFormat="1" applyFont="1" applyFill="1" applyBorder="1" applyAlignment="1">
      <alignment horizontal="center"/>
    </xf>
    <xf numFmtId="1" fontId="3" fillId="3" borderId="445" xfId="0" applyNumberFormat="1" applyFont="1" applyFill="1" applyBorder="1" applyAlignment="1">
      <alignment horizontal="center"/>
    </xf>
    <xf numFmtId="1" fontId="3" fillId="3" borderId="431" xfId="0" applyNumberFormat="1" applyFont="1" applyFill="1" applyBorder="1" applyAlignment="1">
      <alignment horizontal="center" vertical="center" wrapText="1"/>
    </xf>
    <xf numFmtId="1" fontId="3" fillId="3" borderId="220" xfId="0" applyNumberFormat="1" applyFont="1" applyFill="1" applyBorder="1" applyAlignment="1">
      <alignment horizontal="center" vertical="center" wrapText="1"/>
    </xf>
    <xf numFmtId="1" fontId="3" fillId="3" borderId="242" xfId="0" applyNumberFormat="1" applyFont="1" applyFill="1" applyBorder="1" applyAlignment="1">
      <alignment horizontal="center" vertical="center" wrapText="1"/>
    </xf>
    <xf numFmtId="1" fontId="2" fillId="0" borderId="433" xfId="0" applyNumberFormat="1" applyFont="1" applyBorder="1" applyAlignment="1">
      <alignment horizontal="left"/>
    </xf>
    <xf numFmtId="1" fontId="3" fillId="3" borderId="453" xfId="0" applyNumberFormat="1" applyFont="1" applyFill="1" applyBorder="1" applyAlignment="1">
      <alignment horizontal="center" vertical="center"/>
    </xf>
    <xf numFmtId="1" fontId="3" fillId="3" borderId="435" xfId="0" applyNumberFormat="1" applyFont="1" applyFill="1" applyBorder="1" applyAlignment="1">
      <alignment horizontal="left" vertical="center" wrapText="1"/>
    </xf>
    <xf numFmtId="1" fontId="3" fillId="3" borderId="410" xfId="0" applyNumberFormat="1" applyFont="1" applyFill="1" applyBorder="1" applyAlignment="1">
      <alignment horizontal="left" vertical="center" wrapText="1"/>
    </xf>
    <xf numFmtId="1" fontId="3" fillId="3" borderId="415" xfId="0" applyNumberFormat="1" applyFont="1" applyFill="1" applyBorder="1" applyAlignment="1">
      <alignment horizontal="left" vertical="center" wrapText="1"/>
    </xf>
    <xf numFmtId="1" fontId="2" fillId="0" borderId="36" xfId="0" applyNumberFormat="1" applyFont="1" applyBorder="1" applyAlignment="1">
      <alignment horizontal="left"/>
    </xf>
    <xf numFmtId="1" fontId="3" fillId="0" borderId="415" xfId="0" applyNumberFormat="1" applyFont="1" applyBorder="1" applyAlignment="1">
      <alignment horizontal="left" vertical="center" wrapText="1"/>
    </xf>
    <xf numFmtId="0" fontId="3" fillId="0" borderId="42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432" xfId="0" applyFont="1" applyBorder="1" applyAlignment="1">
      <alignment horizontal="left" vertical="center"/>
    </xf>
    <xf numFmtId="0" fontId="3" fillId="0" borderId="431" xfId="0" applyFont="1" applyBorder="1" applyAlignment="1">
      <alignment horizontal="left" vertical="center"/>
    </xf>
    <xf numFmtId="0" fontId="3" fillId="0" borderId="416" xfId="0" applyFont="1" applyBorder="1" applyAlignment="1">
      <alignment horizontal="left" vertical="center"/>
    </xf>
    <xf numFmtId="0" fontId="3" fillId="0" borderId="242" xfId="0" applyFont="1" applyBorder="1" applyAlignment="1">
      <alignment horizontal="left" vertical="center"/>
    </xf>
    <xf numFmtId="1" fontId="3" fillId="0" borderId="420" xfId="0" applyNumberFormat="1" applyFont="1" applyBorder="1" applyAlignment="1">
      <alignment horizontal="left" vertical="center" wrapText="1"/>
    </xf>
    <xf numFmtId="1" fontId="3" fillId="0" borderId="13" xfId="0" applyNumberFormat="1" applyFont="1" applyBorder="1" applyAlignment="1">
      <alignment horizontal="left" vertical="center" wrapText="1"/>
    </xf>
    <xf numFmtId="1" fontId="3" fillId="0" borderId="420" xfId="0" applyNumberFormat="1" applyFont="1" applyBorder="1" applyAlignment="1">
      <alignment horizontal="center" vertical="center"/>
    </xf>
    <xf numFmtId="1" fontId="3" fillId="0" borderId="373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3" fillId="0" borderId="453" xfId="0" applyFont="1" applyBorder="1" applyAlignment="1">
      <alignment horizontal="center" vertical="center" wrapText="1"/>
    </xf>
    <xf numFmtId="0" fontId="5" fillId="0" borderId="568" xfId="0" applyFont="1" applyBorder="1" applyAlignment="1">
      <alignment horizontal="center" vertical="center"/>
    </xf>
    <xf numFmtId="0" fontId="5" fillId="0" borderId="561" xfId="0" applyFont="1" applyBorder="1" applyAlignment="1">
      <alignment horizontal="center" vertical="center"/>
    </xf>
    <xf numFmtId="0" fontId="5" fillId="0" borderId="56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524" xfId="0" applyFont="1" applyBorder="1" applyAlignment="1">
      <alignment horizontal="center" vertical="center" wrapText="1"/>
    </xf>
    <xf numFmtId="0" fontId="5" fillId="0" borderId="994" xfId="0" applyFont="1" applyBorder="1" applyAlignment="1">
      <alignment horizontal="center" vertical="center"/>
    </xf>
    <xf numFmtId="1" fontId="5" fillId="5" borderId="435" xfId="0" applyNumberFormat="1" applyFont="1" applyFill="1" applyBorder="1" applyAlignment="1">
      <alignment horizontal="center" vertical="center"/>
    </xf>
    <xf numFmtId="1" fontId="5" fillId="5" borderId="994" xfId="0" applyNumberFormat="1" applyFont="1" applyFill="1" applyBorder="1" applyAlignment="1">
      <alignment horizontal="center" vertical="center"/>
    </xf>
    <xf numFmtId="1" fontId="5" fillId="3" borderId="596" xfId="0" applyNumberFormat="1" applyFont="1" applyFill="1" applyBorder="1" applyAlignment="1">
      <alignment horizontal="center" vertical="center" wrapText="1"/>
    </xf>
    <xf numFmtId="1" fontId="5" fillId="3" borderId="576" xfId="0" applyNumberFormat="1" applyFont="1" applyFill="1" applyBorder="1" applyAlignment="1">
      <alignment horizontal="center" vertical="center" wrapText="1"/>
    </xf>
    <xf numFmtId="1" fontId="18" fillId="0" borderId="36" xfId="0" applyNumberFormat="1" applyFont="1" applyBorder="1" applyAlignment="1">
      <alignment horizontal="left" wrapText="1"/>
    </xf>
    <xf numFmtId="1" fontId="5" fillId="5" borderId="576" xfId="0" applyNumberFormat="1" applyFont="1" applyFill="1" applyBorder="1" applyAlignment="1">
      <alignment horizontal="center" vertical="center"/>
    </xf>
    <xf numFmtId="1" fontId="5" fillId="5" borderId="435" xfId="0" applyNumberFormat="1" applyFont="1" applyFill="1" applyBorder="1" applyAlignment="1">
      <alignment horizontal="left" vertical="center" wrapText="1"/>
    </xf>
    <xf numFmtId="1" fontId="5" fillId="5" borderId="994" xfId="0" applyNumberFormat="1" applyFont="1" applyFill="1" applyBorder="1" applyAlignment="1">
      <alignment horizontal="left" vertical="center" wrapText="1"/>
    </xf>
    <xf numFmtId="1" fontId="5" fillId="5" borderId="977" xfId="0" applyNumberFormat="1" applyFont="1" applyFill="1" applyBorder="1" applyAlignment="1">
      <alignment horizontal="left" vertical="center" wrapText="1"/>
    </xf>
    <xf numFmtId="1" fontId="5" fillId="0" borderId="994" xfId="0" applyNumberFormat="1" applyFont="1" applyBorder="1" applyAlignment="1">
      <alignment horizontal="center" vertical="center" wrapText="1"/>
    </xf>
    <xf numFmtId="1" fontId="5" fillId="0" borderId="568" xfId="0" applyNumberFormat="1" applyFont="1" applyBorder="1" applyAlignment="1">
      <alignment horizontal="left" vertical="center" wrapText="1"/>
    </xf>
    <xf numFmtId="1" fontId="5" fillId="0" borderId="596" xfId="0" applyNumberFormat="1" applyFont="1" applyBorder="1" applyAlignment="1">
      <alignment horizontal="left" vertical="center" wrapText="1"/>
    </xf>
    <xf numFmtId="1" fontId="15" fillId="0" borderId="992" xfId="0" applyNumberFormat="1" applyFont="1" applyBorder="1" applyAlignment="1">
      <alignment horizontal="left" wrapText="1"/>
    </xf>
    <xf numFmtId="1" fontId="15" fillId="0" borderId="524" xfId="0" applyNumberFormat="1" applyFont="1" applyBorder="1" applyAlignment="1">
      <alignment horizontal="left" wrapText="1"/>
    </xf>
    <xf numFmtId="1" fontId="5" fillId="0" borderId="986" xfId="0" applyNumberFormat="1" applyFont="1" applyBorder="1" applyAlignment="1">
      <alignment horizontal="center" vertical="center" wrapText="1"/>
    </xf>
    <xf numFmtId="1" fontId="5" fillId="0" borderId="986" xfId="0" applyNumberFormat="1" applyFont="1" applyBorder="1" applyAlignment="1">
      <alignment horizontal="center" vertical="center"/>
    </xf>
    <xf numFmtId="1" fontId="5" fillId="3" borderId="986" xfId="0" applyNumberFormat="1" applyFont="1" applyFill="1" applyBorder="1" applyAlignment="1">
      <alignment horizontal="center" vertical="center" wrapText="1"/>
    </xf>
    <xf numFmtId="1" fontId="5" fillId="5" borderId="568" xfId="0" applyNumberFormat="1" applyFont="1" applyFill="1" applyBorder="1" applyAlignment="1">
      <alignment horizontal="center" vertical="center" wrapText="1"/>
    </xf>
    <xf numFmtId="1" fontId="5" fillId="5" borderId="561" xfId="0" applyNumberFormat="1" applyFont="1" applyFill="1" applyBorder="1" applyAlignment="1">
      <alignment horizontal="center" vertical="center" wrapText="1"/>
    </xf>
    <xf numFmtId="1" fontId="5" fillId="5" borderId="596" xfId="0" applyNumberFormat="1" applyFont="1" applyFill="1" applyBorder="1" applyAlignment="1">
      <alignment horizontal="center" vertical="center" wrapText="1"/>
    </xf>
    <xf numFmtId="1" fontId="5" fillId="0" borderId="568" xfId="0" applyNumberFormat="1" applyFont="1" applyBorder="1" applyAlignment="1">
      <alignment horizontal="left" wrapText="1"/>
    </xf>
    <xf numFmtId="1" fontId="5" fillId="0" borderId="596" xfId="0" applyNumberFormat="1" applyFont="1" applyBorder="1" applyAlignment="1">
      <alignment horizontal="left" wrapText="1"/>
    </xf>
    <xf numFmtId="1" fontId="5" fillId="0" borderId="576" xfId="0" applyNumberFormat="1" applyFont="1" applyBorder="1" applyAlignment="1">
      <alignment horizontal="center" vertical="center"/>
    </xf>
    <xf numFmtId="1" fontId="5" fillId="3" borderId="568" xfId="0" applyNumberFormat="1" applyFont="1" applyFill="1" applyBorder="1" applyAlignment="1">
      <alignment horizontal="center" vertical="center" wrapText="1"/>
    </xf>
    <xf numFmtId="1" fontId="5" fillId="3" borderId="576" xfId="0" applyNumberFormat="1" applyFont="1" applyFill="1" applyBorder="1" applyAlignment="1">
      <alignment horizontal="center" vertical="center"/>
    </xf>
    <xf numFmtId="1" fontId="5" fillId="3" borderId="994" xfId="0" applyNumberFormat="1" applyFont="1" applyFill="1" applyBorder="1" applyAlignment="1">
      <alignment horizontal="center" vertical="center" wrapText="1"/>
    </xf>
    <xf numFmtId="1" fontId="5" fillId="5" borderId="568" xfId="0" applyNumberFormat="1" applyFont="1" applyFill="1" applyBorder="1" applyAlignment="1">
      <alignment horizontal="left" vertical="center"/>
    </xf>
    <xf numFmtId="1" fontId="5" fillId="5" borderId="596" xfId="0" applyNumberFormat="1" applyFont="1" applyFill="1" applyBorder="1" applyAlignment="1">
      <alignment horizontal="left" vertical="center"/>
    </xf>
    <xf numFmtId="1" fontId="15" fillId="3" borderId="925" xfId="0" applyNumberFormat="1" applyFont="1" applyFill="1" applyBorder="1" applyAlignment="1">
      <alignment horizontal="left" wrapText="1"/>
    </xf>
    <xf numFmtId="1" fontId="15" fillId="3" borderId="992" xfId="0" applyNumberFormat="1" applyFont="1" applyFill="1" applyBorder="1" applyAlignment="1">
      <alignment horizontal="left" wrapText="1"/>
    </xf>
    <xf numFmtId="1" fontId="15" fillId="3" borderId="524" xfId="0" applyNumberFormat="1" applyFont="1" applyFill="1" applyBorder="1" applyAlignment="1">
      <alignment horizontal="left" wrapText="1"/>
    </xf>
    <xf numFmtId="1" fontId="5" fillId="0" borderId="993" xfId="0" applyNumberFormat="1" applyFont="1" applyBorder="1" applyAlignment="1">
      <alignment horizontal="center" vertical="center" wrapText="1"/>
    </xf>
    <xf numFmtId="1" fontId="5" fillId="0" borderId="994" xfId="0" applyNumberFormat="1" applyFont="1" applyBorder="1" applyAlignment="1">
      <alignment horizontal="center" vertical="center"/>
    </xf>
    <xf numFmtId="1" fontId="5" fillId="0" borderId="569" xfId="0" applyNumberFormat="1" applyFont="1" applyBorder="1" applyAlignment="1">
      <alignment horizontal="center" vertical="center" wrapText="1"/>
    </xf>
    <xf numFmtId="1" fontId="5" fillId="0" borderId="979" xfId="0" applyNumberFormat="1" applyFont="1" applyBorder="1" applyAlignment="1">
      <alignment horizontal="left" vertical="center"/>
    </xf>
    <xf numFmtId="1" fontId="5" fillId="0" borderId="980" xfId="0" applyNumberFormat="1" applyFont="1" applyBorder="1" applyAlignment="1">
      <alignment horizontal="left" vertical="center"/>
    </xf>
    <xf numFmtId="1" fontId="5" fillId="0" borderId="946" xfId="0" applyNumberFormat="1" applyFont="1" applyBorder="1" applyAlignment="1">
      <alignment horizontal="left" vertical="center"/>
    </xf>
    <xf numFmtId="1" fontId="5" fillId="5" borderId="435" xfId="0" applyNumberFormat="1" applyFont="1" applyFill="1" applyBorder="1" applyAlignment="1">
      <alignment horizontal="left" vertical="center"/>
    </xf>
    <xf numFmtId="1" fontId="5" fillId="5" borderId="977" xfId="0" applyNumberFormat="1" applyFont="1" applyFill="1" applyBorder="1" applyAlignment="1">
      <alignment horizontal="left" vertical="center"/>
    </xf>
    <xf numFmtId="1" fontId="5" fillId="5" borderId="986" xfId="0" applyNumberFormat="1" applyFont="1" applyFill="1" applyBorder="1" applyAlignment="1">
      <alignment horizontal="left" vertical="center"/>
    </xf>
    <xf numFmtId="1" fontId="5" fillId="0" borderId="947" xfId="0" applyNumberFormat="1" applyFont="1" applyBorder="1" applyAlignment="1">
      <alignment horizontal="center" vertical="center"/>
    </xf>
    <xf numFmtId="1" fontId="5" fillId="5" borderId="432" xfId="0" applyNumberFormat="1" applyFont="1" applyFill="1" applyBorder="1" applyAlignment="1">
      <alignment horizontal="center" vertical="center" wrapText="1"/>
    </xf>
    <xf numFmtId="1" fontId="5" fillId="5" borderId="555" xfId="0" applyNumberFormat="1" applyFont="1" applyFill="1" applyBorder="1" applyAlignment="1">
      <alignment horizontal="center" vertical="center" wrapText="1"/>
    </xf>
    <xf numFmtId="1" fontId="5" fillId="5" borderId="946" xfId="0" applyNumberFormat="1" applyFont="1" applyFill="1" applyBorder="1" applyAlignment="1">
      <alignment horizontal="center" vertical="center" wrapText="1"/>
    </xf>
    <xf numFmtId="1" fontId="5" fillId="5" borderId="947" xfId="0" applyNumberFormat="1" applyFont="1" applyFill="1" applyBorder="1" applyAlignment="1">
      <alignment horizontal="center" vertical="center" wrapText="1"/>
    </xf>
    <xf numFmtId="1" fontId="5" fillId="5" borderId="435" xfId="0" applyNumberFormat="1" applyFont="1" applyFill="1" applyBorder="1" applyAlignment="1">
      <alignment horizontal="center" vertical="center" wrapText="1"/>
    </xf>
    <xf numFmtId="1" fontId="5" fillId="5" borderId="986" xfId="0" applyNumberFormat="1" applyFont="1" applyFill="1" applyBorder="1" applyAlignment="1">
      <alignment horizontal="center" vertical="center" wrapText="1"/>
    </xf>
    <xf numFmtId="1" fontId="5" fillId="0" borderId="1053" xfId="0" applyNumberFormat="1" applyFont="1" applyBorder="1" applyAlignment="1">
      <alignment horizontal="center" vertical="center" wrapText="1"/>
    </xf>
    <xf numFmtId="1" fontId="5" fillId="0" borderId="1089" xfId="0" applyNumberFormat="1" applyFont="1" applyBorder="1" applyAlignment="1">
      <alignment horizontal="center" vertical="center" wrapText="1"/>
    </xf>
    <xf numFmtId="1" fontId="5" fillId="3" borderId="11" xfId="0" applyNumberFormat="1" applyFont="1" applyFill="1" applyBorder="1" applyAlignment="1">
      <alignment horizontal="left" vertical="center"/>
    </xf>
    <xf numFmtId="1" fontId="5" fillId="3" borderId="792" xfId="0" applyNumberFormat="1" applyFont="1" applyFill="1" applyBorder="1" applyAlignment="1">
      <alignment horizontal="left" vertical="center"/>
    </xf>
    <xf numFmtId="1" fontId="5" fillId="0" borderId="792" xfId="0" applyNumberFormat="1" applyFont="1" applyBorder="1" applyAlignment="1">
      <alignment horizontal="left" vertical="center"/>
    </xf>
    <xf numFmtId="1" fontId="5" fillId="5" borderId="568" xfId="0" applyNumberFormat="1" applyFont="1" applyFill="1" applyBorder="1" applyAlignment="1">
      <alignment horizontal="left" vertical="center" wrapText="1"/>
    </xf>
    <xf numFmtId="1" fontId="5" fillId="5" borderId="596" xfId="0" applyNumberFormat="1" applyFont="1" applyFill="1" applyBorder="1" applyAlignment="1">
      <alignment horizontal="left" vertical="center" wrapText="1"/>
    </xf>
    <xf numFmtId="1" fontId="5" fillId="5" borderId="1406" xfId="0" applyNumberFormat="1" applyFont="1" applyFill="1" applyBorder="1" applyAlignment="1">
      <alignment horizontal="left" vertical="center" wrapText="1"/>
    </xf>
    <xf numFmtId="1" fontId="5" fillId="5" borderId="1405" xfId="0" applyNumberFormat="1" applyFont="1" applyFill="1" applyBorder="1" applyAlignment="1">
      <alignment horizontal="left" vertical="center" wrapText="1"/>
    </xf>
    <xf numFmtId="1" fontId="5" fillId="5" borderId="568" xfId="0" applyNumberFormat="1" applyFont="1" applyFill="1" applyBorder="1" applyAlignment="1">
      <alignment horizontal="center" vertical="center"/>
    </xf>
    <xf numFmtId="1" fontId="5" fillId="5" borderId="596" xfId="0" applyNumberFormat="1" applyFont="1" applyFill="1" applyBorder="1" applyAlignment="1">
      <alignment horizontal="center" vertical="center"/>
    </xf>
    <xf numFmtId="1" fontId="5" fillId="0" borderId="435" xfId="0" applyNumberFormat="1" applyFont="1" applyBorder="1" applyAlignment="1">
      <alignment horizontal="left" vertical="center"/>
    </xf>
    <xf numFmtId="1" fontId="5" fillId="0" borderId="977" xfId="0" applyNumberFormat="1" applyFont="1" applyBorder="1" applyAlignment="1">
      <alignment horizontal="left" vertical="center"/>
    </xf>
    <xf numFmtId="1" fontId="5" fillId="0" borderId="986" xfId="0" applyNumberFormat="1" applyFont="1" applyBorder="1" applyAlignment="1">
      <alignment horizontal="left" vertical="center"/>
    </xf>
    <xf numFmtId="1" fontId="5" fillId="5" borderId="986" xfId="0" applyNumberFormat="1" applyFont="1" applyFill="1" applyBorder="1" applyAlignment="1">
      <alignment horizontal="left" vertical="center" wrapText="1"/>
    </xf>
    <xf numFmtId="1" fontId="5" fillId="0" borderId="986" xfId="0" applyNumberFormat="1" applyFont="1" applyBorder="1" applyAlignment="1">
      <alignment horizontal="left" vertical="center" wrapText="1"/>
    </xf>
    <xf numFmtId="1" fontId="5" fillId="3" borderId="568" xfId="0" applyNumberFormat="1" applyFont="1" applyFill="1" applyBorder="1" applyAlignment="1">
      <alignment horizontal="left" vertical="center" wrapText="1"/>
    </xf>
    <xf numFmtId="1" fontId="5" fillId="3" borderId="596" xfId="0" applyNumberFormat="1" applyFont="1" applyFill="1" applyBorder="1" applyAlignment="1">
      <alignment horizontal="left" vertical="center" wrapText="1"/>
    </xf>
    <xf numFmtId="1" fontId="5" fillId="0" borderId="596" xfId="0" applyNumberFormat="1" applyFont="1" applyBorder="1" applyAlignment="1">
      <alignment horizontal="center" vertical="center"/>
    </xf>
    <xf numFmtId="1" fontId="5" fillId="3" borderId="568" xfId="0" applyNumberFormat="1" applyFont="1" applyFill="1" applyBorder="1" applyAlignment="1">
      <alignment horizontal="left" vertical="center"/>
    </xf>
    <xf numFmtId="1" fontId="5" fillId="3" borderId="596" xfId="0" applyNumberFormat="1" applyFont="1" applyFill="1" applyBorder="1" applyAlignment="1">
      <alignment horizontal="left" vertical="center"/>
    </xf>
    <xf numFmtId="1" fontId="5" fillId="0" borderId="1287" xfId="0" applyNumberFormat="1" applyFont="1" applyBorder="1" applyAlignment="1">
      <alignment horizontal="left" vertical="center" wrapText="1"/>
    </xf>
    <xf numFmtId="1" fontId="5" fillId="0" borderId="1289" xfId="0" applyNumberFormat="1" applyFont="1" applyBorder="1" applyAlignment="1">
      <alignment horizontal="left" vertical="center" wrapText="1"/>
    </xf>
    <xf numFmtId="1" fontId="5" fillId="0" borderId="792" xfId="0" applyNumberFormat="1" applyFont="1" applyBorder="1" applyAlignment="1">
      <alignment horizontal="left" vertical="center" wrapText="1"/>
    </xf>
    <xf numFmtId="1" fontId="5" fillId="0" borderId="1287" xfId="0" applyNumberFormat="1" applyFont="1" applyBorder="1" applyAlignment="1">
      <alignment horizontal="left" vertical="center"/>
    </xf>
    <xf numFmtId="1" fontId="5" fillId="0" borderId="1289" xfId="0" applyNumberFormat="1" applyFont="1" applyBorder="1" applyAlignment="1">
      <alignment horizontal="left" vertical="center"/>
    </xf>
    <xf numFmtId="1" fontId="5" fillId="0" borderId="1088" xfId="0" applyNumberFormat="1" applyFont="1" applyBorder="1" applyAlignment="1">
      <alignment horizontal="center" vertical="center" wrapText="1"/>
    </xf>
    <xf numFmtId="1" fontId="5" fillId="0" borderId="996" xfId="0" applyNumberFormat="1" applyFont="1" applyBorder="1" applyAlignment="1">
      <alignment horizontal="center" vertical="center" wrapText="1"/>
    </xf>
    <xf numFmtId="1" fontId="5" fillId="3" borderId="1085" xfId="0" applyNumberFormat="1" applyFont="1" applyFill="1" applyBorder="1" applyAlignment="1">
      <alignment horizontal="center" vertical="center" wrapText="1"/>
    </xf>
    <xf numFmtId="1" fontId="5" fillId="3" borderId="511" xfId="0" applyNumberFormat="1" applyFont="1" applyFill="1" applyBorder="1" applyAlignment="1">
      <alignment horizontal="center" vertical="center" wrapText="1"/>
    </xf>
    <xf numFmtId="1" fontId="5" fillId="0" borderId="1087" xfId="0" applyNumberFormat="1" applyFont="1" applyBorder="1" applyAlignment="1">
      <alignment horizontal="center" vertical="center" wrapText="1"/>
    </xf>
    <xf numFmtId="1" fontId="5" fillId="3" borderId="502" xfId="0" applyNumberFormat="1" applyFont="1" applyFill="1" applyBorder="1" applyAlignment="1">
      <alignment horizontal="center" vertical="center" wrapText="1"/>
    </xf>
    <xf numFmtId="1" fontId="5" fillId="3" borderId="987" xfId="0" applyNumberFormat="1" applyFont="1" applyFill="1" applyBorder="1" applyAlignment="1">
      <alignment horizontal="center" vertical="center" wrapText="1"/>
    </xf>
    <xf numFmtId="1" fontId="5" fillId="3" borderId="978" xfId="0" applyNumberFormat="1" applyFont="1" applyFill="1" applyBorder="1" applyAlignment="1">
      <alignment horizontal="center" vertical="center" wrapText="1"/>
    </xf>
    <xf numFmtId="1" fontId="5" fillId="3" borderId="555" xfId="0" applyNumberFormat="1" applyFont="1" applyFill="1" applyBorder="1" applyAlignment="1">
      <alignment horizontal="center" vertical="center" wrapText="1"/>
    </xf>
    <xf numFmtId="1" fontId="5" fillId="3" borderId="947" xfId="0" applyNumberFormat="1" applyFont="1" applyFill="1" applyBorder="1" applyAlignment="1">
      <alignment horizontal="center" vertical="center" wrapText="1"/>
    </xf>
    <xf numFmtId="1" fontId="5" fillId="0" borderId="502" xfId="0" applyNumberFormat="1" applyFont="1" applyBorder="1" applyAlignment="1">
      <alignment horizontal="center" vertical="center" wrapText="1"/>
    </xf>
    <xf numFmtId="1" fontId="5" fillId="0" borderId="987" xfId="0" applyNumberFormat="1" applyFont="1" applyBorder="1" applyAlignment="1">
      <alignment horizontal="center" vertical="center" wrapText="1"/>
    </xf>
    <xf numFmtId="1" fontId="5" fillId="5" borderId="984" xfId="0" applyNumberFormat="1" applyFont="1" applyFill="1" applyBorder="1" applyAlignment="1">
      <alignment horizontal="center" vertical="center" wrapText="1"/>
    </xf>
    <xf numFmtId="1" fontId="5" fillId="5" borderId="569" xfId="0" applyNumberFormat="1" applyFont="1" applyFill="1" applyBorder="1" applyAlignment="1">
      <alignment horizontal="center" vertical="center" wrapText="1"/>
    </xf>
    <xf numFmtId="1" fontId="5" fillId="0" borderId="467" xfId="0" applyNumberFormat="1" applyFont="1" applyBorder="1" applyAlignment="1">
      <alignment horizontal="center" vertical="center"/>
    </xf>
    <xf numFmtId="1" fontId="5" fillId="0" borderId="985" xfId="0" applyNumberFormat="1" applyFont="1" applyBorder="1" applyAlignment="1">
      <alignment horizontal="center" vertical="center"/>
    </xf>
    <xf numFmtId="1" fontId="5" fillId="0" borderId="988" xfId="0" applyNumberFormat="1" applyFont="1" applyBorder="1" applyAlignment="1">
      <alignment horizontal="center" vertical="center"/>
    </xf>
    <xf numFmtId="1" fontId="5" fillId="0" borderId="978" xfId="0" applyNumberFormat="1" applyFont="1" applyBorder="1" applyAlignment="1">
      <alignment horizontal="center" vertical="center" wrapText="1"/>
    </xf>
    <xf numFmtId="1" fontId="5" fillId="0" borderId="511" xfId="0" applyNumberFormat="1" applyFont="1" applyBorder="1" applyAlignment="1">
      <alignment horizontal="center" vertical="center" wrapText="1"/>
    </xf>
    <xf numFmtId="1" fontId="5" fillId="0" borderId="1100" xfId="0" applyNumberFormat="1" applyFont="1" applyBorder="1" applyAlignment="1">
      <alignment horizontal="center" vertical="center"/>
    </xf>
    <xf numFmtId="1" fontId="5" fillId="0" borderId="1056" xfId="0" applyNumberFormat="1" applyFont="1" applyBorder="1" applyAlignment="1">
      <alignment horizontal="center" vertical="center"/>
    </xf>
    <xf numFmtId="1" fontId="5" fillId="3" borderId="1062" xfId="0" applyNumberFormat="1" applyFont="1" applyFill="1" applyBorder="1" applyAlignment="1">
      <alignment horizontal="center" vertical="center" wrapText="1"/>
    </xf>
    <xf numFmtId="1" fontId="5" fillId="3" borderId="1060" xfId="0" applyNumberFormat="1" applyFont="1" applyFill="1" applyBorder="1" applyAlignment="1">
      <alignment horizontal="center" vertical="center" wrapText="1"/>
    </xf>
    <xf numFmtId="1" fontId="5" fillId="3" borderId="1057" xfId="0" applyNumberFormat="1" applyFont="1" applyFill="1" applyBorder="1" applyAlignment="1">
      <alignment horizontal="center" vertical="center" wrapText="1"/>
    </xf>
    <xf numFmtId="1" fontId="5" fillId="0" borderId="576" xfId="0" applyNumberFormat="1" applyFont="1" applyBorder="1" applyAlignment="1">
      <alignment horizontal="center" vertical="center" wrapText="1"/>
    </xf>
    <xf numFmtId="1" fontId="5" fillId="0" borderId="975" xfId="0" applyNumberFormat="1" applyFont="1" applyBorder="1" applyAlignment="1">
      <alignment horizontal="center" vertical="center" wrapText="1"/>
    </xf>
    <xf numFmtId="1" fontId="5" fillId="0" borderId="803" xfId="0" applyNumberFormat="1" applyFont="1" applyBorder="1" applyAlignment="1">
      <alignment horizontal="center" vertical="center" wrapText="1"/>
    </xf>
    <xf numFmtId="0" fontId="5" fillId="0" borderId="435" xfId="0" applyFont="1" applyBorder="1" applyAlignment="1">
      <alignment horizontal="left" vertical="center"/>
    </xf>
    <xf numFmtId="0" fontId="5" fillId="0" borderId="508" xfId="0" applyFont="1" applyBorder="1" applyAlignment="1">
      <alignment horizontal="left" vertical="center"/>
    </xf>
    <xf numFmtId="0" fontId="5" fillId="0" borderId="52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521" xfId="0" applyFont="1" applyBorder="1" applyAlignment="1">
      <alignment horizontal="left" vertical="center"/>
    </xf>
    <xf numFmtId="0" fontId="5" fillId="0" borderId="512" xfId="0" applyFont="1" applyBorder="1" applyAlignment="1">
      <alignment horizontal="left" vertical="center"/>
    </xf>
    <xf numFmtId="0" fontId="5" fillId="0" borderId="497" xfId="0" applyFont="1" applyBorder="1" applyAlignment="1">
      <alignment horizontal="center" vertical="center"/>
    </xf>
    <xf numFmtId="0" fontId="5" fillId="0" borderId="445" xfId="0" applyFont="1" applyBorder="1" applyAlignment="1">
      <alignment horizontal="center" vertical="center"/>
    </xf>
    <xf numFmtId="0" fontId="5" fillId="0" borderId="507" xfId="0" applyFont="1" applyBorder="1" applyAlignment="1">
      <alignment horizontal="center" vertical="center"/>
    </xf>
    <xf numFmtId="0" fontId="5" fillId="0" borderId="525" xfId="0" applyFont="1" applyBorder="1"/>
    <xf numFmtId="0" fontId="15" fillId="0" borderId="433" xfId="0" applyFont="1" applyBorder="1" applyAlignment="1">
      <alignment horizontal="left"/>
    </xf>
    <xf numFmtId="0" fontId="5" fillId="0" borderId="508" xfId="0" applyFont="1" applyBorder="1"/>
    <xf numFmtId="0" fontId="5" fillId="0" borderId="507" xfId="0" applyFont="1" applyBorder="1" applyAlignment="1">
      <alignment horizontal="center"/>
    </xf>
    <xf numFmtId="0" fontId="5" fillId="0" borderId="37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500" xfId="0" applyFont="1" applyBorder="1" applyAlignment="1">
      <alignment horizontal="left" vertical="center"/>
    </xf>
    <xf numFmtId="0" fontId="5" fillId="0" borderId="508" xfId="0" applyFont="1" applyBorder="1" applyAlignment="1">
      <alignment horizontal="left"/>
    </xf>
    <xf numFmtId="0" fontId="5" fillId="0" borderId="497" xfId="0" applyFont="1" applyBorder="1" applyAlignment="1">
      <alignment horizontal="center"/>
    </xf>
    <xf numFmtId="0" fontId="5" fillId="0" borderId="445" xfId="0" applyFont="1" applyBorder="1" applyAlignment="1">
      <alignment horizontal="center"/>
    </xf>
    <xf numFmtId="0" fontId="5" fillId="0" borderId="526" xfId="0" applyFont="1" applyBorder="1" applyAlignment="1">
      <alignment horizontal="left" vertical="center"/>
    </xf>
    <xf numFmtId="0" fontId="5" fillId="0" borderId="37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521" xfId="0" applyFont="1" applyBorder="1" applyAlignment="1">
      <alignment horizontal="center" vertical="center" wrapText="1"/>
    </xf>
    <xf numFmtId="0" fontId="5" fillId="0" borderId="512" xfId="0" applyFont="1" applyBorder="1" applyAlignment="1">
      <alignment horizontal="center" vertical="center" wrapText="1"/>
    </xf>
    <xf numFmtId="1" fontId="5" fillId="3" borderId="507" xfId="0" applyNumberFormat="1" applyFont="1" applyFill="1" applyBorder="1" applyAlignment="1">
      <alignment horizontal="left" vertical="center" wrapText="1"/>
    </xf>
    <xf numFmtId="1" fontId="5" fillId="3" borderId="59" xfId="0" applyNumberFormat="1" applyFont="1" applyFill="1" applyBorder="1"/>
    <xf numFmtId="1" fontId="5" fillId="3" borderId="55" xfId="0" applyNumberFormat="1" applyFont="1" applyFill="1" applyBorder="1"/>
    <xf numFmtId="1" fontId="5" fillId="3" borderId="22" xfId="0" applyNumberFormat="1" applyFont="1" applyFill="1" applyBorder="1"/>
    <xf numFmtId="1" fontId="5" fillId="3" borderId="378" xfId="0" applyNumberFormat="1" applyFont="1" applyFill="1" applyBorder="1"/>
    <xf numFmtId="1" fontId="5" fillId="3" borderId="52" xfId="0" applyNumberFormat="1" applyFont="1" applyFill="1" applyBorder="1"/>
    <xf numFmtId="1" fontId="5" fillId="3" borderId="10" xfId="0" applyNumberFormat="1" applyFont="1" applyFill="1" applyBorder="1"/>
    <xf numFmtId="1" fontId="5" fillId="3" borderId="507" xfId="0" applyNumberFormat="1" applyFont="1" applyFill="1" applyBorder="1" applyAlignment="1">
      <alignment horizontal="left" vertical="center"/>
    </xf>
    <xf numFmtId="1" fontId="5" fillId="3" borderId="527" xfId="0" applyNumberFormat="1" applyFont="1" applyFill="1" applyBorder="1"/>
    <xf numFmtId="1" fontId="5" fillId="3" borderId="529" xfId="0" applyNumberFormat="1" applyFont="1" applyFill="1" applyBorder="1"/>
    <xf numFmtId="1" fontId="5" fillId="3" borderId="526" xfId="0" applyNumberFormat="1" applyFont="1" applyFill="1" applyBorder="1"/>
    <xf numFmtId="1" fontId="5" fillId="3" borderId="11" xfId="0" applyNumberFormat="1" applyFont="1" applyFill="1" applyBorder="1"/>
    <xf numFmtId="1" fontId="5" fillId="3" borderId="57" xfId="0" applyNumberFormat="1" applyFont="1" applyFill="1" applyBorder="1"/>
    <xf numFmtId="1" fontId="5" fillId="3" borderId="12" xfId="0" applyNumberFormat="1" applyFont="1" applyFill="1" applyBorder="1"/>
    <xf numFmtId="0" fontId="15" fillId="0" borderId="524" xfId="0" applyFont="1" applyBorder="1" applyAlignment="1">
      <alignment horizontal="left"/>
    </xf>
    <xf numFmtId="0" fontId="15" fillId="0" borderId="0" xfId="0" applyFont="1" applyAlignment="1">
      <alignment horizontal="left"/>
    </xf>
    <xf numFmtId="1" fontId="5" fillId="3" borderId="11" xfId="0" applyNumberFormat="1" applyFont="1" applyFill="1" applyBorder="1" applyAlignment="1">
      <alignment horizontal="left"/>
    </xf>
    <xf numFmtId="1" fontId="5" fillId="3" borderId="12" xfId="0" applyNumberFormat="1" applyFont="1" applyFill="1" applyBorder="1" applyAlignment="1">
      <alignment horizontal="left"/>
    </xf>
    <xf numFmtId="1" fontId="5" fillId="0" borderId="497" xfId="0" applyNumberFormat="1" applyFont="1" applyBorder="1" applyAlignment="1">
      <alignment horizontal="center"/>
    </xf>
    <xf numFmtId="1" fontId="5" fillId="0" borderId="433" xfId="0" applyNumberFormat="1" applyFont="1" applyBorder="1" applyAlignment="1">
      <alignment horizontal="center"/>
    </xf>
    <xf numFmtId="1" fontId="5" fillId="0" borderId="431" xfId="0" applyNumberFormat="1" applyFont="1" applyBorder="1"/>
    <xf numFmtId="1" fontId="5" fillId="0" borderId="508" xfId="0" applyNumberFormat="1" applyFont="1" applyBorder="1" applyAlignment="1">
      <alignment horizontal="left" vertical="center" wrapText="1"/>
    </xf>
    <xf numFmtId="1" fontId="15" fillId="3" borderId="433" xfId="0" applyNumberFormat="1" applyFont="1" applyFill="1" applyBorder="1" applyAlignment="1">
      <alignment horizontal="left"/>
    </xf>
    <xf numFmtId="1" fontId="5" fillId="3" borderId="432" xfId="0" applyNumberFormat="1" applyFont="1" applyFill="1" applyBorder="1" applyAlignment="1">
      <alignment horizontal="center" vertical="center"/>
    </xf>
    <xf numFmtId="1" fontId="5" fillId="3" borderId="36" xfId="0" applyNumberFormat="1" applyFont="1" applyFill="1" applyBorder="1" applyAlignment="1">
      <alignment horizontal="center" vertical="center"/>
    </xf>
    <xf numFmtId="1" fontId="5" fillId="3" borderId="431" xfId="0" applyNumberFormat="1" applyFont="1" applyFill="1" applyBorder="1" applyAlignment="1">
      <alignment horizontal="center" vertical="center"/>
    </xf>
    <xf numFmtId="1" fontId="5" fillId="3" borderId="521" xfId="0" applyNumberFormat="1" applyFont="1" applyFill="1" applyBorder="1"/>
    <xf numFmtId="1" fontId="5" fillId="3" borderId="524" xfId="0" applyNumberFormat="1" applyFont="1" applyFill="1" applyBorder="1"/>
    <xf numFmtId="1" fontId="5" fillId="3" borderId="512" xfId="0" applyNumberFormat="1" applyFont="1" applyFill="1" applyBorder="1"/>
    <xf numFmtId="1" fontId="15" fillId="0" borderId="524" xfId="0" applyNumberFormat="1" applyFont="1" applyBorder="1" applyAlignment="1">
      <alignment horizontal="left"/>
    </xf>
    <xf numFmtId="1" fontId="15" fillId="0" borderId="0" xfId="0" applyNumberFormat="1" applyFont="1" applyAlignment="1">
      <alignment horizontal="left"/>
    </xf>
    <xf numFmtId="1" fontId="5" fillId="3" borderId="527" xfId="0" applyNumberFormat="1" applyFont="1" applyFill="1" applyBorder="1" applyAlignment="1">
      <alignment horizontal="left" vertical="center" wrapText="1"/>
    </xf>
    <xf numFmtId="1" fontId="5" fillId="3" borderId="526" xfId="0" applyNumberFormat="1" applyFont="1" applyFill="1" applyBorder="1" applyAlignment="1">
      <alignment horizontal="left" vertical="center" wrapText="1"/>
    </xf>
    <xf numFmtId="1" fontId="5" fillId="3" borderId="497" xfId="0" applyNumberFormat="1" applyFont="1" applyFill="1" applyBorder="1" applyAlignment="1">
      <alignment horizontal="center" vertical="center" wrapText="1"/>
    </xf>
    <xf numFmtId="1" fontId="5" fillId="3" borderId="445" xfId="0" applyNumberFormat="1" applyFont="1" applyFill="1" applyBorder="1" applyAlignment="1">
      <alignment horizontal="center" vertical="center" wrapText="1"/>
    </xf>
    <xf numFmtId="1" fontId="5" fillId="3" borderId="497" xfId="0" applyNumberFormat="1" applyFont="1" applyFill="1" applyBorder="1" applyAlignment="1">
      <alignment horizontal="left" vertical="center" wrapText="1"/>
    </xf>
    <xf numFmtId="1" fontId="5" fillId="3" borderId="445" xfId="0" applyNumberFormat="1" applyFont="1" applyFill="1" applyBorder="1" applyAlignment="1">
      <alignment horizontal="left" vertical="center" wrapText="1"/>
    </xf>
    <xf numFmtId="1" fontId="5" fillId="3" borderId="507" xfId="0" applyNumberFormat="1" applyFont="1" applyFill="1" applyBorder="1" applyAlignment="1">
      <alignment horizontal="center" vertical="center" wrapText="1"/>
    </xf>
    <xf numFmtId="1" fontId="5" fillId="0" borderId="497" xfId="0" applyNumberFormat="1" applyFont="1" applyBorder="1" applyAlignment="1">
      <alignment horizontal="center" vertical="center" wrapText="1"/>
    </xf>
    <xf numFmtId="1" fontId="5" fillId="0" borderId="507" xfId="0" applyNumberFormat="1" applyFont="1" applyBorder="1" applyAlignment="1">
      <alignment horizontal="center"/>
    </xf>
    <xf numFmtId="1" fontId="15" fillId="5" borderId="433" xfId="14" applyNumberFormat="1" applyFont="1" applyFill="1" applyBorder="1" applyAlignment="1">
      <alignment horizontal="left" wrapText="1"/>
    </xf>
    <xf numFmtId="1" fontId="15" fillId="5" borderId="524" xfId="14" applyNumberFormat="1" applyFont="1" applyFill="1" applyBorder="1" applyAlignment="1">
      <alignment horizontal="left" wrapText="1"/>
    </xf>
    <xf numFmtId="1" fontId="15" fillId="3" borderId="524" xfId="0" applyNumberFormat="1" applyFont="1" applyFill="1" applyBorder="1" applyAlignment="1">
      <alignment horizontal="left"/>
    </xf>
    <xf numFmtId="1" fontId="15" fillId="3" borderId="0" xfId="14" applyNumberFormat="1" applyFont="1" applyFill="1" applyAlignment="1">
      <alignment horizontal="left" wrapText="1"/>
    </xf>
    <xf numFmtId="1" fontId="15" fillId="3" borderId="524" xfId="14" applyNumberFormat="1" applyFont="1" applyFill="1" applyBorder="1" applyAlignment="1">
      <alignment horizontal="left" wrapText="1"/>
    </xf>
    <xf numFmtId="1" fontId="5" fillId="3" borderId="435" xfId="14" applyNumberFormat="1" applyFont="1" applyFill="1" applyBorder="1" applyAlignment="1">
      <alignment horizontal="center" vertical="center" wrapText="1"/>
    </xf>
    <xf numFmtId="1" fontId="5" fillId="3" borderId="508" xfId="14" applyNumberFormat="1" applyFont="1" applyFill="1" applyBorder="1" applyAlignment="1">
      <alignment horizontal="center" vertical="center" wrapText="1"/>
    </xf>
    <xf numFmtId="1" fontId="5" fillId="3" borderId="445" xfId="14" applyNumberFormat="1" applyFont="1" applyFill="1" applyBorder="1" applyAlignment="1">
      <alignment horizontal="center" vertical="center" wrapText="1"/>
    </xf>
    <xf numFmtId="1" fontId="5" fillId="3" borderId="507" xfId="14" applyNumberFormat="1" applyFont="1" applyFill="1" applyBorder="1" applyAlignment="1">
      <alignment horizontal="center" vertical="center" wrapText="1"/>
    </xf>
    <xf numFmtId="1" fontId="5" fillId="0" borderId="497" xfId="0" applyNumberFormat="1" applyFont="1" applyBorder="1" applyAlignment="1">
      <alignment horizontal="left"/>
    </xf>
    <xf numFmtId="1" fontId="5" fillId="0" borderId="445" xfId="0" applyNumberFormat="1" applyFont="1" applyBorder="1" applyAlignment="1">
      <alignment horizontal="left"/>
    </xf>
    <xf numFmtId="1" fontId="5" fillId="5" borderId="500" xfId="0" applyNumberFormat="1" applyFont="1" applyFill="1" applyBorder="1" applyAlignment="1">
      <alignment horizontal="left" vertical="center" wrapText="1"/>
    </xf>
    <xf numFmtId="1" fontId="5" fillId="5" borderId="508" xfId="0" applyNumberFormat="1" applyFont="1" applyFill="1" applyBorder="1" applyAlignment="1">
      <alignment horizontal="left" vertical="center" wrapText="1"/>
    </xf>
    <xf numFmtId="1" fontId="5" fillId="5" borderId="521" xfId="0" applyNumberFormat="1" applyFont="1" applyFill="1" applyBorder="1" applyAlignment="1">
      <alignment horizontal="left" vertical="center" wrapText="1"/>
    </xf>
    <xf numFmtId="1" fontId="5" fillId="5" borderId="512" xfId="0" applyNumberFormat="1" applyFont="1" applyFill="1" applyBorder="1" applyAlignment="1">
      <alignment horizontal="left" vertical="center" wrapText="1"/>
    </xf>
    <xf numFmtId="1" fontId="5" fillId="5" borderId="527" xfId="0" applyNumberFormat="1" applyFont="1" applyFill="1" applyBorder="1" applyAlignment="1">
      <alignment horizontal="left" vertical="center" wrapText="1"/>
    </xf>
    <xf numFmtId="1" fontId="5" fillId="5" borderId="526" xfId="0" applyNumberFormat="1" applyFont="1" applyFill="1" applyBorder="1" applyAlignment="1">
      <alignment horizontal="left" vertical="center" wrapText="1"/>
    </xf>
    <xf numFmtId="1" fontId="5" fillId="5" borderId="59" xfId="14" applyNumberFormat="1" applyFont="1" applyFill="1" applyBorder="1" applyAlignment="1">
      <alignment horizontal="left" vertical="center" wrapText="1"/>
    </xf>
    <xf numFmtId="1" fontId="5" fillId="5" borderId="22" xfId="14" applyNumberFormat="1" applyFont="1" applyFill="1" applyBorder="1" applyAlignment="1">
      <alignment horizontal="left" vertical="center" wrapText="1"/>
    </xf>
    <xf numFmtId="1" fontId="5" fillId="5" borderId="378" xfId="14" applyNumberFormat="1" applyFont="1" applyFill="1" applyBorder="1" applyAlignment="1">
      <alignment horizontal="left" vertical="center" wrapText="1"/>
    </xf>
    <xf numFmtId="1" fontId="5" fillId="5" borderId="10" xfId="14" applyNumberFormat="1" applyFont="1" applyFill="1" applyBorder="1" applyAlignment="1">
      <alignment horizontal="left" vertical="center" wrapText="1"/>
    </xf>
    <xf numFmtId="1" fontId="5" fillId="5" borderId="11" xfId="14" applyNumberFormat="1" applyFont="1" applyFill="1" applyBorder="1" applyAlignment="1">
      <alignment horizontal="left" vertical="center" wrapText="1"/>
    </xf>
    <xf numFmtId="1" fontId="5" fillId="5" borderId="12" xfId="14" applyNumberFormat="1" applyFont="1" applyFill="1" applyBorder="1" applyAlignment="1">
      <alignment horizontal="left" vertical="center" wrapText="1"/>
    </xf>
    <xf numFmtId="1" fontId="15" fillId="0" borderId="433" xfId="0" applyNumberFormat="1" applyFont="1" applyBorder="1" applyAlignment="1">
      <alignment horizontal="left"/>
    </xf>
    <xf numFmtId="1" fontId="5" fillId="5" borderId="378" xfId="0" applyNumberFormat="1" applyFont="1" applyFill="1" applyBorder="1" applyAlignment="1">
      <alignment horizontal="left" vertical="center" wrapText="1"/>
    </xf>
    <xf numFmtId="1" fontId="5" fillId="0" borderId="59" xfId="14" applyNumberFormat="1" applyFont="1" applyBorder="1" applyAlignment="1">
      <alignment horizontal="left" vertical="center" wrapText="1"/>
    </xf>
    <xf numFmtId="1" fontId="5" fillId="0" borderId="22" xfId="14" applyNumberFormat="1" applyFont="1" applyBorder="1" applyAlignment="1">
      <alignment horizontal="left" vertical="center" wrapText="1"/>
    </xf>
    <xf numFmtId="1" fontId="5" fillId="0" borderId="11" xfId="14" applyNumberFormat="1" applyFont="1" applyBorder="1" applyAlignment="1">
      <alignment horizontal="left" vertical="center" wrapText="1"/>
    </xf>
    <xf numFmtId="1" fontId="5" fillId="0" borderId="12" xfId="14" applyNumberFormat="1" applyFont="1" applyBorder="1" applyAlignment="1">
      <alignment horizontal="left" vertical="center" wrapText="1"/>
    </xf>
    <xf numFmtId="1" fontId="5" fillId="5" borderId="435" xfId="0" applyNumberFormat="1" applyFont="1" applyFill="1" applyBorder="1" applyAlignment="1">
      <alignment vertical="center" wrapText="1"/>
    </xf>
    <xf numFmtId="1" fontId="5" fillId="5" borderId="508" xfId="0" applyNumberFormat="1" applyFont="1" applyFill="1" applyBorder="1" applyAlignment="1">
      <alignment vertical="center" wrapText="1"/>
    </xf>
    <xf numFmtId="1" fontId="5" fillId="5" borderId="500" xfId="0" applyNumberFormat="1" applyFont="1" applyFill="1" applyBorder="1" applyAlignment="1">
      <alignment vertical="center" wrapText="1"/>
    </xf>
    <xf numFmtId="1" fontId="5" fillId="0" borderId="501" xfId="0" applyNumberFormat="1" applyFont="1" applyBorder="1" applyAlignment="1">
      <alignment horizontal="left" vertical="center" wrapText="1"/>
    </xf>
    <xf numFmtId="1" fontId="5" fillId="0" borderId="521" xfId="0" applyNumberFormat="1" applyFont="1" applyBorder="1" applyAlignment="1">
      <alignment horizontal="left" vertical="center" wrapText="1"/>
    </xf>
    <xf numFmtId="1" fontId="5" fillId="0" borderId="512" xfId="0" applyNumberFormat="1" applyFont="1" applyBorder="1" applyAlignment="1">
      <alignment horizontal="left" vertical="center" wrapText="1"/>
    </xf>
    <xf numFmtId="1" fontId="5" fillId="0" borderId="521" xfId="0" applyNumberFormat="1" applyFont="1" applyBorder="1" applyAlignment="1">
      <alignment horizontal="center"/>
    </xf>
    <xf numFmtId="1" fontId="5" fillId="0" borderId="524" xfId="0" applyNumberFormat="1" applyFont="1" applyBorder="1" applyAlignment="1">
      <alignment horizontal="center"/>
    </xf>
    <xf numFmtId="1" fontId="5" fillId="0" borderId="512" xfId="0" applyNumberFormat="1" applyFont="1" applyBorder="1" applyAlignment="1">
      <alignment horizontal="center"/>
    </xf>
    <xf numFmtId="1" fontId="15" fillId="3" borderId="433" xfId="14" applyNumberFormat="1" applyFont="1" applyFill="1" applyBorder="1" applyAlignment="1">
      <alignment horizontal="left" wrapText="1"/>
    </xf>
    <xf numFmtId="1" fontId="15" fillId="3" borderId="36" xfId="14" applyNumberFormat="1" applyFont="1" applyFill="1" applyBorder="1" applyAlignment="1">
      <alignment horizontal="left" wrapText="1"/>
    </xf>
    <xf numFmtId="1" fontId="5" fillId="5" borderId="529" xfId="0" applyNumberFormat="1" applyFont="1" applyFill="1" applyBorder="1" applyAlignment="1">
      <alignment horizontal="left" vertical="center" wrapText="1"/>
    </xf>
    <xf numFmtId="1" fontId="5" fillId="5" borderId="524" xfId="0" applyNumberFormat="1" applyFont="1" applyFill="1" applyBorder="1" applyAlignment="1">
      <alignment horizontal="left" vertical="center" wrapText="1"/>
    </xf>
    <xf numFmtId="1" fontId="5" fillId="5" borderId="497" xfId="0" applyNumberFormat="1" applyFont="1" applyFill="1" applyBorder="1" applyAlignment="1">
      <alignment horizontal="left" vertical="center" wrapText="1"/>
    </xf>
    <xf numFmtId="1" fontId="5" fillId="5" borderId="433" xfId="0" applyNumberFormat="1" applyFont="1" applyFill="1" applyBorder="1" applyAlignment="1">
      <alignment horizontal="left" vertical="center" wrapText="1"/>
    </xf>
    <xf numFmtId="1" fontId="5" fillId="5" borderId="445" xfId="0" applyNumberFormat="1" applyFont="1" applyFill="1" applyBorder="1" applyAlignment="1">
      <alignment horizontal="left" vertical="center" wrapText="1"/>
    </xf>
    <xf numFmtId="1" fontId="5" fillId="5" borderId="59" xfId="0" applyNumberFormat="1" applyFont="1" applyFill="1" applyBorder="1" applyAlignment="1">
      <alignment horizontal="left" vertical="center" wrapText="1"/>
    </xf>
    <xf numFmtId="1" fontId="5" fillId="5" borderId="55" xfId="0" applyNumberFormat="1" applyFont="1" applyFill="1" applyBorder="1" applyAlignment="1">
      <alignment horizontal="left" vertical="center" wrapText="1"/>
    </xf>
    <xf numFmtId="1" fontId="5" fillId="5" borderId="22" xfId="0" applyNumberFormat="1" applyFont="1" applyFill="1" applyBorder="1" applyAlignment="1">
      <alignment horizontal="left" vertical="center" wrapText="1"/>
    </xf>
    <xf numFmtId="1" fontId="5" fillId="5" borderId="497" xfId="14" applyNumberFormat="1" applyFont="1" applyFill="1" applyBorder="1" applyAlignment="1">
      <alignment horizontal="center" wrapText="1"/>
    </xf>
    <xf numFmtId="1" fontId="5" fillId="5" borderId="445" xfId="14" applyNumberFormat="1" applyFont="1" applyFill="1" applyBorder="1" applyAlignment="1">
      <alignment horizontal="center" wrapText="1"/>
    </xf>
    <xf numFmtId="1" fontId="5" fillId="5" borderId="507" xfId="0" applyNumberFormat="1" applyFont="1" applyFill="1" applyBorder="1" applyAlignment="1">
      <alignment horizontal="left" vertical="center" wrapText="1"/>
    </xf>
    <xf numFmtId="1" fontId="5" fillId="0" borderId="527" xfId="14" applyNumberFormat="1" applyFont="1" applyBorder="1" applyAlignment="1">
      <alignment horizontal="left" vertical="center" wrapText="1"/>
    </xf>
    <xf numFmtId="1" fontId="5" fillId="0" borderId="526" xfId="14" applyNumberFormat="1" applyFont="1" applyBorder="1" applyAlignment="1">
      <alignment horizontal="left" vertical="center" wrapText="1"/>
    </xf>
    <xf numFmtId="1" fontId="5" fillId="0" borderId="378" xfId="14" applyNumberFormat="1" applyFont="1" applyBorder="1" applyAlignment="1">
      <alignment horizontal="left" vertical="center" wrapText="1"/>
    </xf>
    <xf numFmtId="1" fontId="5" fillId="0" borderId="10" xfId="14" applyNumberFormat="1" applyFont="1" applyBorder="1" applyAlignment="1">
      <alignment horizontal="left" vertical="center" wrapText="1"/>
    </xf>
    <xf numFmtId="1" fontId="5" fillId="0" borderId="507" xfId="0" applyNumberFormat="1" applyFont="1" applyBorder="1" applyAlignment="1">
      <alignment horizontal="center" vertical="center"/>
    </xf>
    <xf numFmtId="1" fontId="5" fillId="0" borderId="508" xfId="0" applyNumberFormat="1" applyFont="1" applyBorder="1" applyAlignment="1">
      <alignment horizontal="left" vertical="center"/>
    </xf>
    <xf numFmtId="1" fontId="5" fillId="0" borderId="497" xfId="0" applyNumberFormat="1" applyFont="1" applyBorder="1" applyAlignment="1">
      <alignment horizontal="center" vertical="center"/>
    </xf>
    <xf numFmtId="1" fontId="5" fillId="0" borderId="1406" xfId="0" applyNumberFormat="1" applyFont="1" applyBorder="1" applyAlignment="1">
      <alignment horizontal="center"/>
    </xf>
    <xf numFmtId="1" fontId="5" fillId="0" borderId="1343" xfId="0" applyNumberFormat="1" applyFont="1" applyBorder="1" applyAlignment="1">
      <alignment horizontal="center"/>
    </xf>
    <xf numFmtId="1" fontId="5" fillId="0" borderId="1405" xfId="0" applyNumberFormat="1" applyFont="1" applyBorder="1" applyAlignment="1">
      <alignment horizontal="center"/>
    </xf>
    <xf numFmtId="1" fontId="5" fillId="0" borderId="59" xfId="0" applyNumberFormat="1" applyFont="1" applyBorder="1" applyAlignment="1">
      <alignment horizontal="left"/>
    </xf>
    <xf numFmtId="1" fontId="5" fillId="0" borderId="55" xfId="0" applyNumberFormat="1" applyFont="1" applyBorder="1" applyAlignment="1">
      <alignment horizontal="left"/>
    </xf>
    <xf numFmtId="1" fontId="5" fillId="0" borderId="1099" xfId="0" applyNumberFormat="1" applyFont="1" applyBorder="1" applyAlignment="1">
      <alignment horizontal="left"/>
    </xf>
    <xf numFmtId="1" fontId="5" fillId="0" borderId="507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left" vertical="center" wrapText="1"/>
    </xf>
    <xf numFmtId="1" fontId="17" fillId="5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3" fillId="5" borderId="52" xfId="0" applyNumberFormat="1" applyFont="1" applyFill="1" applyBorder="1" applyAlignment="1">
      <alignment horizontal="left" vertical="center" wrapText="1"/>
    </xf>
    <xf numFmtId="1" fontId="3" fillId="5" borderId="10" xfId="0" applyNumberFormat="1" applyFont="1" applyFill="1" applyBorder="1" applyAlignment="1">
      <alignment horizontal="left" vertical="center" wrapText="1"/>
    </xf>
    <xf numFmtId="1" fontId="3" fillId="5" borderId="57" xfId="0" applyNumberFormat="1" applyFont="1" applyFill="1" applyBorder="1" applyAlignment="1">
      <alignment horizontal="left" vertical="center" wrapText="1"/>
    </xf>
    <xf numFmtId="1" fontId="3" fillId="5" borderId="12" xfId="0" applyNumberFormat="1" applyFont="1" applyFill="1" applyBorder="1" applyAlignment="1">
      <alignment horizontal="left" vertical="center" wrapText="1"/>
    </xf>
    <xf numFmtId="1" fontId="3" fillId="23" borderId="432" xfId="0" applyNumberFormat="1" applyFont="1" applyFill="1" applyBorder="1" applyAlignment="1">
      <alignment horizontal="center" vertical="center"/>
    </xf>
    <xf numFmtId="1" fontId="3" fillId="23" borderId="36" xfId="0" applyNumberFormat="1" applyFont="1" applyFill="1" applyBorder="1" applyAlignment="1">
      <alignment horizontal="center" vertical="center"/>
    </xf>
    <xf numFmtId="1" fontId="3" fillId="23" borderId="431" xfId="0" applyNumberFormat="1" applyFont="1" applyFill="1" applyBorder="1" applyAlignment="1">
      <alignment horizontal="center" vertical="center"/>
    </xf>
    <xf numFmtId="1" fontId="3" fillId="23" borderId="416" xfId="0" applyNumberFormat="1" applyFont="1" applyFill="1" applyBorder="1" applyAlignment="1">
      <alignment horizontal="center" vertical="center"/>
    </xf>
    <xf numFmtId="1" fontId="3" fillId="23" borderId="35" xfId="0" applyNumberFormat="1" applyFont="1" applyFill="1" applyBorder="1" applyAlignment="1">
      <alignment horizontal="center" vertical="center"/>
    </xf>
    <xf numFmtId="1" fontId="3" fillId="23" borderId="242" xfId="0" applyNumberFormat="1" applyFont="1" applyFill="1" applyBorder="1" applyAlignment="1">
      <alignment horizontal="center" vertical="center"/>
    </xf>
    <xf numFmtId="1" fontId="3" fillId="23" borderId="449" xfId="0" applyNumberFormat="1" applyFont="1" applyFill="1" applyBorder="1" applyAlignment="1">
      <alignment horizontal="center" vertical="center"/>
    </xf>
    <xf numFmtId="1" fontId="3" fillId="23" borderId="445" xfId="0" applyNumberFormat="1" applyFont="1" applyFill="1" applyBorder="1" applyAlignment="1">
      <alignment horizontal="center" vertical="center"/>
    </xf>
    <xf numFmtId="1" fontId="3" fillId="23" borderId="449" xfId="0" applyNumberFormat="1" applyFont="1" applyFill="1" applyBorder="1" applyAlignment="1">
      <alignment horizontal="center" vertical="center" wrapText="1"/>
    </xf>
    <xf numFmtId="1" fontId="3" fillId="0" borderId="453" xfId="0" applyNumberFormat="1" applyFont="1" applyBorder="1" applyAlignment="1">
      <alignment horizontal="left" vertical="center" wrapText="1"/>
    </xf>
    <xf numFmtId="1" fontId="3" fillId="23" borderId="220" xfId="0" applyNumberFormat="1" applyFont="1" applyFill="1" applyBorder="1" applyAlignment="1">
      <alignment horizontal="center" vertical="center"/>
    </xf>
    <xf numFmtId="1" fontId="3" fillId="23" borderId="433" xfId="0" applyNumberFormat="1" applyFont="1" applyFill="1" applyBorder="1" applyAlignment="1">
      <alignment horizontal="center" vertical="center"/>
    </xf>
    <xf numFmtId="1" fontId="3" fillId="0" borderId="421" xfId="0" applyNumberFormat="1" applyFont="1" applyBorder="1" applyAlignment="1">
      <alignment horizontal="left"/>
    </xf>
    <xf numFmtId="1" fontId="3" fillId="0" borderId="441" xfId="0" applyNumberFormat="1" applyFont="1" applyBorder="1" applyAlignment="1">
      <alignment horizontal="left"/>
    </xf>
    <xf numFmtId="1" fontId="3" fillId="0" borderId="378" xfId="0" applyNumberFormat="1" applyFont="1" applyBorder="1" applyAlignment="1">
      <alignment horizontal="left"/>
    </xf>
    <xf numFmtId="1" fontId="3" fillId="0" borderId="10" xfId="0" applyNumberFormat="1" applyFont="1" applyBorder="1" applyAlignment="1">
      <alignment horizontal="left"/>
    </xf>
    <xf numFmtId="1" fontId="3" fillId="0" borderId="11" xfId="0" applyNumberFormat="1" applyFont="1" applyBorder="1" applyAlignment="1">
      <alignment horizontal="left" vertical="center" wrapText="1"/>
    </xf>
    <xf numFmtId="1" fontId="3" fillId="0" borderId="12" xfId="0" applyNumberFormat="1" applyFont="1" applyBorder="1" applyAlignment="1">
      <alignment horizontal="left" vertical="center" wrapText="1"/>
    </xf>
    <xf numFmtId="1" fontId="3" fillId="0" borderId="459" xfId="0" applyNumberFormat="1" applyFont="1" applyBorder="1" applyAlignment="1">
      <alignment horizontal="left" vertical="center" wrapText="1"/>
    </xf>
    <xf numFmtId="1" fontId="3" fillId="5" borderId="11" xfId="0" applyNumberFormat="1" applyFont="1" applyFill="1" applyBorder="1" applyAlignment="1">
      <alignment horizontal="left" vertical="center" wrapText="1"/>
    </xf>
    <xf numFmtId="1" fontId="3" fillId="0" borderId="460" xfId="0" applyNumberFormat="1" applyFont="1" applyBorder="1" applyAlignment="1">
      <alignment horizontal="center" vertical="center"/>
    </xf>
    <xf numFmtId="1" fontId="3" fillId="0" borderId="453" xfId="0" applyNumberFormat="1" applyFont="1" applyBorder="1" applyAlignment="1">
      <alignment horizontal="center" vertical="center" wrapText="1"/>
    </xf>
    <xf numFmtId="1" fontId="3" fillId="0" borderId="436" xfId="0" applyNumberFormat="1" applyFont="1" applyBorder="1" applyAlignment="1">
      <alignment horizontal="center" vertical="center" wrapText="1"/>
    </xf>
    <xf numFmtId="1" fontId="3" fillId="0" borderId="424" xfId="0" applyNumberFormat="1" applyFont="1" applyBorder="1" applyAlignment="1">
      <alignment horizontal="center" vertical="center" wrapText="1"/>
    </xf>
    <xf numFmtId="164" fontId="3" fillId="0" borderId="432" xfId="17" applyNumberFormat="1" applyFont="1" applyBorder="1" applyAlignment="1">
      <alignment horizontal="center" vertical="center"/>
    </xf>
    <xf numFmtId="164" fontId="3" fillId="0" borderId="431" xfId="17" applyNumberFormat="1" applyFont="1" applyBorder="1" applyAlignment="1">
      <alignment horizontal="center" vertical="center"/>
    </xf>
    <xf numFmtId="164" fontId="3" fillId="0" borderId="416" xfId="17" applyNumberFormat="1" applyFont="1" applyBorder="1" applyAlignment="1">
      <alignment horizontal="center" vertical="center"/>
    </xf>
    <xf numFmtId="164" fontId="3" fillId="0" borderId="242" xfId="17" applyNumberFormat="1" applyFont="1" applyBorder="1" applyAlignment="1">
      <alignment horizontal="center" vertical="center"/>
    </xf>
    <xf numFmtId="164" fontId="3" fillId="0" borderId="449" xfId="18" applyNumberFormat="1" applyFont="1" applyBorder="1" applyAlignment="1" applyProtection="1">
      <alignment horizontal="center" vertical="center" wrapText="1"/>
    </xf>
    <xf numFmtId="164" fontId="3" fillId="0" borderId="433" xfId="18" applyNumberFormat="1" applyFont="1" applyBorder="1" applyAlignment="1" applyProtection="1">
      <alignment horizontal="center" vertical="center" wrapText="1"/>
    </xf>
    <xf numFmtId="1" fontId="3" fillId="0" borderId="378" xfId="0" quotePrefix="1" applyNumberFormat="1" applyFont="1" applyBorder="1" applyAlignment="1">
      <alignment horizontal="left"/>
    </xf>
    <xf numFmtId="164" fontId="3" fillId="0" borderId="453" xfId="18" applyNumberFormat="1" applyFont="1" applyBorder="1" applyAlignment="1" applyProtection="1">
      <alignment horizontal="center" vertical="center"/>
    </xf>
    <xf numFmtId="164" fontId="3" fillId="0" borderId="432" xfId="18" applyNumberFormat="1" applyFont="1" applyBorder="1" applyAlignment="1" applyProtection="1">
      <alignment horizontal="center" vertical="center"/>
    </xf>
    <xf numFmtId="164" fontId="3" fillId="0" borderId="36" xfId="18" applyNumberFormat="1" applyFont="1" applyBorder="1" applyAlignment="1" applyProtection="1">
      <alignment horizontal="center" vertical="center"/>
    </xf>
    <xf numFmtId="1" fontId="3" fillId="0" borderId="11" xfId="0" applyNumberFormat="1" applyFont="1" applyBorder="1" applyAlignment="1">
      <alignment horizontal="left"/>
    </xf>
    <xf numFmtId="1" fontId="3" fillId="0" borderId="12" xfId="0" applyNumberFormat="1" applyFont="1" applyBorder="1" applyAlignment="1">
      <alignment horizontal="left"/>
    </xf>
    <xf numFmtId="1" fontId="3" fillId="0" borderId="435" xfId="0" applyNumberFormat="1" applyFont="1" applyBorder="1" applyAlignment="1" applyProtection="1">
      <alignment horizontal="center" vertical="center" wrapText="1"/>
      <protection hidden="1"/>
    </xf>
    <xf numFmtId="1" fontId="3" fillId="0" borderId="459" xfId="0" applyNumberFormat="1" applyFont="1" applyBorder="1" applyAlignment="1" applyProtection="1">
      <alignment horizontal="center" vertical="center" wrapText="1"/>
      <protection hidden="1"/>
    </xf>
    <xf numFmtId="1" fontId="5" fillId="0" borderId="820" xfId="0" applyNumberFormat="1" applyFont="1" applyBorder="1" applyAlignment="1">
      <alignment horizontal="left" vertical="center" wrapText="1"/>
    </xf>
    <xf numFmtId="1" fontId="5" fillId="0" borderId="822" xfId="0" applyNumberFormat="1" applyFont="1" applyBorder="1" applyAlignment="1">
      <alignment horizontal="left" vertical="center" wrapText="1"/>
    </xf>
    <xf numFmtId="1" fontId="5" fillId="0" borderId="824" xfId="0" applyNumberFormat="1" applyFont="1" applyBorder="1" applyAlignment="1">
      <alignment horizontal="left" vertical="center" wrapText="1"/>
    </xf>
    <xf numFmtId="1" fontId="5" fillId="0" borderId="771" xfId="0" applyNumberFormat="1" applyFont="1" applyBorder="1" applyAlignment="1">
      <alignment horizontal="center" vertical="center"/>
    </xf>
    <xf numFmtId="1" fontId="5" fillId="0" borderId="772" xfId="0" applyNumberFormat="1" applyFont="1" applyBorder="1" applyAlignment="1">
      <alignment horizontal="center" vertical="center"/>
    </xf>
    <xf numFmtId="0" fontId="5" fillId="0" borderId="818" xfId="0" applyFont="1" applyBorder="1" applyAlignment="1">
      <alignment horizontal="center" vertical="center"/>
    </xf>
    <xf numFmtId="0" fontId="5" fillId="0" borderId="770" xfId="0" applyFont="1" applyBorder="1" applyAlignment="1">
      <alignment horizontal="center" vertical="center"/>
    </xf>
    <xf numFmtId="1" fontId="5" fillId="0" borderId="806" xfId="0" applyNumberFormat="1" applyFont="1" applyBorder="1" applyAlignment="1">
      <alignment horizontal="center" vertical="center" wrapText="1"/>
    </xf>
    <xf numFmtId="1" fontId="5" fillId="0" borderId="771" xfId="0" applyNumberFormat="1" applyFont="1" applyBorder="1" applyAlignment="1">
      <alignment horizontal="center" vertical="center" wrapText="1"/>
    </xf>
    <xf numFmtId="1" fontId="5" fillId="0" borderId="70" xfId="0" applyNumberFormat="1" applyFont="1" applyBorder="1" applyAlignment="1">
      <alignment horizontal="left" vertical="center"/>
    </xf>
    <xf numFmtId="1" fontId="5" fillId="0" borderId="25" xfId="0" applyNumberFormat="1" applyFont="1" applyBorder="1" applyAlignment="1">
      <alignment horizontal="left" vertical="center"/>
    </xf>
    <xf numFmtId="1" fontId="5" fillId="3" borderId="756" xfId="0" applyNumberFormat="1" applyFont="1" applyFill="1" applyBorder="1" applyAlignment="1">
      <alignment horizontal="left" wrapText="1"/>
    </xf>
    <xf numFmtId="1" fontId="5" fillId="3" borderId="781" xfId="0" applyNumberFormat="1" applyFont="1" applyFill="1" applyBorder="1" applyAlignment="1">
      <alignment horizontal="left" wrapText="1"/>
    </xf>
    <xf numFmtId="1" fontId="5" fillId="3" borderId="738" xfId="0" applyNumberFormat="1" applyFont="1" applyFill="1" applyBorder="1" applyAlignment="1">
      <alignment horizontal="left" wrapText="1"/>
    </xf>
    <xf numFmtId="1" fontId="5" fillId="3" borderId="737" xfId="0" applyNumberFormat="1" applyFont="1" applyFill="1" applyBorder="1" applyAlignment="1">
      <alignment horizontal="left" wrapText="1"/>
    </xf>
    <xf numFmtId="1" fontId="5" fillId="0" borderId="787" xfId="0" applyNumberFormat="1" applyFont="1" applyBorder="1" applyAlignment="1">
      <alignment horizontal="center" wrapText="1"/>
    </xf>
    <xf numFmtId="1" fontId="5" fillId="0" borderId="802" xfId="0" applyNumberFormat="1" applyFont="1" applyBorder="1" applyAlignment="1">
      <alignment horizontal="center" wrapText="1"/>
    </xf>
    <xf numFmtId="1" fontId="5" fillId="0" borderId="780" xfId="0" applyNumberFormat="1" applyFont="1" applyBorder="1" applyAlignment="1">
      <alignment horizontal="center" vertical="center"/>
    </xf>
    <xf numFmtId="0" fontId="5" fillId="0" borderId="278" xfId="2" applyFont="1" applyBorder="1"/>
    <xf numFmtId="1" fontId="5" fillId="0" borderId="266" xfId="2" applyNumberFormat="1" applyFont="1" applyBorder="1" applyAlignment="1">
      <alignment horizontal="left" vertical="center" wrapText="1"/>
    </xf>
    <xf numFmtId="0" fontId="5" fillId="0" borderId="267" xfId="2" applyFont="1" applyBorder="1" applyAlignment="1">
      <alignment horizontal="left"/>
    </xf>
    <xf numFmtId="0" fontId="5" fillId="0" borderId="271" xfId="2" applyFont="1" applyBorder="1" applyAlignment="1">
      <alignment horizontal="left"/>
    </xf>
    <xf numFmtId="0" fontId="5" fillId="0" borderId="272" xfId="2" applyFont="1" applyBorder="1" applyAlignment="1">
      <alignment horizontal="left"/>
    </xf>
    <xf numFmtId="1" fontId="5" fillId="0" borderId="1100" xfId="2" applyNumberFormat="1" applyFont="1" applyBorder="1" applyAlignment="1">
      <alignment horizontal="left" vertical="center" wrapText="1"/>
    </xf>
    <xf numFmtId="0" fontId="5" fillId="0" borderId="1104" xfId="2" applyFont="1" applyBorder="1" applyAlignment="1">
      <alignment horizontal="left"/>
    </xf>
    <xf numFmtId="0" fontId="5" fillId="0" borderId="663" xfId="2" applyFont="1" applyBorder="1" applyAlignment="1">
      <alignment horizontal="left"/>
    </xf>
    <xf numFmtId="0" fontId="5" fillId="0" borderId="1056" xfId="2" applyFont="1" applyBorder="1" applyAlignment="1">
      <alignment horizontal="left"/>
    </xf>
    <xf numFmtId="0" fontId="5" fillId="0" borderId="1107" xfId="2" applyFont="1" applyBorder="1" applyAlignment="1">
      <alignment horizontal="left"/>
    </xf>
    <xf numFmtId="1" fontId="5" fillId="0" borderId="768" xfId="0" applyNumberFormat="1" applyFont="1" applyBorder="1" applyAlignment="1">
      <alignment horizontal="left" vertical="center"/>
    </xf>
    <xf numFmtId="1" fontId="5" fillId="0" borderId="782" xfId="0" applyNumberFormat="1" applyFont="1" applyBorder="1" applyAlignment="1">
      <alignment horizontal="left" wrapText="1"/>
    </xf>
    <xf numFmtId="1" fontId="5" fillId="0" borderId="751" xfId="0" applyNumberFormat="1" applyFont="1" applyBorder="1" applyAlignment="1">
      <alignment horizontal="left" wrapText="1"/>
    </xf>
    <xf numFmtId="1" fontId="5" fillId="0" borderId="22" xfId="0" applyNumberFormat="1" applyFont="1" applyBorder="1" applyAlignment="1">
      <alignment horizontal="left" vertical="center"/>
    </xf>
    <xf numFmtId="1" fontId="5" fillId="0" borderId="378" xfId="0" applyNumberFormat="1" applyFont="1" applyBorder="1" applyAlignment="1">
      <alignment horizontal="left" vertical="center"/>
    </xf>
    <xf numFmtId="1" fontId="5" fillId="0" borderId="771" xfId="0" applyNumberFormat="1" applyFont="1" applyBorder="1" applyAlignment="1">
      <alignment horizontal="left" vertical="center"/>
    </xf>
    <xf numFmtId="1" fontId="5" fillId="0" borderId="772" xfId="0" applyNumberFormat="1" applyFont="1" applyBorder="1" applyAlignment="1">
      <alignment horizontal="left" vertical="center"/>
    </xf>
    <xf numFmtId="1" fontId="5" fillId="0" borderId="770" xfId="0" applyNumberFormat="1" applyFont="1" applyBorder="1" applyAlignment="1">
      <alignment horizontal="left" vertical="center" wrapText="1"/>
    </xf>
    <xf numFmtId="1" fontId="5" fillId="0" borderId="769" xfId="0" applyNumberFormat="1" applyFont="1" applyBorder="1" applyAlignment="1">
      <alignment horizontal="left" vertical="center" wrapText="1"/>
    </xf>
    <xf numFmtId="1" fontId="5" fillId="0" borderId="774" xfId="0" applyNumberFormat="1" applyFont="1" applyBorder="1" applyAlignment="1">
      <alignment horizontal="center" vertical="center" wrapText="1"/>
    </xf>
    <xf numFmtId="1" fontId="5" fillId="0" borderId="675" xfId="0" applyNumberFormat="1" applyFont="1" applyBorder="1" applyAlignment="1">
      <alignment horizontal="center" vertical="center" wrapText="1"/>
    </xf>
    <xf numFmtId="0" fontId="5" fillId="0" borderId="776" xfId="0" applyFont="1" applyBorder="1" applyAlignment="1">
      <alignment horizontal="center" vertical="center"/>
    </xf>
    <xf numFmtId="0" fontId="5" fillId="0" borderId="779" xfId="0" applyFont="1" applyBorder="1" applyAlignment="1">
      <alignment horizontal="center" vertical="center"/>
    </xf>
    <xf numFmtId="0" fontId="5" fillId="0" borderId="780" xfId="0" applyFont="1" applyBorder="1" applyAlignment="1">
      <alignment horizontal="center" vertical="center"/>
    </xf>
    <xf numFmtId="1" fontId="5" fillId="0" borderId="800" xfId="0" applyNumberFormat="1" applyFont="1" applyBorder="1" applyAlignment="1">
      <alignment horizontal="center" vertical="center" wrapText="1"/>
    </xf>
    <xf numFmtId="1" fontId="5" fillId="0" borderId="268" xfId="2" applyNumberFormat="1" applyFont="1" applyBorder="1" applyAlignment="1">
      <alignment horizontal="center" vertical="center"/>
    </xf>
    <xf numFmtId="0" fontId="5" fillId="0" borderId="268" xfId="2" applyFont="1" applyBorder="1"/>
    <xf numFmtId="0" fontId="5" fillId="0" borderId="267" xfId="2" applyFont="1" applyBorder="1"/>
    <xf numFmtId="0" fontId="5" fillId="0" borderId="274" xfId="2" applyFont="1" applyBorder="1"/>
    <xf numFmtId="0" fontId="5" fillId="0" borderId="275" xfId="2" applyFont="1" applyBorder="1"/>
    <xf numFmtId="1" fontId="5" fillId="0" borderId="280" xfId="2" applyNumberFormat="1" applyFont="1" applyBorder="1" applyAlignment="1">
      <alignment horizontal="center" vertical="center" wrapText="1"/>
    </xf>
    <xf numFmtId="0" fontId="5" fillId="0" borderId="292" xfId="2" applyFont="1" applyBorder="1"/>
    <xf numFmtId="1" fontId="5" fillId="0" borderId="757" xfId="2" applyNumberFormat="1" applyFont="1" applyBorder="1" applyAlignment="1">
      <alignment horizontal="center" vertical="center"/>
    </xf>
    <xf numFmtId="1" fontId="5" fillId="0" borderId="782" xfId="0" applyNumberFormat="1" applyFont="1" applyBorder="1" applyAlignment="1">
      <alignment horizontal="left" vertical="center" wrapText="1"/>
    </xf>
    <xf numFmtId="1" fontId="5" fillId="0" borderId="751" xfId="0" applyNumberFormat="1" applyFont="1" applyBorder="1" applyAlignment="1">
      <alignment horizontal="left" vertical="center"/>
    </xf>
    <xf numFmtId="1" fontId="5" fillId="0" borderId="663" xfId="0" applyNumberFormat="1" applyFont="1" applyBorder="1" applyAlignment="1">
      <alignment horizontal="left" vertical="center"/>
    </xf>
    <xf numFmtId="1" fontId="5" fillId="0" borderId="751" xfId="0" applyNumberFormat="1" applyFont="1" applyBorder="1" applyAlignment="1">
      <alignment horizontal="left" vertical="center" wrapText="1"/>
    </xf>
    <xf numFmtId="1" fontId="5" fillId="0" borderId="663" xfId="0" applyNumberFormat="1" applyFont="1" applyBorder="1" applyAlignment="1">
      <alignment horizontal="left" vertical="center" wrapText="1"/>
    </xf>
    <xf numFmtId="1" fontId="5" fillId="3" borderId="771" xfId="0" applyNumberFormat="1" applyFont="1" applyFill="1" applyBorder="1" applyAlignment="1">
      <alignment horizontal="center" vertical="center" wrapText="1"/>
    </xf>
    <xf numFmtId="1" fontId="5" fillId="0" borderId="371" xfId="0" applyNumberFormat="1" applyFont="1" applyBorder="1" applyAlignment="1">
      <alignment horizontal="left" vertical="center" wrapText="1"/>
    </xf>
    <xf numFmtId="1" fontId="5" fillId="0" borderId="374" xfId="0" applyNumberFormat="1" applyFont="1" applyBorder="1" applyAlignment="1">
      <alignment horizontal="left" vertical="center" wrapText="1"/>
    </xf>
    <xf numFmtId="1" fontId="5" fillId="0" borderId="372" xfId="0" applyNumberFormat="1" applyFont="1" applyBorder="1" applyAlignment="1">
      <alignment horizontal="left" vertical="center" wrapText="1"/>
    </xf>
    <xf numFmtId="1" fontId="5" fillId="0" borderId="751" xfId="0" applyNumberFormat="1" applyFont="1" applyBorder="1" applyAlignment="1">
      <alignment horizontal="center" vertical="center"/>
    </xf>
    <xf numFmtId="1" fontId="5" fillId="0" borderId="770" xfId="0" applyNumberFormat="1" applyFont="1" applyBorder="1" applyAlignment="1">
      <alignment horizontal="center" vertical="center" wrapText="1"/>
    </xf>
    <xf numFmtId="1" fontId="5" fillId="0" borderId="782" xfId="0" applyNumberFormat="1" applyFont="1" applyBorder="1" applyAlignment="1">
      <alignment horizontal="center" vertical="center"/>
    </xf>
    <xf numFmtId="1" fontId="5" fillId="0" borderId="719" xfId="0" applyNumberFormat="1" applyFont="1" applyBorder="1" applyAlignment="1">
      <alignment horizontal="center" vertical="center"/>
    </xf>
    <xf numFmtId="1" fontId="5" fillId="3" borderId="779" xfId="0" applyNumberFormat="1" applyFont="1" applyFill="1" applyBorder="1" applyAlignment="1">
      <alignment horizontal="center" vertical="center"/>
    </xf>
    <xf numFmtId="1" fontId="5" fillId="3" borderId="780" xfId="0" applyNumberFormat="1" applyFont="1" applyFill="1" applyBorder="1" applyAlignment="1">
      <alignment horizontal="center" vertical="center"/>
    </xf>
    <xf numFmtId="1" fontId="5" fillId="0" borderId="756" xfId="0" applyNumberFormat="1" applyFont="1" applyBorder="1" applyAlignment="1">
      <alignment horizontal="left" vertical="center"/>
    </xf>
    <xf numFmtId="1" fontId="5" fillId="0" borderId="778" xfId="0" applyNumberFormat="1" applyFont="1" applyBorder="1" applyAlignment="1">
      <alignment horizontal="left" vertical="center"/>
    </xf>
    <xf numFmtId="1" fontId="5" fillId="0" borderId="781" xfId="0" applyNumberFormat="1" applyFont="1" applyBorder="1" applyAlignment="1">
      <alignment horizontal="left" vertical="center"/>
    </xf>
    <xf numFmtId="1" fontId="5" fillId="0" borderId="756" xfId="0" applyNumberFormat="1" applyFont="1" applyBorder="1" applyAlignment="1">
      <alignment horizontal="left" vertical="center" wrapText="1"/>
    </xf>
    <xf numFmtId="1" fontId="5" fillId="0" borderId="778" xfId="0" applyNumberFormat="1" applyFont="1" applyBorder="1" applyAlignment="1">
      <alignment horizontal="left" vertical="center" wrapText="1"/>
    </xf>
    <xf numFmtId="1" fontId="5" fillId="0" borderId="781" xfId="0" applyNumberFormat="1" applyFont="1" applyBorder="1" applyAlignment="1">
      <alignment horizontal="left" vertical="center" wrapText="1"/>
    </xf>
    <xf numFmtId="1" fontId="5" fillId="0" borderId="57" xfId="0" applyNumberFormat="1" applyFont="1" applyBorder="1" applyAlignment="1">
      <alignment horizontal="left" vertical="center"/>
    </xf>
    <xf numFmtId="1" fontId="5" fillId="0" borderId="770" xfId="0" applyNumberFormat="1" applyFont="1" applyBorder="1" applyAlignment="1">
      <alignment horizontal="center" vertical="center"/>
    </xf>
    <xf numFmtId="1" fontId="5" fillId="0" borderId="756" xfId="0" applyNumberFormat="1" applyFont="1" applyBorder="1"/>
    <xf numFmtId="1" fontId="5" fillId="0" borderId="778" xfId="0" applyNumberFormat="1" applyFont="1" applyBorder="1"/>
    <xf numFmtId="1" fontId="5" fillId="0" borderId="781" xfId="0" applyNumberFormat="1" applyFont="1" applyBorder="1"/>
    <xf numFmtId="1" fontId="16" fillId="3" borderId="0" xfId="0" applyNumberFormat="1" applyFont="1" applyFill="1" applyAlignment="1">
      <alignment horizontal="center"/>
    </xf>
    <xf numFmtId="1" fontId="5" fillId="0" borderId="378" xfId="0" applyNumberFormat="1" applyFont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5" fillId="0" borderId="15" xfId="0" applyNumberFormat="1" applyFont="1" applyBorder="1" applyAlignment="1">
      <alignment horizontal="left"/>
    </xf>
    <xf numFmtId="1" fontId="5" fillId="0" borderId="18" xfId="0" applyNumberFormat="1" applyFont="1" applyBorder="1" applyAlignment="1">
      <alignment horizontal="left"/>
    </xf>
    <xf numFmtId="1" fontId="5" fillId="0" borderId="771" xfId="0" applyNumberFormat="1" applyFont="1" applyBorder="1" applyAlignment="1">
      <alignment horizontal="center" wrapText="1"/>
    </xf>
    <xf numFmtId="1" fontId="5" fillId="0" borderId="772" xfId="0" applyNumberFormat="1" applyFont="1" applyBorder="1" applyAlignment="1">
      <alignment horizontal="center" wrapText="1"/>
    </xf>
    <xf numFmtId="1" fontId="5" fillId="0" borderId="771" xfId="0" applyNumberFormat="1" applyFont="1" applyBorder="1" applyAlignment="1">
      <alignment horizontal="center"/>
    </xf>
    <xf numFmtId="1" fontId="5" fillId="0" borderId="772" xfId="0" applyNumberFormat="1" applyFont="1" applyBorder="1" applyAlignment="1">
      <alignment horizontal="center"/>
    </xf>
    <xf numFmtId="1" fontId="5" fillId="0" borderId="1152" xfId="0" applyNumberFormat="1" applyFont="1" applyBorder="1" applyAlignment="1">
      <alignment horizontal="center" vertical="center"/>
    </xf>
    <xf numFmtId="1" fontId="5" fillId="0" borderId="1362" xfId="0" applyNumberFormat="1" applyFont="1" applyBorder="1" applyAlignment="1">
      <alignment horizontal="left" vertical="center" wrapText="1"/>
    </xf>
    <xf numFmtId="1" fontId="5" fillId="0" borderId="207" xfId="0" applyNumberFormat="1" applyFont="1" applyBorder="1" applyAlignment="1">
      <alignment horizontal="left" vertical="center"/>
    </xf>
    <xf numFmtId="1" fontId="5" fillId="0" borderId="59" xfId="0" applyNumberFormat="1" applyFont="1" applyBorder="1" applyAlignment="1">
      <alignment horizontal="left" vertical="center" wrapText="1"/>
    </xf>
    <xf numFmtId="1" fontId="5" fillId="5" borderId="1296" xfId="0" applyNumberFormat="1" applyFont="1" applyFill="1" applyBorder="1" applyAlignment="1">
      <alignment horizontal="center" vertical="center" wrapText="1"/>
    </xf>
    <xf numFmtId="0" fontId="5" fillId="5" borderId="1291" xfId="0" applyFont="1" applyFill="1" applyBorder="1" applyAlignment="1">
      <alignment horizontal="center" wrapText="1"/>
    </xf>
    <xf numFmtId="0" fontId="5" fillId="5" borderId="1271" xfId="0" applyFont="1" applyFill="1" applyBorder="1" applyAlignment="1">
      <alignment horizontal="center" wrapText="1"/>
    </xf>
    <xf numFmtId="1" fontId="5" fillId="5" borderId="1295" xfId="0" applyNumberFormat="1" applyFont="1" applyFill="1" applyBorder="1" applyAlignment="1">
      <alignment horizontal="center" vertical="center"/>
    </xf>
    <xf numFmtId="1" fontId="5" fillId="5" borderId="1296" xfId="0" applyNumberFormat="1" applyFont="1" applyFill="1" applyBorder="1" applyAlignment="1">
      <alignment horizontal="center" vertical="center"/>
    </xf>
    <xf numFmtId="1" fontId="5" fillId="0" borderId="1269" xfId="0" applyNumberFormat="1" applyFont="1" applyBorder="1" applyAlignment="1">
      <alignment horizontal="center" vertical="center"/>
    </xf>
    <xf numFmtId="1" fontId="5" fillId="5" borderId="1269" xfId="0" applyNumberFormat="1" applyFont="1" applyFill="1" applyBorder="1" applyAlignment="1">
      <alignment horizontal="center" vertical="center"/>
    </xf>
    <xf numFmtId="1" fontId="5" fillId="5" borderId="977" xfId="0" applyNumberFormat="1" applyFont="1" applyFill="1" applyBorder="1" applyAlignment="1">
      <alignment horizontal="center" vertical="center"/>
    </xf>
    <xf numFmtId="1" fontId="5" fillId="5" borderId="1250" xfId="0" applyNumberFormat="1" applyFont="1" applyFill="1" applyBorder="1" applyAlignment="1">
      <alignment horizontal="center" vertical="center"/>
    </xf>
    <xf numFmtId="1" fontId="5" fillId="5" borderId="1293" xfId="0" applyNumberFormat="1" applyFont="1" applyFill="1" applyBorder="1" applyAlignment="1">
      <alignment horizontal="center" vertical="center"/>
    </xf>
    <xf numFmtId="1" fontId="5" fillId="5" borderId="1291" xfId="0" applyNumberFormat="1" applyFont="1" applyFill="1" applyBorder="1" applyAlignment="1">
      <alignment horizontal="center" vertical="center"/>
    </xf>
    <xf numFmtId="1" fontId="5" fillId="5" borderId="1276" xfId="0" applyNumberFormat="1" applyFont="1" applyFill="1" applyBorder="1" applyAlignment="1">
      <alignment horizontal="center" vertical="center"/>
    </xf>
    <xf numFmtId="1" fontId="5" fillId="5" borderId="1239" xfId="0" applyNumberFormat="1" applyFont="1" applyFill="1" applyBorder="1" applyAlignment="1">
      <alignment horizontal="center" vertical="center"/>
    </xf>
    <xf numFmtId="1" fontId="5" fillId="5" borderId="1240" xfId="0" applyNumberFormat="1" applyFont="1" applyFill="1" applyBorder="1" applyAlignment="1">
      <alignment horizontal="center" vertical="center"/>
    </xf>
    <xf numFmtId="1" fontId="5" fillId="5" borderId="1281" xfId="0" applyNumberFormat="1" applyFont="1" applyFill="1" applyBorder="1" applyAlignment="1">
      <alignment horizontal="center" vertical="center"/>
    </xf>
    <xf numFmtId="1" fontId="5" fillId="5" borderId="1294" xfId="0" applyNumberFormat="1" applyFont="1" applyFill="1" applyBorder="1" applyAlignment="1">
      <alignment horizontal="center" vertical="center" wrapText="1"/>
    </xf>
    <xf numFmtId="0" fontId="5" fillId="5" borderId="1313" xfId="0" applyFont="1" applyFill="1" applyBorder="1" applyAlignment="1">
      <alignment horizontal="center" wrapText="1"/>
    </xf>
    <xf numFmtId="0" fontId="5" fillId="5" borderId="1367" xfId="0" applyFont="1" applyFill="1" applyBorder="1" applyAlignment="1">
      <alignment horizontal="center" wrapText="1"/>
    </xf>
    <xf numFmtId="0" fontId="5" fillId="5" borderId="1369" xfId="0" applyFont="1" applyFill="1" applyBorder="1" applyAlignment="1">
      <alignment horizontal="center" wrapText="1"/>
    </xf>
    <xf numFmtId="1" fontId="5" fillId="3" borderId="1304" xfId="0" applyNumberFormat="1" applyFont="1" applyFill="1" applyBorder="1" applyAlignment="1">
      <alignment horizontal="center" vertical="center" wrapText="1"/>
    </xf>
    <xf numFmtId="1" fontId="5" fillId="3" borderId="1302" xfId="0" applyNumberFormat="1" applyFont="1" applyFill="1" applyBorder="1" applyAlignment="1">
      <alignment horizontal="center" vertical="center" wrapText="1"/>
    </xf>
    <xf numFmtId="1" fontId="5" fillId="3" borderId="1296" xfId="0" applyNumberFormat="1" applyFont="1" applyFill="1" applyBorder="1" applyAlignment="1">
      <alignment horizontal="center" vertical="center" wrapText="1"/>
    </xf>
    <xf numFmtId="1" fontId="5" fillId="0" borderId="1294" xfId="0" applyNumberFormat="1" applyFont="1" applyBorder="1" applyAlignment="1">
      <alignment horizontal="center" vertical="center" wrapText="1"/>
    </xf>
    <xf numFmtId="1" fontId="5" fillId="0" borderId="1294" xfId="0" quotePrefix="1" applyNumberFormat="1" applyFont="1" applyBorder="1" applyAlignment="1">
      <alignment horizontal="center" vertical="center" wrapText="1"/>
    </xf>
    <xf numFmtId="1" fontId="5" fillId="0" borderId="1400" xfId="0" applyNumberFormat="1" applyFont="1" applyBorder="1" applyAlignment="1">
      <alignment horizontal="center" vertical="center"/>
    </xf>
    <xf numFmtId="1" fontId="5" fillId="0" borderId="1412" xfId="0" applyNumberFormat="1" applyFont="1" applyBorder="1" applyAlignment="1">
      <alignment horizontal="center" vertical="center"/>
    </xf>
    <xf numFmtId="1" fontId="5" fillId="0" borderId="1313" xfId="0" applyNumberFormat="1" applyFont="1" applyBorder="1" applyAlignment="1">
      <alignment horizontal="center" vertical="center"/>
    </xf>
    <xf numFmtId="1" fontId="5" fillId="0" borderId="63" xfId="0" applyNumberFormat="1" applyFont="1" applyBorder="1" applyAlignment="1">
      <alignment horizontal="center" vertical="center"/>
    </xf>
    <xf numFmtId="1" fontId="5" fillId="0" borderId="1324" xfId="0" applyNumberFormat="1" applyFont="1" applyBorder="1" applyAlignment="1">
      <alignment horizontal="left" vertical="center" wrapText="1"/>
    </xf>
    <xf numFmtId="1" fontId="5" fillId="3" borderId="1269" xfId="0" applyNumberFormat="1" applyFont="1" applyFill="1" applyBorder="1" applyAlignment="1">
      <alignment horizontal="center" vertical="center" wrapText="1"/>
    </xf>
    <xf numFmtId="1" fontId="5" fillId="3" borderId="977" xfId="0" applyNumberFormat="1" applyFont="1" applyFill="1" applyBorder="1" applyAlignment="1">
      <alignment horizontal="center" vertical="center" wrapText="1"/>
    </xf>
    <xf numFmtId="1" fontId="5" fillId="3" borderId="1250" xfId="0" applyNumberFormat="1" applyFont="1" applyFill="1" applyBorder="1" applyAlignment="1">
      <alignment horizontal="center" vertical="center" wrapText="1"/>
    </xf>
    <xf numFmtId="1" fontId="5" fillId="0" borderId="1293" xfId="0" applyNumberFormat="1" applyFont="1" applyBorder="1" applyAlignment="1">
      <alignment horizontal="center" vertical="center"/>
    </xf>
    <xf numFmtId="1" fontId="5" fillId="0" borderId="1324" xfId="0" applyNumberFormat="1" applyFont="1" applyBorder="1" applyAlignment="1">
      <alignment horizontal="center" vertical="center"/>
    </xf>
    <xf numFmtId="1" fontId="5" fillId="0" borderId="1324" xfId="0" applyNumberFormat="1" applyFont="1" applyBorder="1" applyAlignment="1">
      <alignment horizontal="center" vertical="center" wrapText="1"/>
    </xf>
    <xf numFmtId="1" fontId="5" fillId="0" borderId="1408" xfId="0" applyNumberFormat="1" applyFont="1" applyBorder="1" applyAlignment="1">
      <alignment horizontal="center" vertical="center" wrapText="1"/>
    </xf>
    <xf numFmtId="1" fontId="5" fillId="0" borderId="1409" xfId="0" applyNumberFormat="1" applyFont="1" applyBorder="1" applyAlignment="1">
      <alignment horizontal="center" vertical="center" wrapText="1"/>
    </xf>
    <xf numFmtId="1" fontId="5" fillId="0" borderId="1414" xfId="0" applyNumberFormat="1" applyFont="1" applyBorder="1" applyAlignment="1">
      <alignment horizontal="center" vertical="center" wrapText="1"/>
    </xf>
    <xf numFmtId="1" fontId="5" fillId="0" borderId="1304" xfId="0" applyNumberFormat="1" applyFont="1" applyBorder="1" applyAlignment="1">
      <alignment horizontal="center" vertical="center"/>
    </xf>
    <xf numFmtId="1" fontId="5" fillId="0" borderId="1296" xfId="0" applyNumberFormat="1" applyFont="1" applyBorder="1" applyAlignment="1">
      <alignment horizontal="center" vertical="center" wrapText="1"/>
    </xf>
    <xf numFmtId="1" fontId="5" fillId="5" borderId="1304" xfId="0" applyNumberFormat="1" applyFont="1" applyFill="1" applyBorder="1" applyAlignment="1">
      <alignment horizontal="center" vertical="center"/>
    </xf>
    <xf numFmtId="1" fontId="5" fillId="0" borderId="1294" xfId="0" applyNumberFormat="1" applyFont="1" applyBorder="1" applyAlignment="1">
      <alignment horizontal="left" vertical="center" wrapText="1"/>
    </xf>
    <xf numFmtId="1" fontId="5" fillId="0" borderId="1294" xfId="0" applyNumberFormat="1" applyFont="1" applyBorder="1" applyAlignment="1">
      <alignment horizontal="left" vertical="center"/>
    </xf>
    <xf numFmtId="1" fontId="5" fillId="3" borderId="1345" xfId="0" applyNumberFormat="1" applyFont="1" applyFill="1" applyBorder="1" applyAlignment="1">
      <alignment horizontal="center" vertical="center"/>
    </xf>
    <xf numFmtId="1" fontId="5" fillId="3" borderId="1324" xfId="0" applyNumberFormat="1" applyFont="1" applyFill="1" applyBorder="1" applyAlignment="1">
      <alignment horizontal="center" vertical="center"/>
    </xf>
    <xf numFmtId="1" fontId="5" fillId="3" borderId="1345" xfId="0" applyNumberFormat="1" applyFont="1" applyFill="1" applyBorder="1" applyAlignment="1">
      <alignment horizontal="center" vertical="center" wrapText="1"/>
    </xf>
    <xf numFmtId="1" fontId="5" fillId="3" borderId="1324" xfId="0" applyNumberFormat="1" applyFont="1" applyFill="1" applyBorder="1" applyAlignment="1">
      <alignment horizontal="center" vertical="center" wrapText="1"/>
    </xf>
    <xf numFmtId="1" fontId="5" fillId="0" borderId="1344" xfId="0" applyNumberFormat="1" applyFont="1" applyBorder="1" applyAlignment="1">
      <alignment horizontal="center" vertical="center"/>
    </xf>
    <xf numFmtId="1" fontId="5" fillId="0" borderId="1342" xfId="0" applyNumberFormat="1" applyFont="1" applyBorder="1" applyAlignment="1">
      <alignment horizontal="center" vertical="center"/>
    </xf>
    <xf numFmtId="1" fontId="5" fillId="5" borderId="1341" xfId="0" applyNumberFormat="1" applyFont="1" applyFill="1" applyBorder="1" applyAlignment="1">
      <alignment horizontal="center" vertical="center"/>
    </xf>
    <xf numFmtId="1" fontId="5" fillId="0" borderId="1345" xfId="0" applyNumberFormat="1" applyFont="1" applyBorder="1" applyAlignment="1">
      <alignment horizontal="center" vertical="center"/>
    </xf>
    <xf numFmtId="1" fontId="5" fillId="5" borderId="1347" xfId="0" applyNumberFormat="1" applyFont="1" applyFill="1" applyBorder="1" applyAlignment="1">
      <alignment horizontal="center" vertical="center"/>
    </xf>
    <xf numFmtId="1" fontId="5" fillId="5" borderId="1348" xfId="0" applyNumberFormat="1" applyFont="1" applyFill="1" applyBorder="1" applyAlignment="1">
      <alignment horizontal="center" vertical="center"/>
    </xf>
    <xf numFmtId="1" fontId="5" fillId="0" borderId="1344" xfId="0" applyNumberFormat="1" applyFont="1" applyBorder="1" applyAlignment="1">
      <alignment horizontal="left" vertical="center"/>
    </xf>
    <xf numFmtId="1" fontId="5" fillId="0" borderId="1336" xfId="0" applyNumberFormat="1" applyFont="1" applyBorder="1" applyAlignment="1">
      <alignment horizontal="left" vertical="center"/>
    </xf>
    <xf numFmtId="1" fontId="5" fillId="0" borderId="1345" xfId="0" applyNumberFormat="1" applyFont="1" applyBorder="1" applyAlignment="1">
      <alignment horizontal="left" vertical="center"/>
    </xf>
    <xf numFmtId="1" fontId="5" fillId="0" borderId="1324" xfId="0" applyNumberFormat="1" applyFont="1" applyBorder="1" applyAlignment="1">
      <alignment horizontal="left" vertical="center"/>
    </xf>
    <xf numFmtId="1" fontId="5" fillId="0" borderId="1341" xfId="0" applyNumberFormat="1" applyFont="1" applyBorder="1" applyAlignment="1">
      <alignment horizontal="center" vertical="center"/>
    </xf>
    <xf numFmtId="1" fontId="5" fillId="0" borderId="1353" xfId="0" applyNumberFormat="1" applyFont="1" applyBorder="1" applyAlignment="1">
      <alignment horizontal="center" vertical="center" wrapText="1"/>
    </xf>
    <xf numFmtId="1" fontId="5" fillId="0" borderId="1329" xfId="0" applyNumberFormat="1" applyFont="1" applyBorder="1" applyAlignment="1">
      <alignment horizontal="center" vertical="center" wrapText="1"/>
    </xf>
    <xf numFmtId="1" fontId="5" fillId="0" borderId="1336" xfId="0" applyNumberFormat="1" applyFont="1" applyBorder="1" applyAlignment="1">
      <alignment horizontal="center" vertical="center"/>
    </xf>
    <xf numFmtId="1" fontId="5" fillId="0" borderId="1367" xfId="0" applyNumberFormat="1" applyFont="1" applyBorder="1" applyAlignment="1">
      <alignment horizontal="center" vertical="center" wrapText="1"/>
    </xf>
    <xf numFmtId="1" fontId="5" fillId="0" borderId="1361" xfId="0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 wrapText="1"/>
    </xf>
    <xf numFmtId="1" fontId="3" fillId="0" borderId="1053" xfId="0" applyNumberFormat="1" applyFont="1" applyBorder="1" applyAlignment="1">
      <alignment horizontal="center" vertical="center"/>
    </xf>
    <xf numFmtId="1" fontId="3" fillId="0" borderId="1061" xfId="0" applyNumberFormat="1" applyFont="1" applyBorder="1" applyAlignment="1">
      <alignment horizontal="center" vertical="center"/>
    </xf>
    <xf numFmtId="1" fontId="3" fillId="0" borderId="1063" xfId="0" applyNumberFormat="1" applyFont="1" applyBorder="1" applyAlignment="1">
      <alignment horizontal="center" vertical="center"/>
    </xf>
    <xf numFmtId="0" fontId="3" fillId="0" borderId="1057" xfId="0" applyFont="1" applyBorder="1" applyAlignment="1">
      <alignment horizontal="center"/>
    </xf>
    <xf numFmtId="0" fontId="3" fillId="0" borderId="1061" xfId="0" applyFont="1" applyBorder="1" applyAlignment="1">
      <alignment horizontal="center"/>
    </xf>
    <xf numFmtId="0" fontId="3" fillId="0" borderId="1061" xfId="0" applyFont="1" applyBorder="1" applyAlignment="1">
      <alignment horizontal="center" vertical="center"/>
    </xf>
    <xf numFmtId="0" fontId="3" fillId="0" borderId="1063" xfId="0" applyFont="1" applyBorder="1" applyAlignment="1">
      <alignment horizontal="center" vertical="center"/>
    </xf>
    <xf numFmtId="0" fontId="3" fillId="0" borderId="1060" xfId="0" applyFont="1" applyBorder="1" applyAlignment="1">
      <alignment horizontal="center" vertical="center"/>
    </xf>
    <xf numFmtId="0" fontId="3" fillId="0" borderId="1057" xfId="0" applyFont="1" applyBorder="1" applyAlignment="1">
      <alignment horizontal="center" vertical="center"/>
    </xf>
    <xf numFmtId="1" fontId="3" fillId="0" borderId="1055" xfId="0" applyNumberFormat="1" applyFont="1" applyBorder="1" applyAlignment="1">
      <alignment horizontal="center" vertical="center"/>
    </xf>
    <xf numFmtId="1" fontId="3" fillId="0" borderId="1014" xfId="0" applyNumberFormat="1" applyFont="1" applyBorder="1" applyAlignment="1">
      <alignment horizontal="center" vertical="center"/>
    </xf>
    <xf numFmtId="1" fontId="3" fillId="0" borderId="1061" xfId="0" applyNumberFormat="1" applyFont="1" applyBorder="1" applyAlignment="1">
      <alignment horizontal="center" vertical="center" wrapText="1"/>
    </xf>
    <xf numFmtId="1" fontId="3" fillId="0" borderId="1062" xfId="0" applyNumberFormat="1" applyFont="1" applyBorder="1" applyAlignment="1">
      <alignment horizontal="center" vertical="center"/>
    </xf>
    <xf numFmtId="1" fontId="3" fillId="0" borderId="1057" xfId="0" applyNumberFormat="1" applyFont="1" applyBorder="1" applyAlignment="1">
      <alignment horizontal="center" vertical="center"/>
    </xf>
    <xf numFmtId="1" fontId="3" fillId="0" borderId="1012" xfId="0" applyNumberFormat="1" applyFont="1" applyBorder="1" applyAlignment="1">
      <alignment horizontal="left" vertical="center" wrapText="1"/>
    </xf>
    <xf numFmtId="1" fontId="3" fillId="0" borderId="1059" xfId="0" applyNumberFormat="1" applyFont="1" applyBorder="1" applyAlignment="1">
      <alignment horizontal="left" vertical="center"/>
    </xf>
    <xf numFmtId="1" fontId="3" fillId="0" borderId="13" xfId="0" applyNumberFormat="1" applyFont="1" applyBorder="1" applyAlignment="1">
      <alignment horizontal="left" vertical="center"/>
    </xf>
    <xf numFmtId="1" fontId="3" fillId="0" borderId="31" xfId="0" applyNumberFormat="1" applyFont="1" applyBorder="1" applyAlignment="1">
      <alignment horizontal="left" vertical="center"/>
    </xf>
    <xf numFmtId="1" fontId="3" fillId="0" borderId="1060" xfId="0" applyNumberFormat="1" applyFont="1" applyBorder="1" applyAlignment="1">
      <alignment horizontal="center" vertical="center" wrapText="1"/>
    </xf>
    <xf numFmtId="1" fontId="3" fillId="0" borderId="1047" xfId="0" applyNumberFormat="1" applyFont="1" applyBorder="1" applyAlignment="1">
      <alignment horizontal="left" vertical="center"/>
    </xf>
    <xf numFmtId="1" fontId="3" fillId="0" borderId="1014" xfId="0" applyNumberFormat="1" applyFont="1" applyBorder="1" applyAlignment="1">
      <alignment horizontal="left" vertical="center"/>
    </xf>
    <xf numFmtId="1" fontId="3" fillId="0" borderId="1027" xfId="0" applyNumberFormat="1" applyFont="1" applyBorder="1" applyAlignment="1">
      <alignment horizontal="left" vertical="center"/>
    </xf>
    <xf numFmtId="1" fontId="3" fillId="0" borderId="977" xfId="0" applyNumberFormat="1" applyFont="1" applyBorder="1" applyAlignment="1">
      <alignment horizontal="left" vertical="center"/>
    </xf>
    <xf numFmtId="1" fontId="3" fillId="0" borderId="676" xfId="0" applyNumberFormat="1" applyFont="1" applyBorder="1" applyAlignment="1">
      <alignment horizontal="left" vertical="center"/>
    </xf>
    <xf numFmtId="1" fontId="3" fillId="0" borderId="1128" xfId="0" applyNumberFormat="1" applyFont="1" applyBorder="1" applyAlignment="1">
      <alignment horizontal="center" vertical="center"/>
    </xf>
    <xf numFmtId="1" fontId="3" fillId="0" borderId="1130" xfId="0" applyNumberFormat="1" applyFont="1" applyBorder="1" applyAlignment="1">
      <alignment horizontal="center" vertical="center"/>
    </xf>
    <xf numFmtId="1" fontId="3" fillId="0" borderId="1027" xfId="0" applyNumberFormat="1" applyFont="1" applyBorder="1" applyAlignment="1">
      <alignment horizontal="left" vertical="center" wrapText="1"/>
    </xf>
    <xf numFmtId="1" fontId="3" fillId="0" borderId="1089" xfId="0" applyNumberFormat="1" applyFont="1" applyBorder="1" applyAlignment="1">
      <alignment horizontal="center" vertical="center"/>
    </xf>
    <xf numFmtId="1" fontId="3" fillId="0" borderId="561" xfId="0" applyNumberFormat="1" applyFont="1" applyBorder="1" applyAlignment="1">
      <alignment horizontal="center" vertical="center" wrapText="1"/>
    </xf>
    <xf numFmtId="1" fontId="3" fillId="0" borderId="569" xfId="0" applyNumberFormat="1" applyFont="1" applyBorder="1" applyAlignment="1">
      <alignment horizontal="center" vertical="center" wrapText="1"/>
    </xf>
    <xf numFmtId="0" fontId="3" fillId="0" borderId="555" xfId="0" applyFont="1" applyBorder="1" applyAlignment="1">
      <alignment horizontal="center" vertical="center" wrapText="1"/>
    </xf>
    <xf numFmtId="0" fontId="3" fillId="0" borderId="947" xfId="0" applyFont="1" applyBorder="1" applyAlignment="1">
      <alignment horizontal="center" vertical="center" wrapText="1"/>
    </xf>
    <xf numFmtId="1" fontId="3" fillId="0" borderId="568" xfId="0" applyNumberFormat="1" applyFont="1" applyBorder="1" applyAlignment="1">
      <alignment horizontal="center"/>
    </xf>
    <xf numFmtId="1" fontId="3" fillId="0" borderId="561" xfId="0" applyNumberFormat="1" applyFont="1" applyBorder="1" applyAlignment="1">
      <alignment horizontal="center"/>
    </xf>
    <xf numFmtId="1" fontId="3" fillId="0" borderId="596" xfId="0" applyNumberFormat="1" applyFont="1" applyBorder="1" applyAlignment="1">
      <alignment horizontal="center"/>
    </xf>
    <xf numFmtId="1" fontId="3" fillId="0" borderId="1206" xfId="0" applyNumberFormat="1" applyFont="1" applyBorder="1" applyAlignment="1">
      <alignment horizontal="center"/>
    </xf>
    <xf numFmtId="1" fontId="3" fillId="0" borderId="1205" xfId="0" applyNumberFormat="1" applyFont="1" applyBorder="1" applyAlignment="1">
      <alignment horizontal="center"/>
    </xf>
    <xf numFmtId="1" fontId="3" fillId="0" borderId="1198" xfId="0" applyNumberFormat="1" applyFont="1" applyBorder="1" applyAlignment="1">
      <alignment horizontal="center"/>
    </xf>
    <xf numFmtId="0" fontId="3" fillId="0" borderId="435" xfId="0" applyFont="1" applyBorder="1" applyAlignment="1">
      <alignment horizontal="center" vertical="center" wrapText="1"/>
    </xf>
    <xf numFmtId="0" fontId="3" fillId="0" borderId="676" xfId="0" applyFont="1" applyBorder="1" applyAlignment="1">
      <alignment horizontal="center" vertical="center" wrapText="1"/>
    </xf>
    <xf numFmtId="1" fontId="3" fillId="0" borderId="568" xfId="0" applyNumberFormat="1" applyFont="1" applyBorder="1" applyAlignment="1">
      <alignment horizontal="center" vertical="center"/>
    </xf>
    <xf numFmtId="1" fontId="3" fillId="0" borderId="561" xfId="0" applyNumberFormat="1" applyFont="1" applyBorder="1" applyAlignment="1">
      <alignment horizontal="center" vertical="center"/>
    </xf>
    <xf numFmtId="1" fontId="3" fillId="0" borderId="596" xfId="0" applyNumberFormat="1" applyFont="1" applyBorder="1" applyAlignment="1">
      <alignment horizontal="center" vertical="center"/>
    </xf>
    <xf numFmtId="1" fontId="3" fillId="0" borderId="576" xfId="0" applyNumberFormat="1" applyFont="1" applyBorder="1" applyAlignment="1">
      <alignment horizontal="center" vertical="center"/>
    </xf>
    <xf numFmtId="1" fontId="3" fillId="0" borderId="990" xfId="0" applyNumberFormat="1" applyFont="1" applyBorder="1" applyAlignment="1">
      <alignment horizontal="center" vertical="center"/>
    </xf>
    <xf numFmtId="0" fontId="3" fillId="0" borderId="596" xfId="0" applyFont="1" applyBorder="1" applyAlignment="1">
      <alignment horizontal="center" vertical="center" wrapText="1"/>
    </xf>
    <xf numFmtId="0" fontId="3" fillId="0" borderId="576" xfId="0" applyFont="1" applyBorder="1" applyAlignment="1">
      <alignment horizontal="center" vertical="center" wrapText="1"/>
    </xf>
    <xf numFmtId="0" fontId="3" fillId="0" borderId="990" xfId="0" applyFont="1" applyBorder="1" applyAlignment="1">
      <alignment horizontal="center" vertical="center" wrapText="1"/>
    </xf>
    <xf numFmtId="1" fontId="3" fillId="0" borderId="939" xfId="0" applyNumberFormat="1" applyFont="1" applyBorder="1" applyAlignment="1">
      <alignment horizontal="center" vertical="center"/>
    </xf>
    <xf numFmtId="1" fontId="3" fillId="0" borderId="569" xfId="0" applyNumberFormat="1" applyFont="1" applyBorder="1" applyAlignment="1">
      <alignment horizontal="center" vertical="center"/>
    </xf>
    <xf numFmtId="1" fontId="3" fillId="0" borderId="1060" xfId="0" applyNumberFormat="1" applyFont="1" applyBorder="1" applyAlignment="1">
      <alignment horizontal="center" vertical="center"/>
    </xf>
    <xf numFmtId="1" fontId="5" fillId="0" borderId="1066" xfId="0" applyNumberFormat="1" applyFont="1" applyBorder="1" applyAlignment="1">
      <alignment horizontal="center" vertical="center" wrapText="1"/>
    </xf>
    <xf numFmtId="1" fontId="5" fillId="0" borderId="1067" xfId="0" applyNumberFormat="1" applyFont="1" applyBorder="1" applyAlignment="1">
      <alignment horizontal="center" vertical="center"/>
    </xf>
    <xf numFmtId="1" fontId="5" fillId="0" borderId="1057" xfId="0" applyNumberFormat="1" applyFont="1" applyBorder="1" applyAlignment="1">
      <alignment horizontal="center" vertical="center"/>
    </xf>
    <xf numFmtId="1" fontId="5" fillId="0" borderId="1060" xfId="0" applyNumberFormat="1" applyFont="1" applyBorder="1" applyAlignment="1">
      <alignment horizontal="center" vertical="center"/>
    </xf>
    <xf numFmtId="1" fontId="5" fillId="0" borderId="1055" xfId="34" applyNumberFormat="1" applyFont="1" applyBorder="1" applyAlignment="1">
      <alignment horizontal="center" vertical="center" wrapText="1"/>
    </xf>
    <xf numFmtId="1" fontId="5" fillId="0" borderId="220" xfId="34" applyNumberFormat="1" applyFont="1" applyBorder="1" applyAlignment="1">
      <alignment horizontal="center" vertical="center" wrapText="1"/>
    </xf>
    <xf numFmtId="1" fontId="5" fillId="0" borderId="1014" xfId="34" applyNumberFormat="1" applyFont="1" applyBorder="1" applyAlignment="1">
      <alignment horizontal="center" vertical="center" wrapText="1"/>
    </xf>
    <xf numFmtId="1" fontId="5" fillId="0" borderId="1084" xfId="0" applyNumberFormat="1" applyFont="1" applyBorder="1" applyAlignment="1">
      <alignment horizontal="center" vertical="center" wrapText="1"/>
    </xf>
    <xf numFmtId="1" fontId="5" fillId="0" borderId="1055" xfId="0" applyNumberFormat="1" applyFont="1" applyBorder="1" applyAlignment="1">
      <alignment horizontal="center" vertical="center" wrapText="1"/>
    </xf>
    <xf numFmtId="1" fontId="5" fillId="0" borderId="722" xfId="0" applyNumberFormat="1" applyFont="1" applyBorder="1" applyAlignment="1">
      <alignment horizontal="center" vertical="center" wrapText="1"/>
    </xf>
    <xf numFmtId="1" fontId="5" fillId="0" borderId="1014" xfId="0" applyNumberFormat="1" applyFont="1" applyBorder="1" applyAlignment="1">
      <alignment horizontal="center" vertical="center" wrapText="1"/>
    </xf>
    <xf numFmtId="1" fontId="5" fillId="0" borderId="1062" xfId="0" applyNumberFormat="1" applyFont="1" applyBorder="1" applyAlignment="1">
      <alignment horizontal="center" vertical="center"/>
    </xf>
    <xf numFmtId="1" fontId="5" fillId="0" borderId="1066" xfId="0" applyNumberFormat="1" applyFont="1" applyBorder="1" applyAlignment="1">
      <alignment horizontal="center" vertical="center"/>
    </xf>
    <xf numFmtId="1" fontId="5" fillId="0" borderId="1061" xfId="0" applyNumberFormat="1" applyFont="1" applyBorder="1" applyAlignment="1">
      <alignment horizontal="center" vertical="center" wrapText="1"/>
    </xf>
    <xf numFmtId="1" fontId="5" fillId="0" borderId="1054" xfId="0" applyNumberFormat="1" applyFont="1" applyBorder="1" applyAlignment="1">
      <alignment horizontal="center" vertical="center" wrapText="1"/>
    </xf>
    <xf numFmtId="1" fontId="5" fillId="0" borderId="1056" xfId="0" applyNumberFormat="1" applyFont="1" applyBorder="1" applyAlignment="1">
      <alignment horizontal="center" vertical="center" wrapText="1"/>
    </xf>
    <xf numFmtId="1" fontId="5" fillId="0" borderId="1054" xfId="0" applyNumberFormat="1" applyFont="1" applyBorder="1" applyAlignment="1">
      <alignment horizontal="center" vertical="center"/>
    </xf>
    <xf numFmtId="1" fontId="5" fillId="0" borderId="1083" xfId="0" applyNumberFormat="1" applyFont="1" applyBorder="1" applyAlignment="1">
      <alignment horizontal="center" vertical="center"/>
    </xf>
    <xf numFmtId="1" fontId="5" fillId="0" borderId="1013" xfId="0" applyNumberFormat="1" applyFont="1" applyBorder="1" applyAlignment="1">
      <alignment horizontal="center" vertical="center"/>
    </xf>
    <xf numFmtId="1" fontId="5" fillId="0" borderId="1067" xfId="0" applyNumberFormat="1" applyFont="1" applyBorder="1" applyAlignment="1">
      <alignment horizontal="center" vertical="center" wrapText="1"/>
    </xf>
    <xf numFmtId="1" fontId="5" fillId="0" borderId="1057" xfId="0" applyNumberFormat="1" applyFont="1" applyBorder="1" applyAlignment="1">
      <alignment horizontal="center" vertical="center" wrapText="1"/>
    </xf>
    <xf numFmtId="1" fontId="5" fillId="0" borderId="1088" xfId="0" applyNumberFormat="1" applyFont="1" applyBorder="1" applyAlignment="1">
      <alignment horizontal="center" vertical="center"/>
    </xf>
    <xf numFmtId="1" fontId="5" fillId="0" borderId="996" xfId="0" applyNumberFormat="1" applyFont="1" applyBorder="1" applyAlignment="1">
      <alignment horizontal="center" vertical="center"/>
    </xf>
    <xf numFmtId="1" fontId="5" fillId="0" borderId="1055" xfId="0" applyNumberFormat="1" applyFont="1" applyBorder="1" applyAlignment="1">
      <alignment horizontal="center" vertical="center"/>
    </xf>
    <xf numFmtId="1" fontId="5" fillId="0" borderId="1014" xfId="0" applyNumberFormat="1" applyFont="1" applyBorder="1" applyAlignment="1">
      <alignment horizontal="center" vertical="center"/>
    </xf>
    <xf numFmtId="1" fontId="5" fillId="0" borderId="1068" xfId="0" applyNumberFormat="1" applyFont="1" applyBorder="1" applyAlignment="1">
      <alignment horizontal="center" vertical="center"/>
    </xf>
    <xf numFmtId="1" fontId="5" fillId="0" borderId="1075" xfId="0" applyNumberFormat="1" applyFont="1" applyBorder="1" applyAlignment="1">
      <alignment horizontal="center" vertical="center"/>
    </xf>
    <xf numFmtId="1" fontId="5" fillId="0" borderId="1070" xfId="0" applyNumberFormat="1" applyFont="1" applyBorder="1" applyAlignment="1">
      <alignment horizontal="center" vertical="center" wrapText="1"/>
    </xf>
    <xf numFmtId="1" fontId="5" fillId="0" borderId="1069" xfId="0" applyNumberFormat="1" applyFont="1" applyBorder="1" applyAlignment="1">
      <alignment horizontal="center" vertical="center" wrapText="1"/>
    </xf>
    <xf numFmtId="1" fontId="5" fillId="0" borderId="1070" xfId="0" applyNumberFormat="1" applyFont="1" applyBorder="1" applyAlignment="1">
      <alignment horizontal="center" vertical="center"/>
    </xf>
    <xf numFmtId="1" fontId="5" fillId="0" borderId="713" xfId="0" applyNumberFormat="1" applyFont="1" applyBorder="1" applyAlignment="1">
      <alignment horizontal="center" vertical="center"/>
    </xf>
    <xf numFmtId="1" fontId="5" fillId="0" borderId="1053" xfId="34" applyNumberFormat="1" applyFont="1" applyBorder="1" applyAlignment="1">
      <alignment horizontal="center" vertical="center" wrapText="1"/>
    </xf>
    <xf numFmtId="1" fontId="5" fillId="0" borderId="977" xfId="34" applyNumberFormat="1" applyFont="1" applyBorder="1" applyAlignment="1">
      <alignment horizontal="center" vertical="center" wrapText="1"/>
    </xf>
    <xf numFmtId="1" fontId="5" fillId="0" borderId="676" xfId="34" applyNumberFormat="1" applyFont="1" applyBorder="1" applyAlignment="1">
      <alignment horizontal="center" vertical="center" wrapText="1"/>
    </xf>
    <xf numFmtId="1" fontId="5" fillId="3" borderId="1061" xfId="0" applyNumberFormat="1" applyFont="1" applyFill="1" applyBorder="1" applyAlignment="1">
      <alignment horizontal="center" vertical="center" wrapText="1"/>
    </xf>
    <xf numFmtId="1" fontId="5" fillId="3" borderId="1057" xfId="0" applyNumberFormat="1" applyFont="1" applyFill="1" applyBorder="1" applyAlignment="1">
      <alignment horizontal="center" wrapText="1"/>
    </xf>
    <xf numFmtId="1" fontId="5" fillId="3" borderId="1061" xfId="0" applyNumberFormat="1" applyFont="1" applyFill="1" applyBorder="1" applyAlignment="1">
      <alignment horizontal="center" wrapText="1"/>
    </xf>
    <xf numFmtId="1" fontId="5" fillId="0" borderId="1053" xfId="0" applyNumberFormat="1" applyFont="1" applyBorder="1" applyAlignment="1">
      <alignment horizontal="center" vertical="center"/>
    </xf>
    <xf numFmtId="1" fontId="5" fillId="0" borderId="1068" xfId="0" applyNumberFormat="1" applyFont="1" applyBorder="1" applyAlignment="1">
      <alignment horizontal="center" vertical="center" wrapText="1"/>
    </xf>
    <xf numFmtId="1" fontId="5" fillId="0" borderId="1075" xfId="0" applyNumberFormat="1" applyFont="1" applyBorder="1" applyAlignment="1">
      <alignment horizontal="center" vertical="center" wrapText="1"/>
    </xf>
    <xf numFmtId="1" fontId="5" fillId="0" borderId="1059" xfId="0" applyNumberFormat="1" applyFont="1" applyBorder="1" applyAlignment="1">
      <alignment horizontal="center" vertical="center" wrapText="1"/>
    </xf>
    <xf numFmtId="1" fontId="5" fillId="0" borderId="835" xfId="0" applyNumberFormat="1" applyFont="1" applyBorder="1" applyAlignment="1">
      <alignment horizontal="center" vertical="center" wrapText="1"/>
    </xf>
    <xf numFmtId="1" fontId="5" fillId="0" borderId="33" xfId="0" applyNumberFormat="1" applyFont="1" applyBorder="1" applyAlignment="1">
      <alignment horizontal="center" vertical="center" wrapText="1"/>
    </xf>
    <xf numFmtId="1" fontId="16" fillId="0" borderId="1061" xfId="34" applyNumberFormat="1" applyFont="1" applyBorder="1" applyAlignment="1">
      <alignment horizontal="center" vertical="center" wrapText="1"/>
    </xf>
    <xf numFmtId="1" fontId="16" fillId="0" borderId="1053" xfId="34" applyNumberFormat="1" applyFont="1" applyBorder="1" applyAlignment="1">
      <alignment horizontal="center" vertical="center" wrapText="1"/>
    </xf>
    <xf numFmtId="1" fontId="16" fillId="0" borderId="977" xfId="34" applyNumberFormat="1" applyFont="1" applyBorder="1" applyAlignment="1">
      <alignment horizontal="center" vertical="center" wrapText="1"/>
    </xf>
    <xf numFmtId="1" fontId="16" fillId="0" borderId="676" xfId="34" applyNumberFormat="1" applyFont="1" applyBorder="1" applyAlignment="1">
      <alignment horizontal="center" vertical="center" wrapText="1"/>
    </xf>
    <xf numFmtId="1" fontId="5" fillId="0" borderId="1061" xfId="34" applyNumberFormat="1" applyFont="1" applyBorder="1" applyAlignment="1">
      <alignment horizontal="center" vertical="center" wrapText="1"/>
    </xf>
    <xf numFmtId="1" fontId="58" fillId="3" borderId="0" xfId="0" applyNumberFormat="1" applyFont="1" applyFill="1" applyAlignment="1">
      <alignment horizontal="center" vertical="center"/>
    </xf>
    <xf numFmtId="1" fontId="5" fillId="0" borderId="60" xfId="0" applyNumberFormat="1" applyFont="1" applyBorder="1" applyAlignment="1">
      <alignment horizontal="center" vertical="center" wrapText="1"/>
    </xf>
    <xf numFmtId="0" fontId="5" fillId="5" borderId="774" xfId="0" applyFont="1" applyFill="1" applyBorder="1" applyAlignment="1">
      <alignment horizontal="center" vertical="center" wrapText="1"/>
    </xf>
    <xf numFmtId="0" fontId="5" fillId="5" borderId="509" xfId="0" applyFont="1" applyFill="1" applyBorder="1" applyAlignment="1">
      <alignment horizontal="center" vertical="center" wrapText="1"/>
    </xf>
    <xf numFmtId="0" fontId="5" fillId="5" borderId="675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left"/>
    </xf>
    <xf numFmtId="0" fontId="5" fillId="0" borderId="4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42" xfId="0" applyFont="1" applyBorder="1" applyAlignment="1">
      <alignment horizontal="center" vertical="center" wrapText="1"/>
    </xf>
    <xf numFmtId="0" fontId="5" fillId="0" borderId="449" xfId="0" applyFont="1" applyBorder="1" applyAlignment="1">
      <alignment horizontal="center" vertical="center" wrapText="1"/>
    </xf>
    <xf numFmtId="0" fontId="5" fillId="0" borderId="433" xfId="0" applyFont="1" applyBorder="1" applyAlignment="1">
      <alignment horizontal="center" vertical="center" wrapText="1"/>
    </xf>
    <xf numFmtId="0" fontId="5" fillId="5" borderId="773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5" fillId="5" borderId="722" xfId="0" applyFont="1" applyFill="1" applyBorder="1" applyAlignment="1">
      <alignment horizontal="center" vertical="center" wrapText="1"/>
    </xf>
    <xf numFmtId="0" fontId="5" fillId="0" borderId="449" xfId="0" applyFont="1" applyBorder="1" applyAlignment="1">
      <alignment horizontal="center" vertical="center"/>
    </xf>
    <xf numFmtId="0" fontId="5" fillId="0" borderId="433" xfId="0" applyFont="1" applyBorder="1" applyAlignment="1">
      <alignment horizontal="center" vertical="center"/>
    </xf>
    <xf numFmtId="0" fontId="5" fillId="5" borderId="768" xfId="0" applyFont="1" applyFill="1" applyBorder="1" applyAlignment="1">
      <alignment horizontal="center" vertical="center" wrapText="1"/>
    </xf>
    <xf numFmtId="0" fontId="5" fillId="5" borderId="500" xfId="0" applyFont="1" applyFill="1" applyBorder="1" applyAlignment="1">
      <alignment horizontal="center" vertical="center" wrapText="1"/>
    </xf>
    <xf numFmtId="0" fontId="5" fillId="5" borderId="676" xfId="0" applyFont="1" applyFill="1" applyBorder="1" applyAlignment="1">
      <alignment horizontal="center" vertical="center" wrapText="1"/>
    </xf>
    <xf numFmtId="0" fontId="5" fillId="0" borderId="445" xfId="0" applyFont="1" applyBorder="1" applyAlignment="1">
      <alignment horizontal="center" vertical="center" wrapText="1"/>
    </xf>
    <xf numFmtId="0" fontId="5" fillId="5" borderId="691" xfId="0" applyFont="1" applyFill="1" applyBorder="1" applyAlignment="1">
      <alignment horizontal="center" vertical="center" wrapText="1"/>
    </xf>
    <xf numFmtId="0" fontId="5" fillId="5" borderId="663" xfId="0" applyFont="1" applyFill="1" applyBorder="1" applyAlignment="1">
      <alignment horizontal="center" vertical="center" wrapText="1"/>
    </xf>
    <xf numFmtId="0" fontId="5" fillId="5" borderId="738" xfId="0" applyFont="1" applyFill="1" applyBorder="1" applyAlignment="1">
      <alignment horizontal="center" vertical="center" wrapText="1"/>
    </xf>
    <xf numFmtId="0" fontId="5" fillId="0" borderId="431" xfId="0" applyFont="1" applyBorder="1" applyAlignment="1">
      <alignment horizontal="left" vertical="center"/>
    </xf>
    <xf numFmtId="0" fontId="5" fillId="0" borderId="220" xfId="0" applyFont="1" applyBorder="1" applyAlignment="1">
      <alignment horizontal="left" vertical="center"/>
    </xf>
    <xf numFmtId="0" fontId="5" fillId="0" borderId="242" xfId="0" applyFont="1" applyBorder="1" applyAlignment="1">
      <alignment horizontal="left" vertical="center"/>
    </xf>
    <xf numFmtId="0" fontId="5" fillId="0" borderId="220" xfId="0" applyFont="1" applyBorder="1" applyAlignment="1">
      <alignment horizontal="left" vertical="center" wrapText="1"/>
    </xf>
    <xf numFmtId="0" fontId="5" fillId="0" borderId="242" xfId="0" applyFont="1" applyBorder="1" applyAlignment="1">
      <alignment horizontal="left" vertical="center" wrapText="1"/>
    </xf>
    <xf numFmtId="0" fontId="5" fillId="0" borderId="459" xfId="0" applyFont="1" applyBorder="1" applyAlignment="1">
      <alignment horizontal="center" vertical="center" wrapText="1"/>
    </xf>
    <xf numFmtId="0" fontId="5" fillId="0" borderId="439" xfId="0" applyFont="1" applyBorder="1" applyAlignment="1">
      <alignment horizontal="center" vertical="center" wrapText="1"/>
    </xf>
    <xf numFmtId="0" fontId="5" fillId="0" borderId="463" xfId="0" applyFont="1" applyBorder="1" applyAlignment="1">
      <alignment horizontal="center" vertical="center" wrapText="1"/>
    </xf>
    <xf numFmtId="0" fontId="5" fillId="0" borderId="458" xfId="0" applyFont="1" applyBorder="1" applyAlignment="1">
      <alignment horizontal="center" vertical="center" wrapText="1"/>
    </xf>
    <xf numFmtId="0" fontId="5" fillId="0" borderId="370" xfId="0" applyFont="1" applyBorder="1" applyAlignment="1">
      <alignment horizontal="center" vertical="center" wrapText="1"/>
    </xf>
    <xf numFmtId="0" fontId="5" fillId="0" borderId="454" xfId="0" applyFont="1" applyBorder="1" applyAlignment="1">
      <alignment horizontal="center" vertical="center" wrapText="1"/>
    </xf>
    <xf numFmtId="0" fontId="5" fillId="0" borderId="238" xfId="0" applyFont="1" applyBorder="1" applyAlignment="1">
      <alignment horizontal="center" vertical="center" wrapText="1"/>
    </xf>
    <xf numFmtId="0" fontId="5" fillId="0" borderId="410" xfId="0" applyFont="1" applyBorder="1" applyAlignment="1">
      <alignment horizontal="center" vertical="center" wrapText="1"/>
    </xf>
    <xf numFmtId="0" fontId="5" fillId="0" borderId="467" xfId="0" applyFont="1" applyBorder="1" applyAlignment="1">
      <alignment horizontal="center" vertical="center" wrapText="1"/>
    </xf>
    <xf numFmtId="0" fontId="5" fillId="0" borderId="426" xfId="0" applyFont="1" applyBorder="1" applyAlignment="1">
      <alignment horizontal="center" vertical="center" wrapText="1"/>
    </xf>
    <xf numFmtId="0" fontId="5" fillId="0" borderId="462" xfId="0" applyFont="1" applyBorder="1" applyAlignment="1">
      <alignment horizontal="center" vertical="center" wrapText="1"/>
    </xf>
    <xf numFmtId="0" fontId="5" fillId="0" borderId="434" xfId="0" applyFont="1" applyBorder="1" applyAlignment="1">
      <alignment horizontal="center" vertical="center" wrapText="1"/>
    </xf>
    <xf numFmtId="1" fontId="5" fillId="0" borderId="435" xfId="0" applyNumberFormat="1" applyFont="1" applyBorder="1" applyAlignment="1" applyProtection="1">
      <alignment horizontal="center" vertical="center" wrapText="1"/>
      <protection hidden="1"/>
    </xf>
    <xf numFmtId="1" fontId="5" fillId="0" borderId="459" xfId="0" applyNumberFormat="1" applyFont="1" applyBorder="1" applyAlignment="1" applyProtection="1">
      <alignment horizontal="center" vertical="center" wrapText="1"/>
      <protection hidden="1"/>
    </xf>
    <xf numFmtId="1" fontId="5" fillId="0" borderId="449" xfId="0" applyNumberFormat="1" applyFont="1" applyBorder="1" applyAlignment="1">
      <alignment horizontal="center" vertical="center"/>
    </xf>
    <xf numFmtId="1" fontId="3" fillId="0" borderId="459" xfId="0" applyNumberFormat="1" applyFont="1" applyBorder="1" applyAlignment="1">
      <alignment horizontal="center" vertical="center" wrapText="1"/>
    </xf>
    <xf numFmtId="0" fontId="2" fillId="0" borderId="416" xfId="20" applyFont="1" applyBorder="1" applyAlignment="1">
      <alignment horizontal="left" wrapText="1"/>
    </xf>
    <xf numFmtId="0" fontId="2" fillId="0" borderId="35" xfId="20" applyFont="1" applyBorder="1" applyAlignment="1">
      <alignment horizontal="left" wrapText="1"/>
    </xf>
    <xf numFmtId="164" fontId="3" fillId="0" borderId="435" xfId="18" applyNumberFormat="1" applyFont="1" applyBorder="1" applyAlignment="1" applyProtection="1">
      <alignment horizontal="center" vertical="center"/>
    </xf>
    <xf numFmtId="164" fontId="3" fillId="0" borderId="459" xfId="18" applyNumberFormat="1" applyFont="1" applyBorder="1" applyAlignment="1" applyProtection="1">
      <alignment horizontal="center" vertical="center"/>
    </xf>
    <xf numFmtId="164" fontId="3" fillId="0" borderId="432" xfId="18" applyNumberFormat="1" applyFont="1" applyBorder="1" applyAlignment="1" applyProtection="1">
      <alignment horizontal="center" vertical="center" wrapText="1"/>
    </xf>
    <xf numFmtId="164" fontId="3" fillId="0" borderId="36" xfId="18" applyNumberFormat="1" applyFont="1" applyBorder="1" applyAlignment="1" applyProtection="1">
      <alignment horizontal="center" vertical="center" wrapText="1"/>
    </xf>
    <xf numFmtId="164" fontId="3" fillId="0" borderId="431" xfId="18" applyNumberFormat="1" applyFont="1" applyBorder="1" applyAlignment="1" applyProtection="1">
      <alignment horizontal="center" vertical="center" wrapText="1"/>
    </xf>
    <xf numFmtId="164" fontId="3" fillId="0" borderId="449" xfId="17" applyNumberFormat="1" applyFont="1" applyBorder="1" applyAlignment="1">
      <alignment horizontal="center" vertical="center"/>
    </xf>
    <xf numFmtId="164" fontId="3" fillId="0" borderId="434" xfId="17" applyNumberFormat="1" applyFont="1" applyBorder="1" applyAlignment="1">
      <alignment horizontal="center" vertical="center"/>
    </xf>
    <xf numFmtId="1" fontId="3" fillId="0" borderId="453" xfId="20" applyNumberFormat="1" applyFont="1" applyBorder="1" applyAlignment="1">
      <alignment horizontal="center" vertical="center" wrapText="1"/>
    </xf>
    <xf numFmtId="1" fontId="3" fillId="0" borderId="453" xfId="20" applyNumberFormat="1" applyFont="1" applyBorder="1" applyAlignment="1">
      <alignment horizontal="center" vertical="center"/>
    </xf>
    <xf numFmtId="1" fontId="3" fillId="0" borderId="460" xfId="20" applyNumberFormat="1" applyFont="1" applyBorder="1" applyAlignment="1">
      <alignment horizontal="center" vertical="center"/>
    </xf>
    <xf numFmtId="164" fontId="3" fillId="0" borderId="445" xfId="18" applyNumberFormat="1" applyFont="1" applyBorder="1" applyAlignment="1" applyProtection="1">
      <alignment horizontal="center" vertical="center" wrapText="1"/>
    </xf>
    <xf numFmtId="1" fontId="3" fillId="0" borderId="449" xfId="20" applyNumberFormat="1" applyFont="1" applyBorder="1" applyAlignment="1">
      <alignment horizontal="center" vertical="center" wrapText="1"/>
    </xf>
    <xf numFmtId="1" fontId="3" fillId="0" borderId="433" xfId="20" applyNumberFormat="1" applyFont="1" applyBorder="1" applyAlignment="1">
      <alignment horizontal="center" vertical="center" wrapText="1"/>
    </xf>
    <xf numFmtId="1" fontId="3" fillId="0" borderId="434" xfId="20" applyNumberFormat="1" applyFont="1" applyBorder="1" applyAlignment="1">
      <alignment horizontal="center" vertical="center" wrapText="1"/>
    </xf>
    <xf numFmtId="1" fontId="3" fillId="0" borderId="445" xfId="20" applyNumberFormat="1" applyFont="1" applyBorder="1" applyAlignment="1">
      <alignment horizontal="center" vertical="center" wrapText="1"/>
    </xf>
    <xf numFmtId="164" fontId="3" fillId="0" borderId="453" xfId="17" applyNumberFormat="1" applyFont="1" applyBorder="1" applyAlignment="1">
      <alignment horizontal="center" vertical="center"/>
    </xf>
    <xf numFmtId="164" fontId="3" fillId="0" borderId="460" xfId="17" applyNumberFormat="1" applyFont="1" applyBorder="1" applyAlignment="1">
      <alignment horizontal="center" vertical="center"/>
    </xf>
    <xf numFmtId="0" fontId="2" fillId="0" borderId="0" xfId="20" applyFont="1" applyAlignment="1">
      <alignment horizontal="left" wrapText="1"/>
    </xf>
    <xf numFmtId="1" fontId="5" fillId="0" borderId="416" xfId="0" applyNumberFormat="1" applyFont="1" applyBorder="1" applyAlignment="1">
      <alignment horizontal="center" vertical="center" wrapText="1"/>
    </xf>
    <xf numFmtId="164" fontId="3" fillId="0" borderId="410" xfId="18" applyNumberFormat="1" applyFont="1" applyBorder="1" applyAlignment="1" applyProtection="1">
      <alignment horizontal="center" vertical="center"/>
    </xf>
    <xf numFmtId="164" fontId="3" fillId="0" borderId="449" xfId="18" applyNumberFormat="1" applyFont="1" applyBorder="1" applyAlignment="1" applyProtection="1">
      <alignment horizontal="center" vertical="center"/>
    </xf>
    <xf numFmtId="164" fontId="3" fillId="0" borderId="433" xfId="18" applyNumberFormat="1" applyFont="1" applyBorder="1" applyAlignment="1" applyProtection="1">
      <alignment horizontal="center" vertical="center"/>
    </xf>
    <xf numFmtId="164" fontId="3" fillId="0" borderId="445" xfId="18" applyNumberFormat="1" applyFont="1" applyBorder="1" applyAlignment="1" applyProtection="1">
      <alignment horizontal="center" vertical="center"/>
    </xf>
    <xf numFmtId="164" fontId="3" fillId="0" borderId="431" xfId="18" applyNumberFormat="1" applyFont="1" applyBorder="1" applyAlignment="1" applyProtection="1">
      <alignment horizontal="center" vertical="center"/>
    </xf>
    <xf numFmtId="164" fontId="3" fillId="0" borderId="416" xfId="18" applyNumberFormat="1" applyFont="1" applyBorder="1" applyAlignment="1" applyProtection="1">
      <alignment horizontal="center" vertical="center"/>
    </xf>
    <xf numFmtId="164" fontId="3" fillId="0" borderId="242" xfId="18" applyNumberFormat="1" applyFont="1" applyBorder="1" applyAlignment="1" applyProtection="1">
      <alignment horizontal="center" vertical="center"/>
    </xf>
    <xf numFmtId="164" fontId="3" fillId="0" borderId="453" xfId="18" applyNumberFormat="1" applyFont="1" applyBorder="1" applyAlignment="1" applyProtection="1">
      <alignment horizontal="center" vertical="center" wrapText="1"/>
    </xf>
    <xf numFmtId="164" fontId="3" fillId="0" borderId="445" xfId="17" applyNumberFormat="1" applyFont="1" applyBorder="1" applyAlignment="1">
      <alignment horizontal="center" vertical="center"/>
    </xf>
    <xf numFmtId="1" fontId="3" fillId="0" borderId="416" xfId="0" applyNumberFormat="1" applyFont="1" applyBorder="1" applyAlignment="1">
      <alignment horizontal="center" vertical="center" wrapText="1"/>
    </xf>
    <xf numFmtId="1" fontId="3" fillId="0" borderId="468" xfId="0" applyNumberFormat="1" applyFont="1" applyBorder="1" applyAlignment="1">
      <alignment horizontal="center" vertical="center" wrapText="1"/>
    </xf>
    <xf numFmtId="1" fontId="3" fillId="0" borderId="60" xfId="0" applyNumberFormat="1" applyFont="1" applyBorder="1" applyAlignment="1">
      <alignment horizontal="center" vertical="center" wrapText="1"/>
    </xf>
    <xf numFmtId="0" fontId="2" fillId="0" borderId="433" xfId="20" applyFont="1" applyBorder="1" applyAlignment="1">
      <alignment horizontal="left" wrapText="1"/>
    </xf>
    <xf numFmtId="1" fontId="3" fillId="0" borderId="1084" xfId="0" applyNumberFormat="1" applyFont="1" applyBorder="1" applyAlignment="1">
      <alignment horizontal="center" vertical="center" wrapText="1"/>
    </xf>
    <xf numFmtId="1" fontId="3" fillId="0" borderId="722" xfId="0" applyNumberFormat="1" applyFont="1" applyBorder="1" applyAlignment="1">
      <alignment horizontal="center" vertical="center" wrapText="1"/>
    </xf>
    <xf numFmtId="1" fontId="3" fillId="0" borderId="1013" xfId="0" applyNumberFormat="1" applyFont="1" applyBorder="1" applyAlignment="1">
      <alignment horizontal="center" vertical="center" wrapText="1"/>
    </xf>
    <xf numFmtId="1" fontId="3" fillId="0" borderId="1041" xfId="0" applyNumberFormat="1" applyFont="1" applyBorder="1" applyAlignment="1">
      <alignment horizontal="center" vertical="center" wrapText="1"/>
    </xf>
    <xf numFmtId="1" fontId="3" fillId="0" borderId="768" xfId="0" applyNumberFormat="1" applyFont="1" applyBorder="1" applyAlignment="1">
      <alignment horizontal="center" vertical="center" wrapText="1"/>
    </xf>
    <xf numFmtId="1" fontId="3" fillId="0" borderId="1014" xfId="0" applyNumberFormat="1" applyFont="1" applyBorder="1" applyAlignment="1">
      <alignment horizontal="center" vertical="center" wrapText="1"/>
    </xf>
    <xf numFmtId="0" fontId="2" fillId="0" borderId="36" xfId="22" applyFont="1" applyBorder="1" applyAlignment="1" applyProtection="1">
      <alignment horizontal="left"/>
    </xf>
    <xf numFmtId="1" fontId="3" fillId="0" borderId="434" xfId="0" applyNumberFormat="1" applyFont="1" applyBorder="1" applyAlignment="1">
      <alignment horizontal="center" vertical="center" wrapText="1"/>
    </xf>
    <xf numFmtId="1" fontId="3" fillId="0" borderId="1096" xfId="0" applyNumberFormat="1" applyFont="1" applyBorder="1" applyAlignment="1">
      <alignment horizontal="center" vertical="center" wrapText="1"/>
    </xf>
    <xf numFmtId="1" fontId="3" fillId="0" borderId="1097" xfId="0" applyNumberFormat="1" applyFont="1" applyBorder="1" applyAlignment="1">
      <alignment horizontal="center" vertical="center" wrapText="1"/>
    </xf>
    <xf numFmtId="1" fontId="3" fillId="0" borderId="1089" xfId="0" applyNumberFormat="1" applyFont="1" applyBorder="1" applyAlignment="1">
      <alignment horizontal="center" vertical="center" wrapText="1"/>
    </xf>
    <xf numFmtId="1" fontId="3" fillId="0" borderId="454" xfId="0" applyNumberFormat="1" applyFont="1" applyBorder="1" applyAlignment="1">
      <alignment horizontal="center" vertical="center" wrapText="1"/>
    </xf>
    <xf numFmtId="1" fontId="3" fillId="0" borderId="238" xfId="0" applyNumberFormat="1" applyFont="1" applyBorder="1" applyAlignment="1">
      <alignment horizontal="center" vertical="center" wrapText="1"/>
    </xf>
    <xf numFmtId="1" fontId="3" fillId="0" borderId="453" xfId="0" applyNumberFormat="1" applyFont="1" applyBorder="1" applyAlignment="1" applyProtection="1">
      <alignment horizontal="center" vertical="center" wrapText="1"/>
      <protection hidden="1"/>
    </xf>
    <xf numFmtId="164" fontId="3" fillId="0" borderId="1094" xfId="17" applyNumberFormat="1" applyFont="1" applyBorder="1" applyAlignment="1">
      <alignment horizontal="center" vertical="center"/>
    </xf>
    <xf numFmtId="164" fontId="3" fillId="0" borderId="1063" xfId="17" applyNumberFormat="1" applyFont="1" applyBorder="1" applyAlignment="1">
      <alignment horizontal="center" vertical="center"/>
    </xf>
    <xf numFmtId="1" fontId="3" fillId="0" borderId="459" xfId="0" applyNumberFormat="1" applyFont="1" applyBorder="1" applyAlignment="1">
      <alignment horizontal="center" vertical="center"/>
    </xf>
    <xf numFmtId="1" fontId="3" fillId="0" borderId="35" xfId="0" applyNumberFormat="1" applyFont="1" applyBorder="1" applyAlignment="1">
      <alignment horizontal="center" vertical="center" wrapText="1"/>
    </xf>
    <xf numFmtId="1" fontId="3" fillId="0" borderId="487" xfId="0" applyNumberFormat="1" applyFont="1" applyBorder="1" applyAlignment="1">
      <alignment horizontal="center" vertical="center"/>
    </xf>
    <xf numFmtId="1" fontId="3" fillId="0" borderId="418" xfId="0" applyNumberFormat="1" applyFont="1" applyBorder="1" applyAlignment="1">
      <alignment horizontal="center" vertical="center" wrapText="1"/>
    </xf>
    <xf numFmtId="1" fontId="3" fillId="0" borderId="90" xfId="0" applyNumberFormat="1" applyFont="1" applyBorder="1" applyAlignment="1">
      <alignment horizontal="center" vertical="center" wrapText="1"/>
    </xf>
    <xf numFmtId="1" fontId="3" fillId="0" borderId="488" xfId="0" applyNumberFormat="1" applyFont="1" applyBorder="1" applyAlignment="1">
      <alignment horizontal="center" vertical="center" wrapText="1"/>
    </xf>
    <xf numFmtId="1" fontId="3" fillId="0" borderId="489" xfId="0" applyNumberFormat="1" applyFont="1" applyBorder="1" applyAlignment="1">
      <alignment horizontal="center" vertical="center" wrapText="1"/>
    </xf>
    <xf numFmtId="1" fontId="3" fillId="0" borderId="488" xfId="0" applyNumberFormat="1" applyFont="1" applyBorder="1" applyAlignment="1">
      <alignment horizontal="center" vertical="center"/>
    </xf>
    <xf numFmtId="1" fontId="3" fillId="0" borderId="490" xfId="0" applyNumberFormat="1" applyFont="1" applyBorder="1" applyAlignment="1">
      <alignment horizontal="center" vertical="center"/>
    </xf>
    <xf numFmtId="1" fontId="3" fillId="0" borderId="490" xfId="0" applyNumberFormat="1" applyFont="1" applyBorder="1" applyAlignment="1">
      <alignment horizontal="center" vertical="center" wrapText="1"/>
    </xf>
    <xf numFmtId="0" fontId="3" fillId="0" borderId="1097" xfId="0" applyFont="1" applyBorder="1" applyAlignment="1">
      <alignment horizontal="center" vertical="center" wrapText="1"/>
    </xf>
    <xf numFmtId="0" fontId="3" fillId="0" borderId="1089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459" xfId="0" applyFont="1" applyBorder="1" applyAlignment="1">
      <alignment horizontal="center" vertical="center" wrapText="1"/>
    </xf>
    <xf numFmtId="0" fontId="3" fillId="0" borderId="488" xfId="0" applyFont="1" applyBorder="1" applyAlignment="1">
      <alignment horizontal="center" vertical="center"/>
    </xf>
    <xf numFmtId="0" fontId="3" fillId="0" borderId="489" xfId="0" applyFont="1" applyBorder="1" applyAlignment="1">
      <alignment horizontal="center" vertical="center"/>
    </xf>
    <xf numFmtId="0" fontId="3" fillId="0" borderId="490" xfId="0" applyFont="1" applyBorder="1" applyAlignment="1">
      <alignment horizontal="center" vertical="center"/>
    </xf>
    <xf numFmtId="0" fontId="2" fillId="5" borderId="489" xfId="0" applyFont="1" applyFill="1" applyBorder="1" applyAlignment="1">
      <alignment horizontal="left"/>
    </xf>
    <xf numFmtId="1" fontId="3" fillId="0" borderId="418" xfId="0" applyNumberFormat="1" applyFont="1" applyBorder="1" applyAlignment="1">
      <alignment horizontal="center" vertical="center"/>
    </xf>
    <xf numFmtId="1" fontId="3" fillId="0" borderId="90" xfId="0" applyNumberFormat="1" applyFont="1" applyBorder="1" applyAlignment="1">
      <alignment horizontal="center" vertical="center"/>
    </xf>
    <xf numFmtId="1" fontId="3" fillId="0" borderId="82" xfId="0" applyNumberFormat="1" applyFont="1" applyBorder="1" applyAlignment="1">
      <alignment horizontal="center" vertical="center" wrapText="1"/>
    </xf>
    <xf numFmtId="1" fontId="5" fillId="5" borderId="488" xfId="0" applyNumberFormat="1" applyFont="1" applyFill="1" applyBorder="1" applyAlignment="1">
      <alignment horizontal="center" vertical="center" wrapText="1"/>
    </xf>
    <xf numFmtId="1" fontId="5" fillId="5" borderId="489" xfId="0" applyNumberFormat="1" applyFont="1" applyFill="1" applyBorder="1" applyAlignment="1">
      <alignment horizontal="center" vertical="center" wrapText="1"/>
    </xf>
    <xf numFmtId="1" fontId="5" fillId="5" borderId="490" xfId="0" applyNumberFormat="1" applyFont="1" applyFill="1" applyBorder="1" applyAlignment="1">
      <alignment horizontal="center" vertical="center" wrapText="1"/>
    </xf>
    <xf numFmtId="1" fontId="3" fillId="0" borderId="487" xfId="0" applyNumberFormat="1" applyFont="1" applyBorder="1" applyAlignment="1">
      <alignment horizontal="left" vertical="center" wrapText="1"/>
    </xf>
    <xf numFmtId="1" fontId="3" fillId="0" borderId="82" xfId="0" applyNumberFormat="1" applyFont="1" applyBorder="1" applyAlignment="1">
      <alignment horizontal="center" vertical="center"/>
    </xf>
    <xf numFmtId="0" fontId="3" fillId="0" borderId="488" xfId="0" applyFont="1" applyBorder="1" applyAlignment="1">
      <alignment horizontal="center" vertical="center" wrapText="1"/>
    </xf>
    <xf numFmtId="0" fontId="3" fillId="0" borderId="489" xfId="0" applyFont="1" applyBorder="1" applyAlignment="1">
      <alignment horizontal="center" vertical="center" wrapText="1"/>
    </xf>
    <xf numFmtId="0" fontId="3" fillId="0" borderId="490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/>
    </xf>
    <xf numFmtId="0" fontId="3" fillId="0" borderId="242" xfId="0" applyFont="1" applyBorder="1" applyAlignment="1">
      <alignment horizontal="center" vertical="center"/>
    </xf>
    <xf numFmtId="1" fontId="3" fillId="5" borderId="82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459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418" xfId="0" applyNumberFormat="1" applyFont="1" applyFill="1" applyBorder="1" applyAlignment="1">
      <alignment horizontal="center" vertical="center" wrapText="1"/>
    </xf>
    <xf numFmtId="1" fontId="3" fillId="5" borderId="36" xfId="0" applyNumberFormat="1" applyFont="1" applyFill="1" applyBorder="1" applyAlignment="1">
      <alignment horizontal="center" vertical="center" wrapText="1"/>
    </xf>
    <xf numFmtId="1" fontId="3" fillId="5" borderId="90" xfId="0" applyNumberFormat="1" applyFont="1" applyFill="1" applyBorder="1" applyAlignment="1">
      <alignment horizontal="center" vertical="center" wrapText="1"/>
    </xf>
    <xf numFmtId="0" fontId="3" fillId="0" borderId="41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" fontId="3" fillId="0" borderId="487" xfId="0" applyNumberFormat="1" applyFont="1" applyBorder="1" applyAlignment="1" applyProtection="1">
      <alignment horizontal="center" vertical="center" wrapText="1"/>
      <protection hidden="1"/>
    </xf>
    <xf numFmtId="1" fontId="3" fillId="0" borderId="497" xfId="0" applyNumberFormat="1" applyFont="1" applyBorder="1" applyAlignment="1">
      <alignment horizontal="center" vertical="center"/>
    </xf>
    <xf numFmtId="1" fontId="3" fillId="0" borderId="498" xfId="0" applyNumberFormat="1" applyFont="1" applyBorder="1" applyAlignment="1">
      <alignment horizontal="center" vertical="center"/>
    </xf>
    <xf numFmtId="1" fontId="3" fillId="0" borderId="495" xfId="0" applyNumberFormat="1" applyFont="1" applyBorder="1" applyAlignment="1">
      <alignment horizontal="center" vertical="center"/>
    </xf>
    <xf numFmtId="1" fontId="3" fillId="0" borderId="497" xfId="0" applyNumberFormat="1" applyFont="1" applyBorder="1" applyAlignment="1">
      <alignment horizontal="center" vertical="center" wrapText="1"/>
    </xf>
    <xf numFmtId="1" fontId="3" fillId="0" borderId="495" xfId="0" applyNumberFormat="1" applyFont="1" applyBorder="1" applyAlignment="1">
      <alignment horizontal="center" vertical="center" wrapText="1"/>
    </xf>
    <xf numFmtId="0" fontId="3" fillId="5" borderId="1097" xfId="0" applyFont="1" applyFill="1" applyBorder="1" applyAlignment="1">
      <alignment horizontal="center" vertical="center" wrapText="1"/>
    </xf>
    <xf numFmtId="0" fontId="3" fillId="5" borderId="1089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left"/>
    </xf>
    <xf numFmtId="0" fontId="3" fillId="0" borderId="496" xfId="0" applyFont="1" applyBorder="1" applyAlignment="1">
      <alignment horizontal="center" vertical="center" wrapText="1"/>
    </xf>
    <xf numFmtId="0" fontId="3" fillId="0" borderId="497" xfId="0" applyFont="1" applyBorder="1" applyAlignment="1">
      <alignment horizontal="center" vertical="center" wrapText="1"/>
    </xf>
    <xf numFmtId="0" fontId="3" fillId="0" borderId="495" xfId="0" applyFont="1" applyBorder="1" applyAlignment="1">
      <alignment horizontal="center" vertical="center" wrapText="1"/>
    </xf>
    <xf numFmtId="0" fontId="3" fillId="0" borderId="497" xfId="0" applyFont="1" applyBorder="1" applyAlignment="1">
      <alignment horizontal="center" wrapText="1"/>
    </xf>
    <xf numFmtId="0" fontId="3" fillId="0" borderId="498" xfId="0" applyFont="1" applyBorder="1" applyAlignment="1">
      <alignment horizontal="center" wrapText="1"/>
    </xf>
    <xf numFmtId="0" fontId="3" fillId="0" borderId="1060" xfId="0" applyFont="1" applyBorder="1" applyAlignment="1">
      <alignment horizontal="center" wrapText="1"/>
    </xf>
    <xf numFmtId="0" fontId="3" fillId="0" borderId="1096" xfId="0" applyFont="1" applyBorder="1" applyAlignment="1">
      <alignment horizontal="center" vertical="center" wrapText="1"/>
    </xf>
    <xf numFmtId="0" fontId="3" fillId="0" borderId="674" xfId="0" applyFont="1" applyBorder="1" applyAlignment="1">
      <alignment horizontal="center" vertical="center" wrapText="1"/>
    </xf>
    <xf numFmtId="0" fontId="3" fillId="5" borderId="496" xfId="0" applyFont="1" applyFill="1" applyBorder="1" applyAlignment="1">
      <alignment horizontal="center" vertical="center" wrapText="1"/>
    </xf>
    <xf numFmtId="0" fontId="3" fillId="5" borderId="82" xfId="0" applyFont="1" applyFill="1" applyBorder="1" applyAlignment="1">
      <alignment horizontal="center" vertical="center" wrapText="1"/>
    </xf>
    <xf numFmtId="0" fontId="3" fillId="5" borderId="459" xfId="0" applyFont="1" applyFill="1" applyBorder="1" applyAlignment="1">
      <alignment horizontal="center" vertical="center" wrapText="1"/>
    </xf>
    <xf numFmtId="0" fontId="3" fillId="5" borderId="497" xfId="0" applyFont="1" applyFill="1" applyBorder="1" applyAlignment="1">
      <alignment horizontal="center" vertical="center" wrapText="1"/>
    </xf>
    <xf numFmtId="0" fontId="3" fillId="5" borderId="495" xfId="0" applyFont="1" applyFill="1" applyBorder="1" applyAlignment="1">
      <alignment horizontal="center" vertical="center" wrapText="1"/>
    </xf>
    <xf numFmtId="0" fontId="3" fillId="5" borderId="498" xfId="0" applyFont="1" applyFill="1" applyBorder="1" applyAlignment="1">
      <alignment horizontal="center" vertical="center" wrapText="1"/>
    </xf>
    <xf numFmtId="0" fontId="3" fillId="5" borderId="1060" xfId="0" applyFont="1" applyFill="1" applyBorder="1" applyAlignment="1">
      <alignment horizontal="center" vertical="center" wrapText="1"/>
    </xf>
    <xf numFmtId="0" fontId="3" fillId="5" borderId="1096" xfId="0" applyFont="1" applyFill="1" applyBorder="1" applyAlignment="1">
      <alignment horizontal="center" vertical="center" wrapText="1"/>
    </xf>
    <xf numFmtId="0" fontId="3" fillId="5" borderId="674" xfId="0" applyFont="1" applyFill="1" applyBorder="1" applyAlignment="1">
      <alignment horizontal="center" vertical="center" wrapText="1"/>
    </xf>
    <xf numFmtId="0" fontId="2" fillId="0" borderId="303" xfId="0" applyFont="1" applyBorder="1" applyAlignment="1">
      <alignment horizontal="left"/>
    </xf>
    <xf numFmtId="0" fontId="3" fillId="0" borderId="359" xfId="0" applyFont="1" applyBorder="1" applyAlignment="1">
      <alignment horizontal="center"/>
    </xf>
    <xf numFmtId="0" fontId="27" fillId="0" borderId="303" xfId="0" applyFont="1" applyBorder="1"/>
    <xf numFmtId="0" fontId="27" fillId="0" borderId="278" xfId="0" applyFont="1" applyBorder="1"/>
    <xf numFmtId="0" fontId="3" fillId="0" borderId="280" xfId="0" applyFont="1" applyBorder="1" applyAlignment="1">
      <alignment horizontal="center" vertical="center"/>
    </xf>
    <xf numFmtId="0" fontId="3" fillId="0" borderId="289" xfId="0" applyFont="1" applyBorder="1" applyAlignment="1">
      <alignment horizontal="center" vertical="center"/>
    </xf>
    <xf numFmtId="0" fontId="3" fillId="0" borderId="359" xfId="0" applyFont="1" applyBorder="1" applyAlignment="1">
      <alignment horizontal="center" vertical="center"/>
    </xf>
    <xf numFmtId="0" fontId="27" fillId="0" borderId="278" xfId="0" applyFont="1" applyBorder="1" applyAlignment="1">
      <alignment vertical="center"/>
    </xf>
    <xf numFmtId="0" fontId="3" fillId="0" borderId="303" xfId="0" applyFont="1" applyBorder="1" applyAlignment="1">
      <alignment horizontal="center" vertical="center"/>
    </xf>
    <xf numFmtId="0" fontId="3" fillId="0" borderId="278" xfId="0" applyFont="1" applyBorder="1" applyAlignment="1">
      <alignment horizontal="center" vertical="center"/>
    </xf>
    <xf numFmtId="1" fontId="3" fillId="0" borderId="231" xfId="0" applyNumberFormat="1" applyFont="1" applyBorder="1" applyAlignment="1">
      <alignment horizontal="center" vertical="center" wrapText="1"/>
    </xf>
    <xf numFmtId="1" fontId="3" fillId="0" borderId="233" xfId="0" applyNumberFormat="1" applyFont="1" applyBorder="1" applyAlignment="1">
      <alignment horizontal="center" vertical="center" wrapText="1"/>
    </xf>
    <xf numFmtId="0" fontId="2" fillId="0" borderId="358" xfId="0" applyFont="1" applyBorder="1" applyAlignment="1">
      <alignment horizontal="left"/>
    </xf>
    <xf numFmtId="0" fontId="3" fillId="0" borderId="280" xfId="0" applyFont="1" applyBorder="1" applyAlignment="1">
      <alignment horizontal="left" vertical="center" wrapText="1"/>
    </xf>
    <xf numFmtId="0" fontId="3" fillId="0" borderId="289" xfId="0" applyFont="1" applyBorder="1" applyAlignment="1">
      <alignment horizontal="left" vertical="center"/>
    </xf>
    <xf numFmtId="0" fontId="3" fillId="0" borderId="292" xfId="0" applyFont="1" applyBorder="1" applyAlignment="1">
      <alignment horizontal="left" vertical="center"/>
    </xf>
    <xf numFmtId="0" fontId="3" fillId="0" borderId="280" xfId="0" applyFont="1" applyBorder="1" applyAlignment="1">
      <alignment horizontal="left" vertical="center"/>
    </xf>
    <xf numFmtId="0" fontId="3" fillId="0" borderId="289" xfId="0" applyFont="1" applyBorder="1" applyAlignment="1">
      <alignment horizontal="left"/>
    </xf>
    <xf numFmtId="0" fontId="3" fillId="0" borderId="292" xfId="0" applyFont="1" applyBorder="1" applyAlignment="1">
      <alignment horizontal="left"/>
    </xf>
    <xf numFmtId="0" fontId="2" fillId="0" borderId="305" xfId="0" applyFont="1" applyBorder="1" applyAlignment="1">
      <alignment horizontal="left"/>
    </xf>
    <xf numFmtId="0" fontId="3" fillId="0" borderId="313" xfId="0" applyFont="1" applyBorder="1" applyAlignment="1">
      <alignment horizontal="center" vertical="center"/>
    </xf>
    <xf numFmtId="0" fontId="3" fillId="0" borderId="316" xfId="0" applyFont="1" applyBorder="1" applyAlignment="1">
      <alignment horizontal="center" vertical="center"/>
    </xf>
    <xf numFmtId="0" fontId="3" fillId="0" borderId="318" xfId="0" applyFont="1" applyBorder="1" applyAlignment="1">
      <alignment horizontal="center" vertical="center"/>
    </xf>
    <xf numFmtId="1" fontId="3" fillId="0" borderId="314" xfId="0" applyNumberFormat="1" applyFont="1" applyBorder="1" applyAlignment="1">
      <alignment horizontal="center" vertical="center" wrapText="1"/>
    </xf>
    <xf numFmtId="0" fontId="27" fillId="0" borderId="36" xfId="0" applyFont="1" applyBorder="1"/>
    <xf numFmtId="0" fontId="27" fillId="0" borderId="315" xfId="0" applyFont="1" applyBorder="1"/>
    <xf numFmtId="0" fontId="27" fillId="0" borderId="273" xfId="0" applyFont="1" applyBorder="1"/>
    <xf numFmtId="0" fontId="27" fillId="0" borderId="274" xfId="0" applyFont="1" applyBorder="1"/>
    <xf numFmtId="0" fontId="27" fillId="0" borderId="275" xfId="0" applyFont="1" applyBorder="1"/>
    <xf numFmtId="1" fontId="3" fillId="0" borderId="269" xfId="0" applyNumberFormat="1" applyFont="1" applyBorder="1" applyAlignment="1">
      <alignment horizontal="center" vertical="center"/>
    </xf>
    <xf numFmtId="1" fontId="3" fillId="0" borderId="232" xfId="0" applyNumberFormat="1" applyFont="1" applyBorder="1" applyAlignment="1">
      <alignment horizontal="center" vertical="center"/>
    </xf>
    <xf numFmtId="1" fontId="3" fillId="0" borderId="270" xfId="0" applyNumberFormat="1" applyFont="1" applyBorder="1" applyAlignment="1">
      <alignment horizontal="center" vertical="center"/>
    </xf>
    <xf numFmtId="0" fontId="3" fillId="0" borderId="36" xfId="0" applyFont="1" applyBorder="1"/>
    <xf numFmtId="0" fontId="3" fillId="0" borderId="90" xfId="0" applyFont="1" applyBorder="1"/>
    <xf numFmtId="0" fontId="3" fillId="0" borderId="274" xfId="0" applyFont="1" applyBorder="1"/>
    <xf numFmtId="0" fontId="3" fillId="0" borderId="317" xfId="0" applyFont="1" applyBorder="1"/>
    <xf numFmtId="1" fontId="3" fillId="0" borderId="269" xfId="0" applyNumberFormat="1" applyFont="1" applyBorder="1" applyAlignment="1">
      <alignment horizontal="center" vertical="center" wrapText="1"/>
    </xf>
    <xf numFmtId="1" fontId="3" fillId="0" borderId="23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" fontId="3" fillId="0" borderId="271" xfId="0" applyNumberFormat="1" applyFont="1" applyBorder="1" applyAlignment="1">
      <alignment horizontal="center" vertical="center" wrapText="1"/>
    </xf>
    <xf numFmtId="1" fontId="3" fillId="0" borderId="272" xfId="0" applyNumberFormat="1" applyFont="1" applyBorder="1" applyAlignment="1">
      <alignment horizontal="center" vertical="center" wrapText="1"/>
    </xf>
    <xf numFmtId="1" fontId="3" fillId="0" borderId="273" xfId="0" applyNumberFormat="1" applyFont="1" applyBorder="1" applyAlignment="1">
      <alignment horizontal="center" vertical="center" wrapText="1"/>
    </xf>
    <xf numFmtId="1" fontId="3" fillId="0" borderId="275" xfId="0" applyNumberFormat="1" applyFont="1" applyBorder="1" applyAlignment="1">
      <alignment horizontal="center" vertical="center" wrapText="1"/>
    </xf>
    <xf numFmtId="0" fontId="27" fillId="0" borderId="268" xfId="0" applyFont="1" applyBorder="1"/>
    <xf numFmtId="0" fontId="27" fillId="0" borderId="267" xfId="0" applyFont="1" applyBorder="1"/>
    <xf numFmtId="1" fontId="3" fillId="0" borderId="91" xfId="0" applyNumberFormat="1" applyFont="1" applyBorder="1" applyAlignment="1">
      <alignment horizontal="center" vertical="center" wrapText="1"/>
    </xf>
    <xf numFmtId="1" fontId="3" fillId="0" borderId="230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41" xfId="0" applyNumberFormat="1" applyFont="1" applyBorder="1" applyAlignment="1">
      <alignment horizontal="center" vertical="center"/>
    </xf>
    <xf numFmtId="0" fontId="2" fillId="0" borderId="268" xfId="0" applyFont="1" applyBorder="1" applyAlignment="1">
      <alignment horizontal="left"/>
    </xf>
    <xf numFmtId="0" fontId="27" fillId="0" borderId="280" xfId="0" applyFont="1" applyBorder="1" applyAlignment="1">
      <alignment horizontal="center" vertical="center"/>
    </xf>
    <xf numFmtId="0" fontId="27" fillId="0" borderId="289" xfId="0" applyFont="1" applyBorder="1" applyAlignment="1">
      <alignment horizontal="center" vertical="center"/>
    </xf>
    <xf numFmtId="0" fontId="27" fillId="0" borderId="292" xfId="0" applyFont="1" applyBorder="1" applyAlignment="1">
      <alignment horizontal="center" vertical="center"/>
    </xf>
    <xf numFmtId="1" fontId="3" fillId="0" borderId="304" xfId="0" applyNumberFormat="1" applyFont="1" applyBorder="1" applyAlignment="1">
      <alignment horizontal="center" vertical="center"/>
    </xf>
    <xf numFmtId="1" fontId="3" fillId="0" borderId="305" xfId="0" applyNumberFormat="1" applyFont="1" applyBorder="1" applyAlignment="1">
      <alignment horizontal="center" vertical="center"/>
    </xf>
    <xf numFmtId="1" fontId="3" fillId="0" borderId="306" xfId="0" applyNumberFormat="1" applyFont="1" applyBorder="1" applyAlignment="1">
      <alignment horizontal="center" vertical="center"/>
    </xf>
    <xf numFmtId="0" fontId="3" fillId="0" borderId="268" xfId="0" applyFont="1" applyBorder="1" applyAlignment="1">
      <alignment horizontal="center" vertical="center"/>
    </xf>
    <xf numFmtId="0" fontId="3" fillId="0" borderId="267" xfId="0" applyFont="1" applyBorder="1" applyAlignment="1">
      <alignment horizontal="center" vertical="center"/>
    </xf>
    <xf numFmtId="0" fontId="3" fillId="0" borderId="274" xfId="0" applyFont="1" applyBorder="1" applyAlignment="1">
      <alignment horizontal="center" vertical="center"/>
    </xf>
    <xf numFmtId="0" fontId="3" fillId="0" borderId="275" xfId="0" applyFont="1" applyBorder="1" applyAlignment="1">
      <alignment horizontal="center" vertical="center"/>
    </xf>
    <xf numFmtId="0" fontId="17" fillId="0" borderId="1206" xfId="0" applyFont="1" applyBorder="1" applyAlignment="1" applyProtection="1">
      <alignment horizontal="center" vertical="center"/>
      <protection hidden="1"/>
    </xf>
    <xf numFmtId="0" fontId="17" fillId="0" borderId="1205" xfId="0" applyFont="1" applyBorder="1" applyAlignment="1" applyProtection="1">
      <alignment horizontal="center" vertical="center"/>
      <protection hidden="1"/>
    </xf>
    <xf numFmtId="0" fontId="17" fillId="0" borderId="1198" xfId="0" applyFont="1" applyBorder="1" applyAlignment="1" applyProtection="1">
      <alignment horizontal="center" vertical="center"/>
      <protection hidden="1"/>
    </xf>
    <xf numFmtId="0" fontId="66" fillId="43" borderId="1344" xfId="0" applyFont="1" applyFill="1" applyBorder="1" applyAlignment="1">
      <alignment horizontal="center" vertical="center" wrapText="1"/>
    </xf>
    <xf numFmtId="0" fontId="66" fillId="43" borderId="1343" xfId="0" applyFont="1" applyFill="1" applyBorder="1" applyAlignment="1">
      <alignment horizontal="center" vertical="center" wrapText="1"/>
    </xf>
    <xf numFmtId="0" fontId="66" fillId="43" borderId="1336" xfId="0" applyFont="1" applyFill="1" applyBorder="1" applyAlignment="1">
      <alignment horizontal="center" vertical="center" wrapText="1"/>
    </xf>
    <xf numFmtId="0" fontId="68" fillId="43" borderId="1353" xfId="0" applyFont="1" applyFill="1" applyBorder="1" applyAlignment="1" applyProtection="1">
      <alignment horizontal="center" vertical="center" wrapText="1"/>
      <protection hidden="1"/>
    </xf>
    <xf numFmtId="0" fontId="68" fillId="43" borderId="1291" xfId="0" applyFont="1" applyFill="1" applyBorder="1" applyAlignment="1" applyProtection="1">
      <alignment horizontal="center" vertical="center" wrapText="1"/>
      <protection hidden="1"/>
    </xf>
    <xf numFmtId="0" fontId="68" fillId="43" borderId="1420" xfId="0" applyFont="1" applyFill="1" applyBorder="1" applyAlignment="1" applyProtection="1">
      <alignment horizontal="center" vertical="center" wrapText="1"/>
      <protection hidden="1"/>
    </xf>
    <xf numFmtId="0" fontId="68" fillId="43" borderId="1329" xfId="0" applyFont="1" applyFill="1" applyBorder="1" applyAlignment="1" applyProtection="1">
      <alignment horizontal="center" vertical="center" wrapText="1"/>
      <protection hidden="1"/>
    </xf>
    <xf numFmtId="0" fontId="68" fillId="43" borderId="1356" xfId="0" applyFont="1" applyFill="1" applyBorder="1" applyAlignment="1" applyProtection="1">
      <alignment horizontal="center" vertical="center" wrapText="1"/>
      <protection hidden="1"/>
    </xf>
    <xf numFmtId="0" fontId="68" fillId="43" borderId="1357" xfId="0" applyFont="1" applyFill="1" applyBorder="1" applyAlignment="1" applyProtection="1">
      <alignment horizontal="center" vertical="center" wrapText="1"/>
      <protection hidden="1"/>
    </xf>
  </cellXfs>
  <cellStyles count="39">
    <cellStyle name="20% - Énfasis1" xfId="33" builtinId="30"/>
    <cellStyle name="Bueno" xfId="9" builtinId="26"/>
    <cellStyle name="Celda de comprobación" xfId="10" builtinId="23"/>
    <cellStyle name="Escribir 2" xfId="37" xr:uid="{00000000-0005-0000-0000-000003000000}"/>
    <cellStyle name="Escribir 2 2" xfId="36" xr:uid="{00000000-0005-0000-0000-000004000000}"/>
    <cellStyle name="Millares [0] 2" xfId="25" xr:uid="{00000000-0005-0000-0000-000005000000}"/>
    <cellStyle name="Millares [0] 2 2" xfId="8" xr:uid="{00000000-0005-0000-0000-000006000000}"/>
    <cellStyle name="Millares 10 3" xfId="30" xr:uid="{00000000-0005-0000-0000-000007000000}"/>
    <cellStyle name="Millares 2 2" xfId="19" xr:uid="{00000000-0005-0000-0000-000008000000}"/>
    <cellStyle name="Normal" xfId="0" builtinId="0"/>
    <cellStyle name="Normal 2" xfId="2" xr:uid="{00000000-0005-0000-0000-00000A000000}"/>
    <cellStyle name="Normal 2 2" xfId="17" xr:uid="{00000000-0005-0000-0000-00000B000000}"/>
    <cellStyle name="Normal 3" xfId="20" xr:uid="{00000000-0005-0000-0000-00000C000000}"/>
    <cellStyle name="Normal 6" xfId="7" xr:uid="{00000000-0005-0000-0000-00000D000000}"/>
    <cellStyle name="Normal_nombre" xfId="35" xr:uid="{00000000-0005-0000-0000-00000E000000}"/>
    <cellStyle name="Normal_REM 02-2002" xfId="15" xr:uid="{00000000-0005-0000-0000-00000F000000}"/>
    <cellStyle name="Normal_REM 04-2002" xfId="14" xr:uid="{00000000-0005-0000-0000-000010000000}"/>
    <cellStyle name="Normal_REM 05-2002" xfId="16" xr:uid="{00000000-0005-0000-0000-000011000000}"/>
    <cellStyle name="Normal_REM 09-2002" xfId="22" xr:uid="{00000000-0005-0000-0000-000012000000}"/>
    <cellStyle name="Normal_REM 17-2002" xfId="29" xr:uid="{00000000-0005-0000-0000-000013000000}"/>
    <cellStyle name="Normal_REM 18A-2002" xfId="34" xr:uid="{00000000-0005-0000-0000-000014000000}"/>
    <cellStyle name="Normal_REM 21-2002" xfId="6" xr:uid="{00000000-0005-0000-0000-000015000000}"/>
    <cellStyle name="Normal_RMC-MUNI" xfId="18" xr:uid="{00000000-0005-0000-0000-000016000000}"/>
    <cellStyle name="Notas 2" xfId="5" xr:uid="{00000000-0005-0000-0000-000017000000}"/>
    <cellStyle name="Notas 2 2" xfId="3" xr:uid="{00000000-0005-0000-0000-000018000000}"/>
    <cellStyle name="Notas 2 2 2" xfId="31" xr:uid="{00000000-0005-0000-0000-000019000000}"/>
    <cellStyle name="Notas 2 2 2 2" xfId="11" xr:uid="{00000000-0005-0000-0000-00001A000000}"/>
    <cellStyle name="Notas 2 2 2 2 19" xfId="12" xr:uid="{00000000-0005-0000-0000-00001B000000}"/>
    <cellStyle name="Notas 2 2 2 2 19 2" xfId="26" xr:uid="{00000000-0005-0000-0000-00001C000000}"/>
    <cellStyle name="Notas 2 2 2 2 2" xfId="24" xr:uid="{00000000-0005-0000-0000-00001D000000}"/>
    <cellStyle name="Notas 2 2 2 2 21" xfId="13" xr:uid="{00000000-0005-0000-0000-00001E000000}"/>
    <cellStyle name="Notas 2 2 2 2 21 2" xfId="27" xr:uid="{00000000-0005-0000-0000-00001F000000}"/>
    <cellStyle name="Notas 2 2 2 3" xfId="38" xr:uid="{00000000-0005-0000-0000-000020000000}"/>
    <cellStyle name="Notas 2 3" xfId="21" xr:uid="{00000000-0005-0000-0000-000021000000}"/>
    <cellStyle name="Notas 2 3 2" xfId="32" xr:uid="{00000000-0005-0000-0000-000022000000}"/>
    <cellStyle name="Notas 2 4" xfId="28" xr:uid="{00000000-0005-0000-0000-000023000000}"/>
    <cellStyle name="Notas 3" xfId="1" xr:uid="{00000000-0005-0000-0000-000024000000}"/>
    <cellStyle name="Notas 3 2" xfId="23" xr:uid="{00000000-0005-0000-0000-000025000000}"/>
    <cellStyle name="Porcentaje" xfId="4" builtinId="5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133350</xdr:colOff>
          <xdr:row>4</xdr:row>
          <xdr:rowOff>123825</xdr:rowOff>
        </xdr:from>
        <xdr:to>
          <xdr:col>4</xdr:col>
          <xdr:colOff>1581150</xdr:colOff>
          <xdr:row>4</xdr:row>
          <xdr:rowOff>628650</xdr:rowOff>
        </xdr:to>
        <xdr:sp macro="" textlink="">
          <xdr:nvSpPr>
            <xdr:cNvPr id="29697" name="Butto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C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M167"/>
  <sheetViews>
    <sheetView showGridLines="0" tabSelected="1" workbookViewId="0">
      <selection sqref="A1:B1"/>
    </sheetView>
  </sheetViews>
  <sheetFormatPr baseColWidth="10" defaultColWidth="11.42578125" defaultRowHeight="10.5" x14ac:dyDescent="0.15"/>
  <cols>
    <col min="1" max="1" width="49.42578125" style="4758" customWidth="1"/>
    <col min="2" max="2" width="60.7109375" style="3340" customWidth="1"/>
    <col min="3" max="8" width="5.7109375" style="3340" customWidth="1"/>
    <col min="9" max="9" width="16.85546875" style="4730" customWidth="1"/>
    <col min="10" max="18" width="11.85546875" style="4730" customWidth="1"/>
    <col min="19" max="21" width="23.140625" style="4730" customWidth="1"/>
    <col min="22" max="23" width="23.140625" style="4730" hidden="1" customWidth="1"/>
    <col min="24" max="24" width="23.140625" style="3340" hidden="1" customWidth="1"/>
    <col min="25" max="26" width="23.140625" style="3340" customWidth="1"/>
    <col min="27" max="27" width="11.42578125" style="3340" customWidth="1"/>
    <col min="28" max="28" width="54.28515625" style="3340" customWidth="1"/>
    <col min="29" max="29" width="27.42578125" style="3340" customWidth="1"/>
    <col min="30" max="30" width="8.7109375" style="3340" customWidth="1"/>
    <col min="31" max="32" width="23.140625" style="3340" customWidth="1"/>
    <col min="33" max="33" width="39.5703125" style="3340" customWidth="1"/>
    <col min="34" max="37" width="23.140625" style="3340" customWidth="1"/>
    <col min="38" max="39" width="23.140625" style="4730" customWidth="1"/>
    <col min="40" max="50" width="23.140625" style="3340" customWidth="1"/>
    <col min="51" max="16384" width="11.42578125" style="3340"/>
  </cols>
  <sheetData>
    <row r="1" spans="1:39" ht="36" customHeight="1" x14ac:dyDescent="0.15">
      <c r="A1" s="6438" t="s">
        <v>3840</v>
      </c>
      <c r="B1" s="6439"/>
      <c r="C1" s="6440" t="s">
        <v>3841</v>
      </c>
      <c r="D1" s="6441"/>
      <c r="E1" s="6441"/>
      <c r="F1" s="6441"/>
      <c r="G1" s="6441"/>
      <c r="H1" s="6442"/>
    </row>
    <row r="2" spans="1:39" ht="21.75" customHeight="1" x14ac:dyDescent="0.2">
      <c r="A2" s="4731" t="s">
        <v>3842</v>
      </c>
      <c r="B2" s="4732"/>
      <c r="C2" s="4733"/>
      <c r="D2" s="4734"/>
      <c r="E2" s="4734"/>
      <c r="F2" s="4734"/>
      <c r="G2" s="4735"/>
      <c r="H2" s="4987"/>
      <c r="I2" s="4986" t="str">
        <f>IF(OR(C2="",D2="",E2="",F2="",G2=""),"Falta Cód. Com.","")</f>
        <v>Falta Cód. Com.</v>
      </c>
      <c r="J2" s="4736"/>
      <c r="K2" s="4736"/>
      <c r="L2" s="4736"/>
      <c r="M2" s="4736"/>
      <c r="N2" s="4736"/>
      <c r="O2" s="4736"/>
      <c r="P2" s="4736"/>
      <c r="Q2" s="4736"/>
      <c r="R2" s="4736"/>
      <c r="S2" s="4736"/>
      <c r="T2" s="4736"/>
      <c r="U2" s="4736"/>
      <c r="V2" s="4736"/>
      <c r="W2" s="4988">
        <f>IF(OR(C2="",D2="",E2="",F2="",G2=""),1,0)</f>
        <v>1</v>
      </c>
      <c r="X2" s="4736"/>
      <c r="Y2" s="4736"/>
      <c r="Z2" s="4736"/>
      <c r="AD2" s="4981"/>
      <c r="AG2" s="4982"/>
    </row>
    <row r="3" spans="1:39" ht="21.75" customHeight="1" x14ac:dyDescent="0.2">
      <c r="A3" s="6032" t="s">
        <v>3843</v>
      </c>
      <c r="B3" s="6033"/>
      <c r="C3" s="6034"/>
      <c r="D3" s="6035"/>
      <c r="E3" s="6035"/>
      <c r="F3" s="6035"/>
      <c r="G3" s="6035"/>
      <c r="H3" s="6036"/>
      <c r="I3" s="4737" t="str">
        <f>IF(OR(C3="",D3="",E3="",F3="",G3="",H3=""),"Falta Cód. Est.","")</f>
        <v>Falta Cód. Est.</v>
      </c>
      <c r="J3" s="4736"/>
      <c r="K3" s="4736"/>
      <c r="L3" s="4736"/>
      <c r="M3" s="4736"/>
      <c r="N3" s="4736"/>
      <c r="O3" s="4736"/>
      <c r="P3" s="4736"/>
      <c r="Q3" s="4736"/>
      <c r="R3" s="4736"/>
      <c r="S3" s="4736"/>
      <c r="T3" s="4736"/>
      <c r="U3" s="4736"/>
      <c r="V3" s="4736"/>
      <c r="W3" s="4988">
        <f>IF(OR(C3="",D3="",E3="",F3="",G3="",H3=""),1,0)</f>
        <v>1</v>
      </c>
      <c r="X3" s="4736"/>
      <c r="Y3" s="4736"/>
      <c r="Z3" s="4736"/>
      <c r="AD3" s="4981"/>
      <c r="AG3" s="4982"/>
    </row>
    <row r="4" spans="1:39" ht="9.75" customHeight="1" x14ac:dyDescent="0.2">
      <c r="A4" s="6027"/>
      <c r="B4" s="6031"/>
      <c r="C4" s="6026"/>
      <c r="D4" s="6026"/>
      <c r="E4" s="6026"/>
      <c r="F4" s="6026"/>
      <c r="G4" s="6026"/>
      <c r="H4" s="6026"/>
      <c r="I4" s="4986"/>
      <c r="J4" s="4736"/>
      <c r="K4" s="4736"/>
      <c r="L4" s="4736"/>
      <c r="M4" s="4736"/>
      <c r="N4" s="4736"/>
      <c r="O4" s="4736"/>
      <c r="P4" s="4736"/>
      <c r="Q4" s="4736"/>
      <c r="R4" s="4736"/>
      <c r="S4" s="4736"/>
      <c r="T4" s="4736"/>
      <c r="U4" s="4736"/>
      <c r="V4" s="4736"/>
      <c r="W4" s="4736"/>
      <c r="X4" s="4736"/>
      <c r="Y4" s="4736"/>
      <c r="Z4" s="4736"/>
      <c r="AD4" s="4981"/>
      <c r="AG4" s="4982"/>
      <c r="AL4" s="3340"/>
      <c r="AM4" s="3340"/>
    </row>
    <row r="5" spans="1:39" ht="9.75" customHeight="1" x14ac:dyDescent="0.2">
      <c r="A5" s="6037"/>
      <c r="B5" s="6038"/>
      <c r="C5" s="6039"/>
      <c r="D5" s="6039"/>
      <c r="E5" s="6026"/>
      <c r="F5" s="6026"/>
      <c r="G5" s="6026"/>
      <c r="H5" s="6026"/>
      <c r="I5" s="4986"/>
      <c r="J5" s="4736"/>
      <c r="K5" s="4736"/>
      <c r="L5" s="4736"/>
      <c r="M5" s="4736"/>
      <c r="N5" s="4736"/>
      <c r="O5" s="4736"/>
      <c r="P5" s="4736"/>
      <c r="Q5" s="4736"/>
      <c r="R5" s="4736"/>
      <c r="S5" s="4736"/>
      <c r="T5" s="4736"/>
      <c r="U5" s="4736"/>
      <c r="V5" s="4736"/>
      <c r="W5" s="4736"/>
      <c r="X5" s="4736"/>
      <c r="Y5" s="4736"/>
      <c r="Z5" s="4736"/>
      <c r="AD5" s="4981"/>
      <c r="AG5" s="4982"/>
      <c r="AL5" s="3340"/>
      <c r="AM5" s="3340"/>
    </row>
    <row r="6" spans="1:39" ht="21.75" customHeight="1" x14ac:dyDescent="0.2">
      <c r="A6" s="6027" t="s">
        <v>3844</v>
      </c>
      <c r="B6" s="6028"/>
      <c r="C6" s="6029"/>
      <c r="D6" s="6030"/>
      <c r="E6" s="4738"/>
      <c r="F6" s="4738"/>
      <c r="G6" s="4738"/>
      <c r="H6" s="4738"/>
      <c r="I6" s="4739" t="str">
        <f>IF(OR(C6="",D6=""),"Falta Cód. Mes.","")</f>
        <v>Falta Cód. Mes.</v>
      </c>
      <c r="J6" s="4740"/>
      <c r="K6" s="4740"/>
      <c r="L6" s="4740"/>
      <c r="M6" s="4741"/>
      <c r="N6" s="4741"/>
      <c r="O6" s="4741"/>
      <c r="P6" s="4741"/>
      <c r="Q6" s="4741"/>
      <c r="R6" s="4741"/>
      <c r="S6" s="4741"/>
      <c r="T6" s="4741"/>
      <c r="U6" s="4741"/>
      <c r="V6" s="4741"/>
      <c r="W6" s="4988">
        <f>IF(OR(C6="",D6=""),1,0)</f>
        <v>1</v>
      </c>
      <c r="X6" s="4741"/>
      <c r="Y6" s="4741"/>
      <c r="Z6" s="4741"/>
      <c r="AD6" s="4981"/>
      <c r="AG6" s="4982"/>
    </row>
    <row r="7" spans="1:39" ht="21.75" customHeight="1" x14ac:dyDescent="0.2">
      <c r="A7" s="4731" t="s">
        <v>3845</v>
      </c>
      <c r="B7" s="4742">
        <v>2024</v>
      </c>
      <c r="C7" s="4730"/>
      <c r="D7" s="4730"/>
      <c r="E7" s="4730"/>
      <c r="F7" s="4730"/>
      <c r="G7" s="4730"/>
      <c r="H7" s="4730"/>
      <c r="AG7" s="4983"/>
    </row>
    <row r="8" spans="1:39" ht="12" customHeight="1" x14ac:dyDescent="0.15">
      <c r="A8" s="4743"/>
      <c r="B8" s="4744"/>
      <c r="C8" s="4730"/>
      <c r="D8" s="4730"/>
      <c r="E8" s="4730"/>
      <c r="F8" s="4730"/>
      <c r="G8" s="4730"/>
      <c r="H8" s="4730"/>
    </row>
    <row r="9" spans="1:39" ht="28.5" customHeight="1" x14ac:dyDescent="0.15">
      <c r="A9" s="6443" t="s">
        <v>3932</v>
      </c>
      <c r="B9" s="6444"/>
      <c r="C9" s="4730"/>
      <c r="D9" s="4730"/>
      <c r="E9" s="4730"/>
      <c r="F9" s="4730"/>
      <c r="G9" s="4730"/>
      <c r="H9" s="4730"/>
      <c r="AL9" s="3340"/>
      <c r="AM9" s="3340"/>
    </row>
    <row r="10" spans="1:39" ht="12" customHeight="1" x14ac:dyDescent="0.2">
      <c r="A10" s="4745"/>
      <c r="B10" s="4746"/>
      <c r="C10" s="4730"/>
      <c r="D10" s="4730"/>
      <c r="E10" s="4730"/>
      <c r="F10" s="4730"/>
      <c r="G10" s="4730"/>
      <c r="H10" s="4730"/>
      <c r="AL10" s="3340"/>
      <c r="AM10" s="3340"/>
    </row>
    <row r="11" spans="1:39" ht="27" customHeight="1" x14ac:dyDescent="0.2">
      <c r="A11" s="4747" t="s">
        <v>3859</v>
      </c>
      <c r="B11" s="4748"/>
      <c r="C11" s="4730"/>
      <c r="D11" s="4730"/>
      <c r="E11" s="4730"/>
      <c r="F11" s="4730"/>
      <c r="G11" s="4730"/>
      <c r="H11" s="4749"/>
      <c r="I11" s="4749"/>
      <c r="J11" s="4750"/>
      <c r="K11" s="4750"/>
      <c r="L11" s="4750"/>
      <c r="M11" s="4750"/>
      <c r="N11" s="4750"/>
      <c r="O11" s="4750"/>
      <c r="P11" s="4750"/>
      <c r="Q11" s="4750"/>
      <c r="R11" s="4750"/>
      <c r="S11" s="4750"/>
      <c r="T11" s="4750"/>
      <c r="U11" s="4750"/>
      <c r="V11" s="4750"/>
      <c r="W11" s="4751" t="s">
        <v>3846</v>
      </c>
      <c r="AL11" s="3340"/>
      <c r="AM11" s="3340"/>
    </row>
    <row r="12" spans="1:39" ht="23.25" customHeight="1" x14ac:dyDescent="0.2">
      <c r="A12" s="4752" t="s">
        <v>3860</v>
      </c>
      <c r="B12" s="4748"/>
      <c r="C12" s="4730"/>
      <c r="D12" s="4730"/>
      <c r="E12" s="4730"/>
      <c r="F12" s="4730"/>
      <c r="G12" s="4730"/>
      <c r="H12" s="4749"/>
      <c r="I12" s="4749"/>
      <c r="J12" s="4750"/>
      <c r="K12" s="4750"/>
      <c r="L12" s="4750"/>
      <c r="M12" s="4750"/>
      <c r="N12" s="4750"/>
      <c r="O12" s="4750"/>
      <c r="P12" s="4750"/>
      <c r="Q12" s="4750"/>
      <c r="R12" s="4750"/>
      <c r="S12" s="4750"/>
      <c r="T12" s="4750"/>
      <c r="U12" s="4750"/>
      <c r="V12" s="4750"/>
      <c r="W12" s="4751" t="s">
        <v>3847</v>
      </c>
      <c r="AL12" s="3340"/>
      <c r="AM12" s="3340"/>
    </row>
    <row r="13" spans="1:39" ht="23.25" customHeight="1" x14ac:dyDescent="0.2">
      <c r="A13" s="4746"/>
      <c r="B13" s="4753"/>
      <c r="C13" s="4730"/>
      <c r="D13" s="4730"/>
      <c r="E13" s="4730"/>
      <c r="F13" s="4730"/>
      <c r="G13" s="4730"/>
      <c r="H13" s="4749" t="s">
        <v>1760</v>
      </c>
      <c r="I13" s="4749"/>
      <c r="J13" s="4750"/>
      <c r="K13" s="4750"/>
      <c r="L13" s="4750"/>
      <c r="M13" s="4750"/>
      <c r="N13" s="4750"/>
      <c r="O13" s="4750"/>
      <c r="P13" s="4750"/>
      <c r="Q13" s="4750"/>
      <c r="R13" s="4750"/>
      <c r="S13" s="4750"/>
      <c r="T13" s="4750"/>
      <c r="U13" s="4750"/>
      <c r="V13" s="4750"/>
      <c r="W13" s="4751" t="s">
        <v>3848</v>
      </c>
      <c r="AL13" s="3340"/>
      <c r="AM13" s="3340"/>
    </row>
    <row r="14" spans="1:39" ht="23.25" customHeight="1" x14ac:dyDescent="0.15">
      <c r="A14" s="4754"/>
      <c r="B14" s="4730"/>
      <c r="C14" s="4730"/>
      <c r="D14" s="4730"/>
      <c r="E14" s="4730"/>
      <c r="F14" s="4730"/>
      <c r="G14" s="4730"/>
      <c r="H14" s="4749"/>
      <c r="I14" s="4749"/>
      <c r="J14" s="4750"/>
      <c r="K14" s="4750"/>
      <c r="L14" s="4750"/>
      <c r="M14" s="4750"/>
      <c r="N14" s="4750"/>
      <c r="O14" s="4750"/>
      <c r="P14" s="4750"/>
      <c r="Q14" s="4750"/>
      <c r="R14" s="4750"/>
      <c r="S14" s="4750"/>
      <c r="T14" s="4750"/>
      <c r="U14" s="4750"/>
      <c r="V14" s="4750"/>
      <c r="W14" s="4751" t="s">
        <v>3849</v>
      </c>
      <c r="Y14" s="4984"/>
      <c r="AL14" s="3340"/>
      <c r="AM14" s="3340"/>
    </row>
    <row r="15" spans="1:39" ht="21" customHeight="1" x14ac:dyDescent="0.15">
      <c r="A15" s="6445" t="s">
        <v>3850</v>
      </c>
      <c r="B15" s="6446"/>
      <c r="C15" s="4730"/>
      <c r="D15" s="4730"/>
      <c r="E15" s="4730"/>
      <c r="F15" s="4730"/>
      <c r="G15" s="4730"/>
      <c r="H15" s="4749"/>
      <c r="I15" s="4749"/>
      <c r="J15" s="4750"/>
      <c r="K15" s="4750"/>
      <c r="L15" s="4750"/>
      <c r="M15" s="4750"/>
      <c r="N15" s="4750"/>
      <c r="O15" s="4750"/>
      <c r="P15" s="4750"/>
      <c r="Q15" s="4750"/>
      <c r="R15" s="4750"/>
      <c r="S15" s="4750"/>
      <c r="T15" s="4750"/>
      <c r="U15" s="4750"/>
      <c r="V15" s="4750"/>
      <c r="W15" s="4751" t="s">
        <v>3851</v>
      </c>
      <c r="Y15" s="4984"/>
      <c r="AL15" s="3340"/>
      <c r="AM15" s="3340"/>
    </row>
    <row r="16" spans="1:39" ht="21.75" customHeight="1" x14ac:dyDescent="0.15">
      <c r="A16" s="4754"/>
      <c r="B16" s="4730"/>
      <c r="C16" s="4730"/>
      <c r="D16" s="4730"/>
      <c r="E16" s="4730"/>
      <c r="F16" s="4730"/>
      <c r="G16" s="4730"/>
      <c r="H16" s="4749"/>
      <c r="I16" s="4749"/>
      <c r="J16" s="4750"/>
      <c r="K16" s="4750"/>
      <c r="L16" s="4750"/>
      <c r="M16" s="4750"/>
      <c r="N16" s="4750"/>
      <c r="O16" s="4750"/>
      <c r="P16" s="4750"/>
      <c r="Q16" s="4750"/>
      <c r="R16" s="4750"/>
      <c r="S16" s="4750"/>
      <c r="T16" s="4750"/>
      <c r="U16" s="4750"/>
      <c r="V16" s="4750"/>
      <c r="W16" s="4751" t="s">
        <v>3852</v>
      </c>
      <c r="Y16" s="4984"/>
      <c r="AL16" s="3340"/>
      <c r="AM16" s="3340"/>
    </row>
    <row r="17" spans="1:39" ht="21" customHeight="1" x14ac:dyDescent="0.15">
      <c r="A17" s="4754"/>
      <c r="B17" s="6435" t="s">
        <v>3899</v>
      </c>
      <c r="C17" s="4730"/>
      <c r="D17" s="4730"/>
      <c r="E17" s="4730"/>
      <c r="F17" s="4730"/>
      <c r="G17" s="4730"/>
      <c r="H17" s="4749"/>
      <c r="I17" s="4749"/>
      <c r="J17" s="4750"/>
      <c r="K17" s="4750"/>
      <c r="L17" s="4750"/>
      <c r="M17" s="4750"/>
      <c r="N17" s="4750"/>
      <c r="O17" s="4750"/>
      <c r="P17" s="4750"/>
      <c r="Q17" s="4750"/>
      <c r="R17" s="4750"/>
      <c r="S17" s="4750"/>
      <c r="T17" s="4750"/>
      <c r="U17" s="4750"/>
      <c r="V17" s="4750"/>
      <c r="W17" s="4751" t="s">
        <v>3853</v>
      </c>
      <c r="Y17" s="4984"/>
      <c r="AL17" s="3340"/>
      <c r="AM17" s="3340"/>
    </row>
    <row r="18" spans="1:39" ht="21" customHeight="1" x14ac:dyDescent="0.15">
      <c r="A18" s="4754"/>
      <c r="B18" s="6436"/>
      <c r="C18" s="4730"/>
      <c r="D18" s="4730"/>
      <c r="E18" s="4730"/>
      <c r="F18" s="4730"/>
      <c r="G18" s="4730"/>
      <c r="H18" s="4749"/>
      <c r="I18" s="4749"/>
      <c r="J18" s="4750"/>
      <c r="K18" s="4750"/>
      <c r="L18" s="4750"/>
      <c r="M18" s="4750"/>
      <c r="N18" s="4750"/>
      <c r="O18" s="4750"/>
      <c r="P18" s="4750"/>
      <c r="Q18" s="4750"/>
      <c r="R18" s="4750"/>
      <c r="S18" s="4750"/>
      <c r="T18" s="4750"/>
      <c r="U18" s="4750"/>
      <c r="V18" s="4750"/>
      <c r="W18" s="4751" t="s">
        <v>3854</v>
      </c>
      <c r="Y18" s="4984"/>
      <c r="AL18" s="3340"/>
      <c r="AM18" s="3340"/>
    </row>
    <row r="19" spans="1:39" ht="21" customHeight="1" x14ac:dyDescent="0.15">
      <c r="A19" s="4754"/>
      <c r="B19" s="6437"/>
      <c r="C19" s="4730"/>
      <c r="D19" s="4730"/>
      <c r="E19" s="4730"/>
      <c r="F19" s="4730"/>
      <c r="G19" s="4730"/>
      <c r="H19" s="4749"/>
      <c r="I19" s="4749"/>
      <c r="J19" s="4750"/>
      <c r="K19" s="4750"/>
      <c r="L19" s="4750"/>
      <c r="M19" s="4750"/>
      <c r="N19" s="4750"/>
      <c r="O19" s="4750"/>
      <c r="P19" s="4750"/>
      <c r="Q19" s="4750"/>
      <c r="R19" s="4750"/>
      <c r="S19" s="4750"/>
      <c r="T19" s="4750"/>
      <c r="U19" s="4750"/>
      <c r="V19" s="4750"/>
      <c r="W19" s="4751" t="s">
        <v>3855</v>
      </c>
      <c r="Y19" s="4984"/>
      <c r="AL19" s="3340"/>
      <c r="AM19" s="3340"/>
    </row>
    <row r="20" spans="1:39" ht="21" customHeight="1" x14ac:dyDescent="0.15">
      <c r="A20" s="4754"/>
      <c r="B20" s="4730"/>
      <c r="C20" s="4730"/>
      <c r="D20" s="4730"/>
      <c r="E20" s="4730"/>
      <c r="F20" s="4730"/>
      <c r="G20" s="4730"/>
      <c r="H20" s="4749"/>
      <c r="I20" s="4749"/>
      <c r="J20" s="4750"/>
      <c r="K20" s="4750"/>
      <c r="L20" s="4750"/>
      <c r="M20" s="4750"/>
      <c r="N20" s="4750"/>
      <c r="O20" s="4750"/>
      <c r="P20" s="4750"/>
      <c r="Q20" s="4750"/>
      <c r="R20" s="4750"/>
      <c r="S20" s="4750"/>
      <c r="T20" s="4750"/>
      <c r="U20" s="4750"/>
      <c r="V20" s="4750"/>
      <c r="W20" s="4751" t="s">
        <v>3856</v>
      </c>
      <c r="Y20" s="4984"/>
      <c r="AL20" s="3340"/>
      <c r="AM20" s="3340"/>
    </row>
    <row r="21" spans="1:39" ht="21" customHeight="1" x14ac:dyDescent="0.15">
      <c r="A21" s="4754"/>
      <c r="B21" s="4730"/>
      <c r="C21" s="4730"/>
      <c r="D21" s="4730"/>
      <c r="E21" s="4730"/>
      <c r="F21" s="4730"/>
      <c r="G21" s="4755"/>
      <c r="H21" s="4755"/>
      <c r="I21" s="4755"/>
      <c r="J21" s="4755"/>
      <c r="N21" s="4750"/>
      <c r="O21" s="4750"/>
      <c r="P21" s="4750"/>
      <c r="Q21" s="4750"/>
      <c r="R21" s="4750"/>
      <c r="S21" s="4750"/>
      <c r="T21" s="4750"/>
      <c r="U21" s="4750"/>
      <c r="V21" s="4750"/>
      <c r="W21" s="4751" t="s">
        <v>3857</v>
      </c>
      <c r="X21" s="4985"/>
      <c r="Y21" s="4985"/>
      <c r="Z21" s="4985"/>
      <c r="AC21" s="4984"/>
    </row>
    <row r="22" spans="1:39" ht="21" customHeight="1" x14ac:dyDescent="0.15">
      <c r="A22" s="4754"/>
      <c r="B22" s="4730"/>
      <c r="C22" s="4730"/>
      <c r="D22" s="4730"/>
      <c r="E22" s="4730"/>
      <c r="F22" s="4730"/>
      <c r="G22" s="4755"/>
      <c r="H22" s="4755"/>
      <c r="I22" s="4755"/>
      <c r="J22" s="4755"/>
      <c r="N22" s="4750"/>
      <c r="O22" s="4750"/>
      <c r="P22" s="4750"/>
      <c r="Q22" s="4750"/>
      <c r="R22" s="4750"/>
      <c r="S22" s="4750"/>
      <c r="T22" s="4750"/>
      <c r="U22" s="4750"/>
      <c r="V22" s="4750"/>
      <c r="W22" s="4751" t="s">
        <v>3858</v>
      </c>
      <c r="X22" s="4985"/>
      <c r="Y22" s="4985"/>
      <c r="Z22" s="4985"/>
      <c r="AC22" s="4984"/>
    </row>
    <row r="23" spans="1:39" ht="17.25" customHeight="1" x14ac:dyDescent="0.15">
      <c r="A23" s="4754"/>
      <c r="B23" s="4730"/>
      <c r="C23" s="4730"/>
      <c r="D23" s="4730"/>
      <c r="E23" s="4730"/>
      <c r="F23" s="4730"/>
      <c r="G23" s="4730"/>
      <c r="H23" s="4730"/>
      <c r="I23" s="4756"/>
      <c r="J23" s="4756"/>
      <c r="N23" s="4750"/>
      <c r="O23" s="4750"/>
      <c r="P23" s="4750"/>
      <c r="Q23" s="4750"/>
      <c r="R23" s="4750"/>
      <c r="S23" s="4750"/>
      <c r="T23" s="4750"/>
      <c r="U23" s="4750"/>
      <c r="V23" s="4750"/>
      <c r="W23" s="4750"/>
      <c r="X23" s="4985"/>
      <c r="Y23" s="4985"/>
      <c r="Z23" s="4985"/>
      <c r="AA23" s="4984"/>
      <c r="AC23" s="4984"/>
    </row>
    <row r="24" spans="1:39" ht="18.75" customHeight="1" x14ac:dyDescent="0.15">
      <c r="A24" s="4757"/>
      <c r="B24" s="4757"/>
      <c r="C24" s="4757"/>
      <c r="D24" s="4757"/>
      <c r="E24" s="4757"/>
      <c r="F24" s="4757"/>
      <c r="G24" s="4757"/>
      <c r="H24" s="4757"/>
      <c r="I24" s="4757"/>
      <c r="J24" s="4757"/>
      <c r="K24" s="4757"/>
      <c r="L24" s="4757"/>
      <c r="M24" s="4757"/>
      <c r="N24" s="4757"/>
      <c r="O24" s="4757"/>
      <c r="P24" s="4757"/>
      <c r="Q24" s="4757"/>
      <c r="R24" s="4750"/>
      <c r="S24" s="4750"/>
      <c r="T24" s="4750"/>
      <c r="U24" s="4750"/>
      <c r="V24" s="4750"/>
      <c r="W24" s="4750"/>
      <c r="X24" s="4985"/>
      <c r="Y24" s="4985"/>
      <c r="Z24" s="4985"/>
      <c r="AA24" s="4984"/>
      <c r="AC24" s="4984"/>
    </row>
    <row r="25" spans="1:39" ht="18" customHeight="1" x14ac:dyDescent="0.15">
      <c r="A25" s="4757"/>
      <c r="B25" s="4757"/>
      <c r="C25" s="4757"/>
      <c r="D25" s="4757"/>
      <c r="E25" s="4757"/>
      <c r="F25" s="4757"/>
      <c r="G25" s="4757"/>
      <c r="H25" s="4757"/>
      <c r="I25" s="4757"/>
      <c r="J25" s="4757"/>
      <c r="K25" s="4757"/>
      <c r="L25" s="4757"/>
      <c r="M25" s="4757"/>
      <c r="N25" s="4757"/>
      <c r="O25" s="4757"/>
      <c r="P25" s="4757"/>
      <c r="Q25" s="4757"/>
      <c r="R25" s="4750"/>
      <c r="S25" s="4750"/>
      <c r="T25" s="4750"/>
      <c r="U25" s="4750"/>
      <c r="V25" s="4750"/>
      <c r="W25" s="4750"/>
      <c r="X25" s="4985"/>
      <c r="Y25" s="4985"/>
      <c r="Z25" s="4985"/>
      <c r="AA25" s="4984"/>
      <c r="AC25" s="4984"/>
    </row>
    <row r="26" spans="1:39" ht="19.5" customHeight="1" x14ac:dyDescent="0.15">
      <c r="A26" s="4757"/>
      <c r="B26" s="4757"/>
      <c r="C26" s="4757"/>
      <c r="D26" s="4757"/>
      <c r="E26" s="4757"/>
      <c r="F26" s="4757"/>
      <c r="G26" s="4757"/>
      <c r="H26" s="4757"/>
      <c r="I26" s="4757"/>
      <c r="J26" s="4757"/>
      <c r="K26" s="4757"/>
      <c r="L26" s="4757"/>
      <c r="M26" s="4757"/>
      <c r="N26" s="4757"/>
      <c r="O26" s="4757"/>
      <c r="P26" s="4757"/>
      <c r="Q26" s="4757"/>
      <c r="R26" s="4750"/>
      <c r="S26" s="4750"/>
      <c r="T26" s="4750"/>
      <c r="U26" s="4750"/>
      <c r="V26" s="4750"/>
      <c r="W26" s="4750"/>
      <c r="X26" s="4985"/>
      <c r="Y26" s="4985"/>
      <c r="Z26" s="4985"/>
      <c r="AA26" s="4984"/>
      <c r="AC26" s="4984"/>
    </row>
    <row r="27" spans="1:39" ht="19.5" customHeight="1" x14ac:dyDescent="0.15">
      <c r="A27" s="4757"/>
      <c r="B27" s="4757"/>
      <c r="C27" s="4757"/>
      <c r="D27" s="4757"/>
      <c r="E27" s="4757"/>
      <c r="F27" s="4757"/>
      <c r="G27" s="4757"/>
      <c r="H27" s="4757"/>
      <c r="I27" s="4757"/>
      <c r="J27" s="4757"/>
      <c r="K27" s="4757"/>
      <c r="L27" s="4757"/>
      <c r="M27" s="4757"/>
      <c r="N27" s="4757"/>
      <c r="O27" s="4757"/>
      <c r="P27" s="4757"/>
      <c r="Q27" s="4757"/>
      <c r="R27" s="4750"/>
      <c r="S27" s="4750"/>
      <c r="T27" s="4750"/>
      <c r="U27" s="4750"/>
      <c r="V27" s="4750"/>
      <c r="W27" s="4750"/>
      <c r="X27" s="4985"/>
      <c r="Y27" s="4985"/>
      <c r="Z27" s="4985"/>
      <c r="AA27" s="4984"/>
      <c r="AC27" s="4984"/>
    </row>
    <row r="28" spans="1:39" ht="18.75" customHeight="1" x14ac:dyDescent="0.15">
      <c r="A28" s="4757"/>
      <c r="B28" s="4757"/>
      <c r="C28" s="4757"/>
      <c r="D28" s="4757"/>
      <c r="E28" s="4757"/>
      <c r="F28" s="4757"/>
      <c r="G28" s="4757"/>
      <c r="H28" s="4757"/>
      <c r="I28" s="4757"/>
      <c r="J28" s="4757"/>
      <c r="K28" s="4757"/>
      <c r="L28" s="4757"/>
      <c r="M28" s="4757"/>
      <c r="N28" s="4757"/>
      <c r="O28" s="4757"/>
      <c r="P28" s="4757"/>
      <c r="Q28" s="4757"/>
      <c r="R28" s="4750"/>
      <c r="S28" s="4750"/>
      <c r="T28" s="4750"/>
      <c r="U28" s="4750"/>
      <c r="V28" s="4750"/>
      <c r="W28" s="4750"/>
      <c r="X28" s="4985"/>
      <c r="Y28" s="4985"/>
      <c r="Z28" s="4985"/>
      <c r="AA28" s="4984"/>
      <c r="AC28" s="4984"/>
    </row>
    <row r="29" spans="1:39" ht="18.75" customHeight="1" x14ac:dyDescent="0.15">
      <c r="A29" s="4757"/>
      <c r="B29" s="4757"/>
      <c r="C29" s="4757"/>
      <c r="D29" s="4757"/>
      <c r="E29" s="4757"/>
      <c r="F29" s="4757"/>
      <c r="G29" s="4757"/>
      <c r="H29" s="4757"/>
      <c r="I29" s="4757"/>
      <c r="J29" s="4757"/>
      <c r="K29" s="4757"/>
      <c r="L29" s="4757"/>
      <c r="M29" s="4757"/>
      <c r="N29" s="4757"/>
      <c r="O29" s="4757"/>
      <c r="P29" s="4757"/>
      <c r="Q29" s="4757"/>
      <c r="R29" s="4750"/>
      <c r="S29" s="4750"/>
      <c r="T29" s="4750"/>
      <c r="U29" s="4750"/>
      <c r="V29" s="4750"/>
      <c r="W29" s="4750"/>
      <c r="X29" s="4985"/>
      <c r="Y29" s="4985"/>
      <c r="Z29" s="4985"/>
      <c r="AA29" s="4984"/>
      <c r="AC29" s="4984"/>
    </row>
    <row r="30" spans="1:39" ht="18.75" customHeight="1" x14ac:dyDescent="0.25">
      <c r="A30" s="4757"/>
      <c r="B30" s="4757"/>
      <c r="C30" s="4757"/>
      <c r="D30" s="4757"/>
      <c r="E30" s="4757"/>
      <c r="F30" s="4757"/>
      <c r="G30" s="4757"/>
      <c r="H30" s="4757"/>
      <c r="I30" s="4757"/>
      <c r="J30" s="4757"/>
      <c r="K30" s="4757"/>
      <c r="L30" s="4757"/>
      <c r="M30" s="4757"/>
      <c r="N30" s="4757"/>
      <c r="O30" s="4757"/>
      <c r="P30" s="4757"/>
      <c r="Q30" s="4757"/>
      <c r="R30" s="4750"/>
      <c r="S30" s="4750"/>
      <c r="T30" s="4750"/>
      <c r="U30" s="4750"/>
      <c r="V30" s="4750"/>
      <c r="W30" s="4750"/>
      <c r="X30" s="4985"/>
      <c r="Y30" s="4985"/>
      <c r="Z30" s="4985"/>
      <c r="AA30"/>
      <c r="AC30"/>
    </row>
    <row r="31" spans="1:39" ht="17.25" customHeight="1" x14ac:dyDescent="0.25">
      <c r="A31" s="4757"/>
      <c r="B31" s="4757"/>
      <c r="C31" s="4757"/>
      <c r="D31" s="4757"/>
      <c r="E31" s="4757"/>
      <c r="F31" s="4757"/>
      <c r="G31" s="4757"/>
      <c r="H31" s="4757"/>
      <c r="I31" s="4757"/>
      <c r="J31" s="4757"/>
      <c r="K31" s="4757"/>
      <c r="L31" s="4757"/>
      <c r="M31" s="4757"/>
      <c r="N31" s="4757"/>
      <c r="O31" s="4757"/>
      <c r="P31" s="4757"/>
      <c r="Q31" s="4757"/>
      <c r="R31" s="4750"/>
      <c r="S31" s="4750"/>
      <c r="T31" s="4750"/>
      <c r="U31" s="4750"/>
      <c r="V31" s="4750"/>
      <c r="W31" s="4750"/>
      <c r="X31" s="4985"/>
      <c r="Y31" s="4985"/>
      <c r="Z31" s="4985"/>
      <c r="AA31"/>
      <c r="AC31"/>
    </row>
    <row r="32" spans="1:39" ht="17.25" hidden="1" customHeight="1" x14ac:dyDescent="0.25">
      <c r="A32" s="4989">
        <f>SUM(W2:W6)</f>
        <v>3</v>
      </c>
      <c r="B32" s="4757"/>
      <c r="C32" s="4757"/>
      <c r="D32" s="4757"/>
      <c r="E32" s="4757"/>
      <c r="F32" s="4757"/>
      <c r="G32" s="4757"/>
      <c r="H32" s="4757"/>
      <c r="I32" s="4757"/>
      <c r="J32" s="4757"/>
      <c r="K32" s="4757"/>
      <c r="L32" s="4757"/>
      <c r="M32" s="4757"/>
      <c r="N32" s="4757"/>
      <c r="O32" s="4757"/>
      <c r="P32" s="4757"/>
      <c r="Q32" s="4757"/>
      <c r="R32" s="4750"/>
      <c r="S32" s="4750"/>
      <c r="T32" s="4750"/>
      <c r="U32" s="4750"/>
      <c r="V32" s="4750"/>
      <c r="W32" s="4750"/>
      <c r="X32" s="4985"/>
      <c r="Y32" s="4985"/>
      <c r="Z32" s="4985"/>
      <c r="AA32"/>
      <c r="AC32"/>
    </row>
    <row r="33" spans="1:29" ht="17.25" customHeight="1" x14ac:dyDescent="0.25">
      <c r="A33" s="4757"/>
      <c r="B33" s="4757"/>
      <c r="C33" s="4757"/>
      <c r="D33" s="4757"/>
      <c r="E33" s="4757"/>
      <c r="F33" s="4757"/>
      <c r="G33" s="4757"/>
      <c r="H33" s="4757"/>
      <c r="I33" s="4757"/>
      <c r="J33" s="4757"/>
      <c r="K33" s="4757"/>
      <c r="L33" s="4757"/>
      <c r="M33" s="4757"/>
      <c r="N33" s="4757"/>
      <c r="O33" s="4757"/>
      <c r="P33" s="4757"/>
      <c r="Q33" s="4757"/>
      <c r="R33" s="4750"/>
      <c r="S33" s="4750"/>
      <c r="T33" s="4750"/>
      <c r="U33" s="4750"/>
      <c r="V33" s="4750"/>
      <c r="W33" s="4750"/>
      <c r="X33" s="4985"/>
      <c r="Y33" s="4985"/>
      <c r="Z33" s="4985"/>
      <c r="AA33"/>
      <c r="AC33"/>
    </row>
    <row r="34" spans="1:29" ht="17.25" customHeight="1" x14ac:dyDescent="0.25">
      <c r="A34" s="4757"/>
      <c r="B34" s="4757"/>
      <c r="C34" s="4757"/>
      <c r="D34" s="4757"/>
      <c r="E34" s="4757"/>
      <c r="F34" s="4757"/>
      <c r="G34" s="4757"/>
      <c r="H34" s="4757"/>
      <c r="I34" s="4757"/>
      <c r="J34" s="4757"/>
      <c r="K34" s="4757"/>
      <c r="L34" s="4757"/>
      <c r="M34" s="4757"/>
      <c r="N34" s="4757"/>
      <c r="O34" s="4757"/>
      <c r="P34" s="4757"/>
      <c r="Q34" s="4757"/>
      <c r="R34" s="4750"/>
      <c r="S34" s="4750"/>
      <c r="T34" s="4750"/>
      <c r="U34" s="4750"/>
      <c r="V34" s="4750"/>
      <c r="W34" s="4750"/>
      <c r="X34" s="4985"/>
      <c r="Y34" s="4985"/>
      <c r="Z34" s="4985"/>
      <c r="AA34"/>
      <c r="AC34"/>
    </row>
    <row r="35" spans="1:29" ht="17.25" customHeight="1" x14ac:dyDescent="0.15">
      <c r="A35" s="4754"/>
      <c r="B35" s="4730"/>
      <c r="C35" s="4730"/>
      <c r="D35" s="4730"/>
      <c r="E35" s="4730"/>
      <c r="F35" s="4730"/>
      <c r="G35" s="4730"/>
      <c r="H35" s="4730"/>
      <c r="N35" s="4750"/>
      <c r="O35" s="4750"/>
      <c r="P35" s="4750"/>
      <c r="Q35" s="4750"/>
      <c r="R35" s="4750"/>
      <c r="S35" s="4750"/>
      <c r="T35" s="4750"/>
      <c r="U35" s="4750"/>
      <c r="V35" s="4750"/>
      <c r="W35" s="4750"/>
      <c r="X35" s="4985"/>
      <c r="Y35" s="4985"/>
      <c r="Z35" s="4985"/>
    </row>
    <row r="36" spans="1:29" ht="17.25" customHeight="1" x14ac:dyDescent="0.15">
      <c r="A36" s="4754"/>
      <c r="B36" s="4730"/>
      <c r="C36" s="4730"/>
      <c r="D36" s="4730"/>
      <c r="E36" s="4730"/>
      <c r="F36" s="4730"/>
      <c r="G36" s="4730"/>
      <c r="H36" s="4730"/>
      <c r="N36" s="4750"/>
      <c r="O36" s="4750"/>
      <c r="P36" s="4750"/>
      <c r="Q36" s="4750"/>
      <c r="R36" s="4750"/>
      <c r="S36" s="4750"/>
      <c r="T36" s="4750"/>
      <c r="U36" s="4750"/>
      <c r="V36" s="4750"/>
      <c r="W36" s="4750"/>
      <c r="X36" s="4985"/>
      <c r="Y36" s="4985"/>
      <c r="Z36" s="4985"/>
    </row>
    <row r="37" spans="1:29" ht="17.25" customHeight="1" x14ac:dyDescent="0.15">
      <c r="A37" s="4754"/>
      <c r="B37" s="4730"/>
      <c r="C37" s="4730"/>
      <c r="D37" s="4730"/>
      <c r="E37" s="4730"/>
      <c r="F37" s="4730"/>
      <c r="G37" s="4730"/>
      <c r="H37" s="4730"/>
      <c r="N37" s="4750"/>
      <c r="O37" s="4750"/>
      <c r="P37" s="4750"/>
      <c r="Q37" s="4750"/>
      <c r="R37" s="4750"/>
      <c r="S37" s="4750"/>
      <c r="T37" s="4750"/>
      <c r="U37" s="4750"/>
      <c r="V37" s="4750"/>
      <c r="W37" s="4750"/>
      <c r="X37" s="4985"/>
      <c r="Y37" s="4985"/>
      <c r="Z37" s="4985"/>
    </row>
    <row r="38" spans="1:29" ht="17.25" customHeight="1" x14ac:dyDescent="0.15">
      <c r="A38" s="4754"/>
      <c r="B38" s="4730"/>
      <c r="C38" s="4730"/>
      <c r="D38" s="4730"/>
      <c r="E38" s="4730"/>
      <c r="F38" s="4730"/>
      <c r="G38" s="4730"/>
      <c r="H38" s="4730"/>
    </row>
    <row r="39" spans="1:29" ht="17.25" customHeight="1" x14ac:dyDescent="0.15">
      <c r="A39" s="4754"/>
      <c r="B39" s="4730"/>
      <c r="C39" s="4730"/>
      <c r="D39" s="4730"/>
      <c r="E39" s="4730"/>
      <c r="F39" s="4730"/>
      <c r="G39" s="4730"/>
      <c r="H39" s="4730"/>
    </row>
    <row r="40" spans="1:29" ht="17.25" customHeight="1" x14ac:dyDescent="0.15">
      <c r="A40" s="4754"/>
      <c r="C40" s="4730"/>
      <c r="D40" s="4730"/>
      <c r="E40" s="4730"/>
      <c r="F40" s="4730"/>
      <c r="G40" s="4730"/>
      <c r="H40" s="4730"/>
    </row>
    <row r="41" spans="1:29" x14ac:dyDescent="0.15">
      <c r="A41" s="4754"/>
      <c r="C41" s="4730"/>
      <c r="D41" s="4730"/>
      <c r="E41" s="4730"/>
      <c r="F41" s="4730"/>
      <c r="G41" s="4730"/>
      <c r="H41" s="4730"/>
    </row>
    <row r="42" spans="1:29" x14ac:dyDescent="0.15">
      <c r="A42" s="4754"/>
      <c r="C42" s="4730"/>
      <c r="D42" s="4730"/>
      <c r="E42" s="4730"/>
      <c r="F42" s="4730"/>
      <c r="G42" s="4730"/>
      <c r="H42" s="4730"/>
    </row>
    <row r="43" spans="1:29" x14ac:dyDescent="0.15">
      <c r="A43" s="4754"/>
      <c r="C43" s="4730"/>
      <c r="D43" s="4730"/>
      <c r="E43" s="4730"/>
      <c r="F43" s="4730"/>
      <c r="G43" s="4730"/>
      <c r="H43" s="4730"/>
    </row>
    <row r="44" spans="1:29" x14ac:dyDescent="0.15">
      <c r="A44" s="4754"/>
      <c r="C44" s="4730"/>
      <c r="D44" s="4730"/>
      <c r="E44" s="4730"/>
      <c r="F44" s="4730"/>
      <c r="G44" s="4730"/>
      <c r="H44" s="4730"/>
    </row>
    <row r="45" spans="1:29" x14ac:dyDescent="0.15">
      <c r="A45" s="4754"/>
      <c r="C45" s="4730"/>
      <c r="D45" s="4730"/>
      <c r="E45" s="4730"/>
      <c r="F45" s="4730"/>
      <c r="G45" s="4730"/>
      <c r="H45" s="4730"/>
    </row>
    <row r="46" spans="1:29" x14ac:dyDescent="0.15">
      <c r="A46" s="4754"/>
      <c r="C46" s="4730"/>
      <c r="D46" s="4730"/>
      <c r="E46" s="4730"/>
      <c r="F46" s="4730"/>
      <c r="G46" s="4730"/>
      <c r="H46" s="4730"/>
    </row>
    <row r="47" spans="1:29" x14ac:dyDescent="0.15">
      <c r="A47" s="4754"/>
      <c r="C47" s="4730"/>
      <c r="D47" s="4730"/>
      <c r="E47" s="4730"/>
      <c r="F47" s="4730"/>
      <c r="G47" s="4730"/>
      <c r="H47" s="4730"/>
    </row>
    <row r="48" spans="1:29" x14ac:dyDescent="0.15">
      <c r="A48" s="4754"/>
      <c r="C48" s="4730"/>
      <c r="D48" s="4730"/>
      <c r="E48" s="4730"/>
      <c r="F48" s="4730"/>
      <c r="G48" s="4730"/>
      <c r="H48" s="4730"/>
    </row>
    <row r="49" spans="1:8" x14ac:dyDescent="0.15">
      <c r="A49" s="4754"/>
      <c r="C49" s="4730"/>
      <c r="D49" s="4730"/>
      <c r="E49" s="4730"/>
      <c r="F49" s="4730"/>
      <c r="G49" s="4730"/>
      <c r="H49" s="4730"/>
    </row>
    <row r="50" spans="1:8" x14ac:dyDescent="0.15">
      <c r="A50" s="4754"/>
      <c r="C50" s="4730"/>
      <c r="D50" s="4730"/>
      <c r="E50" s="4730"/>
      <c r="F50" s="4730"/>
      <c r="G50" s="4730"/>
      <c r="H50" s="4730"/>
    </row>
    <row r="51" spans="1:8" x14ac:dyDescent="0.15">
      <c r="C51" s="4730"/>
      <c r="D51" s="4730"/>
      <c r="E51" s="4730"/>
      <c r="F51" s="4730"/>
      <c r="G51" s="4730"/>
      <c r="H51" s="4730"/>
    </row>
    <row r="52" spans="1:8" x14ac:dyDescent="0.15">
      <c r="C52" s="4730"/>
      <c r="D52" s="4730"/>
      <c r="E52" s="4730"/>
      <c r="F52" s="4730"/>
      <c r="G52" s="4730"/>
      <c r="H52" s="4730"/>
    </row>
    <row r="53" spans="1:8" x14ac:dyDescent="0.15">
      <c r="C53" s="4730"/>
      <c r="D53" s="4730"/>
      <c r="E53" s="4730"/>
      <c r="F53" s="4730"/>
      <c r="G53" s="4730"/>
      <c r="H53" s="4730"/>
    </row>
    <row r="54" spans="1:8" x14ac:dyDescent="0.15">
      <c r="C54" s="4730"/>
      <c r="D54" s="4730"/>
      <c r="E54" s="4730"/>
      <c r="F54" s="4730"/>
      <c r="G54" s="4730"/>
      <c r="H54" s="4730"/>
    </row>
    <row r="55" spans="1:8" x14ac:dyDescent="0.15">
      <c r="C55" s="4730"/>
      <c r="D55" s="4730"/>
      <c r="E55" s="4730"/>
      <c r="F55" s="4730"/>
      <c r="G55" s="4730"/>
      <c r="H55" s="4730"/>
    </row>
    <row r="56" spans="1:8" x14ac:dyDescent="0.15">
      <c r="C56" s="4730"/>
      <c r="D56" s="4730"/>
      <c r="E56" s="4730"/>
      <c r="F56" s="4730"/>
      <c r="G56" s="4730"/>
      <c r="H56" s="4730"/>
    </row>
    <row r="57" spans="1:8" x14ac:dyDescent="0.15">
      <c r="C57" s="4730"/>
      <c r="D57" s="4730"/>
      <c r="E57" s="4730"/>
      <c r="F57" s="4730"/>
      <c r="G57" s="4730"/>
      <c r="H57" s="4730"/>
    </row>
    <row r="58" spans="1:8" x14ac:dyDescent="0.15">
      <c r="C58" s="4730"/>
      <c r="D58" s="4730"/>
      <c r="E58" s="4730"/>
      <c r="F58" s="4730"/>
      <c r="G58" s="4730"/>
      <c r="H58" s="4730"/>
    </row>
    <row r="59" spans="1:8" x14ac:dyDescent="0.15">
      <c r="C59" s="4730"/>
      <c r="D59" s="4730"/>
      <c r="E59" s="4730"/>
      <c r="F59" s="4730"/>
      <c r="G59" s="4730"/>
      <c r="H59" s="4730"/>
    </row>
    <row r="60" spans="1:8" x14ac:dyDescent="0.15">
      <c r="C60" s="4730"/>
      <c r="D60" s="4730"/>
      <c r="E60" s="4730"/>
      <c r="F60" s="4730"/>
      <c r="G60" s="4730"/>
      <c r="H60" s="4730"/>
    </row>
    <row r="61" spans="1:8" x14ac:dyDescent="0.15">
      <c r="C61" s="4730"/>
      <c r="D61" s="4730"/>
      <c r="E61" s="4730"/>
      <c r="F61" s="4730"/>
      <c r="G61" s="4730"/>
      <c r="H61" s="4730"/>
    </row>
    <row r="62" spans="1:8" x14ac:dyDescent="0.15">
      <c r="C62" s="4730"/>
      <c r="D62" s="4730"/>
      <c r="E62" s="4730"/>
      <c r="F62" s="4730"/>
      <c r="G62" s="4730"/>
      <c r="H62" s="4730"/>
    </row>
    <row r="63" spans="1:8" x14ac:dyDescent="0.15">
      <c r="C63" s="4730"/>
      <c r="D63" s="4730"/>
      <c r="E63" s="4730"/>
      <c r="F63" s="4730"/>
      <c r="G63" s="4730"/>
      <c r="H63" s="4730"/>
    </row>
    <row r="64" spans="1:8" x14ac:dyDescent="0.15">
      <c r="C64" s="4730"/>
      <c r="D64" s="4730"/>
      <c r="E64" s="4730"/>
      <c r="F64" s="4730"/>
      <c r="G64" s="4730"/>
      <c r="H64" s="4730"/>
    </row>
    <row r="65" spans="3:8" x14ac:dyDescent="0.15">
      <c r="C65" s="4730"/>
      <c r="D65" s="4730"/>
      <c r="E65" s="4730"/>
      <c r="F65" s="4730"/>
      <c r="G65" s="4730"/>
      <c r="H65" s="4730"/>
    </row>
    <row r="66" spans="3:8" x14ac:dyDescent="0.15">
      <c r="C66" s="4730"/>
      <c r="D66" s="4730"/>
      <c r="E66" s="4730"/>
      <c r="F66" s="4730"/>
      <c r="G66" s="4730"/>
      <c r="H66" s="4730"/>
    </row>
    <row r="67" spans="3:8" x14ac:dyDescent="0.15">
      <c r="C67" s="4730"/>
      <c r="D67" s="4730"/>
      <c r="E67" s="4730"/>
      <c r="F67" s="4730"/>
      <c r="G67" s="4730"/>
      <c r="H67" s="4730"/>
    </row>
    <row r="68" spans="3:8" x14ac:dyDescent="0.15">
      <c r="C68" s="4730"/>
      <c r="D68" s="4730"/>
      <c r="E68" s="4730"/>
      <c r="F68" s="4730"/>
      <c r="G68" s="4730"/>
      <c r="H68" s="4730"/>
    </row>
    <row r="69" spans="3:8" x14ac:dyDescent="0.15">
      <c r="C69" s="4730"/>
      <c r="D69" s="4730"/>
      <c r="E69" s="4730"/>
      <c r="F69" s="4730"/>
      <c r="G69" s="4730"/>
      <c r="H69" s="4730"/>
    </row>
    <row r="70" spans="3:8" x14ac:dyDescent="0.15">
      <c r="C70" s="4730"/>
      <c r="D70" s="4730"/>
      <c r="E70" s="4730"/>
      <c r="F70" s="4730"/>
      <c r="G70" s="4730"/>
      <c r="H70" s="4730"/>
    </row>
    <row r="71" spans="3:8" x14ac:dyDescent="0.15">
      <c r="C71" s="4730"/>
      <c r="D71" s="4730"/>
      <c r="E71" s="4730"/>
      <c r="F71" s="4730"/>
      <c r="G71" s="4730"/>
      <c r="H71" s="4730"/>
    </row>
    <row r="72" spans="3:8" x14ac:dyDescent="0.15">
      <c r="C72" s="4730"/>
      <c r="D72" s="4730"/>
      <c r="E72" s="4730"/>
      <c r="F72" s="4730"/>
      <c r="G72" s="4730"/>
      <c r="H72" s="4730"/>
    </row>
    <row r="73" spans="3:8" x14ac:dyDescent="0.15">
      <c r="C73" s="4730"/>
      <c r="D73" s="4730"/>
      <c r="E73" s="4730"/>
      <c r="F73" s="4730"/>
      <c r="G73" s="4730"/>
      <c r="H73" s="4730"/>
    </row>
    <row r="74" spans="3:8" x14ac:dyDescent="0.15">
      <c r="C74" s="4730"/>
      <c r="D74" s="4730"/>
      <c r="E74" s="4730"/>
      <c r="F74" s="4730"/>
      <c r="G74" s="4730"/>
      <c r="H74" s="4730"/>
    </row>
    <row r="75" spans="3:8" x14ac:dyDescent="0.15">
      <c r="C75" s="4730"/>
      <c r="D75" s="4730"/>
      <c r="E75" s="4730"/>
      <c r="F75" s="4730"/>
      <c r="G75" s="4730"/>
      <c r="H75" s="4730"/>
    </row>
    <row r="76" spans="3:8" x14ac:dyDescent="0.15">
      <c r="C76" s="4730"/>
      <c r="D76" s="4730"/>
      <c r="E76" s="4730"/>
      <c r="F76" s="4730"/>
      <c r="G76" s="4730"/>
      <c r="H76" s="4730"/>
    </row>
    <row r="77" spans="3:8" x14ac:dyDescent="0.15">
      <c r="C77" s="4730"/>
      <c r="D77" s="4730"/>
      <c r="E77" s="4730"/>
      <c r="F77" s="4730"/>
      <c r="G77" s="4730"/>
      <c r="H77" s="4730"/>
    </row>
    <row r="78" spans="3:8" x14ac:dyDescent="0.15">
      <c r="C78" s="4730"/>
      <c r="D78" s="4730"/>
      <c r="E78" s="4730"/>
      <c r="F78" s="4730"/>
      <c r="G78" s="4730"/>
      <c r="H78" s="4730"/>
    </row>
    <row r="79" spans="3:8" x14ac:dyDescent="0.15">
      <c r="C79" s="4730"/>
      <c r="D79" s="4730"/>
      <c r="E79" s="4730"/>
      <c r="F79" s="4730"/>
      <c r="G79" s="4730"/>
      <c r="H79" s="4730"/>
    </row>
    <row r="80" spans="3:8" x14ac:dyDescent="0.15">
      <c r="C80" s="4730"/>
      <c r="D80" s="4730"/>
      <c r="E80" s="4730"/>
      <c r="F80" s="4730"/>
      <c r="G80" s="4730"/>
      <c r="H80" s="4730"/>
    </row>
    <row r="81" spans="3:8" x14ac:dyDescent="0.15">
      <c r="C81" s="4730"/>
      <c r="D81" s="4730"/>
      <c r="E81" s="4730"/>
      <c r="F81" s="4730"/>
      <c r="G81" s="4730"/>
      <c r="H81" s="4730"/>
    </row>
    <row r="82" spans="3:8" x14ac:dyDescent="0.15">
      <c r="C82" s="4730"/>
      <c r="D82" s="4730"/>
      <c r="E82" s="4730"/>
      <c r="F82" s="4730"/>
      <c r="G82" s="4730"/>
      <c r="H82" s="4730"/>
    </row>
    <row r="83" spans="3:8" x14ac:dyDescent="0.15">
      <c r="C83" s="4730"/>
      <c r="D83" s="4730"/>
      <c r="E83" s="4730"/>
      <c r="F83" s="4730"/>
      <c r="G83" s="4730"/>
      <c r="H83" s="4730"/>
    </row>
    <row r="84" spans="3:8" x14ac:dyDescent="0.15">
      <c r="C84" s="4730"/>
      <c r="D84" s="4730"/>
      <c r="E84" s="4730"/>
      <c r="F84" s="4730"/>
      <c r="G84" s="4730"/>
      <c r="H84" s="4730"/>
    </row>
    <row r="85" spans="3:8" x14ac:dyDescent="0.15">
      <c r="C85" s="4730"/>
      <c r="D85" s="4730"/>
      <c r="E85" s="4730"/>
      <c r="F85" s="4730"/>
      <c r="G85" s="4730"/>
      <c r="H85" s="4730"/>
    </row>
    <row r="86" spans="3:8" x14ac:dyDescent="0.15">
      <c r="C86" s="4730"/>
      <c r="D86" s="4730"/>
      <c r="E86" s="4730"/>
      <c r="F86" s="4730"/>
      <c r="G86" s="4730"/>
      <c r="H86" s="4730"/>
    </row>
    <row r="87" spans="3:8" x14ac:dyDescent="0.15">
      <c r="C87" s="4730"/>
      <c r="D87" s="4730"/>
      <c r="E87" s="4730"/>
      <c r="F87" s="4730"/>
      <c r="G87" s="4730"/>
      <c r="H87" s="4730"/>
    </row>
    <row r="88" spans="3:8" x14ac:dyDescent="0.15">
      <c r="C88" s="4730"/>
      <c r="D88" s="4730"/>
      <c r="E88" s="4730"/>
      <c r="F88" s="4730"/>
      <c r="G88" s="4730"/>
      <c r="H88" s="4730"/>
    </row>
    <row r="89" spans="3:8" x14ac:dyDescent="0.15">
      <c r="C89" s="4730"/>
      <c r="D89" s="4730"/>
      <c r="E89" s="4730"/>
      <c r="F89" s="4730"/>
      <c r="G89" s="4730"/>
      <c r="H89" s="4730"/>
    </row>
    <row r="90" spans="3:8" x14ac:dyDescent="0.15">
      <c r="C90" s="4730"/>
      <c r="D90" s="4730"/>
      <c r="E90" s="4730"/>
      <c r="F90" s="4730"/>
      <c r="G90" s="4730"/>
      <c r="H90" s="4730"/>
    </row>
    <row r="91" spans="3:8" x14ac:dyDescent="0.15">
      <c r="C91" s="4730"/>
      <c r="D91" s="4730"/>
      <c r="E91" s="4730"/>
      <c r="F91" s="4730"/>
      <c r="G91" s="4730"/>
      <c r="H91" s="4730"/>
    </row>
    <row r="92" spans="3:8" x14ac:dyDescent="0.15">
      <c r="C92" s="4730"/>
      <c r="D92" s="4730"/>
      <c r="E92" s="4730"/>
      <c r="F92" s="4730"/>
      <c r="G92" s="4730"/>
      <c r="H92" s="4730"/>
    </row>
    <row r="93" spans="3:8" x14ac:dyDescent="0.15">
      <c r="C93" s="4730"/>
      <c r="D93" s="4730"/>
      <c r="E93" s="4730"/>
      <c r="F93" s="4730"/>
      <c r="G93" s="4730"/>
      <c r="H93" s="4730"/>
    </row>
    <row r="94" spans="3:8" x14ac:dyDescent="0.15">
      <c r="C94" s="4730"/>
      <c r="D94" s="4730"/>
      <c r="E94" s="4730"/>
      <c r="F94" s="4730"/>
      <c r="G94" s="4730"/>
      <c r="H94" s="4730"/>
    </row>
    <row r="95" spans="3:8" x14ac:dyDescent="0.15">
      <c r="C95" s="4730"/>
      <c r="D95" s="4730"/>
      <c r="E95" s="4730"/>
      <c r="F95" s="4730"/>
      <c r="G95" s="4730"/>
      <c r="H95" s="4730"/>
    </row>
    <row r="96" spans="3:8" x14ac:dyDescent="0.15">
      <c r="C96" s="4730"/>
      <c r="D96" s="4730"/>
      <c r="E96" s="4730"/>
      <c r="F96" s="4730"/>
      <c r="G96" s="4730"/>
      <c r="H96" s="4730"/>
    </row>
    <row r="97" spans="3:8" x14ac:dyDescent="0.15">
      <c r="C97" s="4730"/>
      <c r="D97" s="4730"/>
      <c r="E97" s="4730"/>
      <c r="F97" s="4730"/>
      <c r="G97" s="4730"/>
      <c r="H97" s="4730"/>
    </row>
    <row r="98" spans="3:8" x14ac:dyDescent="0.15">
      <c r="C98" s="4730"/>
      <c r="D98" s="4730"/>
      <c r="E98" s="4730"/>
      <c r="F98" s="4730"/>
      <c r="G98" s="4730"/>
      <c r="H98" s="4730"/>
    </row>
    <row r="99" spans="3:8" x14ac:dyDescent="0.15">
      <c r="C99" s="4730"/>
      <c r="D99" s="4730"/>
      <c r="E99" s="4730"/>
      <c r="F99" s="4730"/>
      <c r="G99" s="4730"/>
      <c r="H99" s="4730"/>
    </row>
    <row r="100" spans="3:8" x14ac:dyDescent="0.15">
      <c r="C100" s="4730"/>
      <c r="D100" s="4730"/>
      <c r="E100" s="4730"/>
      <c r="F100" s="4730"/>
      <c r="G100" s="4730"/>
      <c r="H100" s="4730"/>
    </row>
    <row r="101" spans="3:8" x14ac:dyDescent="0.15">
      <c r="C101" s="4730"/>
      <c r="D101" s="4730"/>
      <c r="E101" s="4730"/>
      <c r="F101" s="4730"/>
      <c r="G101" s="4730"/>
      <c r="H101" s="4730"/>
    </row>
    <row r="102" spans="3:8" x14ac:dyDescent="0.15">
      <c r="C102" s="4730"/>
      <c r="D102" s="4730"/>
      <c r="E102" s="4730"/>
      <c r="F102" s="4730"/>
      <c r="G102" s="4730"/>
      <c r="H102" s="4730"/>
    </row>
    <row r="103" spans="3:8" x14ac:dyDescent="0.15">
      <c r="C103" s="4730"/>
      <c r="D103" s="4730"/>
      <c r="E103" s="4730"/>
      <c r="F103" s="4730"/>
      <c r="G103" s="4730"/>
      <c r="H103" s="4730"/>
    </row>
    <row r="104" spans="3:8" x14ac:dyDescent="0.15">
      <c r="C104" s="4730"/>
      <c r="D104" s="4730"/>
      <c r="E104" s="4730"/>
      <c r="F104" s="4730"/>
      <c r="G104" s="4730"/>
      <c r="H104" s="4730"/>
    </row>
    <row r="105" spans="3:8" x14ac:dyDescent="0.15">
      <c r="C105" s="4730"/>
      <c r="D105" s="4730"/>
      <c r="E105" s="4730"/>
      <c r="F105" s="4730"/>
      <c r="G105" s="4730"/>
      <c r="H105" s="4730"/>
    </row>
    <row r="106" spans="3:8" x14ac:dyDescent="0.15">
      <c r="C106" s="4730"/>
      <c r="D106" s="4730"/>
      <c r="E106" s="4730"/>
      <c r="F106" s="4730"/>
      <c r="G106" s="4730"/>
      <c r="H106" s="4730"/>
    </row>
    <row r="107" spans="3:8" x14ac:dyDescent="0.15">
      <c r="C107" s="4730"/>
      <c r="D107" s="4730"/>
      <c r="E107" s="4730"/>
      <c r="F107" s="4730"/>
      <c r="G107" s="4730"/>
      <c r="H107" s="4730"/>
    </row>
    <row r="108" spans="3:8" x14ac:dyDescent="0.15">
      <c r="C108" s="4730"/>
      <c r="D108" s="4730"/>
      <c r="E108" s="4730"/>
      <c r="F108" s="4730"/>
      <c r="G108" s="4730"/>
      <c r="H108" s="4730"/>
    </row>
    <row r="109" spans="3:8" x14ac:dyDescent="0.15">
      <c r="C109" s="4730"/>
      <c r="D109" s="4730"/>
      <c r="E109" s="4730"/>
      <c r="F109" s="4730"/>
      <c r="G109" s="4730"/>
      <c r="H109" s="4730"/>
    </row>
    <row r="110" spans="3:8" x14ac:dyDescent="0.15">
      <c r="C110" s="4730"/>
      <c r="D110" s="4730"/>
      <c r="E110" s="4730"/>
      <c r="F110" s="4730"/>
      <c r="G110" s="4730"/>
      <c r="H110" s="4730"/>
    </row>
    <row r="111" spans="3:8" x14ac:dyDescent="0.15">
      <c r="C111" s="4730"/>
      <c r="D111" s="4730"/>
      <c r="E111" s="4730"/>
      <c r="F111" s="4730"/>
      <c r="G111" s="4730"/>
      <c r="H111" s="4730"/>
    </row>
    <row r="112" spans="3:8" x14ac:dyDescent="0.15">
      <c r="C112" s="4730"/>
      <c r="D112" s="4730"/>
      <c r="E112" s="4730"/>
      <c r="F112" s="4730"/>
      <c r="G112" s="4730"/>
      <c r="H112" s="4730"/>
    </row>
    <row r="113" spans="3:8" x14ac:dyDescent="0.15">
      <c r="C113" s="4730"/>
      <c r="D113" s="4730"/>
      <c r="E113" s="4730"/>
      <c r="F113" s="4730"/>
      <c r="G113" s="4730"/>
      <c r="H113" s="4730"/>
    </row>
    <row r="114" spans="3:8" x14ac:dyDescent="0.15">
      <c r="C114" s="4730"/>
      <c r="D114" s="4730"/>
      <c r="E114" s="4730"/>
      <c r="F114" s="4730"/>
      <c r="G114" s="4730"/>
      <c r="H114" s="4730"/>
    </row>
    <row r="115" spans="3:8" x14ac:dyDescent="0.15">
      <c r="C115" s="4730"/>
      <c r="D115" s="4730"/>
      <c r="E115" s="4730"/>
      <c r="F115" s="4730"/>
      <c r="G115" s="4730"/>
      <c r="H115" s="4730"/>
    </row>
    <row r="116" spans="3:8" x14ac:dyDescent="0.15">
      <c r="C116" s="4730"/>
      <c r="D116" s="4730"/>
      <c r="E116" s="4730"/>
      <c r="F116" s="4730"/>
      <c r="G116" s="4730"/>
      <c r="H116" s="4730"/>
    </row>
    <row r="117" spans="3:8" x14ac:dyDescent="0.15">
      <c r="C117" s="4730"/>
      <c r="D117" s="4730"/>
      <c r="E117" s="4730"/>
      <c r="F117" s="4730"/>
      <c r="G117" s="4730"/>
      <c r="H117" s="4730"/>
    </row>
    <row r="118" spans="3:8" x14ac:dyDescent="0.15">
      <c r="C118" s="4730"/>
      <c r="D118" s="4730"/>
      <c r="E118" s="4730"/>
      <c r="F118" s="4730"/>
      <c r="G118" s="4730"/>
      <c r="H118" s="4730"/>
    </row>
    <row r="119" spans="3:8" x14ac:dyDescent="0.15">
      <c r="C119" s="4730"/>
      <c r="D119" s="4730"/>
      <c r="E119" s="4730"/>
      <c r="F119" s="4730"/>
      <c r="G119" s="4730"/>
      <c r="H119" s="4730"/>
    </row>
    <row r="120" spans="3:8" x14ac:dyDescent="0.15">
      <c r="C120" s="4730"/>
      <c r="D120" s="4730"/>
      <c r="E120" s="4730"/>
      <c r="F120" s="4730"/>
      <c r="G120" s="4730"/>
      <c r="H120" s="4730"/>
    </row>
    <row r="121" spans="3:8" x14ac:dyDescent="0.15">
      <c r="C121" s="4730"/>
      <c r="D121" s="4730"/>
      <c r="E121" s="4730"/>
      <c r="F121" s="4730"/>
      <c r="G121" s="4730"/>
      <c r="H121" s="4730"/>
    </row>
    <row r="122" spans="3:8" x14ac:dyDescent="0.15">
      <c r="C122" s="4730"/>
      <c r="D122" s="4730"/>
      <c r="E122" s="4730"/>
      <c r="F122" s="4730"/>
      <c r="G122" s="4730"/>
      <c r="H122" s="4730"/>
    </row>
    <row r="123" spans="3:8" x14ac:dyDescent="0.15">
      <c r="C123" s="4730"/>
      <c r="D123" s="4730"/>
      <c r="E123" s="4730"/>
      <c r="F123" s="4730"/>
      <c r="G123" s="4730"/>
      <c r="H123" s="4730"/>
    </row>
    <row r="124" spans="3:8" x14ac:dyDescent="0.15">
      <c r="C124" s="4730"/>
      <c r="D124" s="4730"/>
      <c r="E124" s="4730"/>
      <c r="F124" s="4730"/>
      <c r="G124" s="4730"/>
      <c r="H124" s="4730"/>
    </row>
    <row r="125" spans="3:8" x14ac:dyDescent="0.15">
      <c r="C125" s="4730"/>
      <c r="D125" s="4730"/>
      <c r="E125" s="4730"/>
      <c r="F125" s="4730"/>
      <c r="G125" s="4730"/>
      <c r="H125" s="4730"/>
    </row>
    <row r="126" spans="3:8" x14ac:dyDescent="0.15">
      <c r="C126" s="4730"/>
      <c r="D126" s="4730"/>
      <c r="E126" s="4730"/>
      <c r="F126" s="4730"/>
      <c r="G126" s="4730"/>
      <c r="H126" s="4730"/>
    </row>
    <row r="127" spans="3:8" x14ac:dyDescent="0.15">
      <c r="C127" s="4730"/>
      <c r="D127" s="4730"/>
      <c r="E127" s="4730"/>
      <c r="F127" s="4730"/>
      <c r="G127" s="4730"/>
      <c r="H127" s="4730"/>
    </row>
    <row r="128" spans="3:8" x14ac:dyDescent="0.15">
      <c r="C128" s="4730"/>
      <c r="D128" s="4730"/>
      <c r="E128" s="4730"/>
      <c r="F128" s="4730"/>
      <c r="G128" s="4730"/>
      <c r="H128" s="4730"/>
    </row>
    <row r="129" spans="3:8" x14ac:dyDescent="0.15">
      <c r="C129" s="4730"/>
      <c r="D129" s="4730"/>
      <c r="E129" s="4730"/>
      <c r="F129" s="4730"/>
      <c r="G129" s="4730"/>
      <c r="H129" s="4730"/>
    </row>
    <row r="130" spans="3:8" x14ac:dyDescent="0.15">
      <c r="C130" s="4730"/>
      <c r="D130" s="4730"/>
      <c r="E130" s="4730"/>
      <c r="F130" s="4730"/>
      <c r="G130" s="4730"/>
      <c r="H130" s="4730"/>
    </row>
    <row r="131" spans="3:8" x14ac:dyDescent="0.15">
      <c r="C131" s="4730"/>
      <c r="D131" s="4730"/>
      <c r="E131" s="4730"/>
      <c r="F131" s="4730"/>
      <c r="G131" s="4730"/>
      <c r="H131" s="4730"/>
    </row>
    <row r="132" spans="3:8" x14ac:dyDescent="0.15">
      <c r="C132" s="4730"/>
      <c r="D132" s="4730"/>
      <c r="E132" s="4730"/>
      <c r="F132" s="4730"/>
      <c r="G132" s="4730"/>
      <c r="H132" s="4730"/>
    </row>
    <row r="133" spans="3:8" x14ac:dyDescent="0.15">
      <c r="C133" s="4730"/>
      <c r="D133" s="4730"/>
      <c r="E133" s="4730"/>
      <c r="F133" s="4730"/>
      <c r="G133" s="4730"/>
      <c r="H133" s="4730"/>
    </row>
    <row r="134" spans="3:8" x14ac:dyDescent="0.15">
      <c r="C134" s="4730"/>
      <c r="D134" s="4730"/>
      <c r="E134" s="4730"/>
      <c r="F134" s="4730"/>
      <c r="G134" s="4730"/>
      <c r="H134" s="4730"/>
    </row>
    <row r="135" spans="3:8" x14ac:dyDescent="0.15">
      <c r="C135" s="4730"/>
      <c r="D135" s="4730"/>
      <c r="E135" s="4730"/>
      <c r="F135" s="4730"/>
      <c r="G135" s="4730"/>
      <c r="H135" s="4730"/>
    </row>
    <row r="136" spans="3:8" x14ac:dyDescent="0.15">
      <c r="C136" s="4730"/>
      <c r="D136" s="4730"/>
      <c r="E136" s="4730"/>
      <c r="F136" s="4730"/>
      <c r="G136" s="4730"/>
      <c r="H136" s="4730"/>
    </row>
    <row r="137" spans="3:8" x14ac:dyDescent="0.15">
      <c r="C137" s="4730"/>
      <c r="D137" s="4730"/>
      <c r="E137" s="4730"/>
      <c r="F137" s="4730"/>
      <c r="G137" s="4730"/>
      <c r="H137" s="4730"/>
    </row>
    <row r="138" spans="3:8" x14ac:dyDescent="0.15">
      <c r="C138" s="4730"/>
      <c r="D138" s="4730"/>
      <c r="E138" s="4730"/>
      <c r="F138" s="4730"/>
      <c r="G138" s="4730"/>
      <c r="H138" s="4730"/>
    </row>
    <row r="139" spans="3:8" x14ac:dyDescent="0.15">
      <c r="C139" s="4730"/>
      <c r="D139" s="4730"/>
      <c r="E139" s="4730"/>
      <c r="F139" s="4730"/>
      <c r="G139" s="4730"/>
      <c r="H139" s="4730"/>
    </row>
    <row r="140" spans="3:8" x14ac:dyDescent="0.15">
      <c r="C140" s="4730"/>
      <c r="D140" s="4730"/>
      <c r="E140" s="4730"/>
      <c r="F140" s="4730"/>
      <c r="G140" s="4730"/>
      <c r="H140" s="4730"/>
    </row>
    <row r="141" spans="3:8" x14ac:dyDescent="0.15">
      <c r="C141" s="4730"/>
      <c r="D141" s="4730"/>
      <c r="E141" s="4730"/>
      <c r="F141" s="4730"/>
      <c r="G141" s="4730"/>
      <c r="H141" s="4730"/>
    </row>
    <row r="142" spans="3:8" x14ac:dyDescent="0.15">
      <c r="C142" s="4730"/>
      <c r="D142" s="4730"/>
      <c r="E142" s="4730"/>
      <c r="F142" s="4730"/>
      <c r="G142" s="4730"/>
      <c r="H142" s="4730"/>
    </row>
    <row r="143" spans="3:8" x14ac:dyDescent="0.15">
      <c r="C143" s="4730"/>
      <c r="D143" s="4730"/>
      <c r="E143" s="4730"/>
      <c r="F143" s="4730"/>
      <c r="G143" s="4730"/>
      <c r="H143" s="4730"/>
    </row>
    <row r="144" spans="3:8" x14ac:dyDescent="0.15">
      <c r="C144" s="4730"/>
      <c r="D144" s="4730"/>
      <c r="E144" s="4730"/>
      <c r="F144" s="4730"/>
      <c r="G144" s="4730"/>
      <c r="H144" s="4730"/>
    </row>
    <row r="145" spans="3:8" x14ac:dyDescent="0.15">
      <c r="C145" s="4730"/>
      <c r="D145" s="4730"/>
      <c r="E145" s="4730"/>
      <c r="F145" s="4730"/>
      <c r="G145" s="4730"/>
      <c r="H145" s="4730"/>
    </row>
    <row r="146" spans="3:8" x14ac:dyDescent="0.15">
      <c r="C146" s="4730"/>
      <c r="D146" s="4730"/>
      <c r="E146" s="4730"/>
      <c r="F146" s="4730"/>
      <c r="G146" s="4730"/>
      <c r="H146" s="4730"/>
    </row>
    <row r="147" spans="3:8" x14ac:dyDescent="0.15">
      <c r="C147" s="4730"/>
      <c r="D147" s="4730"/>
      <c r="E147" s="4730"/>
      <c r="F147" s="4730"/>
      <c r="G147" s="4730"/>
      <c r="H147" s="4730"/>
    </row>
    <row r="148" spans="3:8" x14ac:dyDescent="0.15">
      <c r="C148" s="4730"/>
      <c r="D148" s="4730"/>
      <c r="E148" s="4730"/>
      <c r="F148" s="4730"/>
      <c r="G148" s="4730"/>
      <c r="H148" s="4730"/>
    </row>
    <row r="149" spans="3:8" x14ac:dyDescent="0.15">
      <c r="C149" s="4730"/>
      <c r="D149" s="4730"/>
      <c r="E149" s="4730"/>
      <c r="F149" s="4730"/>
      <c r="G149" s="4730"/>
      <c r="H149" s="4730"/>
    </row>
    <row r="150" spans="3:8" x14ac:dyDescent="0.15">
      <c r="C150" s="4730"/>
      <c r="D150" s="4730"/>
      <c r="E150" s="4730"/>
      <c r="F150" s="4730"/>
      <c r="G150" s="4730"/>
      <c r="H150" s="4730"/>
    </row>
    <row r="151" spans="3:8" x14ac:dyDescent="0.15">
      <c r="C151" s="4730"/>
      <c r="D151" s="4730"/>
      <c r="E151" s="4730"/>
      <c r="F151" s="4730"/>
      <c r="G151" s="4730"/>
      <c r="H151" s="4730"/>
    </row>
    <row r="152" spans="3:8" x14ac:dyDescent="0.15">
      <c r="C152" s="4730"/>
      <c r="D152" s="4730"/>
      <c r="E152" s="4730"/>
      <c r="F152" s="4730"/>
      <c r="G152" s="4730"/>
      <c r="H152" s="4730"/>
    </row>
    <row r="153" spans="3:8" x14ac:dyDescent="0.15">
      <c r="C153" s="4730"/>
      <c r="D153" s="4730"/>
      <c r="E153" s="4730"/>
      <c r="F153" s="4730"/>
      <c r="G153" s="4730"/>
      <c r="H153" s="4730"/>
    </row>
    <row r="154" spans="3:8" x14ac:dyDescent="0.15">
      <c r="C154" s="4730"/>
      <c r="D154" s="4730"/>
      <c r="E154" s="4730"/>
      <c r="F154" s="4730"/>
      <c r="G154" s="4730"/>
      <c r="H154" s="4730"/>
    </row>
    <row r="155" spans="3:8" x14ac:dyDescent="0.15">
      <c r="C155" s="4730"/>
      <c r="D155" s="4730"/>
      <c r="E155" s="4730"/>
      <c r="F155" s="4730"/>
      <c r="G155" s="4730"/>
      <c r="H155" s="4730"/>
    </row>
    <row r="156" spans="3:8" x14ac:dyDescent="0.15">
      <c r="C156" s="4730"/>
      <c r="D156" s="4730"/>
      <c r="E156" s="4730"/>
      <c r="F156" s="4730"/>
      <c r="G156" s="4730"/>
      <c r="H156" s="4730"/>
    </row>
    <row r="157" spans="3:8" x14ac:dyDescent="0.15">
      <c r="C157" s="4730"/>
      <c r="D157" s="4730"/>
      <c r="E157" s="4730"/>
      <c r="F157" s="4730"/>
      <c r="G157" s="4730"/>
      <c r="H157" s="4730"/>
    </row>
    <row r="158" spans="3:8" x14ac:dyDescent="0.15">
      <c r="C158" s="4730"/>
      <c r="D158" s="4730"/>
      <c r="E158" s="4730"/>
      <c r="F158" s="4730"/>
      <c r="G158" s="4730"/>
      <c r="H158" s="4730"/>
    </row>
    <row r="159" spans="3:8" x14ac:dyDescent="0.15">
      <c r="C159" s="4730"/>
      <c r="D159" s="4730"/>
      <c r="E159" s="4730"/>
      <c r="F159" s="4730"/>
      <c r="G159" s="4730"/>
      <c r="H159" s="4730"/>
    </row>
    <row r="160" spans="3:8" x14ac:dyDescent="0.15">
      <c r="C160" s="4730"/>
      <c r="D160" s="4730"/>
      <c r="E160" s="4730"/>
      <c r="F160" s="4730"/>
      <c r="G160" s="4730"/>
      <c r="H160" s="4730"/>
    </row>
    <row r="161" spans="3:8" x14ac:dyDescent="0.15">
      <c r="C161" s="4730"/>
      <c r="D161" s="4730"/>
      <c r="E161" s="4730"/>
      <c r="F161" s="4730"/>
      <c r="G161" s="4730"/>
      <c r="H161" s="4730"/>
    </row>
    <row r="162" spans="3:8" x14ac:dyDescent="0.15">
      <c r="C162" s="4730"/>
      <c r="D162" s="4730"/>
      <c r="E162" s="4730"/>
      <c r="F162" s="4730"/>
      <c r="G162" s="4730"/>
      <c r="H162" s="4730"/>
    </row>
    <row r="163" spans="3:8" x14ac:dyDescent="0.15">
      <c r="C163" s="4730"/>
      <c r="D163" s="4730"/>
      <c r="E163" s="4730"/>
      <c r="F163" s="4730"/>
      <c r="G163" s="4730"/>
      <c r="H163" s="4730"/>
    </row>
    <row r="164" spans="3:8" x14ac:dyDescent="0.15">
      <c r="C164" s="4730"/>
      <c r="D164" s="4730"/>
      <c r="E164" s="4730"/>
      <c r="F164" s="4730"/>
      <c r="G164" s="4730"/>
      <c r="H164" s="4730"/>
    </row>
    <row r="165" spans="3:8" x14ac:dyDescent="0.15">
      <c r="C165" s="4730"/>
      <c r="D165" s="4730"/>
      <c r="E165" s="4730"/>
      <c r="F165" s="4730"/>
      <c r="G165" s="4730"/>
      <c r="H165" s="4730"/>
    </row>
    <row r="166" spans="3:8" x14ac:dyDescent="0.15">
      <c r="C166" s="4730"/>
      <c r="D166" s="4730"/>
      <c r="E166" s="4730"/>
      <c r="F166" s="4730"/>
      <c r="G166" s="4730"/>
      <c r="H166" s="4730"/>
    </row>
    <row r="167" spans="3:8" x14ac:dyDescent="0.15">
      <c r="C167" s="4730"/>
      <c r="D167" s="4730"/>
      <c r="E167" s="4730"/>
      <c r="F167" s="4730"/>
      <c r="G167" s="4730"/>
      <c r="H167" s="4730"/>
    </row>
  </sheetData>
  <sheetProtection algorithmName="SHA-512" hashValue="tyP31NdD+bsDt8SXGy74b7C47qvSFyjYMHIdmfZVNLOL2YHSDAd0APXqd6YVKN96yOj7pB+pKcUmceux5RvxgA==" saltValue="0b1M7W7uuaPRXacFwCd6tg==" spinCount="100000" sheet="1" objects="1" scenarios="1"/>
  <mergeCells count="5">
    <mergeCell ref="B17:B19"/>
    <mergeCell ref="A1:B1"/>
    <mergeCell ref="C1:H1"/>
    <mergeCell ref="A9:B9"/>
    <mergeCell ref="A15:B15"/>
  </mergeCells>
  <phoneticPr fontId="64" type="noConversion"/>
  <dataValidations count="5">
    <dataValidation type="whole" allowBlank="1" showInputMessage="1" showErrorMessage="1" errorTitle="Número Incorrecto" error="Sólo se permite ingresar un dígito 0 o 1." sqref="C6" xr:uid="{00000000-0002-0000-0000-000000000000}">
      <formula1>0</formula1>
      <formula2>1</formula2>
    </dataValidation>
    <dataValidation type="whole" allowBlank="1" showInputMessage="1" showErrorMessage="1" errorTitle="Número Inválido" error="Sólo se permite ingresar un dígito entre 0 y 9." sqref="C3:H5" xr:uid="{00000000-0002-0000-0000-000001000000}">
      <formula1>0</formula1>
      <formula2>9</formula2>
    </dataValidation>
    <dataValidation type="whole" allowBlank="1" showInputMessage="1" showErrorMessage="1" errorTitle="Número Inválido" error="Sólo se permite ingresar un dígito." sqref="C2:G2" xr:uid="{00000000-0002-0000-0000-000002000000}">
      <formula1>0</formula1>
      <formula2>9</formula2>
    </dataValidation>
    <dataValidation type="whole" allowBlank="1" showInputMessage="1" showErrorMessage="1" errorTitle="Número Incorrecto" error="Sólo se permite ingresar un dígito entre 0 y 9." sqref="D6" xr:uid="{00000000-0002-0000-0000-000003000000}">
      <formula1>0</formula1>
      <formula2>9</formula2>
    </dataValidation>
    <dataValidation type="list" allowBlank="1" showInputMessage="1" showErrorMessage="1" sqref="B6" xr:uid="{00000000-0002-0000-0000-000004000000}">
      <formula1>$W$11:$W$22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Z151"/>
  <sheetViews>
    <sheetView showGridLines="0" zoomScaleNormal="100" workbookViewId="0"/>
  </sheetViews>
  <sheetFormatPr baseColWidth="10" defaultColWidth="11.42578125" defaultRowHeight="15" x14ac:dyDescent="0.25"/>
  <cols>
    <col min="1" max="1" width="50.7109375" customWidth="1"/>
    <col min="2" max="2" width="26" customWidth="1"/>
    <col min="3" max="3" width="12.42578125" customWidth="1"/>
    <col min="4" max="4" width="12.140625" customWidth="1"/>
    <col min="5" max="5" width="14.42578125" bestFit="1" customWidth="1"/>
    <col min="6" max="6" width="12.28515625" customWidth="1"/>
    <col min="8" max="8" width="12.85546875" customWidth="1"/>
    <col min="9" max="9" width="14.28515625" customWidth="1"/>
    <col min="10" max="10" width="11.28515625" customWidth="1"/>
    <col min="23" max="23" width="12.28515625" customWidth="1"/>
    <col min="37" max="37" width="13.42578125" customWidth="1"/>
    <col min="39" max="39" width="12.42578125" customWidth="1"/>
    <col min="42" max="42" width="10.7109375" customWidth="1"/>
    <col min="47" max="47" width="9.42578125" customWidth="1"/>
    <col min="78" max="78" width="11.42578125" customWidth="1"/>
    <col min="79" max="96" width="11.42578125" hidden="1" customWidth="1"/>
    <col min="97" max="130" width="11.42578125" customWidth="1"/>
  </cols>
  <sheetData>
    <row r="1" spans="1:130" x14ac:dyDescent="0.25">
      <c r="A1" s="779" t="s">
        <v>3878</v>
      </c>
    </row>
    <row r="2" spans="1:130" x14ac:dyDescent="0.25">
      <c r="A2" s="779" t="str">
        <f>CONCATENATE("COMUNA: ",NOMBRE!B2," - ","( ",NOMBRE!C2,NOMBRE!D2,NOMBRE!E2,NOMBRE!F2,NOMBRE!G2," )")</f>
        <v>COMUNA:  - (  )</v>
      </c>
    </row>
    <row r="3" spans="1:130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30" x14ac:dyDescent="0.25">
      <c r="A4" s="779" t="str">
        <f>CONCATENATE("MES: ",NOMBRE!B6," - ","( ",NOMBRE!C6,NOMBRE!D6," )")</f>
        <v>MES:  - (  )</v>
      </c>
    </row>
    <row r="5" spans="1:130" x14ac:dyDescent="0.25">
      <c r="A5" s="779" t="str">
        <f>CONCATENATE("AÑO: ",NOMBRE!B7)</f>
        <v>AÑO: 2024</v>
      </c>
    </row>
    <row r="6" spans="1:130" s="103" customFormat="1" ht="18" customHeight="1" x14ac:dyDescent="0.2">
      <c r="A6" s="6447" t="s">
        <v>2374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  <c r="O6" s="6447"/>
      <c r="P6" s="6447"/>
      <c r="Q6" s="3098"/>
      <c r="R6" s="3098"/>
      <c r="S6" s="3098"/>
      <c r="T6" s="3098"/>
      <c r="U6" s="3098"/>
      <c r="V6" s="3098"/>
      <c r="W6" s="3098"/>
      <c r="X6" s="3098"/>
      <c r="Y6" s="3098"/>
      <c r="Z6" s="3098"/>
      <c r="AA6" s="3098"/>
      <c r="AB6" s="3098"/>
      <c r="AC6" s="3098"/>
      <c r="AD6" s="3098"/>
      <c r="AE6" s="3098"/>
      <c r="AF6" s="3098"/>
      <c r="AG6" s="3098"/>
      <c r="AH6" s="3098"/>
      <c r="AI6" s="3098"/>
      <c r="AJ6" s="3098"/>
      <c r="AK6" s="3098"/>
      <c r="AL6" s="1913"/>
      <c r="AM6" s="1913"/>
      <c r="AN6" s="1913"/>
      <c r="AO6" s="1913"/>
      <c r="AP6" s="1913"/>
      <c r="AQ6" s="1913"/>
      <c r="AR6" s="1913"/>
      <c r="AS6" s="1913"/>
      <c r="BA6" s="780"/>
      <c r="BB6" s="780"/>
      <c r="BC6" s="780"/>
      <c r="BD6" s="780"/>
      <c r="BE6" s="780"/>
      <c r="BF6" s="780"/>
      <c r="BG6" s="780"/>
      <c r="BH6" s="780"/>
      <c r="BI6" s="780"/>
      <c r="BJ6" s="780"/>
      <c r="BK6" s="780"/>
      <c r="BL6" s="780"/>
      <c r="BM6" s="780"/>
      <c r="BN6" s="780"/>
      <c r="BO6" s="780"/>
      <c r="BP6" s="780"/>
      <c r="BQ6" s="780"/>
      <c r="BR6" s="780"/>
      <c r="BS6" s="780"/>
      <c r="BT6" s="780"/>
      <c r="BU6" s="780"/>
      <c r="BV6" s="780"/>
      <c r="BW6" s="780"/>
      <c r="BX6" s="780"/>
      <c r="BY6" s="780"/>
      <c r="BZ6" s="780"/>
      <c r="CA6" s="2660"/>
      <c r="CB6" s="2660"/>
      <c r="CC6" s="2660"/>
      <c r="CD6" s="2660"/>
      <c r="CE6" s="2660"/>
      <c r="CF6" s="2660"/>
      <c r="CG6" s="2660"/>
      <c r="CH6" s="2660"/>
      <c r="CI6" s="2660"/>
      <c r="CJ6" s="2660"/>
      <c r="CK6" s="2660"/>
      <c r="CL6" s="2660"/>
      <c r="CM6" s="2660"/>
      <c r="CN6" s="2660"/>
      <c r="CO6" s="2660"/>
      <c r="CP6" s="2660"/>
      <c r="CQ6" s="2660"/>
      <c r="CR6" s="2660"/>
      <c r="CS6" s="2660"/>
      <c r="CT6" s="2660"/>
      <c r="CU6" s="2660"/>
      <c r="CV6" s="2660"/>
      <c r="CW6" s="2660"/>
      <c r="CX6" s="2660"/>
      <c r="CY6" s="2660"/>
      <c r="CZ6" s="2660"/>
      <c r="DA6" s="2660"/>
      <c r="DB6" s="2660"/>
      <c r="DC6" s="2660"/>
      <c r="DD6" s="2660"/>
      <c r="DE6" s="2660"/>
      <c r="DF6" s="2660"/>
      <c r="DG6" s="2660"/>
      <c r="DH6" s="2660"/>
      <c r="DI6" s="2660"/>
      <c r="DJ6" s="2660"/>
      <c r="DK6" s="2660"/>
      <c r="DL6" s="2660"/>
      <c r="DM6" s="2660"/>
      <c r="DN6" s="2660"/>
      <c r="DO6" s="2660"/>
      <c r="DP6" s="2660"/>
      <c r="DQ6" s="2660"/>
      <c r="DR6" s="2660"/>
      <c r="DS6" s="2660"/>
      <c r="DT6" s="2660"/>
      <c r="DU6" s="2660"/>
      <c r="DV6" s="2660"/>
      <c r="DW6" s="2660"/>
      <c r="DX6" s="2660"/>
      <c r="DY6" s="2660"/>
      <c r="DZ6" s="2660"/>
    </row>
    <row r="8" spans="1:130" ht="18" customHeight="1" x14ac:dyDescent="0.25">
      <c r="A8" s="123" t="s">
        <v>2375</v>
      </c>
      <c r="B8" s="419"/>
      <c r="C8" s="419"/>
      <c r="D8" s="309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3100"/>
      <c r="W8" s="3100"/>
      <c r="X8" s="3100"/>
      <c r="Y8" s="102"/>
      <c r="Z8" s="103"/>
      <c r="AA8" s="103"/>
      <c r="AB8" s="103"/>
      <c r="AC8" s="103"/>
    </row>
    <row r="9" spans="1:130" ht="21.6" customHeight="1" x14ac:dyDescent="0.25">
      <c r="A9" s="6448" t="s">
        <v>1398</v>
      </c>
      <c r="B9" s="6448" t="s">
        <v>61</v>
      </c>
      <c r="C9" s="6450" t="s">
        <v>1</v>
      </c>
      <c r="D9" s="6452" t="s">
        <v>12</v>
      </c>
      <c r="E9" s="6453"/>
      <c r="F9" s="6453"/>
      <c r="G9" s="6453"/>
      <c r="H9" s="6453"/>
      <c r="I9" s="6453"/>
      <c r="J9" s="6453"/>
      <c r="K9" s="6453"/>
      <c r="L9" s="6453"/>
      <c r="M9" s="6453"/>
      <c r="N9" s="6453"/>
      <c r="O9" s="6453"/>
      <c r="P9" s="6453"/>
      <c r="Q9" s="6453"/>
      <c r="R9" s="6453"/>
      <c r="S9" s="6453"/>
      <c r="T9" s="6454"/>
      <c r="U9" s="6452" t="s">
        <v>2376</v>
      </c>
      <c r="V9" s="6462"/>
      <c r="W9" s="6460" t="s">
        <v>2377</v>
      </c>
      <c r="X9" s="6450" t="s">
        <v>2378</v>
      </c>
      <c r="Y9" s="6460" t="s">
        <v>17</v>
      </c>
      <c r="Z9" s="6460" t="s">
        <v>49</v>
      </c>
      <c r="AA9" s="6460" t="s">
        <v>45</v>
      </c>
      <c r="AB9" s="6460" t="s">
        <v>2</v>
      </c>
      <c r="AC9" s="6450" t="s">
        <v>3</v>
      </c>
    </row>
    <row r="10" spans="1:130" ht="21" x14ac:dyDescent="0.25">
      <c r="A10" s="6449"/>
      <c r="B10" s="6449"/>
      <c r="C10" s="6451"/>
      <c r="D10" s="3101" t="s">
        <v>3886</v>
      </c>
      <c r="E10" s="3102" t="s">
        <v>1229</v>
      </c>
      <c r="F10" s="3102" t="s">
        <v>1315</v>
      </c>
      <c r="G10" s="2857" t="s">
        <v>4</v>
      </c>
      <c r="H10" s="2971" t="s">
        <v>5</v>
      </c>
      <c r="I10" s="2971" t="s">
        <v>6</v>
      </c>
      <c r="J10" s="2971" t="s">
        <v>7</v>
      </c>
      <c r="K10" s="2971" t="s">
        <v>8</v>
      </c>
      <c r="L10" s="2971" t="s">
        <v>9</v>
      </c>
      <c r="M10" s="2971" t="s">
        <v>10</v>
      </c>
      <c r="N10" s="2971" t="s">
        <v>11</v>
      </c>
      <c r="O10" s="2971" t="s">
        <v>18</v>
      </c>
      <c r="P10" s="2971" t="s">
        <v>19</v>
      </c>
      <c r="Q10" s="2971" t="s">
        <v>20</v>
      </c>
      <c r="R10" s="2971" t="s">
        <v>70</v>
      </c>
      <c r="S10" s="2971" t="s">
        <v>71</v>
      </c>
      <c r="T10" s="3160" t="s">
        <v>32</v>
      </c>
      <c r="U10" s="3103" t="s">
        <v>22</v>
      </c>
      <c r="V10" s="3104" t="s">
        <v>27</v>
      </c>
      <c r="W10" s="6461"/>
      <c r="X10" s="6451"/>
      <c r="Y10" s="6461"/>
      <c r="Z10" s="6461"/>
      <c r="AA10" s="6461"/>
      <c r="AB10" s="6461"/>
      <c r="AC10" s="6451"/>
    </row>
    <row r="11" spans="1:130" ht="15" customHeight="1" x14ac:dyDescent="0.25">
      <c r="A11" s="6456" t="s">
        <v>2379</v>
      </c>
      <c r="B11" s="2875" t="s">
        <v>74</v>
      </c>
      <c r="C11" s="3000">
        <f>SUM(F11:O11)</f>
        <v>0</v>
      </c>
      <c r="D11" s="2502"/>
      <c r="E11" s="2908"/>
      <c r="F11" s="1086"/>
      <c r="G11" s="1086"/>
      <c r="H11" s="1086"/>
      <c r="I11" s="1086"/>
      <c r="J11" s="1086"/>
      <c r="K11" s="1086"/>
      <c r="L11" s="1086"/>
      <c r="M11" s="1086"/>
      <c r="N11" s="1086"/>
      <c r="O11" s="1086"/>
      <c r="P11" s="2909"/>
      <c r="Q11" s="2909"/>
      <c r="R11" s="2909"/>
      <c r="S11" s="2909"/>
      <c r="T11" s="3105"/>
      <c r="U11" s="2496"/>
      <c r="V11" s="2988"/>
      <c r="W11" s="2907"/>
      <c r="X11" s="3106"/>
      <c r="Y11" s="105"/>
      <c r="Z11" s="105"/>
      <c r="AA11" s="105"/>
      <c r="AB11" s="105"/>
      <c r="AC11" s="148"/>
      <c r="AD11" s="1755" t="str">
        <f>$CA11&amp;CB11&amp;CC11&amp;CD11&amp;CE11&amp;CF11&amp;CG11&amp;CH11&amp;CI11</f>
        <v/>
      </c>
      <c r="CA11" s="2873" t="str">
        <f>IF((U11+V11)&lt;&gt;C11," * La variable Sexo no puede ser distinto al Total","")</f>
        <v/>
      </c>
      <c r="CB11" s="3107"/>
      <c r="CC11" s="3107"/>
      <c r="CD11" s="2873" t="str">
        <f>IF(AND($C11&lt;&gt;0,Y11=""),"* No olvide ingresar la columna "&amp;Y$9&amp;""&amp;" (Digite CERO si no tiene).  ",IF(Y11&gt;$C11,"* El Número de Espacios Amigables/ Adolescentes no puede superar el Total. ",""))</f>
        <v/>
      </c>
      <c r="CE11" s="2873" t="str">
        <f>IF(AND($C11&lt;&gt;0,Z11=""),"* No olvide ingresar la columna "&amp;Z$9&amp;""&amp;" (Digite CERO si no tiene).  ",IF(Z11&gt;$C11,"* El Número de Niños, Niñas, Adolescentes y Jóvenes SENAME no puede superar el Total. ",""))</f>
        <v/>
      </c>
      <c r="CF11" s="2873" t="str">
        <f>IF(AND($C11&lt;&gt;0,AA11=""),"* No olvide ingresar la columna "&amp;AA$9&amp;""&amp;" (Digite CERO si no tiene).  ",IF(AA11&gt;$C11,"* El Número de Niños, Niñas, Adolescentes y Jóvenes Mejor Niñez no puede superar el Total. ",""))</f>
        <v/>
      </c>
      <c r="CG11" s="2873" t="str">
        <f>IF(AND($C11&lt;&gt;0,AB11=""),"* No olvide ingresar la columna "&amp;AB$9&amp;""&amp;" (Digite CERO si no tiene).  ",IF(AB11&gt;$C11,"* El Número de Pueblos Originarios no puede superar el Total. ",""))</f>
        <v/>
      </c>
      <c r="CH11" s="2873" t="str">
        <f>IF(AND($C11&lt;&gt;0,AC11=""),"* No olvide ingresar la columna "&amp;AC$9&amp;""&amp;" (Digite CERO si no tiene).  ",IF(AC11&gt;$C11,"* El Número de Migrantes no puede superar el Total. ",""))</f>
        <v/>
      </c>
      <c r="CI11" s="2718"/>
      <c r="CK11" s="1793">
        <f>IF((U11+V11)&lt;&gt;C11,1,0)</f>
        <v>0</v>
      </c>
      <c r="CL11" s="2872"/>
      <c r="CM11" s="2872"/>
      <c r="CN11" s="1793">
        <f>IF(AND(C11&lt;&gt;0,Y11=""),1,IF(Y11&gt;C11,1,0))</f>
        <v>0</v>
      </c>
      <c r="CO11" s="1793">
        <f>IF(AND($C11&lt;&gt;0,Z11=""),1,IF(Z11&gt;C11,1,0))</f>
        <v>0</v>
      </c>
      <c r="CP11" s="1793">
        <f>IF(AND($C11&lt;&gt;0,AA11=""),1,IF(AA11&gt;C11,1,0))</f>
        <v>0</v>
      </c>
      <c r="CQ11" s="1793">
        <f>IF(AND($C11&lt;&gt;0,AB11=""),1,IF(AB11&gt;C11,1,0))</f>
        <v>0</v>
      </c>
      <c r="CR11" s="1793">
        <f>IF(AND($C11&lt;&gt;0,AC11=""),1,IF(AC11&gt;C11,1,0))</f>
        <v>0</v>
      </c>
    </row>
    <row r="12" spans="1:130" ht="15" customHeight="1" x14ac:dyDescent="0.25">
      <c r="A12" s="6459"/>
      <c r="B12" s="150" t="s">
        <v>77</v>
      </c>
      <c r="C12" s="3003">
        <f t="shared" ref="C12:C22" si="0">SUM(F12:O12)</f>
        <v>0</v>
      </c>
      <c r="D12" s="3108"/>
      <c r="E12" s="197"/>
      <c r="F12" s="3109"/>
      <c r="G12" s="3109"/>
      <c r="H12" s="3109"/>
      <c r="I12" s="3109"/>
      <c r="J12" s="3109"/>
      <c r="K12" s="3109"/>
      <c r="L12" s="3109"/>
      <c r="M12" s="3109"/>
      <c r="N12" s="3109"/>
      <c r="O12" s="3109"/>
      <c r="P12" s="3110"/>
      <c r="Q12" s="3110"/>
      <c r="R12" s="3110"/>
      <c r="S12" s="3110"/>
      <c r="T12" s="3111"/>
      <c r="U12" s="3112"/>
      <c r="V12" s="774"/>
      <c r="W12" s="152"/>
      <c r="X12" s="913"/>
      <c r="Y12" s="117"/>
      <c r="Z12" s="117"/>
      <c r="AA12" s="117"/>
      <c r="AB12" s="117"/>
      <c r="AC12" s="153"/>
      <c r="AD12" s="1755" t="str">
        <f t="shared" ref="AD12:AD32" si="1">$CA12&amp;CB12&amp;CC12&amp;CD12&amp;CE12&amp;CF12&amp;CG12&amp;CH12&amp;CI12</f>
        <v/>
      </c>
      <c r="CA12" s="2873" t="str">
        <f t="shared" ref="CA12:CA32" si="2">IF((U12+V12)&lt;&gt;C12," * La variable Sexo no puede ser distinto al Total","")</f>
        <v/>
      </c>
      <c r="CB12" s="3107"/>
      <c r="CC12" s="3107"/>
      <c r="CD12" s="2873" t="str">
        <f t="shared" ref="CD12" si="3">IF(AND($C12&lt;&gt;0,Y12=""),"* No olvide ingresar la columna "&amp;Y$9&amp;""&amp;" (Digite CERO si no tiene).  ",IF(Y12&gt;$C12,"* El Número de Espacios Amigables/ Adolescentes no puede superar el Total. ",""))</f>
        <v/>
      </c>
      <c r="CE12" s="2873" t="str">
        <f t="shared" ref="CE12:CE22" si="4">IF(AND($C12&lt;&gt;0,Z12=""),"* No olvide ingresar la columna "&amp;Z$9&amp;""&amp;" (Digite CERO si no tiene).  ",IF(Z12&gt;$C12,"* El Número de Niños, Niñas, Adolescentes y Jóvenes SENAME no puede superar el Total. ",""))</f>
        <v/>
      </c>
      <c r="CF12" s="2873" t="str">
        <f t="shared" ref="CF12:CF22" si="5">IF(AND($C12&lt;&gt;0,AA12=""),"* No olvide ingresar la columna "&amp;AA$9&amp;""&amp;" (Digite CERO si no tiene).  ",IF(AA12&gt;$C12,"* El Número de Niños, Niñas, Adolescentes y Jóvenes Mejor Niñez no puede superar el Total. ",""))</f>
        <v/>
      </c>
      <c r="CG12" s="2873" t="str">
        <f t="shared" ref="CG12:CG22" si="6">IF(AND($C12&lt;&gt;0,AB12=""),"* No olvide ingresar la columna "&amp;AB$9&amp;""&amp;" (Digite CERO si no tiene).  ",IF(AB12&gt;$C12,"* El Número de Pueblos Originarios no puede superar el Total. ",""))</f>
        <v/>
      </c>
      <c r="CH12" s="2873" t="str">
        <f t="shared" ref="CH12:CH22" si="7">IF(AND($C12&lt;&gt;0,AC12=""),"* No olvide ingresar la columna "&amp;AC$9&amp;""&amp;" (Digite CERO si no tiene).  ",IF(AC12&gt;$C12,"* El Número de Migrantes no puede superar el Total. ",""))</f>
        <v/>
      </c>
      <c r="CI12" s="2718"/>
      <c r="CK12" s="1793">
        <f t="shared" ref="CK12:CK32" si="8">IF((U12+V12)&lt;&gt;C12,1,0)</f>
        <v>0</v>
      </c>
      <c r="CL12" s="2872"/>
      <c r="CM12" s="2872"/>
      <c r="CN12" s="1793">
        <f>IF(AND(C12&lt;&gt;0,Y12=""),1,IF(Y12&gt;C12,1,0))</f>
        <v>0</v>
      </c>
      <c r="CO12" s="1793">
        <f t="shared" ref="CO12:CO28" si="9">IF(AND($C12&lt;&gt;0,Z12=""),1,IF(Z12&gt;C12,1,0))</f>
        <v>0</v>
      </c>
      <c r="CP12" s="1793">
        <f t="shared" ref="CP12:CP28" si="10">IF(AND($C12&lt;&gt;0,AA12=""),1,IF(AA12&gt;C12,1,0))</f>
        <v>0</v>
      </c>
      <c r="CQ12" s="1793">
        <f t="shared" ref="CQ12:CQ28" si="11">IF(AND($C12&lt;&gt;0,AB12=""),1,IF(AB12&gt;C12,1,0))</f>
        <v>0</v>
      </c>
      <c r="CR12" s="1793">
        <f t="shared" ref="CR12:CR28" si="12">IF(AND($C12&lt;&gt;0,AC12=""),1,IF(AC12&gt;C12,1,0))</f>
        <v>0</v>
      </c>
    </row>
    <row r="13" spans="1:130" ht="15" customHeight="1" x14ac:dyDescent="0.25">
      <c r="A13" s="6456" t="s">
        <v>2380</v>
      </c>
      <c r="B13" s="2875" t="s">
        <v>74</v>
      </c>
      <c r="C13" s="1759">
        <f>SUM(F13:O13)</f>
        <v>0</v>
      </c>
      <c r="D13" s="2043"/>
      <c r="E13" s="2009"/>
      <c r="F13" s="1086"/>
      <c r="G13" s="1086"/>
      <c r="H13" s="1086"/>
      <c r="I13" s="1086"/>
      <c r="J13" s="1086"/>
      <c r="K13" s="1086"/>
      <c r="L13" s="1086"/>
      <c r="M13" s="1086"/>
      <c r="N13" s="320"/>
      <c r="O13" s="320"/>
      <c r="P13" s="2909"/>
      <c r="Q13" s="2909"/>
      <c r="R13" s="2909"/>
      <c r="S13" s="2909"/>
      <c r="T13" s="3113"/>
      <c r="U13" s="2043"/>
      <c r="V13" s="771"/>
      <c r="W13" s="105"/>
      <c r="X13" s="3114"/>
      <c r="Y13" s="883"/>
      <c r="Z13" s="878"/>
      <c r="AA13" s="878"/>
      <c r="AB13" s="878"/>
      <c r="AC13" s="3115"/>
      <c r="AD13" s="1755" t="str">
        <f t="shared" si="1"/>
        <v/>
      </c>
      <c r="CA13" s="2873" t="str">
        <f t="shared" si="2"/>
        <v/>
      </c>
      <c r="CB13" s="2873" t="str">
        <f>IF(AND($C13&lt;&gt;0,W13=""),"* No olvide ingresar la columna "&amp;W$9&amp;""&amp;" (Digite CERO si no tiene).  ",IF(W13&gt;$C13,"* El Número de Control con pareja, familiar u otro no puede superar el Total. ",""))</f>
        <v/>
      </c>
      <c r="CC13" s="3107"/>
      <c r="CD13" s="3107"/>
      <c r="CE13" s="2873" t="str">
        <f t="shared" si="4"/>
        <v/>
      </c>
      <c r="CF13" s="2873" t="str">
        <f t="shared" si="5"/>
        <v/>
      </c>
      <c r="CG13" s="2873" t="str">
        <f t="shared" si="6"/>
        <v/>
      </c>
      <c r="CH13" s="2873" t="str">
        <f t="shared" si="7"/>
        <v/>
      </c>
      <c r="CI13" s="2718"/>
      <c r="CK13" s="1793">
        <f>IF((U13+V13)&lt;&gt;C13,1,0)</f>
        <v>0</v>
      </c>
      <c r="CL13" s="1793">
        <f>IF(AND(C13&gt;0,W13=""),1,IF(W13&gt;C13,1,0))</f>
        <v>0</v>
      </c>
      <c r="CM13" s="2872"/>
      <c r="CN13" s="2872"/>
      <c r="CO13" s="1793">
        <f t="shared" si="9"/>
        <v>0</v>
      </c>
      <c r="CP13" s="1793">
        <f t="shared" si="10"/>
        <v>0</v>
      </c>
      <c r="CQ13" s="1793">
        <f t="shared" si="11"/>
        <v>0</v>
      </c>
      <c r="CR13" s="1793">
        <f t="shared" si="12"/>
        <v>0</v>
      </c>
    </row>
    <row r="14" spans="1:130" ht="15" customHeight="1" x14ac:dyDescent="0.25">
      <c r="A14" s="6455"/>
      <c r="B14" s="150" t="s">
        <v>77</v>
      </c>
      <c r="C14" s="3116">
        <f t="shared" si="0"/>
        <v>0</v>
      </c>
      <c r="D14" s="813"/>
      <c r="E14" s="923"/>
      <c r="F14" s="132"/>
      <c r="G14" s="132"/>
      <c r="H14" s="132"/>
      <c r="I14" s="132"/>
      <c r="J14" s="132"/>
      <c r="K14" s="132"/>
      <c r="L14" s="132"/>
      <c r="M14" s="132"/>
      <c r="N14" s="2499"/>
      <c r="O14" s="2499"/>
      <c r="P14" s="3110"/>
      <c r="Q14" s="3110"/>
      <c r="R14" s="3110"/>
      <c r="S14" s="3110"/>
      <c r="T14" s="876"/>
      <c r="U14" s="2930"/>
      <c r="V14" s="774"/>
      <c r="W14" s="117"/>
      <c r="X14" s="913"/>
      <c r="Y14" s="211"/>
      <c r="Z14" s="117"/>
      <c r="AA14" s="117"/>
      <c r="AB14" s="117"/>
      <c r="AC14" s="153"/>
      <c r="AD14" s="1755" t="str">
        <f t="shared" si="1"/>
        <v/>
      </c>
      <c r="CA14" s="2873" t="str">
        <f t="shared" si="2"/>
        <v/>
      </c>
      <c r="CB14" s="2873" t="str">
        <f t="shared" ref="CB14:CB22" si="13">IF(AND($C14&lt;&gt;0,W14=""),"* No olvide ingresar la columna "&amp;W$9&amp;""&amp;" (Digite CERO si no tiene).  ",IF(W14&gt;$C14,"* El Número de Control con pareja, familiar u otro no puede superar el Total. ",""))</f>
        <v/>
      </c>
      <c r="CC14" s="3107"/>
      <c r="CD14" s="3107"/>
      <c r="CE14" s="2873" t="str">
        <f t="shared" si="4"/>
        <v/>
      </c>
      <c r="CF14" s="2873" t="str">
        <f t="shared" si="5"/>
        <v/>
      </c>
      <c r="CG14" s="2873" t="str">
        <f t="shared" si="6"/>
        <v/>
      </c>
      <c r="CH14" s="2873" t="str">
        <f t="shared" si="7"/>
        <v/>
      </c>
      <c r="CI14" s="2718"/>
      <c r="CK14" s="1793">
        <f t="shared" si="8"/>
        <v>0</v>
      </c>
      <c r="CL14" s="1793">
        <f>IF(AND(C14&gt;0,W14=""),1,IF(W14&gt;SUM(C14),1,0))</f>
        <v>0</v>
      </c>
      <c r="CM14" s="2872"/>
      <c r="CN14" s="2872"/>
      <c r="CO14" s="1793">
        <f t="shared" si="9"/>
        <v>0</v>
      </c>
      <c r="CP14" s="1793">
        <f t="shared" si="10"/>
        <v>0</v>
      </c>
      <c r="CQ14" s="1793">
        <f t="shared" si="11"/>
        <v>0</v>
      </c>
      <c r="CR14" s="1793">
        <f t="shared" si="12"/>
        <v>0</v>
      </c>
    </row>
    <row r="15" spans="1:130" ht="15" customHeight="1" x14ac:dyDescent="0.25">
      <c r="A15" s="6456" t="s">
        <v>1112</v>
      </c>
      <c r="B15" s="2875" t="s">
        <v>74</v>
      </c>
      <c r="C15" s="3000">
        <f t="shared" si="0"/>
        <v>0</v>
      </c>
      <c r="D15" s="2502"/>
      <c r="E15" s="2908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2909"/>
      <c r="Q15" s="2909"/>
      <c r="R15" s="2909"/>
      <c r="S15" s="2909"/>
      <c r="T15" s="3117"/>
      <c r="U15" s="2502"/>
      <c r="V15" s="771"/>
      <c r="W15" s="6318"/>
      <c r="X15" s="6319"/>
      <c r="Y15" s="6320"/>
      <c r="Z15" s="878"/>
      <c r="AA15" s="878"/>
      <c r="AB15" s="878"/>
      <c r="AC15" s="3115"/>
      <c r="AD15" s="1755" t="str">
        <f t="shared" si="1"/>
        <v/>
      </c>
      <c r="CA15" s="2873" t="str">
        <f t="shared" si="2"/>
        <v/>
      </c>
      <c r="CB15" s="3107"/>
      <c r="CC15" s="3107"/>
      <c r="CD15" s="3107"/>
      <c r="CE15" s="2873" t="str">
        <f t="shared" si="4"/>
        <v/>
      </c>
      <c r="CF15" s="2873" t="str">
        <f t="shared" si="5"/>
        <v/>
      </c>
      <c r="CG15" s="2873" t="str">
        <f t="shared" si="6"/>
        <v/>
      </c>
      <c r="CH15" s="2873" t="str">
        <f t="shared" si="7"/>
        <v/>
      </c>
      <c r="CI15" s="2718"/>
      <c r="CK15" s="1793">
        <f t="shared" si="8"/>
        <v>0</v>
      </c>
      <c r="CL15" s="2872"/>
      <c r="CM15" s="2872"/>
      <c r="CN15" s="2872"/>
      <c r="CO15" s="1793">
        <f t="shared" si="9"/>
        <v>0</v>
      </c>
      <c r="CP15" s="1793">
        <f t="shared" si="10"/>
        <v>0</v>
      </c>
      <c r="CQ15" s="1793">
        <f t="shared" si="11"/>
        <v>0</v>
      </c>
      <c r="CR15" s="1793">
        <f t="shared" si="12"/>
        <v>0</v>
      </c>
    </row>
    <row r="16" spans="1:130" ht="15" customHeight="1" x14ac:dyDescent="0.25">
      <c r="A16" s="6457"/>
      <c r="B16" s="150" t="s">
        <v>77</v>
      </c>
      <c r="C16" s="3003">
        <f t="shared" si="0"/>
        <v>0</v>
      </c>
      <c r="D16" s="3108"/>
      <c r="E16" s="197"/>
      <c r="F16" s="2499"/>
      <c r="G16" s="2499"/>
      <c r="H16" s="2499"/>
      <c r="I16" s="2499"/>
      <c r="J16" s="2499"/>
      <c r="K16" s="2499"/>
      <c r="L16" s="2499"/>
      <c r="M16" s="2499"/>
      <c r="N16" s="3109"/>
      <c r="O16" s="3109"/>
      <c r="P16" s="3110"/>
      <c r="Q16" s="3110"/>
      <c r="R16" s="3110"/>
      <c r="S16" s="3110"/>
      <c r="T16" s="3111"/>
      <c r="U16" s="3118"/>
      <c r="V16" s="774"/>
      <c r="W16" s="6321"/>
      <c r="X16" s="6322"/>
      <c r="Y16" s="5869"/>
      <c r="Z16" s="117"/>
      <c r="AA16" s="117"/>
      <c r="AB16" s="117"/>
      <c r="AC16" s="153"/>
      <c r="AD16" s="1755" t="str">
        <f t="shared" si="1"/>
        <v/>
      </c>
      <c r="CA16" s="2873" t="str">
        <f t="shared" si="2"/>
        <v/>
      </c>
      <c r="CB16" s="3107"/>
      <c r="CC16" s="3107"/>
      <c r="CD16" s="3107"/>
      <c r="CE16" s="2873" t="str">
        <f t="shared" si="4"/>
        <v/>
      </c>
      <c r="CF16" s="2873" t="str">
        <f t="shared" si="5"/>
        <v/>
      </c>
      <c r="CG16" s="2873" t="str">
        <f t="shared" si="6"/>
        <v/>
      </c>
      <c r="CH16" s="2873" t="str">
        <f t="shared" si="7"/>
        <v/>
      </c>
      <c r="CI16" s="2718"/>
      <c r="CK16" s="1793">
        <f t="shared" si="8"/>
        <v>0</v>
      </c>
      <c r="CL16" s="2872"/>
      <c r="CM16" s="2872"/>
      <c r="CN16" s="2872"/>
      <c r="CO16" s="1793">
        <f t="shared" si="9"/>
        <v>0</v>
      </c>
      <c r="CP16" s="1793">
        <f t="shared" si="10"/>
        <v>0</v>
      </c>
      <c r="CQ16" s="1793">
        <f t="shared" si="11"/>
        <v>0</v>
      </c>
      <c r="CR16" s="1793">
        <f t="shared" si="12"/>
        <v>0</v>
      </c>
    </row>
    <row r="17" spans="1:96" ht="15" customHeight="1" x14ac:dyDescent="0.25">
      <c r="A17" s="6456" t="s">
        <v>2381</v>
      </c>
      <c r="B17" s="2875" t="s">
        <v>74</v>
      </c>
      <c r="C17" s="3000">
        <f t="shared" si="0"/>
        <v>0</v>
      </c>
      <c r="D17" s="2502"/>
      <c r="E17" s="2908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6314"/>
      <c r="Q17" s="6314"/>
      <c r="R17" s="6314"/>
      <c r="S17" s="6314"/>
      <c r="T17" s="6315"/>
      <c r="U17" s="6316"/>
      <c r="V17" s="6317"/>
      <c r="W17" s="6318"/>
      <c r="X17" s="6319"/>
      <c r="Y17" s="6320"/>
      <c r="Z17" s="878"/>
      <c r="AA17" s="878"/>
      <c r="AB17" s="878"/>
      <c r="AC17" s="3115"/>
      <c r="AD17" s="1755" t="str">
        <f t="shared" si="1"/>
        <v/>
      </c>
      <c r="CA17" s="2873" t="str">
        <f t="shared" si="2"/>
        <v/>
      </c>
      <c r="CB17" s="3107"/>
      <c r="CC17" s="3107"/>
      <c r="CD17" s="3107"/>
      <c r="CE17" s="2873" t="str">
        <f t="shared" si="4"/>
        <v/>
      </c>
      <c r="CF17" s="2873" t="str">
        <f t="shared" si="5"/>
        <v/>
      </c>
      <c r="CG17" s="2873" t="str">
        <f t="shared" si="6"/>
        <v/>
      </c>
      <c r="CH17" s="2873" t="str">
        <f t="shared" si="7"/>
        <v/>
      </c>
      <c r="CI17" s="2718"/>
      <c r="CK17" s="1793">
        <f t="shared" si="8"/>
        <v>0</v>
      </c>
      <c r="CL17" s="2872"/>
      <c r="CM17" s="2872"/>
      <c r="CN17" s="2872"/>
      <c r="CO17" s="1793">
        <f t="shared" si="9"/>
        <v>0</v>
      </c>
      <c r="CP17" s="1793">
        <f t="shared" si="10"/>
        <v>0</v>
      </c>
      <c r="CQ17" s="1793">
        <f t="shared" si="11"/>
        <v>0</v>
      </c>
      <c r="CR17" s="1793">
        <f t="shared" si="12"/>
        <v>0</v>
      </c>
    </row>
    <row r="18" spans="1:96" ht="15" customHeight="1" x14ac:dyDescent="0.25">
      <c r="A18" s="6457"/>
      <c r="B18" s="150" t="s">
        <v>77</v>
      </c>
      <c r="C18" s="3003">
        <f t="shared" si="0"/>
        <v>0</v>
      </c>
      <c r="D18" s="3108"/>
      <c r="E18" s="197"/>
      <c r="F18" s="2499"/>
      <c r="G18" s="2499"/>
      <c r="H18" s="2499"/>
      <c r="I18" s="2499"/>
      <c r="J18" s="2499"/>
      <c r="K18" s="2499"/>
      <c r="L18" s="2499"/>
      <c r="M18" s="2499"/>
      <c r="N18" s="3109"/>
      <c r="O18" s="3109"/>
      <c r="P18" s="3110"/>
      <c r="Q18" s="3110"/>
      <c r="R18" s="3110"/>
      <c r="S18" s="3110"/>
      <c r="T18" s="3111"/>
      <c r="U18" s="3108"/>
      <c r="V18" s="774"/>
      <c r="W18" s="6321"/>
      <c r="X18" s="6322"/>
      <c r="Y18" s="5869"/>
      <c r="Z18" s="117"/>
      <c r="AA18" s="117"/>
      <c r="AB18" s="117"/>
      <c r="AC18" s="153"/>
      <c r="AD18" s="1755" t="str">
        <f t="shared" si="1"/>
        <v/>
      </c>
      <c r="CA18" s="2873" t="str">
        <f t="shared" si="2"/>
        <v/>
      </c>
      <c r="CB18" s="3107"/>
      <c r="CC18" s="3107"/>
      <c r="CD18" s="3107"/>
      <c r="CE18" s="2873" t="str">
        <f t="shared" si="4"/>
        <v/>
      </c>
      <c r="CF18" s="2873" t="str">
        <f t="shared" si="5"/>
        <v/>
      </c>
      <c r="CG18" s="2873" t="str">
        <f t="shared" si="6"/>
        <v/>
      </c>
      <c r="CH18" s="2873" t="str">
        <f t="shared" si="7"/>
        <v/>
      </c>
      <c r="CI18" s="2718"/>
      <c r="CK18" s="1793">
        <f t="shared" si="8"/>
        <v>0</v>
      </c>
      <c r="CL18" s="2872"/>
      <c r="CM18" s="2872"/>
      <c r="CN18" s="2872"/>
      <c r="CO18" s="1793">
        <f t="shared" si="9"/>
        <v>0</v>
      </c>
      <c r="CP18" s="1793">
        <f t="shared" si="10"/>
        <v>0</v>
      </c>
      <c r="CQ18" s="1793">
        <f t="shared" si="11"/>
        <v>0</v>
      </c>
      <c r="CR18" s="1793">
        <f t="shared" si="12"/>
        <v>0</v>
      </c>
    </row>
    <row r="19" spans="1:96" ht="15" customHeight="1" x14ac:dyDescent="0.25">
      <c r="A19" s="6455" t="s">
        <v>2382</v>
      </c>
      <c r="B19" s="2875" t="s">
        <v>74</v>
      </c>
      <c r="C19" s="1759">
        <f t="shared" si="0"/>
        <v>0</v>
      </c>
      <c r="D19" s="2043"/>
      <c r="E19" s="2009"/>
      <c r="F19" s="1086"/>
      <c r="G19" s="1086"/>
      <c r="H19" s="1086"/>
      <c r="I19" s="1086"/>
      <c r="J19" s="1086"/>
      <c r="K19" s="1086"/>
      <c r="L19" s="1086"/>
      <c r="M19" s="1086"/>
      <c r="N19" s="1086"/>
      <c r="O19" s="1086"/>
      <c r="P19" s="2008"/>
      <c r="Q19" s="2008"/>
      <c r="R19" s="2008"/>
      <c r="S19" s="2008"/>
      <c r="T19" s="3113"/>
      <c r="U19" s="2043"/>
      <c r="V19" s="771"/>
      <c r="W19" s="148"/>
      <c r="X19" s="148"/>
      <c r="Y19" s="883"/>
      <c r="Z19" s="878"/>
      <c r="AA19" s="878"/>
      <c r="AB19" s="878"/>
      <c r="AC19" s="3115"/>
      <c r="AD19" s="1755" t="str">
        <f t="shared" si="1"/>
        <v/>
      </c>
      <c r="CA19" s="2873" t="str">
        <f t="shared" si="2"/>
        <v/>
      </c>
      <c r="CB19" s="2873" t="str">
        <f>IF(AND($C19&lt;&gt;0,W19=""),"* No olvide ingresar la columna "&amp;W$9&amp;""&amp;" (Digite CERO si no tiene).  ",IF(W19&gt;$C19,"* El Número de Control con pareja, familiar u otro no puede superar el Total. ",""))</f>
        <v/>
      </c>
      <c r="CC19" s="2873" t="str">
        <f>IF(AND($C19&lt;&gt;0,X19=""),"* No olvide ingresar la columna "&amp;X$9&amp;""&amp;" (Digite CERO si no tiene).  ",IF(X19&gt;$C19,"* El Número de Control de diada con presencia del padre no puede superar el Total. ",""))</f>
        <v/>
      </c>
      <c r="CD19" s="3107"/>
      <c r="CE19" s="2873" t="str">
        <f t="shared" si="4"/>
        <v/>
      </c>
      <c r="CF19" s="2873" t="str">
        <f t="shared" si="5"/>
        <v/>
      </c>
      <c r="CG19" s="2873" t="str">
        <f t="shared" si="6"/>
        <v/>
      </c>
      <c r="CH19" s="2873" t="str">
        <f t="shared" si="7"/>
        <v/>
      </c>
      <c r="CI19" s="2718"/>
      <c r="CK19" s="1793">
        <f t="shared" si="8"/>
        <v>0</v>
      </c>
      <c r="CL19" s="1793">
        <f t="shared" ref="CL19:CL26" si="14">IF(AND(C19&gt;0,W19=""),1,IF(W19&gt;C19,1,0))</f>
        <v>0</v>
      </c>
      <c r="CM19" s="1793">
        <f>IF(AND(C19&lt;&gt;0,X19=""),1,IF(X19&gt;C19,1,0))</f>
        <v>0</v>
      </c>
      <c r="CN19" s="2872"/>
      <c r="CO19" s="1793">
        <f t="shared" si="9"/>
        <v>0</v>
      </c>
      <c r="CP19" s="1793">
        <f t="shared" si="10"/>
        <v>0</v>
      </c>
      <c r="CQ19" s="1793">
        <f t="shared" si="11"/>
        <v>0</v>
      </c>
      <c r="CR19" s="1793">
        <f t="shared" si="12"/>
        <v>0</v>
      </c>
    </row>
    <row r="20" spans="1:96" ht="15" customHeight="1" x14ac:dyDescent="0.25">
      <c r="A20" s="6455"/>
      <c r="B20" s="150" t="s">
        <v>77</v>
      </c>
      <c r="C20" s="3116">
        <f t="shared" si="0"/>
        <v>0</v>
      </c>
      <c r="D20" s="813"/>
      <c r="E20" s="923"/>
      <c r="F20" s="132"/>
      <c r="G20" s="132"/>
      <c r="H20" s="132"/>
      <c r="I20" s="132"/>
      <c r="J20" s="132"/>
      <c r="K20" s="132"/>
      <c r="L20" s="132"/>
      <c r="M20" s="132"/>
      <c r="N20" s="3109"/>
      <c r="O20" s="2499"/>
      <c r="P20" s="3110"/>
      <c r="Q20" s="3110"/>
      <c r="R20" s="3110"/>
      <c r="S20" s="3110"/>
      <c r="T20" s="876"/>
      <c r="U20" s="2930"/>
      <c r="V20" s="774"/>
      <c r="W20" s="158"/>
      <c r="X20" s="158"/>
      <c r="Y20" s="211"/>
      <c r="Z20" s="117"/>
      <c r="AA20" s="117"/>
      <c r="AB20" s="117"/>
      <c r="AC20" s="153"/>
      <c r="AD20" s="1755" t="str">
        <f t="shared" si="1"/>
        <v/>
      </c>
      <c r="CA20" s="2873" t="str">
        <f t="shared" si="2"/>
        <v/>
      </c>
      <c r="CB20" s="2873" t="str">
        <f t="shared" si="13"/>
        <v/>
      </c>
      <c r="CC20" s="2873" t="str">
        <f t="shared" ref="CC20:CC22" si="15">IF(AND($C20&lt;&gt;0,X20=""),"* No olvide ingresar la columna "&amp;X$9&amp;""&amp;" (Digite CERO si no tiene).  ",IF(X20&gt;$C20,"* El Número de Control de diada con presencia del padre no puede superar el Total. ",""))</f>
        <v/>
      </c>
      <c r="CD20" s="3107"/>
      <c r="CE20" s="2873" t="str">
        <f t="shared" si="4"/>
        <v/>
      </c>
      <c r="CF20" s="2873" t="str">
        <f t="shared" si="5"/>
        <v/>
      </c>
      <c r="CG20" s="2873" t="str">
        <f t="shared" si="6"/>
        <v/>
      </c>
      <c r="CH20" s="2873" t="str">
        <f t="shared" si="7"/>
        <v/>
      </c>
      <c r="CI20" s="2718"/>
      <c r="CK20" s="1793">
        <f t="shared" si="8"/>
        <v>0</v>
      </c>
      <c r="CL20" s="1793">
        <f t="shared" si="14"/>
        <v>0</v>
      </c>
      <c r="CM20" s="1793">
        <f t="shared" ref="CM20:CM26" si="16">IF(AND(C20&lt;&gt;0,X20=""),1,IF(X20&gt;C20,1,0))</f>
        <v>0</v>
      </c>
      <c r="CN20" s="2872"/>
      <c r="CO20" s="1793">
        <f t="shared" si="9"/>
        <v>0</v>
      </c>
      <c r="CP20" s="1793">
        <f t="shared" si="10"/>
        <v>0</v>
      </c>
      <c r="CQ20" s="1793">
        <f t="shared" si="11"/>
        <v>0</v>
      </c>
      <c r="CR20" s="1793">
        <f t="shared" si="12"/>
        <v>0</v>
      </c>
    </row>
    <row r="21" spans="1:96" ht="15" customHeight="1" x14ac:dyDescent="0.25">
      <c r="A21" s="6456" t="s">
        <v>2383</v>
      </c>
      <c r="B21" s="2875" t="s">
        <v>74</v>
      </c>
      <c r="C21" s="3000">
        <f t="shared" si="0"/>
        <v>0</v>
      </c>
      <c r="D21" s="2502"/>
      <c r="E21" s="2908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2909"/>
      <c r="Q21" s="2909"/>
      <c r="R21" s="2909"/>
      <c r="S21" s="2909"/>
      <c r="T21" s="3117"/>
      <c r="U21" s="2502"/>
      <c r="V21" s="771"/>
      <c r="W21" s="3121"/>
      <c r="X21" s="3121"/>
      <c r="Y21" s="883"/>
      <c r="Z21" s="878"/>
      <c r="AA21" s="878"/>
      <c r="AB21" s="878"/>
      <c r="AC21" s="3115"/>
      <c r="AD21" s="1755" t="str">
        <f t="shared" si="1"/>
        <v/>
      </c>
      <c r="CA21" s="2873" t="str">
        <f t="shared" si="2"/>
        <v/>
      </c>
      <c r="CB21" s="2873" t="str">
        <f t="shared" si="13"/>
        <v/>
      </c>
      <c r="CC21" s="2873" t="str">
        <f t="shared" si="15"/>
        <v/>
      </c>
      <c r="CD21" s="3107"/>
      <c r="CE21" s="2873" t="str">
        <f t="shared" si="4"/>
        <v/>
      </c>
      <c r="CF21" s="2873" t="str">
        <f t="shared" si="5"/>
        <v/>
      </c>
      <c r="CG21" s="2873" t="str">
        <f t="shared" si="6"/>
        <v/>
      </c>
      <c r="CH21" s="2873" t="str">
        <f t="shared" si="7"/>
        <v/>
      </c>
      <c r="CI21" s="2718"/>
      <c r="CK21" s="1793">
        <f t="shared" si="8"/>
        <v>0</v>
      </c>
      <c r="CL21" s="1793">
        <f t="shared" si="14"/>
        <v>0</v>
      </c>
      <c r="CM21" s="1793">
        <f t="shared" si="16"/>
        <v>0</v>
      </c>
      <c r="CN21" s="2872"/>
      <c r="CO21" s="1793">
        <f t="shared" si="9"/>
        <v>0</v>
      </c>
      <c r="CP21" s="1793">
        <f t="shared" si="10"/>
        <v>0</v>
      </c>
      <c r="CQ21" s="1793">
        <f t="shared" si="11"/>
        <v>0</v>
      </c>
      <c r="CR21" s="1793">
        <f t="shared" si="12"/>
        <v>0</v>
      </c>
    </row>
    <row r="22" spans="1:96" ht="15" customHeight="1" x14ac:dyDescent="0.25">
      <c r="A22" s="6457"/>
      <c r="B22" s="150" t="s">
        <v>77</v>
      </c>
      <c r="C22" s="3003">
        <f t="shared" si="0"/>
        <v>0</v>
      </c>
      <c r="D22" s="3108"/>
      <c r="E22" s="197"/>
      <c r="F22" s="2499"/>
      <c r="G22" s="2499"/>
      <c r="H22" s="2499"/>
      <c r="I22" s="2499"/>
      <c r="J22" s="2499"/>
      <c r="K22" s="2499"/>
      <c r="L22" s="2499"/>
      <c r="M22" s="2499"/>
      <c r="N22" s="2499"/>
      <c r="O22" s="2499"/>
      <c r="P22" s="3110"/>
      <c r="Q22" s="3110"/>
      <c r="R22" s="3110"/>
      <c r="S22" s="3110"/>
      <c r="T22" s="3111"/>
      <c r="U22" s="3118"/>
      <c r="V22" s="774"/>
      <c r="W22" s="153"/>
      <c r="X22" s="153"/>
      <c r="Y22" s="211"/>
      <c r="Z22" s="117"/>
      <c r="AA22" s="117"/>
      <c r="AB22" s="117"/>
      <c r="AC22" s="153"/>
      <c r="AD22" s="1755" t="str">
        <f t="shared" si="1"/>
        <v/>
      </c>
      <c r="CA22" s="2873" t="str">
        <f t="shared" si="2"/>
        <v/>
      </c>
      <c r="CB22" s="2873" t="str">
        <f t="shared" si="13"/>
        <v/>
      </c>
      <c r="CC22" s="2873" t="str">
        <f t="shared" si="15"/>
        <v/>
      </c>
      <c r="CD22" s="3107"/>
      <c r="CE22" s="2873" t="str">
        <f t="shared" si="4"/>
        <v/>
      </c>
      <c r="CF22" s="2873" t="str">
        <f t="shared" si="5"/>
        <v/>
      </c>
      <c r="CG22" s="2873" t="str">
        <f t="shared" si="6"/>
        <v/>
      </c>
      <c r="CH22" s="2873" t="str">
        <f t="shared" si="7"/>
        <v/>
      </c>
      <c r="CI22" s="2718"/>
      <c r="CK22" s="1793">
        <f t="shared" si="8"/>
        <v>0</v>
      </c>
      <c r="CL22" s="1793">
        <f t="shared" si="14"/>
        <v>0</v>
      </c>
      <c r="CM22" s="1793">
        <f t="shared" si="16"/>
        <v>0</v>
      </c>
      <c r="CN22" s="2872"/>
      <c r="CO22" s="1793">
        <f t="shared" si="9"/>
        <v>0</v>
      </c>
      <c r="CP22" s="1793">
        <f t="shared" si="10"/>
        <v>0</v>
      </c>
      <c r="CQ22" s="1793">
        <f t="shared" si="11"/>
        <v>0</v>
      </c>
      <c r="CR22" s="1793">
        <f t="shared" si="12"/>
        <v>0</v>
      </c>
    </row>
    <row r="23" spans="1:96" ht="15" customHeight="1" x14ac:dyDescent="0.25">
      <c r="A23" s="6455" t="s">
        <v>2384</v>
      </c>
      <c r="B23" s="2875" t="s">
        <v>74</v>
      </c>
      <c r="C23" s="1759">
        <f>SUM(D23)</f>
        <v>0</v>
      </c>
      <c r="D23" s="2496"/>
      <c r="E23" s="2908"/>
      <c r="F23" s="2909"/>
      <c r="G23" s="2909"/>
      <c r="H23" s="2909"/>
      <c r="I23" s="2909"/>
      <c r="J23" s="2909"/>
      <c r="K23" s="2909"/>
      <c r="L23" s="2909"/>
      <c r="M23" s="2909"/>
      <c r="N23" s="2909"/>
      <c r="O23" s="2909"/>
      <c r="P23" s="2909"/>
      <c r="Q23" s="2909"/>
      <c r="R23" s="2909"/>
      <c r="S23" s="2909"/>
      <c r="T23" s="3117"/>
      <c r="U23" s="2496"/>
      <c r="V23" s="771"/>
      <c r="W23" s="878"/>
      <c r="X23" s="878"/>
      <c r="Y23" s="878"/>
      <c r="Z23" s="878"/>
      <c r="AA23" s="878"/>
      <c r="AB23" s="878"/>
      <c r="AC23" s="3115"/>
      <c r="AD23" s="1755" t="str">
        <f t="shared" si="1"/>
        <v/>
      </c>
      <c r="CA23" s="2873" t="str">
        <f t="shared" si="2"/>
        <v/>
      </c>
      <c r="CB23" s="2873" t="str">
        <f>IF(AND($C23&lt;&gt;0,W23=""),"* No olvide ingresar la columna "&amp;W$9&amp;""&amp;" (Digite CERO si no tiene).  ",IF(W23&gt;$C23,"* El Número de Control con pareja, familiar u otro no puede superar el Total. ",""))</f>
        <v/>
      </c>
      <c r="CC23" s="2873" t="str">
        <f>IF(AND($C23&lt;&gt;0,X23=""),"* No olvide ingresar la columna "&amp;X$9&amp;""&amp;" (Digite CERO si no tiene).  ",IF(X23&gt;$C23,"* El Número de Control de diada con presencia del padre no puede superar el Total. ",""))</f>
        <v/>
      </c>
      <c r="CD23" s="2873" t="str">
        <f>IF(AND($C23&lt;&gt;0,Y23=""),"* No olvide ingresar la columna "&amp;Y$9&amp;""&amp;" (Digite CERO si no tiene).  ",IF(Y23&gt;$C23,"* El Número de Espacios Amigables/ Adolescentes no puede superar el Total. ",""))</f>
        <v/>
      </c>
      <c r="CE23" s="2873" t="str">
        <f>IF(AND($C23&lt;&gt;0,Z23=""),"* No olvide ingresar la columna "&amp;Z$9&amp;""&amp;" (Digite CERO si no tiene).  ",IF(Z23&gt;$C23,"* El Número de Niños, Niñas, Adolescentes y Jóvenes SENAME no puede superar el Total. ",""))</f>
        <v/>
      </c>
      <c r="CF23" s="2873" t="str">
        <f>IF(AND($C23&lt;&gt;0,AA23=""),"* No olvide ingresar la columna "&amp;AA$9&amp;""&amp;" (Digite CERO si no tiene).  ",IF(AA23&gt;$C23,"* El Número de Niños, Niñas, Adolescentes y Jóvenes Mejor Niñez no puede superar el Total. ",""))</f>
        <v/>
      </c>
      <c r="CG23" s="2873" t="str">
        <f>IF(AND($C23&lt;&gt;0,AB23=""),"* No olvide ingresar la columna "&amp;AB$9&amp;""&amp;" (Digite CERO si no tiene).  ",IF(AB23&gt;$C23,"* El Número de Pueblos Originarios no puede superar el Total. ",""))</f>
        <v/>
      </c>
      <c r="CH23" s="2873" t="str">
        <f>IF(AND($C23&lt;&gt;0,AC23=""),"* No olvide ingresar la columna "&amp;AC$9&amp;""&amp;" (Digite CERO si no tiene).  ",IF(AC23&gt;$C23,"* El Número de Migrantes no puede superar el Total. ",""))</f>
        <v/>
      </c>
      <c r="CI23" s="2718"/>
      <c r="CK23" s="1793">
        <f t="shared" si="8"/>
        <v>0</v>
      </c>
      <c r="CL23" s="1793">
        <f t="shared" si="14"/>
        <v>0</v>
      </c>
      <c r="CM23" s="1793">
        <f t="shared" si="16"/>
        <v>0</v>
      </c>
      <c r="CN23" s="1793">
        <f>IF(AND(C23&lt;&gt;0,Y23=""),1,IF(Y23&gt;C23,1,0))</f>
        <v>0</v>
      </c>
      <c r="CO23" s="1793">
        <f t="shared" si="9"/>
        <v>0</v>
      </c>
      <c r="CP23" s="1793">
        <f t="shared" si="10"/>
        <v>0</v>
      </c>
      <c r="CQ23" s="1793">
        <f t="shared" si="11"/>
        <v>0</v>
      </c>
      <c r="CR23" s="1793">
        <f t="shared" si="12"/>
        <v>0</v>
      </c>
    </row>
    <row r="24" spans="1:96" ht="15" customHeight="1" x14ac:dyDescent="0.25">
      <c r="A24" s="6455"/>
      <c r="B24" s="150" t="s">
        <v>77</v>
      </c>
      <c r="C24" s="1759">
        <f>SUM(D24)</f>
        <v>0</v>
      </c>
      <c r="D24" s="2498"/>
      <c r="E24" s="197"/>
      <c r="F24" s="3110"/>
      <c r="G24" s="3110"/>
      <c r="H24" s="3110"/>
      <c r="I24" s="3110"/>
      <c r="J24" s="3110"/>
      <c r="K24" s="3110"/>
      <c r="L24" s="3110"/>
      <c r="M24" s="3110"/>
      <c r="N24" s="3110"/>
      <c r="O24" s="3110"/>
      <c r="P24" s="3110"/>
      <c r="Q24" s="3110"/>
      <c r="R24" s="3110"/>
      <c r="S24" s="3110"/>
      <c r="T24" s="3111"/>
      <c r="U24" s="3112"/>
      <c r="V24" s="774"/>
      <c r="W24" s="117"/>
      <c r="X24" s="117"/>
      <c r="Y24" s="117"/>
      <c r="Z24" s="117"/>
      <c r="AA24" s="117"/>
      <c r="AB24" s="117"/>
      <c r="AC24" s="153"/>
      <c r="AD24" s="1755" t="str">
        <f t="shared" si="1"/>
        <v/>
      </c>
      <c r="CA24" s="2873" t="str">
        <f t="shared" si="2"/>
        <v/>
      </c>
      <c r="CB24" s="2873" t="str">
        <f t="shared" ref="CB24:CB26" si="17">IF(AND($C24&lt;&gt;0,W24=""),"* No olvide ingresar la columna "&amp;W$9&amp;""&amp;" (Digite CERO si no tiene).  ",IF(W24&gt;$C24,"* El Número de Control con pareja, familiar u otro no puede superar el Total. ",""))</f>
        <v/>
      </c>
      <c r="CC24" s="2873" t="str">
        <f>IF(AND($C24&lt;&gt;0,X24=""),"* No olvide ingresar la columna "&amp;X$9&amp;""&amp;" (Digite CERO si no tiene).  ",IF(X24&gt;$C24,"* El Número de Control de diada con presencia del padre no puede superar el Total. ",""))</f>
        <v/>
      </c>
      <c r="CD24" s="2873" t="str">
        <f t="shared" ref="CD24:CD32" si="18">IF(AND($C24&lt;&gt;0,Y24=""),"* No olvide ingresar la columna "&amp;Y$9&amp;""&amp;" (Digite CERO si no tiene).  ",IF(Y24&gt;$C24,"* El Número de Espacios Amigables/ Adolescentes no puede superar el Total. ",""))</f>
        <v/>
      </c>
      <c r="CE24" s="2873" t="str">
        <f t="shared" ref="CE24:CE32" si="19">IF(AND($C24&lt;&gt;0,Z24=""),"* No olvide ingresar la columna "&amp;Z$9&amp;""&amp;" (Digite CERO si no tiene).  ",IF(Z24&gt;$C24,"* El Número de Niños, Niñas, Adolescentes y Jóvenes SENAME no puede superar el Total. ",""))</f>
        <v/>
      </c>
      <c r="CF24" s="2873" t="str">
        <f t="shared" ref="CF24:CF32" si="20">IF(AND($C24&lt;&gt;0,AA24=""),"* No olvide ingresar la columna "&amp;AA$9&amp;""&amp;" (Digite CERO si no tiene).  ",IF(AA24&gt;$C24,"* El Número de Niños, Niñas, Adolescentes y Jóvenes Mejor Niñez no puede superar el Total. ",""))</f>
        <v/>
      </c>
      <c r="CG24" s="2873" t="str">
        <f>IF(AND($C24&lt;&gt;0,AB24=""),"* No olvide ingresar la columna "&amp;AB$9&amp;""&amp;" (Digite CERO si no tiene).  ",IF(AB24&gt;$C24,"* El Número de Pueblos Originarios no puede superar el Total. ",""))</f>
        <v/>
      </c>
      <c r="CH24" s="2873" t="str">
        <f t="shared" ref="CH24:CH32" si="21">IF(AND($C24&lt;&gt;0,AC24=""),"* No olvide ingresar la columna "&amp;AC$9&amp;""&amp;" (Digite CERO si no tiene).  ",IF(AC24&gt;$C24,"* El Número de Migrantes no puede superar el Total. ",""))</f>
        <v/>
      </c>
      <c r="CI24" s="2718"/>
      <c r="CK24" s="1793">
        <f t="shared" si="8"/>
        <v>0</v>
      </c>
      <c r="CL24" s="1793">
        <f t="shared" si="14"/>
        <v>0</v>
      </c>
      <c r="CM24" s="1793">
        <f t="shared" si="16"/>
        <v>0</v>
      </c>
      <c r="CN24" s="1793">
        <f t="shared" ref="CN24:CN28" si="22">IF(AND(C24&lt;&gt;0,Y24=""),1,IF(Y24&gt;C24,1,0))</f>
        <v>0</v>
      </c>
      <c r="CO24" s="1793">
        <f t="shared" si="9"/>
        <v>0</v>
      </c>
      <c r="CP24" s="1793">
        <f t="shared" si="10"/>
        <v>0</v>
      </c>
      <c r="CQ24" s="1793">
        <f t="shared" si="11"/>
        <v>0</v>
      </c>
      <c r="CR24" s="1793">
        <f t="shared" si="12"/>
        <v>0</v>
      </c>
    </row>
    <row r="25" spans="1:96" ht="15" customHeight="1" x14ac:dyDescent="0.25">
      <c r="A25" s="6456" t="s">
        <v>2385</v>
      </c>
      <c r="B25" s="2875" t="s">
        <v>74</v>
      </c>
      <c r="C25" s="3000">
        <f>SUM(D25)</f>
        <v>0</v>
      </c>
      <c r="D25" s="106"/>
      <c r="E25" s="2009"/>
      <c r="F25" s="2008"/>
      <c r="G25" s="2008"/>
      <c r="H25" s="2008"/>
      <c r="I25" s="2008"/>
      <c r="J25" s="2008"/>
      <c r="K25" s="2008"/>
      <c r="L25" s="2008"/>
      <c r="M25" s="2008"/>
      <c r="N25" s="2008"/>
      <c r="O25" s="2008"/>
      <c r="P25" s="2909"/>
      <c r="Q25" s="2909"/>
      <c r="R25" s="2909"/>
      <c r="S25" s="2909"/>
      <c r="T25" s="3117"/>
      <c r="U25" s="2496"/>
      <c r="V25" s="771"/>
      <c r="W25" s="878"/>
      <c r="X25" s="878"/>
      <c r="Y25" s="878"/>
      <c r="Z25" s="878"/>
      <c r="AA25" s="878"/>
      <c r="AB25" s="878"/>
      <c r="AC25" s="3115"/>
      <c r="AD25" s="1755" t="str">
        <f t="shared" si="1"/>
        <v/>
      </c>
      <c r="CA25" s="2873" t="str">
        <f t="shared" si="2"/>
        <v/>
      </c>
      <c r="CB25" s="2873" t="str">
        <f t="shared" si="17"/>
        <v/>
      </c>
      <c r="CC25" s="2873" t="str">
        <f t="shared" ref="CC25:CC26" si="23">IF(AND($C25&lt;&gt;0,X25=""),"* No olvide ingresar la columna "&amp;X$9&amp;""&amp;" (Digite CERO si no tiene).  ",IF(X25&gt;$C25,"* El Número de Control de diada con presencia del padre no puede superar el Total. ",""))</f>
        <v/>
      </c>
      <c r="CD25" s="2873" t="str">
        <f t="shared" si="18"/>
        <v/>
      </c>
      <c r="CE25" s="2873" t="str">
        <f t="shared" si="19"/>
        <v/>
      </c>
      <c r="CF25" s="2873" t="str">
        <f t="shared" si="20"/>
        <v/>
      </c>
      <c r="CG25" s="2873" t="str">
        <f t="shared" ref="CG25:CG32" si="24">IF(AND($C25&lt;&gt;0,AB25=""),"* No olvide ingresar la columna "&amp;AB$9&amp;""&amp;" (Digite CERO si no tiene).  ",IF(AB25&gt;$C25,"* El Número de Pueblos Originarios no puede superar el Total. ",""))</f>
        <v/>
      </c>
      <c r="CH25" s="2873" t="str">
        <f t="shared" si="21"/>
        <v/>
      </c>
      <c r="CI25" s="2718"/>
      <c r="CK25" s="1793">
        <f t="shared" si="8"/>
        <v>0</v>
      </c>
      <c r="CL25" s="1793">
        <f t="shared" si="14"/>
        <v>0</v>
      </c>
      <c r="CM25" s="1793">
        <f t="shared" si="16"/>
        <v>0</v>
      </c>
      <c r="CN25" s="1793">
        <f t="shared" si="22"/>
        <v>0</v>
      </c>
      <c r="CO25" s="1793">
        <f t="shared" si="9"/>
        <v>0</v>
      </c>
      <c r="CP25" s="1793">
        <f t="shared" si="10"/>
        <v>0</v>
      </c>
      <c r="CQ25" s="1793">
        <f t="shared" si="11"/>
        <v>0</v>
      </c>
      <c r="CR25" s="1793">
        <f t="shared" si="12"/>
        <v>0</v>
      </c>
    </row>
    <row r="26" spans="1:96" ht="15" customHeight="1" x14ac:dyDescent="0.25">
      <c r="A26" s="6457"/>
      <c r="B26" s="150" t="s">
        <v>77</v>
      </c>
      <c r="C26" s="3003">
        <f>SUM(D26)</f>
        <v>0</v>
      </c>
      <c r="D26" s="2491"/>
      <c r="E26" s="197"/>
      <c r="F26" s="3110"/>
      <c r="G26" s="3110"/>
      <c r="H26" s="3110"/>
      <c r="I26" s="3110"/>
      <c r="J26" s="3110"/>
      <c r="K26" s="3110"/>
      <c r="L26" s="3110"/>
      <c r="M26" s="3110"/>
      <c r="N26" s="3110"/>
      <c r="O26" s="3110"/>
      <c r="P26" s="3110"/>
      <c r="Q26" s="3110"/>
      <c r="R26" s="3110"/>
      <c r="S26" s="3110"/>
      <c r="T26" s="3111"/>
      <c r="U26" s="3112"/>
      <c r="V26" s="774"/>
      <c r="W26" s="117"/>
      <c r="X26" s="117"/>
      <c r="Y26" s="117"/>
      <c r="Z26" s="117"/>
      <c r="AA26" s="117"/>
      <c r="AB26" s="117"/>
      <c r="AC26" s="153"/>
      <c r="AD26" s="1755" t="str">
        <f t="shared" si="1"/>
        <v/>
      </c>
      <c r="CA26" s="2873" t="str">
        <f t="shared" si="2"/>
        <v/>
      </c>
      <c r="CB26" s="2873" t="str">
        <f t="shared" si="17"/>
        <v/>
      </c>
      <c r="CC26" s="2873" t="str">
        <f t="shared" si="23"/>
        <v/>
      </c>
      <c r="CD26" s="2873" t="str">
        <f t="shared" si="18"/>
        <v/>
      </c>
      <c r="CE26" s="2873" t="str">
        <f t="shared" si="19"/>
        <v/>
      </c>
      <c r="CF26" s="2873" t="str">
        <f t="shared" si="20"/>
        <v/>
      </c>
      <c r="CG26" s="2873" t="str">
        <f t="shared" si="24"/>
        <v/>
      </c>
      <c r="CH26" s="2873" t="str">
        <f t="shared" si="21"/>
        <v/>
      </c>
      <c r="CI26" s="2718"/>
      <c r="CK26" s="1793">
        <f t="shared" si="8"/>
        <v>0</v>
      </c>
      <c r="CL26" s="1793">
        <f t="shared" si="14"/>
        <v>0</v>
      </c>
      <c r="CM26" s="1793">
        <f t="shared" si="16"/>
        <v>0</v>
      </c>
      <c r="CN26" s="1793">
        <f t="shared" si="22"/>
        <v>0</v>
      </c>
      <c r="CO26" s="1793">
        <f t="shared" si="9"/>
        <v>0</v>
      </c>
      <c r="CP26" s="1793">
        <f t="shared" si="10"/>
        <v>0</v>
      </c>
      <c r="CQ26" s="1793">
        <f t="shared" si="11"/>
        <v>0</v>
      </c>
      <c r="CR26" s="1793">
        <f t="shared" si="12"/>
        <v>0</v>
      </c>
    </row>
    <row r="27" spans="1:96" ht="15" customHeight="1" x14ac:dyDescent="0.25">
      <c r="A27" s="6458" t="s">
        <v>2386</v>
      </c>
      <c r="B27" s="2875" t="s">
        <v>74</v>
      </c>
      <c r="C27" s="2875">
        <f>SUM(F27:T27)</f>
        <v>0</v>
      </c>
      <c r="D27" s="2502"/>
      <c r="E27" s="2908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2043"/>
      <c r="V27" s="771"/>
      <c r="W27" s="147"/>
      <c r="X27" s="3114"/>
      <c r="Y27" s="878"/>
      <c r="Z27" s="878"/>
      <c r="AA27" s="878"/>
      <c r="AB27" s="878"/>
      <c r="AC27" s="878"/>
      <c r="AD27" s="1755" t="str">
        <f t="shared" si="1"/>
        <v/>
      </c>
      <c r="CA27" s="2873" t="str">
        <f t="shared" si="2"/>
        <v/>
      </c>
      <c r="CB27" s="2718"/>
      <c r="CC27" s="2718"/>
      <c r="CD27" s="2873" t="str">
        <f t="shared" si="18"/>
        <v/>
      </c>
      <c r="CE27" s="2873" t="str">
        <f t="shared" si="19"/>
        <v/>
      </c>
      <c r="CF27" s="2873" t="str">
        <f t="shared" si="20"/>
        <v/>
      </c>
      <c r="CG27" s="2873" t="str">
        <f t="shared" si="24"/>
        <v/>
      </c>
      <c r="CH27" s="2873" t="str">
        <f t="shared" si="21"/>
        <v/>
      </c>
      <c r="CI27" s="2718"/>
      <c r="CK27" s="1793">
        <f t="shared" si="8"/>
        <v>0</v>
      </c>
      <c r="CN27" s="1793">
        <f t="shared" si="22"/>
        <v>0</v>
      </c>
      <c r="CO27" s="1793">
        <f t="shared" si="9"/>
        <v>0</v>
      </c>
      <c r="CP27" s="1793">
        <f t="shared" si="10"/>
        <v>0</v>
      </c>
      <c r="CQ27" s="1793">
        <f t="shared" si="11"/>
        <v>0</v>
      </c>
      <c r="CR27" s="1793">
        <f t="shared" si="12"/>
        <v>0</v>
      </c>
    </row>
    <row r="28" spans="1:96" ht="15" customHeight="1" x14ac:dyDescent="0.25">
      <c r="A28" s="6458"/>
      <c r="B28" s="150" t="s">
        <v>77</v>
      </c>
      <c r="C28" s="926">
        <f>SUM(F28:T28)</f>
        <v>0</v>
      </c>
      <c r="D28" s="3108"/>
      <c r="E28" s="197"/>
      <c r="F28" s="132"/>
      <c r="G28" s="132"/>
      <c r="H28" s="132"/>
      <c r="I28" s="132"/>
      <c r="J28" s="132"/>
      <c r="K28" s="132"/>
      <c r="L28" s="132"/>
      <c r="M28" s="132"/>
      <c r="N28" s="3109"/>
      <c r="O28" s="2499"/>
      <c r="P28" s="2499"/>
      <c r="Q28" s="132"/>
      <c r="R28" s="132"/>
      <c r="S28" s="132"/>
      <c r="T28" s="132"/>
      <c r="U28" s="2930"/>
      <c r="V28" s="774"/>
      <c r="W28" s="152"/>
      <c r="X28" s="913"/>
      <c r="Y28" s="117"/>
      <c r="Z28" s="117"/>
      <c r="AA28" s="117"/>
      <c r="AB28" s="117"/>
      <c r="AC28" s="117"/>
      <c r="AD28" s="1755" t="str">
        <f t="shared" si="1"/>
        <v/>
      </c>
      <c r="CA28" s="2873" t="str">
        <f t="shared" si="2"/>
        <v/>
      </c>
      <c r="CB28" s="2718"/>
      <c r="CC28" s="2718"/>
      <c r="CD28" s="2873" t="str">
        <f t="shared" si="18"/>
        <v/>
      </c>
      <c r="CE28" s="2873" t="str">
        <f t="shared" si="19"/>
        <v/>
      </c>
      <c r="CF28" s="2873" t="str">
        <f t="shared" si="20"/>
        <v/>
      </c>
      <c r="CG28" s="2873" t="str">
        <f t="shared" si="24"/>
        <v/>
      </c>
      <c r="CH28" s="2873" t="str">
        <f t="shared" si="21"/>
        <v/>
      </c>
      <c r="CI28" s="2718"/>
      <c r="CK28" s="1793">
        <f t="shared" si="8"/>
        <v>0</v>
      </c>
      <c r="CN28" s="1793">
        <f t="shared" si="22"/>
        <v>0</v>
      </c>
      <c r="CO28" s="1793">
        <f t="shared" si="9"/>
        <v>0</v>
      </c>
      <c r="CP28" s="1793">
        <f t="shared" si="10"/>
        <v>0</v>
      </c>
      <c r="CQ28" s="1793">
        <f t="shared" si="11"/>
        <v>0</v>
      </c>
      <c r="CR28" s="1793">
        <f t="shared" si="12"/>
        <v>0</v>
      </c>
    </row>
    <row r="29" spans="1:96" ht="15" customHeight="1" x14ac:dyDescent="0.25">
      <c r="A29" s="6456" t="s">
        <v>2387</v>
      </c>
      <c r="B29" s="2875" t="s">
        <v>74</v>
      </c>
      <c r="C29" s="3088">
        <f>SUM(M29:P29)</f>
        <v>0</v>
      </c>
      <c r="D29" s="2502"/>
      <c r="E29" s="2908"/>
      <c r="F29" s="2909"/>
      <c r="G29" s="2909"/>
      <c r="H29" s="2909"/>
      <c r="I29" s="2909"/>
      <c r="J29" s="2909"/>
      <c r="K29" s="2909"/>
      <c r="L29" s="2909"/>
      <c r="M29" s="320"/>
      <c r="N29" s="320"/>
      <c r="O29" s="320"/>
      <c r="P29" s="320"/>
      <c r="Q29" s="2909"/>
      <c r="R29" s="2909"/>
      <c r="S29" s="2909"/>
      <c r="T29" s="3117"/>
      <c r="U29" s="2502"/>
      <c r="V29" s="771"/>
      <c r="W29" s="147"/>
      <c r="X29" s="3114"/>
      <c r="Y29" s="883"/>
      <c r="Z29" s="883"/>
      <c r="AA29" s="883"/>
      <c r="AB29" s="878"/>
      <c r="AC29" s="3115"/>
      <c r="AD29" s="1755" t="str">
        <f t="shared" si="1"/>
        <v/>
      </c>
      <c r="CA29" s="2873" t="str">
        <f t="shared" si="2"/>
        <v/>
      </c>
      <c r="CB29" s="2718"/>
      <c r="CC29" s="2718"/>
      <c r="CD29" s="2718"/>
      <c r="CE29" s="2718"/>
      <c r="CF29" s="2718"/>
      <c r="CG29" s="2873" t="str">
        <f t="shared" si="24"/>
        <v/>
      </c>
      <c r="CH29" s="2873" t="str">
        <f t="shared" si="21"/>
        <v/>
      </c>
      <c r="CI29" s="2718"/>
      <c r="CK29" s="1793">
        <f t="shared" si="8"/>
        <v>0</v>
      </c>
      <c r="CQ29" s="1793">
        <f t="shared" ref="CQ29:CQ32" si="25">IF(AND($C29&lt;&gt;0,AB29=""),1,IF(AB29&gt;C29,1,0))</f>
        <v>0</v>
      </c>
      <c r="CR29" s="1793">
        <f t="shared" ref="CR29:CR32" si="26">IF(AND($C29&lt;&gt;0,AC29=""),1,IF(AC29&gt;C29,1,0))</f>
        <v>0</v>
      </c>
    </row>
    <row r="30" spans="1:96" ht="15" customHeight="1" x14ac:dyDescent="0.25">
      <c r="A30" s="6457"/>
      <c r="B30" s="150" t="s">
        <v>77</v>
      </c>
      <c r="C30" s="2485">
        <f>SUM(M30:P30)</f>
        <v>0</v>
      </c>
      <c r="D30" s="3108"/>
      <c r="E30" s="197"/>
      <c r="F30" s="2006"/>
      <c r="G30" s="2006"/>
      <c r="H30" s="2006"/>
      <c r="I30" s="2006"/>
      <c r="J30" s="2006"/>
      <c r="K30" s="2006"/>
      <c r="L30" s="2006"/>
      <c r="M30" s="3109"/>
      <c r="N30" s="3109"/>
      <c r="O30" s="2499"/>
      <c r="P30" s="2499"/>
      <c r="Q30" s="2006"/>
      <c r="R30" s="2006"/>
      <c r="S30" s="2006"/>
      <c r="T30" s="3122"/>
      <c r="U30" s="3108"/>
      <c r="V30" s="774"/>
      <c r="W30" s="152"/>
      <c r="X30" s="913"/>
      <c r="Y30" s="211"/>
      <c r="Z30" s="211"/>
      <c r="AA30" s="211"/>
      <c r="AB30" s="117"/>
      <c r="AC30" s="153"/>
      <c r="AD30" s="1755" t="str">
        <f t="shared" si="1"/>
        <v/>
      </c>
      <c r="CA30" s="2873" t="str">
        <f t="shared" si="2"/>
        <v/>
      </c>
      <c r="CB30" s="2718"/>
      <c r="CC30" s="2718"/>
      <c r="CD30" s="2718"/>
      <c r="CE30" s="2718"/>
      <c r="CF30" s="2718"/>
      <c r="CG30" s="2873" t="str">
        <f t="shared" si="24"/>
        <v/>
      </c>
      <c r="CH30" s="2873" t="str">
        <f t="shared" si="21"/>
        <v/>
      </c>
      <c r="CI30" s="2718"/>
      <c r="CK30" s="1793">
        <f t="shared" si="8"/>
        <v>0</v>
      </c>
      <c r="CQ30" s="1793">
        <f t="shared" si="25"/>
        <v>0</v>
      </c>
      <c r="CR30" s="1793">
        <f t="shared" si="26"/>
        <v>0</v>
      </c>
    </row>
    <row r="31" spans="1:96" ht="15" customHeight="1" x14ac:dyDescent="0.25">
      <c r="A31" s="6455" t="s">
        <v>2388</v>
      </c>
      <c r="B31" s="2875" t="s">
        <v>74</v>
      </c>
      <c r="C31" s="2875">
        <f>SUM(F31:T31)</f>
        <v>0</v>
      </c>
      <c r="D31" s="2502"/>
      <c r="E31" s="2908"/>
      <c r="F31" s="1086"/>
      <c r="G31" s="1086"/>
      <c r="H31" s="1086"/>
      <c r="I31" s="1086"/>
      <c r="J31" s="1086"/>
      <c r="K31" s="1086"/>
      <c r="L31" s="1086"/>
      <c r="M31" s="320"/>
      <c r="N31" s="320"/>
      <c r="O31" s="320"/>
      <c r="P31" s="320"/>
      <c r="Q31" s="1086"/>
      <c r="R31" s="1086"/>
      <c r="S31" s="1086"/>
      <c r="T31" s="3123"/>
      <c r="U31" s="106"/>
      <c r="V31" s="771"/>
      <c r="W31" s="147"/>
      <c r="X31" s="3114"/>
      <c r="Y31" s="878"/>
      <c r="Z31" s="878"/>
      <c r="AA31" s="878"/>
      <c r="AB31" s="878"/>
      <c r="AC31" s="3115"/>
      <c r="AD31" s="1755" t="str">
        <f t="shared" si="1"/>
        <v/>
      </c>
      <c r="CA31" s="2873" t="str">
        <f t="shared" si="2"/>
        <v/>
      </c>
      <c r="CB31" s="2718"/>
      <c r="CC31" s="2718"/>
      <c r="CD31" s="2873" t="str">
        <f t="shared" si="18"/>
        <v/>
      </c>
      <c r="CE31" s="2873" t="str">
        <f t="shared" si="19"/>
        <v/>
      </c>
      <c r="CF31" s="2873" t="str">
        <f t="shared" si="20"/>
        <v/>
      </c>
      <c r="CG31" s="2873" t="str">
        <f t="shared" si="24"/>
        <v/>
      </c>
      <c r="CH31" s="2873" t="str">
        <f t="shared" si="21"/>
        <v/>
      </c>
      <c r="CI31" s="2718"/>
      <c r="CK31" s="1793">
        <f t="shared" si="8"/>
        <v>0</v>
      </c>
      <c r="CN31" s="1793">
        <f t="shared" ref="CN31:CN32" si="27">IF(AND(C31&lt;&gt;0,Y31=""),1,IF(Y31&gt;C31,1,0))</f>
        <v>0</v>
      </c>
      <c r="CO31" s="1793">
        <f t="shared" ref="CO31" si="28">IF(AND($C31&lt;&gt;0,Z31=""),1,IF(Z31&gt;C31,1,0))</f>
        <v>0</v>
      </c>
      <c r="CP31" s="1793">
        <f t="shared" ref="CP31:CP32" si="29">IF(AND($C31&lt;&gt;0,AA31=""),1,IF(AA31&gt;C31,1,0))</f>
        <v>0</v>
      </c>
      <c r="CQ31" s="1793">
        <f t="shared" si="25"/>
        <v>0</v>
      </c>
      <c r="CR31" s="1793">
        <f t="shared" si="26"/>
        <v>0</v>
      </c>
    </row>
    <row r="32" spans="1:96" ht="15" customHeight="1" x14ac:dyDescent="0.25">
      <c r="A32" s="6457"/>
      <c r="B32" s="150" t="s">
        <v>77</v>
      </c>
      <c r="C32" s="150">
        <f>SUM(F32:T32)</f>
        <v>0</v>
      </c>
      <c r="D32" s="3108"/>
      <c r="E32" s="197"/>
      <c r="F32" s="3109"/>
      <c r="G32" s="3109"/>
      <c r="H32" s="3109"/>
      <c r="I32" s="3109"/>
      <c r="J32" s="3109"/>
      <c r="K32" s="3109"/>
      <c r="L32" s="3109"/>
      <c r="M32" s="3109"/>
      <c r="N32" s="2499"/>
      <c r="O32" s="2499"/>
      <c r="P32" s="2499"/>
      <c r="Q32" s="3109"/>
      <c r="R32" s="3109"/>
      <c r="S32" s="3109"/>
      <c r="T32" s="3124"/>
      <c r="U32" s="3112"/>
      <c r="V32" s="774"/>
      <c r="W32" s="152"/>
      <c r="X32" s="913"/>
      <c r="Y32" s="117"/>
      <c r="Z32" s="117"/>
      <c r="AA32" s="117"/>
      <c r="AB32" s="117"/>
      <c r="AC32" s="153"/>
      <c r="AD32" s="1755" t="str">
        <f t="shared" si="1"/>
        <v/>
      </c>
      <c r="CA32" s="2873" t="str">
        <f t="shared" si="2"/>
        <v/>
      </c>
      <c r="CB32" s="2718"/>
      <c r="CC32" s="2718"/>
      <c r="CD32" s="2873" t="str">
        <f t="shared" si="18"/>
        <v/>
      </c>
      <c r="CE32" s="2873" t="str">
        <f t="shared" si="19"/>
        <v/>
      </c>
      <c r="CF32" s="2873" t="str">
        <f t="shared" si="20"/>
        <v/>
      </c>
      <c r="CG32" s="2873" t="str">
        <f t="shared" si="24"/>
        <v/>
      </c>
      <c r="CH32" s="2873" t="str">
        <f t="shared" si="21"/>
        <v/>
      </c>
      <c r="CI32" s="2718"/>
      <c r="CK32" s="1793">
        <f t="shared" si="8"/>
        <v>0</v>
      </c>
      <c r="CN32" s="1793">
        <f t="shared" si="27"/>
        <v>0</v>
      </c>
      <c r="CO32" s="1793">
        <f>IF(AND($C32&lt;&gt;0,Z32=""),1,IF(Z32&gt;C32,1,0))</f>
        <v>0</v>
      </c>
      <c r="CP32" s="1793">
        <f t="shared" si="29"/>
        <v>0</v>
      </c>
      <c r="CQ32" s="1793">
        <f t="shared" si="25"/>
        <v>0</v>
      </c>
      <c r="CR32" s="1793">
        <f t="shared" si="26"/>
        <v>0</v>
      </c>
    </row>
    <row r="33" spans="1:95" ht="18" customHeight="1" x14ac:dyDescent="0.25">
      <c r="A33" s="123" t="s">
        <v>2389</v>
      </c>
      <c r="B33" s="3100"/>
      <c r="C33" s="3100"/>
      <c r="D33" s="3100"/>
      <c r="E33" s="3100"/>
      <c r="F33" s="3100"/>
      <c r="G33" s="3100"/>
      <c r="H33" s="3100"/>
      <c r="I33" s="3100"/>
      <c r="J33" s="3100"/>
      <c r="K33" s="3100"/>
      <c r="L33" s="3100"/>
      <c r="M33" s="3100"/>
      <c r="N33" s="3100"/>
      <c r="O33" s="3100"/>
      <c r="P33" s="3100"/>
      <c r="Q33" s="3100"/>
      <c r="R33" s="3100"/>
      <c r="S33" s="3100"/>
      <c r="T33" s="3100"/>
      <c r="U33" s="3100"/>
      <c r="V33" s="3100"/>
      <c r="W33" s="3100"/>
      <c r="X33" s="3100"/>
      <c r="Y33" s="3100"/>
      <c r="Z33" s="3100"/>
      <c r="AA33" s="3100"/>
      <c r="AB33" s="3125"/>
      <c r="AC33" s="3125"/>
      <c r="AD33" s="3125"/>
      <c r="AE33" s="3125"/>
      <c r="AF33" s="3125"/>
      <c r="AG33" s="3125"/>
      <c r="AH33" s="3125"/>
      <c r="AI33" s="3125"/>
      <c r="AJ33" s="3125"/>
      <c r="AK33" s="3125"/>
      <c r="AL33" s="3125"/>
      <c r="AM33" s="3125"/>
      <c r="AN33" s="3125"/>
    </row>
    <row r="34" spans="1:95" ht="23.45" customHeight="1" x14ac:dyDescent="0.25">
      <c r="A34" s="6448" t="s">
        <v>1398</v>
      </c>
      <c r="B34" s="6448" t="s">
        <v>61</v>
      </c>
      <c r="C34" s="6479" t="s">
        <v>24</v>
      </c>
      <c r="D34" s="6480"/>
      <c r="E34" s="6481"/>
      <c r="F34" s="6452" t="s">
        <v>12</v>
      </c>
      <c r="G34" s="6453"/>
      <c r="H34" s="6453"/>
      <c r="I34" s="6453"/>
      <c r="J34" s="6453"/>
      <c r="K34" s="6453"/>
      <c r="L34" s="6453"/>
      <c r="M34" s="6453"/>
      <c r="N34" s="6453"/>
      <c r="O34" s="6453"/>
      <c r="P34" s="6453"/>
      <c r="Q34" s="6453"/>
      <c r="R34" s="6453"/>
      <c r="S34" s="6453"/>
      <c r="T34" s="6453"/>
      <c r="U34" s="6453"/>
      <c r="V34" s="6453"/>
      <c r="W34" s="6453"/>
      <c r="X34" s="6453"/>
      <c r="Y34" s="6453"/>
      <c r="Z34" s="6453"/>
      <c r="AA34" s="6453"/>
      <c r="AB34" s="6453"/>
      <c r="AC34" s="6453"/>
      <c r="AD34" s="6453"/>
      <c r="AE34" s="6453"/>
      <c r="AF34" s="6453"/>
      <c r="AG34" s="6453"/>
      <c r="AH34" s="6462"/>
      <c r="AI34" s="6482" t="s">
        <v>2390</v>
      </c>
      <c r="AJ34" s="6483"/>
      <c r="AK34" s="6463" t="s">
        <v>40</v>
      </c>
      <c r="AL34" s="6463" t="s">
        <v>45</v>
      </c>
      <c r="AM34" s="6463" t="s">
        <v>2</v>
      </c>
      <c r="AN34" s="6463" t="s">
        <v>3</v>
      </c>
    </row>
    <row r="35" spans="1:95" ht="42" x14ac:dyDescent="0.25">
      <c r="A35" s="6449"/>
      <c r="B35" s="6449"/>
      <c r="C35" s="2829" t="s">
        <v>26</v>
      </c>
      <c r="D35" s="3103" t="s">
        <v>22</v>
      </c>
      <c r="E35" s="3126" t="s">
        <v>27</v>
      </c>
      <c r="F35" s="3082" t="s">
        <v>2741</v>
      </c>
      <c r="G35" s="2857" t="s">
        <v>547</v>
      </c>
      <c r="H35" s="2857" t="s">
        <v>548</v>
      </c>
      <c r="I35" s="2857" t="s">
        <v>549</v>
      </c>
      <c r="J35" s="3127" t="s">
        <v>550</v>
      </c>
      <c r="K35" s="2857" t="s">
        <v>2391</v>
      </c>
      <c r="L35" s="2857" t="s">
        <v>552</v>
      </c>
      <c r="M35" s="2857" t="s">
        <v>2392</v>
      </c>
      <c r="N35" s="2857" t="s">
        <v>2445</v>
      </c>
      <c r="O35" s="2857" t="s">
        <v>2393</v>
      </c>
      <c r="P35" s="2857" t="s">
        <v>2394</v>
      </c>
      <c r="Q35" s="2857" t="s">
        <v>2395</v>
      </c>
      <c r="R35" s="2857" t="s">
        <v>2396</v>
      </c>
      <c r="S35" s="2857" t="s">
        <v>3703</v>
      </c>
      <c r="T35" s="2971" t="s">
        <v>38</v>
      </c>
      <c r="U35" s="2971" t="s">
        <v>4</v>
      </c>
      <c r="V35" s="2971" t="s">
        <v>5</v>
      </c>
      <c r="W35" s="2971" t="s">
        <v>6</v>
      </c>
      <c r="X35" s="2971" t="s">
        <v>7</v>
      </c>
      <c r="Y35" s="2971" t="s">
        <v>8</v>
      </c>
      <c r="Z35" s="2971" t="s">
        <v>9</v>
      </c>
      <c r="AA35" s="2971" t="s">
        <v>10</v>
      </c>
      <c r="AB35" s="2971" t="s">
        <v>11</v>
      </c>
      <c r="AC35" s="2971" t="s">
        <v>18</v>
      </c>
      <c r="AD35" s="2971" t="s">
        <v>19</v>
      </c>
      <c r="AE35" s="2971" t="s">
        <v>20</v>
      </c>
      <c r="AF35" s="2971" t="s">
        <v>70</v>
      </c>
      <c r="AG35" s="2971" t="s">
        <v>71</v>
      </c>
      <c r="AH35" s="4425" t="s">
        <v>32</v>
      </c>
      <c r="AI35" s="3128" t="s">
        <v>3865</v>
      </c>
      <c r="AJ35" s="3129" t="s">
        <v>2397</v>
      </c>
      <c r="AK35" s="6464"/>
      <c r="AL35" s="6464"/>
      <c r="AM35" s="6464"/>
      <c r="AN35" s="6464"/>
    </row>
    <row r="36" spans="1:95" ht="15" customHeight="1" x14ac:dyDescent="0.25">
      <c r="A36" s="6456" t="s">
        <v>2398</v>
      </c>
      <c r="B36" s="2875" t="s">
        <v>74</v>
      </c>
      <c r="C36" s="2875">
        <f>SUM(F36:AH36)</f>
        <v>0</v>
      </c>
      <c r="D36" s="3130"/>
      <c r="E36" s="3131"/>
      <c r="F36" s="2496"/>
      <c r="G36" s="320"/>
      <c r="H36" s="320"/>
      <c r="I36" s="320"/>
      <c r="J36" s="3132"/>
      <c r="K36" s="3132"/>
      <c r="L36" s="320"/>
      <c r="M36" s="320"/>
      <c r="N36" s="3133"/>
      <c r="O36" s="3133"/>
      <c r="P36" s="2933"/>
      <c r="Q36" s="320"/>
      <c r="R36" s="320"/>
      <c r="S36" s="320"/>
      <c r="T36" s="3132"/>
      <c r="U36" s="3132"/>
      <c r="V36" s="320"/>
      <c r="W36" s="320"/>
      <c r="X36" s="3132"/>
      <c r="Y36" s="3132"/>
      <c r="Z36" s="2933"/>
      <c r="AA36" s="320"/>
      <c r="AB36" s="320"/>
      <c r="AC36" s="320"/>
      <c r="AD36" s="3132"/>
      <c r="AE36" s="3132"/>
      <c r="AF36" s="320"/>
      <c r="AG36" s="320"/>
      <c r="AH36" s="3134"/>
      <c r="AI36" s="2496"/>
      <c r="AJ36" s="2871"/>
      <c r="AK36" s="2871"/>
      <c r="AL36" s="2871"/>
      <c r="AM36" s="2871"/>
      <c r="AN36" s="2871"/>
      <c r="AO36" s="1755" t="str">
        <f>CA36&amp;CB36&amp;CD36&amp;CE36&amp;CF36&amp;CG36&amp;CH36</f>
        <v/>
      </c>
      <c r="CA36" s="2873" t="str">
        <f>IF((D36+E36)&lt;&gt;SUM(F36:AH36)," * El Total de Controles por Sexo (Hombres+Mujeres) no puede ser distinto al desglose por rango etario.","")</f>
        <v/>
      </c>
      <c r="CB36" s="2873" t="str">
        <f>IF(AND(SUM(F36:M36)&gt;0,AI36="")," * No olvide digitar los campos "&amp;AI$34&amp;""&amp;" de menores de 1 año (Digite CERO si no tiene). ",IF(AI36&gt;SUM(F36:M36),"* La suma de Control con Presencia del padre de menores de 1 año no puede superar el Total de Controles de menores de 1 año. ",""))</f>
        <v/>
      </c>
      <c r="CC36" s="2873" t="str">
        <f>IF(AND(SUM(N36:P36)&gt;0,AJ36="")," * No olvide digitar los campos "&amp;AI$34&amp;""&amp;" de 1 año a 3 años 11 meses 29 días (Digite CERO si no tiene). ",IF(AJ36&gt;SUM(N36:P36),"* La suma de Control con Presencia del padre de 1 año a 3 años 11 meses 29 días no puede superar el Total de Controles de 12 a 47 meses. ",""))</f>
        <v/>
      </c>
      <c r="CD36" s="2873" t="str">
        <f>IF(AND($C36&lt;&gt;0,AK36=""),"* No olvide ingresar la columna "&amp;AK$34&amp;""&amp;" (Digite CERO si no tiene).  ",IF(AK36&gt;$C36,"* El Número de Niños, Niñas, Adolescentes y Jóvenes SENAME no puede superar el Total Ambos Sexos. ",""))</f>
        <v/>
      </c>
      <c r="CE36" s="2873" t="str">
        <f>IF(AND($C36&lt;&gt;0,AL36=""),"* No olvide ingresar la columna "&amp;AL$34&amp;""&amp;" (Digite CERO si no tiene).  ",IF(AL36&gt;$C36,"* El Número de Niños, Niñas, Adolescentes y Jóvenes Mejor Niñez no puede superar el Total Ambos Sexos. ",""))</f>
        <v/>
      </c>
      <c r="CF36" s="2873" t="str">
        <f>IF(AND($C36&lt;&gt;0,AM36=""),"* No olvide ingresar la columna "&amp;AM$34&amp;""&amp;" (Digite CERO si no tiene).  ",IF(AM36&gt;$C36,"* El Número de Pueblos Originarios no puede superar el Total Ambos Sexos. ",""))</f>
        <v/>
      </c>
      <c r="CG36" s="2873" t="str">
        <f>IF(AND($C36&lt;&gt;0,AN36=""),"* No olvide ingresar la columna "&amp;AN$34&amp;""&amp;" (Digite CERO si no tiene).  ",IF(AN36&gt;$C36,"* El Número de Migrantes no puede superar el Total Ambos Sexos. ",""))</f>
        <v/>
      </c>
      <c r="CH36" s="2718"/>
      <c r="CI36" s="603"/>
      <c r="CK36" s="1793">
        <f>IF((D36+E36)&lt;&gt;SUM(F36:AH36),1,0)</f>
        <v>0</v>
      </c>
      <c r="CL36" s="1793">
        <f>IF(AND(SUM(F36:M36)&gt;0,AI36=""),1,IF(AI36&gt;SUM(F36:M36),1,0))</f>
        <v>0</v>
      </c>
      <c r="CM36" s="1793">
        <f>IF(AND(SUM(N36:P36)&gt;0,AJ36=""),1,IF(AJ36&gt;SUM(N36:P36),1,0))</f>
        <v>0</v>
      </c>
      <c r="CN36" s="1793">
        <f>IF(AND($C36&lt;&gt;0,AK36=""),1,IF(AK36&gt;$C36,1,0))</f>
        <v>0</v>
      </c>
      <c r="CO36" s="1793">
        <f>IF(AND($C36&lt;&gt;0,AL36=""),1,IF(AL36&gt;$C36,1,0))</f>
        <v>0</v>
      </c>
      <c r="CP36" s="1793">
        <f>IF(AND($C36&lt;&gt;0,AM36=""),1,IF(AM36&gt;$C36,1,0))</f>
        <v>0</v>
      </c>
      <c r="CQ36" s="1793">
        <f>IF(AND($C36&lt;&gt;0,AN36=""),1,IF(AN36&gt;$C36,1,0))</f>
        <v>0</v>
      </c>
    </row>
    <row r="37" spans="1:95" ht="15" customHeight="1" x14ac:dyDescent="0.25">
      <c r="A37" s="6455"/>
      <c r="B37" s="3135" t="s">
        <v>76</v>
      </c>
      <c r="C37" s="3135">
        <f>SUM(F37:AH37)</f>
        <v>0</v>
      </c>
      <c r="D37" s="3136"/>
      <c r="E37" s="3137"/>
      <c r="F37" s="620"/>
      <c r="G37" s="3138"/>
      <c r="H37" s="3138"/>
      <c r="I37" s="621"/>
      <c r="J37" s="3138"/>
      <c r="K37" s="3138"/>
      <c r="L37" s="621"/>
      <c r="M37" s="3138"/>
      <c r="N37" s="3138"/>
      <c r="O37" s="621"/>
      <c r="P37" s="3138"/>
      <c r="Q37" s="3138"/>
      <c r="R37" s="621"/>
      <c r="S37" s="3138"/>
      <c r="T37" s="3138"/>
      <c r="U37" s="621"/>
      <c r="V37" s="3138"/>
      <c r="W37" s="3138"/>
      <c r="X37" s="621"/>
      <c r="Y37" s="3138"/>
      <c r="Z37" s="3138"/>
      <c r="AA37" s="621"/>
      <c r="AB37" s="3138"/>
      <c r="AC37" s="3138"/>
      <c r="AD37" s="621"/>
      <c r="AE37" s="3138"/>
      <c r="AF37" s="3138"/>
      <c r="AG37" s="621"/>
      <c r="AH37" s="3139"/>
      <c r="AI37" s="620"/>
      <c r="AJ37" s="3140"/>
      <c r="AK37" s="3140"/>
      <c r="AL37" s="3140"/>
      <c r="AM37" s="3140"/>
      <c r="AN37" s="3140"/>
      <c r="AO37" s="1755" t="str">
        <f t="shared" ref="AO37:AO39" si="30">CA37&amp;CB37&amp;CC37&amp;CD37&amp;CE37&amp;CF37&amp;CG37</f>
        <v/>
      </c>
      <c r="CA37" s="2873" t="str">
        <f>IF((D37+E37)&lt;&gt;SUM(F37:AH37)," * El Total de Controles por Sexo (Hombres+Mujeres) no puede ser distinto al desglose por rango etario.","")</f>
        <v/>
      </c>
      <c r="CB37" s="2873" t="str">
        <f>IF(AND(SUM(F37:M37)&gt;0,AI37="")," * No olvide digitar los campos "&amp;AI$34&amp;""&amp;" de menores de 1 año (Digite CERO si no tiene). ",IF(AI37&gt;SUM(F37:M37),"* La suma de Control con Presencia del padre de menores de 1 año no puede superar el Total de Controles de menores de 1 año. ",""))</f>
        <v/>
      </c>
      <c r="CC37" s="2873" t="str">
        <f>IF(AND(SUM(N37:P37)&gt;0,AJ37="")," * No olvide digitar los campos "&amp;AI$34&amp;""&amp;" de 1 año a 3 años 11 meses 29 días (Digite CERO si no tiene). ",IF(AJ37&gt;SUM(N37:P37),"* La suma de Control con Presencia del padre de 1 año a 3 años 11 meses 29 días no puede superar el Total de Controles de 12 a 47 meses. ",""))</f>
        <v/>
      </c>
      <c r="CD37" s="2873" t="str">
        <f t="shared" ref="CD37:CD39" si="31">IF(AND($C37&lt;&gt;0,AK37=""),"* No olvide ingresar la columna "&amp;AK$34&amp;""&amp;" (Digite CERO si no tiene).  ",IF(AK37&gt;$C37,"* El Número de Niños, Niñas, Adolescentes y Jóvenes SENAME no puede superar el Total Ambos Sexos. ",""))</f>
        <v/>
      </c>
      <c r="CE37" s="2873" t="str">
        <f t="shared" ref="CE37:CE39" si="32">IF(AND($C37&lt;&gt;0,AL37=""),"* No olvide ingresar la columna "&amp;AL$34&amp;""&amp;" (Digite CERO si no tiene).  ",IF(AL37&gt;$C37,"* El Número de Niños, Niñas, Adolescentes y Jóvenes Mejor Niñez no puede superar el Total Ambos Sexos. ",""))</f>
        <v/>
      </c>
      <c r="CF37" s="2873" t="str">
        <f t="shared" ref="CF37:CF39" si="33">IF(AND($C37&lt;&gt;0,AM37=""),"* No olvide ingresar la columna "&amp;AM$34&amp;""&amp;" (Digite CERO si no tiene).  ",IF(AM37&gt;$C37,"* El Número de Pueblos Originarios no puede superar el Total Ambos Sexos. ",""))</f>
        <v/>
      </c>
      <c r="CG37" s="2873" t="str">
        <f t="shared" ref="CG37:CG38" si="34">IF(AND($C37&lt;&gt;0,AN37=""),"* No olvide ingresar la columna "&amp;AN$34&amp;""&amp;" (Digite CERO si no tiene).  ",IF(AN37&gt;$C37,"* El Número de Migrantes no puede superar el Total Ambos Sexos. ",""))</f>
        <v/>
      </c>
      <c r="CH37" s="603"/>
      <c r="CK37" s="1793">
        <f t="shared" ref="CK37" si="35">IF((D37+E37)&lt;&gt;SUM(F37:AH37),1,0)</f>
        <v>0</v>
      </c>
      <c r="CL37" s="1793">
        <f t="shared" ref="CL37" si="36">IF(AND(SUM(F37:M37)&gt;0,AI37=""),1,IF(AI37&gt;SUM(F37:M37),1,0))</f>
        <v>0</v>
      </c>
      <c r="CM37" s="1793">
        <f t="shared" ref="CM37" si="37">IF(AND(SUM(N37:P37)&gt;0,AJ37=""),1,IF(AJ37&gt;SUM(N37:P37),1,0))</f>
        <v>0</v>
      </c>
      <c r="CN37" s="1793">
        <f t="shared" ref="CN37:CN38" si="38">IF(AND($C37&lt;&gt;0,AK37=""),1,IF(AK37&gt;$C37,1,0))</f>
        <v>0</v>
      </c>
      <c r="CO37" s="1793">
        <f t="shared" ref="CO37:CO39" si="39">IF(AND($C37&lt;&gt;0,AL37=""),1,IF(AL37&gt;$C37,1,0))</f>
        <v>0</v>
      </c>
      <c r="CP37" s="1793">
        <f t="shared" ref="CP37:CP39" si="40">IF(AND($C37&lt;&gt;0,AM37=""),1,IF(AM37&gt;$C37,1,0))</f>
        <v>0</v>
      </c>
      <c r="CQ37" s="1793">
        <f t="shared" ref="CQ37:CQ39" si="41">IF(AND($C37&lt;&gt;0,AN37=""),1,IF(AN37&gt;$C37,1,0))</f>
        <v>0</v>
      </c>
    </row>
    <row r="38" spans="1:95" ht="15" customHeight="1" x14ac:dyDescent="0.25">
      <c r="A38" s="6455"/>
      <c r="B38" s="3135" t="s">
        <v>77</v>
      </c>
      <c r="C38" s="926">
        <f>SUM(F38+T38+U38+V38+W38+X38+Y38+Z38+AA38+AB38+AC38+AD38+AE38+AF38+AG38+AH38)</f>
        <v>0</v>
      </c>
      <c r="D38" s="3136"/>
      <c r="E38" s="3137"/>
      <c r="F38" s="620"/>
      <c r="G38" s="3141"/>
      <c r="H38" s="3141"/>
      <c r="I38" s="3141"/>
      <c r="J38" s="3141"/>
      <c r="K38" s="3141"/>
      <c r="L38" s="3141"/>
      <c r="M38" s="3141"/>
      <c r="N38" s="3141"/>
      <c r="O38" s="3141"/>
      <c r="P38" s="3141"/>
      <c r="Q38" s="3141"/>
      <c r="R38" s="3141"/>
      <c r="S38" s="3141"/>
      <c r="T38" s="621"/>
      <c r="U38" s="621"/>
      <c r="V38" s="621"/>
      <c r="W38" s="621"/>
      <c r="X38" s="621"/>
      <c r="Y38" s="621"/>
      <c r="Z38" s="621"/>
      <c r="AA38" s="621"/>
      <c r="AB38" s="621"/>
      <c r="AC38" s="621"/>
      <c r="AD38" s="621"/>
      <c r="AE38" s="621"/>
      <c r="AF38" s="621"/>
      <c r="AG38" s="621"/>
      <c r="AH38" s="628"/>
      <c r="AI38" s="620"/>
      <c r="AJ38" s="3142"/>
      <c r="AK38" s="3140"/>
      <c r="AL38" s="3140"/>
      <c r="AM38" s="3140"/>
      <c r="AN38" s="3140"/>
      <c r="AO38" s="1755" t="str">
        <f t="shared" si="30"/>
        <v/>
      </c>
      <c r="CA38" s="3009" t="str">
        <f>IF((D38+E38)&lt;&gt;SUM(F38,T38:AH38)," * El Total de Controles por Sexo (Hombres+Mujeres) no puede ser distinto al desglose por rango etario.","")</f>
        <v/>
      </c>
      <c r="CB38" s="2873" t="str">
        <f>IF(AND(F38&gt;0,AI38="")," * No olvide digitar los campos "&amp;AI$34&amp;""&amp;" de menores de 1 año (Digite CERO si no tiene). ",IF(AI38&gt;F38,"* La suma de Control con Presencia del padre de menores de 1 año no puede superar el Total de Controles de menores de 1 año. ",""))</f>
        <v/>
      </c>
      <c r="CC38" s="2718"/>
      <c r="CD38" s="2873" t="str">
        <f t="shared" si="31"/>
        <v/>
      </c>
      <c r="CE38" s="2873" t="str">
        <f t="shared" si="32"/>
        <v/>
      </c>
      <c r="CF38" s="2873" t="str">
        <f t="shared" si="33"/>
        <v/>
      </c>
      <c r="CG38" s="2873" t="str">
        <f t="shared" si="34"/>
        <v/>
      </c>
      <c r="CH38" s="603"/>
      <c r="CK38" s="1793">
        <f>IF((D38+E38)&lt;&gt;SUM(F38,T38:AH38),1,0)</f>
        <v>0</v>
      </c>
      <c r="CL38" s="1793">
        <f>IF(AND(SUM(F38)&gt;0,AI38=""),1,IF(AI38&gt;SUM(F38),1,0))</f>
        <v>0</v>
      </c>
      <c r="CN38" s="1793">
        <f t="shared" si="38"/>
        <v>0</v>
      </c>
      <c r="CO38" s="1793">
        <f t="shared" si="39"/>
        <v>0</v>
      </c>
      <c r="CP38" s="1793">
        <f t="shared" si="40"/>
        <v>0</v>
      </c>
      <c r="CQ38" s="1793">
        <f t="shared" si="41"/>
        <v>0</v>
      </c>
    </row>
    <row r="39" spans="1:95" ht="15" customHeight="1" x14ac:dyDescent="0.25">
      <c r="A39" s="6457"/>
      <c r="B39" s="2813" t="s">
        <v>192</v>
      </c>
      <c r="C39" s="150">
        <f>SUM(N39:S39)</f>
        <v>0</v>
      </c>
      <c r="D39" s="3143"/>
      <c r="E39" s="3144"/>
      <c r="F39" s="3118"/>
      <c r="G39" s="3145"/>
      <c r="H39" s="3145"/>
      <c r="I39" s="3145"/>
      <c r="J39" s="3145"/>
      <c r="K39" s="2006"/>
      <c r="L39" s="2006"/>
      <c r="M39" s="2006"/>
      <c r="N39" s="3146"/>
      <c r="O39" s="3109"/>
      <c r="P39" s="3146"/>
      <c r="Q39" s="3146"/>
      <c r="R39" s="3109"/>
      <c r="S39" s="3146"/>
      <c r="T39" s="2006"/>
      <c r="U39" s="2006"/>
      <c r="V39" s="2006"/>
      <c r="W39" s="2006"/>
      <c r="X39" s="2006"/>
      <c r="Y39" s="2006"/>
      <c r="Z39" s="2006"/>
      <c r="AA39" s="2006"/>
      <c r="AB39" s="2006"/>
      <c r="AC39" s="2006"/>
      <c r="AD39" s="2006"/>
      <c r="AE39" s="2006"/>
      <c r="AF39" s="2006"/>
      <c r="AG39" s="3147"/>
      <c r="AH39" s="2937"/>
      <c r="AI39" s="3148"/>
      <c r="AJ39" s="3149"/>
      <c r="AK39" s="3149"/>
      <c r="AL39" s="3149"/>
      <c r="AM39" s="3149"/>
      <c r="AN39" s="3149"/>
      <c r="AO39" s="1755" t="str">
        <f t="shared" si="30"/>
        <v/>
      </c>
      <c r="CA39" s="3008" t="str">
        <f>IF((D39+E39)&lt;&gt;SUM(N39:S39)," * El Total de Controles por Sexo (Hombres+Mujeres) no puede ser distinto al desglose por rango etario.","")</f>
        <v/>
      </c>
      <c r="CB39" s="2718"/>
      <c r="CC39" s="2873" t="str">
        <f>IF(AND(SUM(N39:P39)&gt;0,AJ39="")," * No olvide digitar los campos "&amp;AI$34&amp;""&amp;" de 1 año a 3 años 11 meses 29 días (Digite CERO si no tiene). ",IF(AJ39&gt;SUM(N39:P39),"* La suma de Control con Presencia del padre de 1 año a 3 años 11 meses 29 días no puede superar el Total de Controles de 12 a 47 meses. ",""))</f>
        <v/>
      </c>
      <c r="CD39" s="2873" t="str">
        <f t="shared" si="31"/>
        <v/>
      </c>
      <c r="CE39" s="2873" t="str">
        <f t="shared" si="32"/>
        <v/>
      </c>
      <c r="CF39" s="2873" t="str">
        <f t="shared" si="33"/>
        <v/>
      </c>
      <c r="CG39" s="2873" t="str">
        <f>IF(AND($C39&lt;&gt;0,AN39=""),"* No olvide ingresar la columna "&amp;AN$34&amp;""&amp;" (Digite CERO si no tiene).  ",IF(AN39&gt;$C39,"* El Número de Migrantes no puede superar el Total Ambos Sexos. ",""))</f>
        <v/>
      </c>
      <c r="CH39" s="603"/>
      <c r="CK39" s="1793">
        <f>IF((D39+E39)&lt;&gt;SUM(N39:S39),1,0)</f>
        <v>0</v>
      </c>
      <c r="CM39" s="1793">
        <f>IF(AND(SUM(N39:P39)&gt;0,AJ39=""),1,IF(AJ39&gt;SUM(N39:P39),1,0))</f>
        <v>0</v>
      </c>
      <c r="CN39" s="1793">
        <f>IF(AND($C39&lt;&gt;0,AK39=""),1,IF(AK39&gt;$C39,1,0))</f>
        <v>0</v>
      </c>
      <c r="CO39" s="1793">
        <f t="shared" si="39"/>
        <v>0</v>
      </c>
      <c r="CP39" s="1793">
        <f t="shared" si="40"/>
        <v>0</v>
      </c>
      <c r="CQ39" s="1793">
        <f t="shared" si="41"/>
        <v>0</v>
      </c>
    </row>
    <row r="40" spans="1:95" ht="18" customHeight="1" x14ac:dyDescent="0.25">
      <c r="A40" s="3150" t="s">
        <v>2399</v>
      </c>
      <c r="B40" s="2998"/>
      <c r="C40" s="2998"/>
      <c r="D40" s="2998"/>
      <c r="E40" s="782"/>
      <c r="F40" s="3151"/>
      <c r="G40" s="3152"/>
      <c r="H40" s="3153"/>
      <c r="I40" s="3154"/>
      <c r="J40" s="3154"/>
      <c r="K40" s="3154"/>
      <c r="L40" s="3154"/>
      <c r="M40" s="3152"/>
      <c r="N40" s="782"/>
      <c r="O40" s="3154"/>
      <c r="P40" s="3154"/>
      <c r="Q40" s="3154"/>
      <c r="R40" s="3154"/>
      <c r="S40" s="3154"/>
      <c r="T40" s="3152"/>
      <c r="U40" s="3152"/>
      <c r="V40" s="782"/>
      <c r="W40" s="3154"/>
      <c r="X40" s="3152"/>
      <c r="Y40" s="3152"/>
      <c r="Z40" s="3152"/>
      <c r="AA40" s="782"/>
      <c r="AB40" s="3155"/>
      <c r="AC40" s="3152"/>
      <c r="AD40" s="3152"/>
      <c r="AE40" s="782"/>
      <c r="AF40" s="3152"/>
      <c r="AG40" s="782"/>
      <c r="AH40" s="3154"/>
      <c r="AI40" s="3154"/>
      <c r="AJ40" s="3154"/>
      <c r="AK40" s="3154"/>
      <c r="AL40" s="3154"/>
      <c r="AM40" s="3156"/>
      <c r="AN40" s="3157"/>
      <c r="AO40" s="3158"/>
    </row>
    <row r="41" spans="1:95" ht="15" customHeight="1" x14ac:dyDescent="0.25">
      <c r="A41" s="6465" t="s">
        <v>1398</v>
      </c>
      <c r="B41" s="6465" t="s">
        <v>61</v>
      </c>
      <c r="C41" s="6467" t="s">
        <v>24</v>
      </c>
      <c r="D41" s="6468"/>
      <c r="E41" s="6469"/>
      <c r="F41" s="6473" t="s">
        <v>30</v>
      </c>
      <c r="G41" s="6474"/>
      <c r="H41" s="6474"/>
      <c r="I41" s="6474"/>
      <c r="J41" s="6474"/>
      <c r="K41" s="6474"/>
      <c r="L41" s="6474"/>
      <c r="M41" s="6474"/>
      <c r="N41" s="6474"/>
      <c r="O41" s="6474"/>
      <c r="P41" s="6474"/>
      <c r="Q41" s="6474"/>
      <c r="R41" s="6474"/>
      <c r="S41" s="6474"/>
      <c r="T41" s="6474"/>
      <c r="U41" s="6474"/>
      <c r="V41" s="6474"/>
      <c r="W41" s="6474"/>
      <c r="X41" s="6474"/>
      <c r="Y41" s="6474"/>
      <c r="Z41" s="6474"/>
      <c r="AA41" s="6474"/>
      <c r="AB41" s="6474"/>
      <c r="AC41" s="6474"/>
      <c r="AD41" s="6474"/>
      <c r="AE41" s="6474"/>
      <c r="AF41" s="6474"/>
      <c r="AG41" s="6474"/>
      <c r="AH41" s="6474"/>
      <c r="AI41" s="6474"/>
      <c r="AJ41" s="6474"/>
      <c r="AK41" s="6474"/>
      <c r="AL41" s="6474"/>
      <c r="AM41" s="6475"/>
      <c r="AN41" s="6468" t="s">
        <v>2</v>
      </c>
      <c r="AO41" s="6484" t="s">
        <v>3</v>
      </c>
    </row>
    <row r="42" spans="1:95" ht="15" customHeight="1" x14ac:dyDescent="0.25">
      <c r="A42" s="6466"/>
      <c r="B42" s="6466"/>
      <c r="C42" s="6470"/>
      <c r="D42" s="6471"/>
      <c r="E42" s="6472"/>
      <c r="F42" s="6473" t="s">
        <v>1228</v>
      </c>
      <c r="G42" s="6486"/>
      <c r="H42" s="6473" t="s">
        <v>1229</v>
      </c>
      <c r="I42" s="6486"/>
      <c r="J42" s="6473" t="s">
        <v>1315</v>
      </c>
      <c r="K42" s="6486"/>
      <c r="L42" s="6473" t="s">
        <v>4</v>
      </c>
      <c r="M42" s="6486"/>
      <c r="N42" s="6477" t="s">
        <v>5</v>
      </c>
      <c r="O42" s="6478"/>
      <c r="P42" s="6477" t="s">
        <v>6</v>
      </c>
      <c r="Q42" s="6478"/>
      <c r="R42" s="6477" t="s">
        <v>7</v>
      </c>
      <c r="S42" s="6478"/>
      <c r="T42" s="6477" t="s">
        <v>8</v>
      </c>
      <c r="U42" s="6478"/>
      <c r="V42" s="6477" t="s">
        <v>9</v>
      </c>
      <c r="W42" s="6478"/>
      <c r="X42" s="6477" t="s">
        <v>10</v>
      </c>
      <c r="Y42" s="6478"/>
      <c r="Z42" s="6477" t="s">
        <v>11</v>
      </c>
      <c r="AA42" s="6478"/>
      <c r="AB42" s="6477" t="s">
        <v>18</v>
      </c>
      <c r="AC42" s="6478"/>
      <c r="AD42" s="6477" t="s">
        <v>19</v>
      </c>
      <c r="AE42" s="6478"/>
      <c r="AF42" s="6477" t="s">
        <v>20</v>
      </c>
      <c r="AG42" s="6478"/>
      <c r="AH42" s="6477" t="s">
        <v>70</v>
      </c>
      <c r="AI42" s="6478"/>
      <c r="AJ42" s="6477" t="s">
        <v>71</v>
      </c>
      <c r="AK42" s="6478"/>
      <c r="AL42" s="6477" t="s">
        <v>32</v>
      </c>
      <c r="AM42" s="6487"/>
      <c r="AN42" s="6471"/>
      <c r="AO42" s="6485"/>
    </row>
    <row r="43" spans="1:95" ht="15" customHeight="1" x14ac:dyDescent="0.25">
      <c r="A43" s="6449"/>
      <c r="B43" s="6449"/>
      <c r="C43" s="4791" t="s">
        <v>26</v>
      </c>
      <c r="D43" s="3159" t="s">
        <v>22</v>
      </c>
      <c r="E43" s="3160" t="s">
        <v>27</v>
      </c>
      <c r="F43" s="3161" t="s">
        <v>22</v>
      </c>
      <c r="G43" s="3079" t="s">
        <v>27</v>
      </c>
      <c r="H43" s="3161" t="s">
        <v>22</v>
      </c>
      <c r="I43" s="3079" t="s">
        <v>27</v>
      </c>
      <c r="J43" s="3161" t="s">
        <v>22</v>
      </c>
      <c r="K43" s="3079" t="s">
        <v>27</v>
      </c>
      <c r="L43" s="3161" t="s">
        <v>22</v>
      </c>
      <c r="M43" s="3079" t="s">
        <v>27</v>
      </c>
      <c r="N43" s="3161" t="s">
        <v>22</v>
      </c>
      <c r="O43" s="3079" t="s">
        <v>27</v>
      </c>
      <c r="P43" s="3161" t="s">
        <v>22</v>
      </c>
      <c r="Q43" s="3079" t="s">
        <v>27</v>
      </c>
      <c r="R43" s="3161" t="s">
        <v>22</v>
      </c>
      <c r="S43" s="3079" t="s">
        <v>27</v>
      </c>
      <c r="T43" s="3161" t="s">
        <v>22</v>
      </c>
      <c r="U43" s="3079" t="s">
        <v>27</v>
      </c>
      <c r="V43" s="3161" t="s">
        <v>22</v>
      </c>
      <c r="W43" s="3079" t="s">
        <v>27</v>
      </c>
      <c r="X43" s="3161" t="s">
        <v>22</v>
      </c>
      <c r="Y43" s="3079" t="s">
        <v>27</v>
      </c>
      <c r="Z43" s="3161" t="s">
        <v>22</v>
      </c>
      <c r="AA43" s="3079" t="s">
        <v>27</v>
      </c>
      <c r="AB43" s="3161" t="s">
        <v>22</v>
      </c>
      <c r="AC43" s="3079" t="s">
        <v>27</v>
      </c>
      <c r="AD43" s="3161" t="s">
        <v>22</v>
      </c>
      <c r="AE43" s="3079" t="s">
        <v>27</v>
      </c>
      <c r="AF43" s="3161" t="s">
        <v>22</v>
      </c>
      <c r="AG43" s="3079" t="s">
        <v>27</v>
      </c>
      <c r="AH43" s="3161" t="s">
        <v>22</v>
      </c>
      <c r="AI43" s="3079" t="s">
        <v>27</v>
      </c>
      <c r="AJ43" s="3161" t="s">
        <v>22</v>
      </c>
      <c r="AK43" s="3079" t="s">
        <v>27</v>
      </c>
      <c r="AL43" s="3161" t="s">
        <v>22</v>
      </c>
      <c r="AM43" s="3078" t="s">
        <v>27</v>
      </c>
      <c r="AN43" s="6476"/>
      <c r="AO43" s="6451"/>
    </row>
    <row r="44" spans="1:95" ht="15" customHeight="1" x14ac:dyDescent="0.25">
      <c r="A44" s="6488" t="s">
        <v>2400</v>
      </c>
      <c r="B44" s="2875" t="s">
        <v>74</v>
      </c>
      <c r="C44" s="4792">
        <f t="shared" ref="C44:C66" si="42">SUM(D44:E44)</f>
        <v>0</v>
      </c>
      <c r="D44" s="3162">
        <f t="shared" ref="D44:E47" si="43">SUM(L44+N44+P44+R44+T44+V44+X44+Z44+AB44+AD44+AF44+AH44+AJ44+AL44)</f>
        <v>0</v>
      </c>
      <c r="E44" s="3163">
        <f t="shared" si="43"/>
        <v>0</v>
      </c>
      <c r="F44" s="2502"/>
      <c r="G44" s="868"/>
      <c r="H44" s="2502"/>
      <c r="I44" s="868"/>
      <c r="J44" s="2502"/>
      <c r="K44" s="868"/>
      <c r="L44" s="2496"/>
      <c r="M44" s="185"/>
      <c r="N44" s="2496"/>
      <c r="O44" s="185"/>
      <c r="P44" s="2496"/>
      <c r="Q44" s="185"/>
      <c r="R44" s="2496"/>
      <c r="S44" s="185"/>
      <c r="T44" s="2496"/>
      <c r="U44" s="185"/>
      <c r="V44" s="2496"/>
      <c r="W44" s="185"/>
      <c r="X44" s="2496"/>
      <c r="Y44" s="185"/>
      <c r="Z44" s="2496"/>
      <c r="AA44" s="185"/>
      <c r="AB44" s="2496"/>
      <c r="AC44" s="185"/>
      <c r="AD44" s="2496"/>
      <c r="AE44" s="185"/>
      <c r="AF44" s="2496"/>
      <c r="AG44" s="185"/>
      <c r="AH44" s="2496"/>
      <c r="AI44" s="185"/>
      <c r="AJ44" s="2496"/>
      <c r="AK44" s="185"/>
      <c r="AL44" s="2496"/>
      <c r="AM44" s="321"/>
      <c r="AN44" s="2871"/>
      <c r="AO44" s="2871"/>
      <c r="AP44" s="1755" t="str">
        <f>CA44&amp;CB44</f>
        <v/>
      </c>
      <c r="BU44" s="2718"/>
      <c r="BV44" s="2718"/>
      <c r="BW44" s="2718"/>
      <c r="BX44" s="2718"/>
      <c r="BY44" s="2718"/>
      <c r="BZ44" s="2718"/>
      <c r="CA44" s="2873" t="str">
        <f>IF(AND($C44&lt;&gt;0,AN44=""),"* No olvide ingresar la columna "&amp;AN$41&amp;""&amp;" (Digite CERO si no tiene). ",IF(AN44&gt;$C44,"* El Número de Pueblos Originarios no puede superar el Total. ",""))</f>
        <v/>
      </c>
      <c r="CB44" s="2873" t="str">
        <f>IF(AND($C44&lt;&gt;0,AO44=""),"* No olvide ingresar la columna "&amp;AO$41&amp;""&amp;" (Digite CERO si no tiene). ",IF(AO44&gt;$C44,"* El Número de Migrantes no puede superar el Total. ",""))</f>
        <v/>
      </c>
      <c r="CC44" s="2718"/>
      <c r="CD44" s="2718"/>
      <c r="CK44" s="1793">
        <f>IF(AND($C44&lt;&gt;0,AN44=""),1,IF(AN44&gt;$C44,1,0))</f>
        <v>0</v>
      </c>
      <c r="CL44" s="1793">
        <f>IF(AND($C44&lt;&gt;0,AO44=""),1,IF(AO44&gt;$C44,1,0))</f>
        <v>0</v>
      </c>
    </row>
    <row r="45" spans="1:95" ht="15" customHeight="1" x14ac:dyDescent="0.25">
      <c r="A45" s="6455"/>
      <c r="B45" s="3135" t="s">
        <v>76</v>
      </c>
      <c r="C45" s="4793">
        <f t="shared" si="42"/>
        <v>0</v>
      </c>
      <c r="D45" s="3164">
        <f t="shared" si="43"/>
        <v>0</v>
      </c>
      <c r="E45" s="3165">
        <f t="shared" si="43"/>
        <v>0</v>
      </c>
      <c r="F45" s="794"/>
      <c r="G45" s="795"/>
      <c r="H45" s="3141"/>
      <c r="I45" s="795"/>
      <c r="J45" s="3141"/>
      <c r="K45" s="795"/>
      <c r="L45" s="620"/>
      <c r="M45" s="630"/>
      <c r="N45" s="620"/>
      <c r="O45" s="630"/>
      <c r="P45" s="620"/>
      <c r="Q45" s="630"/>
      <c r="R45" s="620"/>
      <c r="S45" s="630"/>
      <c r="T45" s="620"/>
      <c r="U45" s="630"/>
      <c r="V45" s="620"/>
      <c r="W45" s="630"/>
      <c r="X45" s="620"/>
      <c r="Y45" s="630"/>
      <c r="Z45" s="620"/>
      <c r="AA45" s="630"/>
      <c r="AB45" s="620"/>
      <c r="AC45" s="630"/>
      <c r="AD45" s="620"/>
      <c r="AE45" s="630"/>
      <c r="AF45" s="620"/>
      <c r="AG45" s="630"/>
      <c r="AH45" s="620"/>
      <c r="AI45" s="630"/>
      <c r="AJ45" s="620"/>
      <c r="AK45" s="630"/>
      <c r="AL45" s="620"/>
      <c r="AM45" s="628"/>
      <c r="AN45" s="3166"/>
      <c r="AO45" s="3166"/>
      <c r="AP45" s="1755" t="str">
        <f t="shared" ref="AP45:AP66" si="44">CA45&amp;CB45</f>
        <v/>
      </c>
      <c r="BU45" s="2718"/>
      <c r="BV45" s="2718"/>
      <c r="BW45" s="2718"/>
      <c r="BX45" s="2718"/>
      <c r="BY45" s="2718"/>
      <c r="BZ45" s="2718"/>
      <c r="CA45" s="2873" t="str">
        <f t="shared" ref="CA45:CA66" si="45">IF(AND($C45&lt;&gt;0,AN45=""),"* No olvide ingresar la columna "&amp;AN$41&amp;""&amp;" (Digite CERO si no tiene). ",IF(AN45&gt;$C45,"* El Número de Pueblos Originarios no puede superar el Total. ",""))</f>
        <v/>
      </c>
      <c r="CB45" s="2873" t="str">
        <f t="shared" ref="CB45:CB66" si="46">IF(AND($C45&lt;&gt;0,AO45=""),"* No olvide ingresar la columna "&amp;AO$41&amp;""&amp;" (Digite CERO si no tiene). ",IF(AO45&gt;$C45,"* El Número de Migrantes no puede superar el Total. ",""))</f>
        <v/>
      </c>
      <c r="CC45" s="2718"/>
      <c r="CD45" s="2718"/>
      <c r="CK45" s="1793">
        <f t="shared" ref="CK45:CL66" si="47">IF(AND($C45&lt;&gt;0,AN45=""),1,IF(AN45&gt;$C45,1,0))</f>
        <v>0</v>
      </c>
      <c r="CL45" s="1793">
        <f t="shared" si="47"/>
        <v>0</v>
      </c>
    </row>
    <row r="46" spans="1:95" ht="13.5" customHeight="1" x14ac:dyDescent="0.25">
      <c r="A46" s="6455"/>
      <c r="B46" s="3135" t="s">
        <v>247</v>
      </c>
      <c r="C46" s="4793">
        <f t="shared" si="42"/>
        <v>0</v>
      </c>
      <c r="D46" s="3164">
        <f t="shared" si="43"/>
        <v>0</v>
      </c>
      <c r="E46" s="3165">
        <f t="shared" si="43"/>
        <v>0</v>
      </c>
      <c r="F46" s="2043"/>
      <c r="G46" s="3113"/>
      <c r="H46" s="2008"/>
      <c r="I46" s="3113"/>
      <c r="J46" s="2008"/>
      <c r="K46" s="3113"/>
      <c r="L46" s="620"/>
      <c r="M46" s="630"/>
      <c r="N46" s="620"/>
      <c r="O46" s="630"/>
      <c r="P46" s="620"/>
      <c r="Q46" s="630"/>
      <c r="R46" s="620"/>
      <c r="S46" s="630"/>
      <c r="T46" s="620"/>
      <c r="U46" s="630"/>
      <c r="V46" s="620"/>
      <c r="W46" s="630"/>
      <c r="X46" s="620"/>
      <c r="Y46" s="630"/>
      <c r="Z46" s="620"/>
      <c r="AA46" s="630"/>
      <c r="AB46" s="620"/>
      <c r="AC46" s="630"/>
      <c r="AD46" s="620"/>
      <c r="AE46" s="630"/>
      <c r="AF46" s="620"/>
      <c r="AG46" s="630"/>
      <c r="AH46" s="620"/>
      <c r="AI46" s="630"/>
      <c r="AJ46" s="620"/>
      <c r="AK46" s="630"/>
      <c r="AL46" s="620"/>
      <c r="AM46" s="628"/>
      <c r="AN46" s="3166"/>
      <c r="AO46" s="3166"/>
      <c r="AP46" s="1755" t="str">
        <f t="shared" si="44"/>
        <v/>
      </c>
      <c r="BU46" s="2718"/>
      <c r="BV46" s="2718"/>
      <c r="BW46" s="2718"/>
      <c r="BX46" s="2718"/>
      <c r="BY46" s="2718"/>
      <c r="BZ46" s="2718"/>
      <c r="CA46" s="2873" t="str">
        <f t="shared" si="45"/>
        <v/>
      </c>
      <c r="CB46" s="2873" t="str">
        <f t="shared" si="46"/>
        <v/>
      </c>
      <c r="CC46" s="2718"/>
      <c r="CD46" s="2718"/>
      <c r="CK46" s="1793">
        <f t="shared" si="47"/>
        <v>0</v>
      </c>
      <c r="CL46" s="1793">
        <f t="shared" si="47"/>
        <v>0</v>
      </c>
    </row>
    <row r="47" spans="1:95" ht="13.5" customHeight="1" x14ac:dyDescent="0.25">
      <c r="A47" s="6457"/>
      <c r="B47" s="2813" t="s">
        <v>192</v>
      </c>
      <c r="C47" s="4794">
        <f t="shared" si="42"/>
        <v>0</v>
      </c>
      <c r="D47" s="3167">
        <f t="shared" si="43"/>
        <v>0</v>
      </c>
      <c r="E47" s="3168">
        <f t="shared" si="43"/>
        <v>0</v>
      </c>
      <c r="F47" s="2043"/>
      <c r="G47" s="3122"/>
      <c r="H47" s="2043"/>
      <c r="I47" s="3122"/>
      <c r="J47" s="2043"/>
      <c r="K47" s="3122"/>
      <c r="L47" s="3112"/>
      <c r="M47" s="3124"/>
      <c r="N47" s="3112"/>
      <c r="O47" s="3124"/>
      <c r="P47" s="3112"/>
      <c r="Q47" s="3124"/>
      <c r="R47" s="3112"/>
      <c r="S47" s="3124"/>
      <c r="T47" s="3112"/>
      <c r="U47" s="3124"/>
      <c r="V47" s="3112"/>
      <c r="W47" s="3124"/>
      <c r="X47" s="3112"/>
      <c r="Y47" s="3124"/>
      <c r="Z47" s="3112"/>
      <c r="AA47" s="3124"/>
      <c r="AB47" s="3112"/>
      <c r="AC47" s="3124"/>
      <c r="AD47" s="3112"/>
      <c r="AE47" s="3124"/>
      <c r="AF47" s="3112"/>
      <c r="AG47" s="3124"/>
      <c r="AH47" s="3112"/>
      <c r="AI47" s="3124"/>
      <c r="AJ47" s="3112"/>
      <c r="AK47" s="3124"/>
      <c r="AL47" s="3112"/>
      <c r="AM47" s="3169"/>
      <c r="AN47" s="117"/>
      <c r="AO47" s="117"/>
      <c r="AP47" s="1755" t="str">
        <f t="shared" si="44"/>
        <v/>
      </c>
      <c r="BU47" s="2718"/>
      <c r="BV47" s="2718"/>
      <c r="BW47" s="2718"/>
      <c r="BX47" s="2718"/>
      <c r="BY47" s="2718"/>
      <c r="BZ47" s="2718"/>
      <c r="CA47" s="2873" t="str">
        <f t="shared" si="45"/>
        <v/>
      </c>
      <c r="CB47" s="2873" t="str">
        <f t="shared" si="46"/>
        <v/>
      </c>
      <c r="CC47" s="2718"/>
      <c r="CD47" s="2718"/>
      <c r="CK47" s="1793">
        <f t="shared" si="47"/>
        <v>0</v>
      </c>
      <c r="CL47" s="1793">
        <f t="shared" si="47"/>
        <v>0</v>
      </c>
    </row>
    <row r="48" spans="1:95" ht="13.5" customHeight="1" x14ac:dyDescent="0.25">
      <c r="A48" s="6455" t="s">
        <v>2401</v>
      </c>
      <c r="B48" s="3170" t="s">
        <v>74</v>
      </c>
      <c r="C48" s="4792">
        <f t="shared" si="42"/>
        <v>0</v>
      </c>
      <c r="D48" s="3162">
        <f t="shared" ref="D48:E53" si="48">SUM(AF48+AH48+AJ48+AL48)</f>
        <v>0</v>
      </c>
      <c r="E48" s="3163">
        <f t="shared" si="48"/>
        <v>0</v>
      </c>
      <c r="F48" s="2502"/>
      <c r="G48" s="3171"/>
      <c r="H48" s="2502"/>
      <c r="I48" s="3171"/>
      <c r="J48" s="2502"/>
      <c r="K48" s="868"/>
      <c r="L48" s="2502"/>
      <c r="M48" s="868"/>
      <c r="N48" s="2502"/>
      <c r="O48" s="868"/>
      <c r="P48" s="2502"/>
      <c r="Q48" s="868"/>
      <c r="R48" s="2502"/>
      <c r="S48" s="868"/>
      <c r="T48" s="2502"/>
      <c r="U48" s="868"/>
      <c r="V48" s="2502"/>
      <c r="W48" s="868"/>
      <c r="X48" s="2502"/>
      <c r="Y48" s="868"/>
      <c r="Z48" s="2502"/>
      <c r="AA48" s="868"/>
      <c r="AB48" s="2502"/>
      <c r="AC48" s="868"/>
      <c r="AD48" s="2502"/>
      <c r="AE48" s="868"/>
      <c r="AF48" s="2496"/>
      <c r="AG48" s="185"/>
      <c r="AH48" s="2496"/>
      <c r="AI48" s="185"/>
      <c r="AJ48" s="2496"/>
      <c r="AK48" s="185"/>
      <c r="AL48" s="2496"/>
      <c r="AM48" s="321"/>
      <c r="AN48" s="3172"/>
      <c r="AO48" s="3172"/>
      <c r="AP48" s="1755" t="str">
        <f t="shared" si="44"/>
        <v/>
      </c>
      <c r="BU48" s="2718"/>
      <c r="BV48" s="2718"/>
      <c r="BW48" s="2718"/>
      <c r="BX48" s="2718"/>
      <c r="BY48" s="2718"/>
      <c r="BZ48" s="2718"/>
      <c r="CA48" s="2873" t="str">
        <f t="shared" si="45"/>
        <v/>
      </c>
      <c r="CB48" s="2873" t="str">
        <f t="shared" si="46"/>
        <v/>
      </c>
      <c r="CC48" s="2718"/>
      <c r="CD48" s="2718"/>
      <c r="CK48" s="1793">
        <f t="shared" si="47"/>
        <v>0</v>
      </c>
      <c r="CL48" s="1793">
        <f t="shared" si="47"/>
        <v>0</v>
      </c>
    </row>
    <row r="49" spans="1:90" ht="13.5" customHeight="1" x14ac:dyDescent="0.25">
      <c r="A49" s="6455"/>
      <c r="B49" s="3135" t="s">
        <v>76</v>
      </c>
      <c r="C49" s="4795">
        <f t="shared" si="42"/>
        <v>0</v>
      </c>
      <c r="D49" s="3173">
        <f t="shared" si="48"/>
        <v>0</v>
      </c>
      <c r="E49" s="3174">
        <f t="shared" si="48"/>
        <v>0</v>
      </c>
      <c r="F49" s="2930"/>
      <c r="G49" s="906"/>
      <c r="H49" s="2930"/>
      <c r="I49" s="906"/>
      <c r="J49" s="2930"/>
      <c r="K49" s="2896"/>
      <c r="L49" s="2930"/>
      <c r="M49" s="2896"/>
      <c r="N49" s="2930"/>
      <c r="O49" s="2896"/>
      <c r="P49" s="2930"/>
      <c r="Q49" s="2896"/>
      <c r="R49" s="2930"/>
      <c r="S49" s="2896"/>
      <c r="T49" s="2930"/>
      <c r="U49" s="2896"/>
      <c r="V49" s="2930"/>
      <c r="W49" s="2896"/>
      <c r="X49" s="2930"/>
      <c r="Y49" s="2896"/>
      <c r="Z49" s="2930"/>
      <c r="AA49" s="2896"/>
      <c r="AB49" s="2930"/>
      <c r="AC49" s="2896"/>
      <c r="AD49" s="2930"/>
      <c r="AE49" s="2896"/>
      <c r="AF49" s="2491"/>
      <c r="AG49" s="1429"/>
      <c r="AH49" s="2491"/>
      <c r="AI49" s="1429"/>
      <c r="AJ49" s="2491"/>
      <c r="AK49" s="1429"/>
      <c r="AL49" s="2491"/>
      <c r="AM49" s="3175"/>
      <c r="AN49" s="878"/>
      <c r="AO49" s="878"/>
      <c r="AP49" s="1755" t="str">
        <f t="shared" si="44"/>
        <v/>
      </c>
      <c r="BU49" s="2718"/>
      <c r="BV49" s="2718"/>
      <c r="BW49" s="2718"/>
      <c r="BX49" s="2718"/>
      <c r="BY49" s="2718"/>
      <c r="BZ49" s="2718"/>
      <c r="CA49" s="2873" t="str">
        <f t="shared" si="45"/>
        <v/>
      </c>
      <c r="CB49" s="2873" t="str">
        <f t="shared" si="46"/>
        <v/>
      </c>
      <c r="CC49" s="2718"/>
      <c r="CD49" s="2718"/>
      <c r="CK49" s="1793">
        <f t="shared" si="47"/>
        <v>0</v>
      </c>
      <c r="CL49" s="1793">
        <f t="shared" si="47"/>
        <v>0</v>
      </c>
    </row>
    <row r="50" spans="1:90" ht="13.5" customHeight="1" x14ac:dyDescent="0.25">
      <c r="A50" s="6457"/>
      <c r="B50" s="322" t="s">
        <v>2402</v>
      </c>
      <c r="C50" s="4794">
        <f t="shared" si="42"/>
        <v>0</v>
      </c>
      <c r="D50" s="3176">
        <f t="shared" si="48"/>
        <v>0</v>
      </c>
      <c r="E50" s="3177">
        <f t="shared" si="48"/>
        <v>0</v>
      </c>
      <c r="F50" s="3108"/>
      <c r="G50" s="152"/>
      <c r="H50" s="3108"/>
      <c r="I50" s="152"/>
      <c r="J50" s="3108"/>
      <c r="K50" s="3111"/>
      <c r="L50" s="3108"/>
      <c r="M50" s="3111"/>
      <c r="N50" s="3108"/>
      <c r="O50" s="3111"/>
      <c r="P50" s="3108"/>
      <c r="Q50" s="3111"/>
      <c r="R50" s="3108"/>
      <c r="S50" s="3111"/>
      <c r="T50" s="3108"/>
      <c r="U50" s="3111"/>
      <c r="V50" s="3108"/>
      <c r="W50" s="3111"/>
      <c r="X50" s="3108"/>
      <c r="Y50" s="3111"/>
      <c r="Z50" s="3108"/>
      <c r="AA50" s="3111"/>
      <c r="AB50" s="3108"/>
      <c r="AC50" s="3111"/>
      <c r="AD50" s="3108"/>
      <c r="AE50" s="3111"/>
      <c r="AF50" s="3112"/>
      <c r="AG50" s="3124"/>
      <c r="AH50" s="3112"/>
      <c r="AI50" s="3124"/>
      <c r="AJ50" s="3112"/>
      <c r="AK50" s="3124"/>
      <c r="AL50" s="3112"/>
      <c r="AM50" s="3169"/>
      <c r="AN50" s="117"/>
      <c r="AO50" s="117"/>
      <c r="AP50" s="1755" t="str">
        <f t="shared" si="44"/>
        <v/>
      </c>
      <c r="BU50" s="2718"/>
      <c r="BV50" s="2718"/>
      <c r="BW50" s="2718"/>
      <c r="BX50" s="2718"/>
      <c r="BY50" s="2718"/>
      <c r="BZ50" s="2718"/>
      <c r="CA50" s="2873" t="str">
        <f t="shared" si="45"/>
        <v/>
      </c>
      <c r="CB50" s="2873" t="str">
        <f t="shared" si="46"/>
        <v/>
      </c>
      <c r="CC50" s="2718"/>
      <c r="CD50" s="2718"/>
      <c r="CK50" s="1793">
        <f t="shared" si="47"/>
        <v>0</v>
      </c>
      <c r="CL50" s="1793">
        <f t="shared" si="47"/>
        <v>0</v>
      </c>
    </row>
    <row r="51" spans="1:90" ht="13.5" customHeight="1" x14ac:dyDescent="0.25">
      <c r="A51" s="6489" t="s">
        <v>2403</v>
      </c>
      <c r="B51" s="3178" t="s">
        <v>74</v>
      </c>
      <c r="C51" s="4792">
        <f t="shared" si="42"/>
        <v>0</v>
      </c>
      <c r="D51" s="3179">
        <f t="shared" si="48"/>
        <v>0</v>
      </c>
      <c r="E51" s="3180">
        <f t="shared" si="48"/>
        <v>0</v>
      </c>
      <c r="F51" s="3181"/>
      <c r="G51" s="3182"/>
      <c r="H51" s="3181"/>
      <c r="I51" s="3182"/>
      <c r="J51" s="3181"/>
      <c r="K51" s="3183"/>
      <c r="L51" s="3181"/>
      <c r="M51" s="3183"/>
      <c r="N51" s="3181"/>
      <c r="O51" s="3183"/>
      <c r="P51" s="3181"/>
      <c r="Q51" s="3183"/>
      <c r="R51" s="3181"/>
      <c r="S51" s="3183"/>
      <c r="T51" s="3181"/>
      <c r="U51" s="3183"/>
      <c r="V51" s="3181"/>
      <c r="W51" s="3183"/>
      <c r="X51" s="3181"/>
      <c r="Y51" s="3183"/>
      <c r="Z51" s="3181"/>
      <c r="AA51" s="3183"/>
      <c r="AB51" s="3181"/>
      <c r="AC51" s="3183"/>
      <c r="AD51" s="3181"/>
      <c r="AE51" s="3183"/>
      <c r="AF51" s="3184"/>
      <c r="AG51" s="3185"/>
      <c r="AH51" s="3184"/>
      <c r="AI51" s="3185"/>
      <c r="AJ51" s="3184"/>
      <c r="AK51" s="3185"/>
      <c r="AL51" s="3184"/>
      <c r="AM51" s="3186"/>
      <c r="AN51" s="3187"/>
      <c r="AO51" s="3187"/>
      <c r="AP51" s="1755" t="str">
        <f t="shared" si="44"/>
        <v/>
      </c>
      <c r="BU51" s="2718"/>
      <c r="BV51" s="2718"/>
      <c r="BW51" s="2718"/>
      <c r="BX51" s="2718"/>
      <c r="BY51" s="2718"/>
      <c r="BZ51" s="2718"/>
      <c r="CA51" s="2873" t="str">
        <f t="shared" si="45"/>
        <v/>
      </c>
      <c r="CB51" s="2873" t="str">
        <f t="shared" si="46"/>
        <v/>
      </c>
      <c r="CC51" s="2718"/>
      <c r="CD51" s="2718"/>
      <c r="CK51" s="1793">
        <f t="shared" si="47"/>
        <v>0</v>
      </c>
      <c r="CL51" s="1793">
        <f t="shared" si="47"/>
        <v>0</v>
      </c>
    </row>
    <row r="52" spans="1:90" ht="15" customHeight="1" x14ac:dyDescent="0.25">
      <c r="A52" s="6455"/>
      <c r="B52" s="3135" t="s">
        <v>76</v>
      </c>
      <c r="C52" s="4795">
        <f t="shared" si="42"/>
        <v>0</v>
      </c>
      <c r="D52" s="3173">
        <f t="shared" si="48"/>
        <v>0</v>
      </c>
      <c r="E52" s="3174">
        <f t="shared" si="48"/>
        <v>0</v>
      </c>
      <c r="F52" s="2930"/>
      <c r="G52" s="906"/>
      <c r="H52" s="2930"/>
      <c r="I52" s="906"/>
      <c r="J52" s="2930"/>
      <c r="K52" s="2896"/>
      <c r="L52" s="2930"/>
      <c r="M52" s="2896"/>
      <c r="N52" s="2930"/>
      <c r="O52" s="2896"/>
      <c r="P52" s="2930"/>
      <c r="Q52" s="2896"/>
      <c r="R52" s="2930"/>
      <c r="S52" s="2896"/>
      <c r="T52" s="2930"/>
      <c r="U52" s="2896"/>
      <c r="V52" s="2930"/>
      <c r="W52" s="2896"/>
      <c r="X52" s="2930"/>
      <c r="Y52" s="2896"/>
      <c r="Z52" s="2930"/>
      <c r="AA52" s="2896"/>
      <c r="AB52" s="2930"/>
      <c r="AC52" s="2896"/>
      <c r="AD52" s="2930"/>
      <c r="AE52" s="2896"/>
      <c r="AF52" s="2491"/>
      <c r="AG52" s="1429"/>
      <c r="AH52" s="2491"/>
      <c r="AI52" s="1429"/>
      <c r="AJ52" s="2491"/>
      <c r="AK52" s="1429"/>
      <c r="AL52" s="2491"/>
      <c r="AM52" s="3175"/>
      <c r="AN52" s="878"/>
      <c r="AO52" s="878"/>
      <c r="AP52" s="1755" t="str">
        <f t="shared" si="44"/>
        <v/>
      </c>
      <c r="BU52" s="2718"/>
      <c r="BV52" s="2718"/>
      <c r="BW52" s="2718"/>
      <c r="BX52" s="2718"/>
      <c r="BY52" s="2718"/>
      <c r="BZ52" s="2718"/>
      <c r="CA52" s="2873" t="str">
        <f t="shared" si="45"/>
        <v/>
      </c>
      <c r="CB52" s="2873" t="str">
        <f t="shared" si="46"/>
        <v/>
      </c>
      <c r="CC52" s="2718"/>
      <c r="CD52" s="2718"/>
      <c r="CK52" s="1793">
        <f t="shared" si="47"/>
        <v>0</v>
      </c>
      <c r="CL52" s="1793">
        <f t="shared" si="47"/>
        <v>0</v>
      </c>
    </row>
    <row r="53" spans="1:90" ht="24.6" customHeight="1" x14ac:dyDescent="0.25">
      <c r="A53" s="6457"/>
      <c r="B53" s="322" t="s">
        <v>2402</v>
      </c>
      <c r="C53" s="4794">
        <f t="shared" si="42"/>
        <v>0</v>
      </c>
      <c r="D53" s="3188">
        <f t="shared" si="48"/>
        <v>0</v>
      </c>
      <c r="E53" s="3189">
        <f t="shared" si="48"/>
        <v>0</v>
      </c>
      <c r="F53" s="3108"/>
      <c r="G53" s="152"/>
      <c r="H53" s="3108"/>
      <c r="I53" s="152"/>
      <c r="J53" s="3108"/>
      <c r="K53" s="3111"/>
      <c r="L53" s="3108"/>
      <c r="M53" s="3111"/>
      <c r="N53" s="3108"/>
      <c r="O53" s="3111"/>
      <c r="P53" s="3108"/>
      <c r="Q53" s="3111"/>
      <c r="R53" s="3108"/>
      <c r="S53" s="3111"/>
      <c r="T53" s="3108"/>
      <c r="U53" s="3111"/>
      <c r="V53" s="3108"/>
      <c r="W53" s="3111"/>
      <c r="X53" s="3108"/>
      <c r="Y53" s="3111"/>
      <c r="Z53" s="3108"/>
      <c r="AA53" s="3111"/>
      <c r="AB53" s="3108"/>
      <c r="AC53" s="3111"/>
      <c r="AD53" s="3108"/>
      <c r="AE53" s="3111"/>
      <c r="AF53" s="3112"/>
      <c r="AG53" s="3124"/>
      <c r="AH53" s="3112"/>
      <c r="AI53" s="3124"/>
      <c r="AJ53" s="3112"/>
      <c r="AK53" s="3124"/>
      <c r="AL53" s="3112"/>
      <c r="AM53" s="3169"/>
      <c r="AN53" s="117"/>
      <c r="AO53" s="117"/>
      <c r="AP53" s="1755" t="str">
        <f t="shared" si="44"/>
        <v/>
      </c>
      <c r="BU53" s="2718"/>
      <c r="BV53" s="2718"/>
      <c r="BW53" s="2718"/>
      <c r="BX53" s="2718"/>
      <c r="BY53" s="2718"/>
      <c r="BZ53" s="2718"/>
      <c r="CA53" s="2873" t="str">
        <f t="shared" si="45"/>
        <v/>
      </c>
      <c r="CB53" s="2873" t="str">
        <f t="shared" si="46"/>
        <v/>
      </c>
      <c r="CC53" s="2718"/>
      <c r="CD53" s="2718"/>
      <c r="CK53" s="1793">
        <f t="shared" si="47"/>
        <v>0</v>
      </c>
      <c r="CL53" s="1793">
        <f t="shared" si="47"/>
        <v>0</v>
      </c>
    </row>
    <row r="54" spans="1:90" ht="15" customHeight="1" x14ac:dyDescent="0.25">
      <c r="A54" s="6490" t="s">
        <v>2404</v>
      </c>
      <c r="B54" s="3190" t="s">
        <v>74</v>
      </c>
      <c r="C54" s="4792">
        <f t="shared" si="42"/>
        <v>0</v>
      </c>
      <c r="D54" s="3191">
        <f t="shared" ref="D54:D62" si="49">SUM(F54+H54+J54+L54+N54+P54+R54+T54+V54+X54+Z54+AB54+AD54+AF54+AH54+AJ54+AL54)</f>
        <v>0</v>
      </c>
      <c r="E54" s="3192">
        <f t="shared" ref="E54:E62" si="50">SUM(G54+I54+K54+M54+O54+Q54+S54+U54+W54+Y54+AA54+AC54+AE54+AG54+AI54+AK54+AM54)</f>
        <v>0</v>
      </c>
      <c r="F54" s="3193"/>
      <c r="G54" s="3194"/>
      <c r="H54" s="3193"/>
      <c r="I54" s="3194"/>
      <c r="J54" s="3193"/>
      <c r="K54" s="3194"/>
      <c r="L54" s="3193"/>
      <c r="M54" s="3194"/>
      <c r="N54" s="3193"/>
      <c r="O54" s="3194"/>
      <c r="P54" s="3193"/>
      <c r="Q54" s="3194"/>
      <c r="R54" s="3193"/>
      <c r="S54" s="3194"/>
      <c r="T54" s="3193"/>
      <c r="U54" s="3194"/>
      <c r="V54" s="3193"/>
      <c r="W54" s="3194"/>
      <c r="X54" s="3193"/>
      <c r="Y54" s="3194"/>
      <c r="Z54" s="3193"/>
      <c r="AA54" s="3194"/>
      <c r="AB54" s="3193"/>
      <c r="AC54" s="3194"/>
      <c r="AD54" s="3193"/>
      <c r="AE54" s="3194"/>
      <c r="AF54" s="3193"/>
      <c r="AG54" s="3194"/>
      <c r="AH54" s="3193"/>
      <c r="AI54" s="3194"/>
      <c r="AJ54" s="3193"/>
      <c r="AK54" s="3194"/>
      <c r="AL54" s="3193"/>
      <c r="AM54" s="3195"/>
      <c r="AN54" s="3196"/>
      <c r="AO54" s="3196"/>
      <c r="AP54" s="1755" t="str">
        <f t="shared" si="44"/>
        <v/>
      </c>
      <c r="BU54" s="2718"/>
      <c r="BV54" s="2718"/>
      <c r="BW54" s="2718"/>
      <c r="BX54" s="2718"/>
      <c r="BY54" s="2718"/>
      <c r="BZ54" s="2718"/>
      <c r="CA54" s="2873" t="str">
        <f t="shared" si="45"/>
        <v/>
      </c>
      <c r="CB54" s="2873" t="str">
        <f t="shared" si="46"/>
        <v/>
      </c>
      <c r="CC54" s="2718"/>
      <c r="CD54" s="2718"/>
      <c r="CK54" s="1793">
        <f t="shared" si="47"/>
        <v>0</v>
      </c>
      <c r="CL54" s="1793">
        <f t="shared" si="47"/>
        <v>0</v>
      </c>
    </row>
    <row r="55" spans="1:90" ht="15" customHeight="1" x14ac:dyDescent="0.25">
      <c r="A55" s="6455"/>
      <c r="B55" s="3135" t="s">
        <v>76</v>
      </c>
      <c r="C55" s="4793">
        <f t="shared" si="42"/>
        <v>0</v>
      </c>
      <c r="D55" s="3197">
        <f t="shared" si="49"/>
        <v>0</v>
      </c>
      <c r="E55" s="3198">
        <f t="shared" si="50"/>
        <v>0</v>
      </c>
      <c r="F55" s="620"/>
      <c r="G55" s="630"/>
      <c r="H55" s="620"/>
      <c r="I55" s="630"/>
      <c r="J55" s="620"/>
      <c r="K55" s="630"/>
      <c r="L55" s="620"/>
      <c r="M55" s="630"/>
      <c r="N55" s="620"/>
      <c r="O55" s="630"/>
      <c r="P55" s="620"/>
      <c r="Q55" s="630"/>
      <c r="R55" s="620"/>
      <c r="S55" s="630"/>
      <c r="T55" s="620"/>
      <c r="U55" s="630"/>
      <c r="V55" s="620"/>
      <c r="W55" s="630"/>
      <c r="X55" s="620"/>
      <c r="Y55" s="630"/>
      <c r="Z55" s="620"/>
      <c r="AA55" s="630"/>
      <c r="AB55" s="620"/>
      <c r="AC55" s="630"/>
      <c r="AD55" s="620"/>
      <c r="AE55" s="630"/>
      <c r="AF55" s="620"/>
      <c r="AG55" s="630"/>
      <c r="AH55" s="620"/>
      <c r="AI55" s="630"/>
      <c r="AJ55" s="620"/>
      <c r="AK55" s="630"/>
      <c r="AL55" s="620"/>
      <c r="AM55" s="628"/>
      <c r="AN55" s="3166"/>
      <c r="AO55" s="3166"/>
      <c r="AP55" s="1755" t="str">
        <f t="shared" si="44"/>
        <v/>
      </c>
      <c r="BU55" s="2718"/>
      <c r="BV55" s="2718"/>
      <c r="BW55" s="2718"/>
      <c r="BX55" s="2718"/>
      <c r="BY55" s="2718"/>
      <c r="BZ55" s="2718"/>
      <c r="CA55" s="2873" t="str">
        <f t="shared" si="45"/>
        <v/>
      </c>
      <c r="CB55" s="2873" t="str">
        <f t="shared" si="46"/>
        <v/>
      </c>
      <c r="CC55" s="2718"/>
      <c r="CD55" s="2718"/>
      <c r="CK55" s="1793">
        <f t="shared" si="47"/>
        <v>0</v>
      </c>
      <c r="CL55" s="1793">
        <f t="shared" si="47"/>
        <v>0</v>
      </c>
    </row>
    <row r="56" spans="1:90" ht="15" customHeight="1" x14ac:dyDescent="0.25">
      <c r="A56" s="6457"/>
      <c r="B56" s="3135" t="s">
        <v>77</v>
      </c>
      <c r="C56" s="4794">
        <f t="shared" si="42"/>
        <v>0</v>
      </c>
      <c r="D56" s="3199">
        <f t="shared" si="49"/>
        <v>0</v>
      </c>
      <c r="E56" s="3200">
        <f t="shared" si="50"/>
        <v>0</v>
      </c>
      <c r="F56" s="3112"/>
      <c r="G56" s="3124"/>
      <c r="H56" s="3112"/>
      <c r="I56" s="3124"/>
      <c r="J56" s="3112"/>
      <c r="K56" s="3124"/>
      <c r="L56" s="3112"/>
      <c r="M56" s="3124"/>
      <c r="N56" s="3112"/>
      <c r="O56" s="3124"/>
      <c r="P56" s="3112"/>
      <c r="Q56" s="3124"/>
      <c r="R56" s="3112"/>
      <c r="S56" s="3124"/>
      <c r="T56" s="3112"/>
      <c r="U56" s="3124"/>
      <c r="V56" s="3112"/>
      <c r="W56" s="3124"/>
      <c r="X56" s="3112"/>
      <c r="Y56" s="3124"/>
      <c r="Z56" s="3112"/>
      <c r="AA56" s="3124"/>
      <c r="AB56" s="3112"/>
      <c r="AC56" s="3124"/>
      <c r="AD56" s="3112"/>
      <c r="AE56" s="3124"/>
      <c r="AF56" s="3112"/>
      <c r="AG56" s="3124"/>
      <c r="AH56" s="3112"/>
      <c r="AI56" s="3124"/>
      <c r="AJ56" s="3112"/>
      <c r="AK56" s="3124"/>
      <c r="AL56" s="3112"/>
      <c r="AM56" s="3169"/>
      <c r="AN56" s="117"/>
      <c r="AO56" s="117"/>
      <c r="AP56" s="1755" t="str">
        <f t="shared" si="44"/>
        <v/>
      </c>
      <c r="BU56" s="2718"/>
      <c r="BV56" s="2718"/>
      <c r="BW56" s="2718"/>
      <c r="BX56" s="2718"/>
      <c r="BY56" s="2718"/>
      <c r="BZ56" s="2718"/>
      <c r="CA56" s="2873" t="str">
        <f t="shared" si="45"/>
        <v/>
      </c>
      <c r="CB56" s="2873" t="str">
        <f t="shared" si="46"/>
        <v/>
      </c>
      <c r="CC56" s="2718"/>
      <c r="CD56" s="2718"/>
      <c r="CK56" s="1793">
        <f t="shared" si="47"/>
        <v>0</v>
      </c>
      <c r="CL56" s="1793">
        <f t="shared" si="47"/>
        <v>0</v>
      </c>
    </row>
    <row r="57" spans="1:90" ht="15" customHeight="1" x14ac:dyDescent="0.25">
      <c r="A57" s="6491" t="s">
        <v>2405</v>
      </c>
      <c r="B57" s="3201" t="s">
        <v>74</v>
      </c>
      <c r="C57" s="4792">
        <f t="shared" si="42"/>
        <v>0</v>
      </c>
      <c r="D57" s="3202">
        <f t="shared" si="49"/>
        <v>0</v>
      </c>
      <c r="E57" s="3203">
        <f t="shared" si="50"/>
        <v>0</v>
      </c>
      <c r="F57" s="3204"/>
      <c r="G57" s="3205"/>
      <c r="H57" s="3204"/>
      <c r="I57" s="3205"/>
      <c r="J57" s="3204"/>
      <c r="K57" s="3205"/>
      <c r="L57" s="3204"/>
      <c r="M57" s="3205"/>
      <c r="N57" s="3204"/>
      <c r="O57" s="3205"/>
      <c r="P57" s="3204"/>
      <c r="Q57" s="3205"/>
      <c r="R57" s="3204"/>
      <c r="S57" s="3205"/>
      <c r="T57" s="3204"/>
      <c r="U57" s="3205"/>
      <c r="V57" s="3204"/>
      <c r="W57" s="3205"/>
      <c r="X57" s="3204"/>
      <c r="Y57" s="3205"/>
      <c r="Z57" s="3204"/>
      <c r="AA57" s="3205"/>
      <c r="AB57" s="3204"/>
      <c r="AC57" s="3205"/>
      <c r="AD57" s="3204"/>
      <c r="AE57" s="3205"/>
      <c r="AF57" s="3204"/>
      <c r="AG57" s="3205"/>
      <c r="AH57" s="3204"/>
      <c r="AI57" s="3205"/>
      <c r="AJ57" s="3204"/>
      <c r="AK57" s="3205"/>
      <c r="AL57" s="3204"/>
      <c r="AM57" s="3206"/>
      <c r="AN57" s="3207"/>
      <c r="AO57" s="3207"/>
      <c r="AP57" s="1755" t="str">
        <f t="shared" si="44"/>
        <v/>
      </c>
      <c r="BU57" s="2718"/>
      <c r="BV57" s="2718"/>
      <c r="BW57" s="2718"/>
      <c r="BX57" s="2718"/>
      <c r="BY57" s="2718"/>
      <c r="BZ57" s="2718"/>
      <c r="CA57" s="2873" t="str">
        <f t="shared" si="45"/>
        <v/>
      </c>
      <c r="CB57" s="2873" t="str">
        <f t="shared" si="46"/>
        <v/>
      </c>
      <c r="CC57" s="2718"/>
      <c r="CD57" s="2718"/>
      <c r="CK57" s="1793">
        <f t="shared" si="47"/>
        <v>0</v>
      </c>
      <c r="CL57" s="1793">
        <f t="shared" si="47"/>
        <v>0</v>
      </c>
    </row>
    <row r="58" spans="1:90" ht="15" customHeight="1" x14ac:dyDescent="0.25">
      <c r="A58" s="6455"/>
      <c r="B58" s="3135" t="s">
        <v>76</v>
      </c>
      <c r="C58" s="4793">
        <f t="shared" si="42"/>
        <v>0</v>
      </c>
      <c r="D58" s="3208">
        <f t="shared" si="49"/>
        <v>0</v>
      </c>
      <c r="E58" s="3209">
        <f t="shared" si="50"/>
        <v>0</v>
      </c>
      <c r="F58" s="620"/>
      <c r="G58" s="630"/>
      <c r="H58" s="620"/>
      <c r="I58" s="630"/>
      <c r="J58" s="620"/>
      <c r="K58" s="630"/>
      <c r="L58" s="620"/>
      <c r="M58" s="630"/>
      <c r="N58" s="620"/>
      <c r="O58" s="630"/>
      <c r="P58" s="620"/>
      <c r="Q58" s="630"/>
      <c r="R58" s="620"/>
      <c r="S58" s="630"/>
      <c r="T58" s="620"/>
      <c r="U58" s="630"/>
      <c r="V58" s="620"/>
      <c r="W58" s="630"/>
      <c r="X58" s="620"/>
      <c r="Y58" s="630"/>
      <c r="Z58" s="620"/>
      <c r="AA58" s="630"/>
      <c r="AB58" s="620"/>
      <c r="AC58" s="630"/>
      <c r="AD58" s="620"/>
      <c r="AE58" s="630"/>
      <c r="AF58" s="620"/>
      <c r="AG58" s="630"/>
      <c r="AH58" s="620"/>
      <c r="AI58" s="630"/>
      <c r="AJ58" s="620"/>
      <c r="AK58" s="630"/>
      <c r="AL58" s="620"/>
      <c r="AM58" s="628"/>
      <c r="AN58" s="3166"/>
      <c r="AO58" s="3166"/>
      <c r="AP58" s="1755" t="str">
        <f t="shared" si="44"/>
        <v/>
      </c>
      <c r="BU58" s="2718"/>
      <c r="BV58" s="2718"/>
      <c r="BW58" s="2718"/>
      <c r="BX58" s="2718"/>
      <c r="BY58" s="2718"/>
      <c r="BZ58" s="2718"/>
      <c r="CA58" s="2873" t="str">
        <f t="shared" si="45"/>
        <v/>
      </c>
      <c r="CB58" s="2873" t="str">
        <f t="shared" si="46"/>
        <v/>
      </c>
      <c r="CC58" s="2718"/>
      <c r="CD58" s="2718"/>
      <c r="CK58" s="1793">
        <f t="shared" si="47"/>
        <v>0</v>
      </c>
      <c r="CL58" s="1793">
        <f t="shared" si="47"/>
        <v>0</v>
      </c>
    </row>
    <row r="59" spans="1:90" ht="15" customHeight="1" x14ac:dyDescent="0.25">
      <c r="A59" s="6455"/>
      <c r="B59" s="3135" t="s">
        <v>77</v>
      </c>
      <c r="C59" s="4793">
        <f t="shared" si="42"/>
        <v>0</v>
      </c>
      <c r="D59" s="3208">
        <f t="shared" si="49"/>
        <v>0</v>
      </c>
      <c r="E59" s="3209">
        <f t="shared" si="50"/>
        <v>0</v>
      </c>
      <c r="F59" s="620"/>
      <c r="G59" s="630"/>
      <c r="H59" s="620"/>
      <c r="I59" s="630"/>
      <c r="J59" s="620"/>
      <c r="K59" s="630"/>
      <c r="L59" s="620"/>
      <c r="M59" s="630"/>
      <c r="N59" s="620"/>
      <c r="O59" s="630"/>
      <c r="P59" s="620"/>
      <c r="Q59" s="630"/>
      <c r="R59" s="620"/>
      <c r="S59" s="630"/>
      <c r="T59" s="620"/>
      <c r="U59" s="630"/>
      <c r="V59" s="620"/>
      <c r="W59" s="630"/>
      <c r="X59" s="620"/>
      <c r="Y59" s="630"/>
      <c r="Z59" s="620"/>
      <c r="AA59" s="630"/>
      <c r="AB59" s="620"/>
      <c r="AC59" s="630"/>
      <c r="AD59" s="620"/>
      <c r="AE59" s="630"/>
      <c r="AF59" s="620"/>
      <c r="AG59" s="630"/>
      <c r="AH59" s="620"/>
      <c r="AI59" s="630"/>
      <c r="AJ59" s="620"/>
      <c r="AK59" s="630"/>
      <c r="AL59" s="620"/>
      <c r="AM59" s="628"/>
      <c r="AN59" s="3166"/>
      <c r="AO59" s="3166"/>
      <c r="AP59" s="1755" t="str">
        <f t="shared" si="44"/>
        <v/>
      </c>
      <c r="BU59" s="2718"/>
      <c r="BV59" s="2718"/>
      <c r="BW59" s="2718"/>
      <c r="BX59" s="2718"/>
      <c r="BY59" s="2718"/>
      <c r="BZ59" s="2718"/>
      <c r="CA59" s="2873" t="str">
        <f t="shared" si="45"/>
        <v/>
      </c>
      <c r="CB59" s="2873" t="str">
        <f t="shared" si="46"/>
        <v/>
      </c>
      <c r="CC59" s="2718"/>
      <c r="CD59" s="2718"/>
      <c r="CK59" s="1793">
        <f t="shared" si="47"/>
        <v>0</v>
      </c>
      <c r="CL59" s="1793">
        <f t="shared" si="47"/>
        <v>0</v>
      </c>
    </row>
    <row r="60" spans="1:90" ht="15" customHeight="1" x14ac:dyDescent="0.25">
      <c r="A60" s="6455"/>
      <c r="B60" s="3135" t="s">
        <v>247</v>
      </c>
      <c r="C60" s="4793">
        <f t="shared" si="42"/>
        <v>0</v>
      </c>
      <c r="D60" s="3208">
        <f t="shared" si="49"/>
        <v>0</v>
      </c>
      <c r="E60" s="3209">
        <f t="shared" si="50"/>
        <v>0</v>
      </c>
      <c r="F60" s="620"/>
      <c r="G60" s="630"/>
      <c r="H60" s="620"/>
      <c r="I60" s="630"/>
      <c r="J60" s="620"/>
      <c r="K60" s="630"/>
      <c r="L60" s="620"/>
      <c r="M60" s="630"/>
      <c r="N60" s="620"/>
      <c r="O60" s="630"/>
      <c r="P60" s="620"/>
      <c r="Q60" s="630"/>
      <c r="R60" s="620"/>
      <c r="S60" s="630"/>
      <c r="T60" s="620"/>
      <c r="U60" s="630"/>
      <c r="V60" s="620"/>
      <c r="W60" s="630"/>
      <c r="X60" s="620"/>
      <c r="Y60" s="630"/>
      <c r="Z60" s="620"/>
      <c r="AA60" s="630"/>
      <c r="AB60" s="620"/>
      <c r="AC60" s="630"/>
      <c r="AD60" s="620"/>
      <c r="AE60" s="630"/>
      <c r="AF60" s="620"/>
      <c r="AG60" s="630"/>
      <c r="AH60" s="620"/>
      <c r="AI60" s="630"/>
      <c r="AJ60" s="620"/>
      <c r="AK60" s="630"/>
      <c r="AL60" s="620"/>
      <c r="AM60" s="628"/>
      <c r="AN60" s="3166"/>
      <c r="AO60" s="3166"/>
      <c r="AP60" s="1755" t="str">
        <f t="shared" si="44"/>
        <v/>
      </c>
      <c r="BU60" s="2718"/>
      <c r="BV60" s="2718"/>
      <c r="BW60" s="2718"/>
      <c r="BX60" s="2718"/>
      <c r="BY60" s="2718"/>
      <c r="BZ60" s="2718"/>
      <c r="CA60" s="2873" t="str">
        <f t="shared" si="45"/>
        <v/>
      </c>
      <c r="CB60" s="2873" t="str">
        <f t="shared" si="46"/>
        <v/>
      </c>
      <c r="CC60" s="2718"/>
      <c r="CD60" s="2718"/>
      <c r="CK60" s="1793">
        <f t="shared" si="47"/>
        <v>0</v>
      </c>
      <c r="CL60" s="1793">
        <f t="shared" si="47"/>
        <v>0</v>
      </c>
    </row>
    <row r="61" spans="1:90" ht="15" customHeight="1" x14ac:dyDescent="0.25">
      <c r="A61" s="6455"/>
      <c r="B61" s="3135" t="s">
        <v>192</v>
      </c>
      <c r="C61" s="4796">
        <f t="shared" si="42"/>
        <v>0</v>
      </c>
      <c r="D61" s="3210">
        <f t="shared" si="49"/>
        <v>0</v>
      </c>
      <c r="E61" s="3211">
        <f t="shared" si="50"/>
        <v>0</v>
      </c>
      <c r="F61" s="620"/>
      <c r="G61" s="630"/>
      <c r="H61" s="620"/>
      <c r="I61" s="630"/>
      <c r="J61" s="620"/>
      <c r="K61" s="630"/>
      <c r="L61" s="620"/>
      <c r="M61" s="630"/>
      <c r="N61" s="620"/>
      <c r="O61" s="630"/>
      <c r="P61" s="620"/>
      <c r="Q61" s="630"/>
      <c r="R61" s="620"/>
      <c r="S61" s="630"/>
      <c r="T61" s="620"/>
      <c r="U61" s="630"/>
      <c r="V61" s="620"/>
      <c r="W61" s="630"/>
      <c r="X61" s="620"/>
      <c r="Y61" s="630"/>
      <c r="Z61" s="620"/>
      <c r="AA61" s="630"/>
      <c r="AB61" s="620"/>
      <c r="AC61" s="630"/>
      <c r="AD61" s="620"/>
      <c r="AE61" s="630"/>
      <c r="AF61" s="620"/>
      <c r="AG61" s="630"/>
      <c r="AH61" s="620"/>
      <c r="AI61" s="630"/>
      <c r="AJ61" s="620"/>
      <c r="AK61" s="630"/>
      <c r="AL61" s="620"/>
      <c r="AM61" s="628"/>
      <c r="AN61" s="3166"/>
      <c r="AO61" s="3166"/>
      <c r="AP61" s="1755" t="str">
        <f t="shared" si="44"/>
        <v/>
      </c>
      <c r="BU61" s="2718"/>
      <c r="BV61" s="2718"/>
      <c r="BW61" s="2718"/>
      <c r="BX61" s="2718"/>
      <c r="BY61" s="2718"/>
      <c r="BZ61" s="2718"/>
      <c r="CA61" s="2873" t="str">
        <f t="shared" si="45"/>
        <v/>
      </c>
      <c r="CB61" s="2873" t="str">
        <f t="shared" si="46"/>
        <v/>
      </c>
      <c r="CC61" s="2718"/>
      <c r="CD61" s="2718"/>
      <c r="CK61" s="1793">
        <f t="shared" si="47"/>
        <v>0</v>
      </c>
      <c r="CL61" s="1793">
        <f t="shared" si="47"/>
        <v>0</v>
      </c>
    </row>
    <row r="62" spans="1:90" ht="24" customHeight="1" x14ac:dyDescent="0.25">
      <c r="A62" s="6457"/>
      <c r="B62" s="322" t="s">
        <v>2402</v>
      </c>
      <c r="C62" s="4795">
        <f t="shared" si="42"/>
        <v>0</v>
      </c>
      <c r="D62" s="3173">
        <f t="shared" si="49"/>
        <v>0</v>
      </c>
      <c r="E62" s="3212">
        <f t="shared" si="50"/>
        <v>0</v>
      </c>
      <c r="F62" s="3112"/>
      <c r="G62" s="3124"/>
      <c r="H62" s="3112"/>
      <c r="I62" s="3124"/>
      <c r="J62" s="3112"/>
      <c r="K62" s="3124"/>
      <c r="L62" s="3112"/>
      <c r="M62" s="3124"/>
      <c r="N62" s="3112"/>
      <c r="O62" s="117"/>
      <c r="P62" s="3112"/>
      <c r="Q62" s="117"/>
      <c r="R62" s="3112"/>
      <c r="S62" s="3124"/>
      <c r="T62" s="3112"/>
      <c r="U62" s="3124"/>
      <c r="V62" s="3112"/>
      <c r="W62" s="3124"/>
      <c r="X62" s="3112"/>
      <c r="Y62" s="3124"/>
      <c r="Z62" s="3112"/>
      <c r="AA62" s="3124"/>
      <c r="AB62" s="3112"/>
      <c r="AC62" s="3124"/>
      <c r="AD62" s="3112"/>
      <c r="AE62" s="3124"/>
      <c r="AF62" s="3112"/>
      <c r="AG62" s="3124"/>
      <c r="AH62" s="3112"/>
      <c r="AI62" s="3124"/>
      <c r="AJ62" s="3112"/>
      <c r="AK62" s="3124"/>
      <c r="AL62" s="118"/>
      <c r="AM62" s="3169"/>
      <c r="AN62" s="117"/>
      <c r="AO62" s="117"/>
      <c r="AP62" s="1755" t="str">
        <f t="shared" si="44"/>
        <v/>
      </c>
      <c r="BU62" s="2718"/>
      <c r="BV62" s="2718"/>
      <c r="BW62" s="2718"/>
      <c r="BX62" s="2718"/>
      <c r="BY62" s="2718"/>
      <c r="BZ62" s="2718"/>
      <c r="CA62" s="2873" t="str">
        <f t="shared" si="45"/>
        <v/>
      </c>
      <c r="CB62" s="2873" t="str">
        <f t="shared" si="46"/>
        <v/>
      </c>
      <c r="CC62" s="2718"/>
      <c r="CD62" s="2718"/>
      <c r="CK62" s="1793">
        <f t="shared" si="47"/>
        <v>0</v>
      </c>
      <c r="CL62" s="1793">
        <f t="shared" si="47"/>
        <v>0</v>
      </c>
    </row>
    <row r="63" spans="1:90" ht="15" customHeight="1" x14ac:dyDescent="0.25">
      <c r="A63" s="6500" t="s">
        <v>2406</v>
      </c>
      <c r="B63" s="3213" t="s">
        <v>74</v>
      </c>
      <c r="C63" s="4797">
        <f t="shared" si="42"/>
        <v>0</v>
      </c>
      <c r="D63" s="3214">
        <f t="shared" ref="D63:E66" si="51">SUM(F63+H63+J63+L63)</f>
        <v>0</v>
      </c>
      <c r="E63" s="3215">
        <f t="shared" si="51"/>
        <v>0</v>
      </c>
      <c r="F63" s="3216"/>
      <c r="G63" s="3217"/>
      <c r="H63" s="3216"/>
      <c r="I63" s="3217"/>
      <c r="J63" s="3216"/>
      <c r="K63" s="3217"/>
      <c r="L63" s="3216"/>
      <c r="M63" s="3217"/>
      <c r="N63" s="3218"/>
      <c r="O63" s="3219"/>
      <c r="P63" s="3218"/>
      <c r="Q63" s="3219"/>
      <c r="R63" s="3218"/>
      <c r="S63" s="3220"/>
      <c r="T63" s="3218"/>
      <c r="U63" s="3220"/>
      <c r="V63" s="3218"/>
      <c r="W63" s="3220"/>
      <c r="X63" s="3218"/>
      <c r="Y63" s="3220"/>
      <c r="Z63" s="3218"/>
      <c r="AA63" s="3220"/>
      <c r="AB63" s="3218"/>
      <c r="AC63" s="3220"/>
      <c r="AD63" s="3218"/>
      <c r="AE63" s="3220"/>
      <c r="AF63" s="3218"/>
      <c r="AG63" s="3220"/>
      <c r="AH63" s="3218"/>
      <c r="AI63" s="3220"/>
      <c r="AJ63" s="3218"/>
      <c r="AK63" s="3220"/>
      <c r="AL63" s="3221"/>
      <c r="AM63" s="3222"/>
      <c r="AN63" s="3223"/>
      <c r="AO63" s="3223"/>
      <c r="AP63" s="1755" t="str">
        <f t="shared" si="44"/>
        <v/>
      </c>
      <c r="BU63" s="2718"/>
      <c r="BV63" s="2718"/>
      <c r="BW63" s="2718"/>
      <c r="BX63" s="2718"/>
      <c r="BY63" s="2718"/>
      <c r="BZ63" s="2718"/>
      <c r="CA63" s="2873" t="str">
        <f t="shared" si="45"/>
        <v/>
      </c>
      <c r="CB63" s="2873" t="str">
        <f t="shared" si="46"/>
        <v/>
      </c>
      <c r="CC63" s="2718"/>
      <c r="CD63" s="2718"/>
      <c r="CK63" s="1793">
        <f t="shared" si="47"/>
        <v>0</v>
      </c>
      <c r="CL63" s="1793">
        <f t="shared" si="47"/>
        <v>0</v>
      </c>
    </row>
    <row r="64" spans="1:90" ht="15" customHeight="1" x14ac:dyDescent="0.25">
      <c r="A64" s="6455"/>
      <c r="B64" s="3135" t="s">
        <v>76</v>
      </c>
      <c r="C64" s="4793">
        <f t="shared" si="42"/>
        <v>0</v>
      </c>
      <c r="D64" s="3208">
        <f t="shared" si="51"/>
        <v>0</v>
      </c>
      <c r="E64" s="3224">
        <f t="shared" si="51"/>
        <v>0</v>
      </c>
      <c r="F64" s="620"/>
      <c r="G64" s="630"/>
      <c r="H64" s="620"/>
      <c r="I64" s="630"/>
      <c r="J64" s="620"/>
      <c r="K64" s="630"/>
      <c r="L64" s="620"/>
      <c r="M64" s="630"/>
      <c r="N64" s="794"/>
      <c r="O64" s="3142"/>
      <c r="P64" s="794"/>
      <c r="Q64" s="3142"/>
      <c r="R64" s="794"/>
      <c r="S64" s="795"/>
      <c r="T64" s="794"/>
      <c r="U64" s="795"/>
      <c r="V64" s="794"/>
      <c r="W64" s="795"/>
      <c r="X64" s="794"/>
      <c r="Y64" s="795"/>
      <c r="Z64" s="794"/>
      <c r="AA64" s="795"/>
      <c r="AB64" s="794"/>
      <c r="AC64" s="795"/>
      <c r="AD64" s="794"/>
      <c r="AE64" s="795"/>
      <c r="AF64" s="794"/>
      <c r="AG64" s="795"/>
      <c r="AH64" s="794"/>
      <c r="AI64" s="795"/>
      <c r="AJ64" s="794"/>
      <c r="AK64" s="795"/>
      <c r="AL64" s="3225"/>
      <c r="AM64" s="806"/>
      <c r="AN64" s="3166"/>
      <c r="AO64" s="3166"/>
      <c r="AP64" s="1755" t="str">
        <f t="shared" si="44"/>
        <v/>
      </c>
      <c r="BU64" s="2718"/>
      <c r="BV64" s="2718"/>
      <c r="BW64" s="2718"/>
      <c r="BX64" s="2718"/>
      <c r="BY64" s="2718"/>
      <c r="BZ64" s="2718"/>
      <c r="CA64" s="2873" t="str">
        <f t="shared" si="45"/>
        <v/>
      </c>
      <c r="CB64" s="2873" t="str">
        <f t="shared" si="46"/>
        <v/>
      </c>
      <c r="CC64" s="2718"/>
      <c r="CD64" s="2718"/>
      <c r="CK64" s="1793">
        <f t="shared" si="47"/>
        <v>0</v>
      </c>
      <c r="CL64" s="1793">
        <f t="shared" si="47"/>
        <v>0</v>
      </c>
    </row>
    <row r="65" spans="1:92" ht="15" customHeight="1" x14ac:dyDescent="0.25">
      <c r="A65" s="6455"/>
      <c r="B65" s="3135" t="s">
        <v>77</v>
      </c>
      <c r="C65" s="4793">
        <f t="shared" si="42"/>
        <v>0</v>
      </c>
      <c r="D65" s="3226">
        <f t="shared" si="51"/>
        <v>0</v>
      </c>
      <c r="E65" s="3224">
        <f t="shared" si="51"/>
        <v>0</v>
      </c>
      <c r="F65" s="620"/>
      <c r="G65" s="630"/>
      <c r="H65" s="620"/>
      <c r="I65" s="630"/>
      <c r="J65" s="620"/>
      <c r="K65" s="630"/>
      <c r="L65" s="620"/>
      <c r="M65" s="630"/>
      <c r="N65" s="794"/>
      <c r="O65" s="3142"/>
      <c r="P65" s="794"/>
      <c r="Q65" s="3142"/>
      <c r="R65" s="794"/>
      <c r="S65" s="795"/>
      <c r="T65" s="794"/>
      <c r="U65" s="795"/>
      <c r="V65" s="794"/>
      <c r="W65" s="795"/>
      <c r="X65" s="794"/>
      <c r="Y65" s="795"/>
      <c r="Z65" s="794"/>
      <c r="AA65" s="795"/>
      <c r="AB65" s="794"/>
      <c r="AC65" s="795"/>
      <c r="AD65" s="794"/>
      <c r="AE65" s="795"/>
      <c r="AF65" s="794"/>
      <c r="AG65" s="795"/>
      <c r="AH65" s="794"/>
      <c r="AI65" s="795"/>
      <c r="AJ65" s="794"/>
      <c r="AK65" s="795"/>
      <c r="AL65" s="3225"/>
      <c r="AM65" s="806"/>
      <c r="AN65" s="3166"/>
      <c r="AO65" s="3166"/>
      <c r="AP65" s="1755" t="str">
        <f t="shared" si="44"/>
        <v/>
      </c>
      <c r="BU65" s="2718"/>
      <c r="BV65" s="2718"/>
      <c r="BW65" s="2718"/>
      <c r="BX65" s="2718"/>
      <c r="BY65" s="2718"/>
      <c r="BZ65" s="2718"/>
      <c r="CA65" s="2873" t="str">
        <f t="shared" si="45"/>
        <v/>
      </c>
      <c r="CB65" s="2873" t="str">
        <f t="shared" si="46"/>
        <v/>
      </c>
      <c r="CC65" s="2718"/>
      <c r="CD65" s="2718"/>
      <c r="CK65" s="1793">
        <f t="shared" si="47"/>
        <v>0</v>
      </c>
      <c r="CL65" s="1793">
        <f t="shared" si="47"/>
        <v>0</v>
      </c>
    </row>
    <row r="66" spans="1:92" ht="15" customHeight="1" x14ac:dyDescent="0.25">
      <c r="A66" s="6457"/>
      <c r="B66" s="150" t="s">
        <v>247</v>
      </c>
      <c r="C66" s="4798">
        <f t="shared" si="42"/>
        <v>0</v>
      </c>
      <c r="D66" s="3227">
        <f t="shared" si="51"/>
        <v>0</v>
      </c>
      <c r="E66" s="3228">
        <f t="shared" si="51"/>
        <v>0</v>
      </c>
      <c r="F66" s="3112"/>
      <c r="G66" s="3124"/>
      <c r="H66" s="3112"/>
      <c r="I66" s="3124"/>
      <c r="J66" s="3112"/>
      <c r="K66" s="3124"/>
      <c r="L66" s="3112"/>
      <c r="M66" s="3124"/>
      <c r="N66" s="3108"/>
      <c r="O66" s="152"/>
      <c r="P66" s="3108"/>
      <c r="Q66" s="152"/>
      <c r="R66" s="3108"/>
      <c r="S66" s="3111"/>
      <c r="T66" s="3108"/>
      <c r="U66" s="3111"/>
      <c r="V66" s="3108"/>
      <c r="W66" s="3111"/>
      <c r="X66" s="3108"/>
      <c r="Y66" s="3111"/>
      <c r="Z66" s="3108"/>
      <c r="AA66" s="3111"/>
      <c r="AB66" s="3108"/>
      <c r="AC66" s="3111"/>
      <c r="AD66" s="3108"/>
      <c r="AE66" s="3111"/>
      <c r="AF66" s="3108"/>
      <c r="AG66" s="3111"/>
      <c r="AH66" s="3108"/>
      <c r="AI66" s="3111"/>
      <c r="AJ66" s="3108"/>
      <c r="AK66" s="3111"/>
      <c r="AL66" s="3229"/>
      <c r="AM66" s="3230"/>
      <c r="AN66" s="117"/>
      <c r="AO66" s="117"/>
      <c r="AP66" s="1755" t="str">
        <f t="shared" si="44"/>
        <v/>
      </c>
      <c r="BU66" s="2718"/>
      <c r="BV66" s="2718"/>
      <c r="BW66" s="2718"/>
      <c r="BX66" s="2718"/>
      <c r="BY66" s="2718"/>
      <c r="BZ66" s="2718"/>
      <c r="CA66" s="2873" t="str">
        <f t="shared" si="45"/>
        <v/>
      </c>
      <c r="CB66" s="2873" t="str">
        <f t="shared" si="46"/>
        <v/>
      </c>
      <c r="CC66" s="2718"/>
      <c r="CD66" s="2718"/>
      <c r="CK66" s="1793">
        <f t="shared" si="47"/>
        <v>0</v>
      </c>
      <c r="CL66" s="1793">
        <f>IF(AND($C66&lt;&gt;0,AO66=""),1,IF(AO66&gt;$C66,1,0))</f>
        <v>0</v>
      </c>
    </row>
    <row r="67" spans="1:92" ht="18" customHeight="1" x14ac:dyDescent="0.25">
      <c r="A67" s="3150" t="s">
        <v>2407</v>
      </c>
      <c r="B67" s="3231"/>
      <c r="C67" s="780"/>
      <c r="D67" s="1069"/>
      <c r="E67" s="780"/>
      <c r="F67" s="780"/>
      <c r="G67" s="780"/>
      <c r="H67" s="3158"/>
      <c r="I67" s="3158"/>
      <c r="J67" s="3158"/>
      <c r="K67" s="1913"/>
      <c r="L67" s="1913"/>
      <c r="M67" s="1913"/>
      <c r="N67" s="1913"/>
    </row>
    <row r="68" spans="1:92" ht="24" customHeight="1" x14ac:dyDescent="0.25">
      <c r="A68" s="6501" t="s">
        <v>2408</v>
      </c>
      <c r="B68" s="6502"/>
      <c r="C68" s="6510" t="s">
        <v>38</v>
      </c>
      <c r="D68" s="6511"/>
      <c r="E68" s="6509"/>
      <c r="F68" s="6511" t="s">
        <v>4</v>
      </c>
      <c r="G68" s="6511"/>
      <c r="H68" s="6512"/>
      <c r="I68" s="6514" t="s">
        <v>2</v>
      </c>
      <c r="J68" s="6516" t="s">
        <v>3</v>
      </c>
      <c r="K68" s="6502" t="s">
        <v>49</v>
      </c>
      <c r="L68" s="6513" t="s">
        <v>45</v>
      </c>
    </row>
    <row r="69" spans="1:92" ht="25.9" customHeight="1" x14ac:dyDescent="0.25">
      <c r="A69" s="6503"/>
      <c r="B69" s="6461"/>
      <c r="C69" s="5873" t="s">
        <v>26</v>
      </c>
      <c r="D69" s="5795" t="s">
        <v>22</v>
      </c>
      <c r="E69" s="5789" t="s">
        <v>27</v>
      </c>
      <c r="F69" s="5547" t="s">
        <v>26</v>
      </c>
      <c r="G69" s="5791" t="s">
        <v>22</v>
      </c>
      <c r="H69" s="5880" t="s">
        <v>27</v>
      </c>
      <c r="I69" s="6515"/>
      <c r="J69" s="6517"/>
      <c r="K69" s="6461"/>
      <c r="L69" s="6451"/>
    </row>
    <row r="70" spans="1:92" ht="15" customHeight="1" x14ac:dyDescent="0.25">
      <c r="A70" s="6504" t="s">
        <v>2409</v>
      </c>
      <c r="B70" s="6504"/>
      <c r="C70" s="5884">
        <f>SUM(D70:E70)</f>
        <v>0</v>
      </c>
      <c r="D70" s="3232"/>
      <c r="E70" s="3166"/>
      <c r="F70" s="4856">
        <f>SUM(G70:H70)</f>
        <v>0</v>
      </c>
      <c r="G70" s="591"/>
      <c r="H70" s="628"/>
      <c r="I70" s="5885"/>
      <c r="J70" s="789"/>
      <c r="K70" s="3166"/>
      <c r="L70" s="3234"/>
      <c r="M70" s="1755" t="str">
        <f>$CA70&amp;CB70&amp;CC70&amp;CD70</f>
        <v/>
      </c>
      <c r="AR70" s="2718"/>
      <c r="AS70" s="2718"/>
      <c r="AT70" s="2718"/>
      <c r="AU70" s="2718"/>
      <c r="AV70" s="2718"/>
      <c r="AW70" s="2718"/>
      <c r="AX70" s="2718"/>
      <c r="AY70" s="2718"/>
      <c r="AZ70" s="2718"/>
      <c r="BA70" s="2718"/>
      <c r="BB70" s="2718"/>
      <c r="BC70" s="2718"/>
      <c r="BD70" s="2718"/>
      <c r="BE70" s="2718"/>
      <c r="BF70" s="2718"/>
      <c r="BG70" s="2718"/>
      <c r="BH70" s="2718"/>
      <c r="BI70" s="2718"/>
      <c r="BJ70" s="2718"/>
      <c r="BK70" s="2718"/>
      <c r="BL70" s="2718"/>
      <c r="BM70" s="2718"/>
      <c r="BN70" s="2718"/>
      <c r="BO70" s="2718"/>
      <c r="BP70" s="2718"/>
      <c r="BQ70" s="2718"/>
      <c r="BR70" s="2718"/>
      <c r="BS70" s="2718"/>
      <c r="BT70" s="2718"/>
      <c r="BU70" s="2718"/>
      <c r="BV70" s="2718"/>
      <c r="BW70" s="2718"/>
      <c r="BX70" s="2718"/>
      <c r="BY70" s="2718"/>
      <c r="BZ70" s="2718"/>
      <c r="CA70" s="2873" t="str">
        <f>IF(AND(($C70+F70)&lt;&gt;0,$I70=""),"* No olvide ingresar la columna "&amp;$I$68&amp;""&amp;" (Digite CERO si no tiene). ",IF(I70&gt;($C70+$F70),"* El Número de Pueblos Originarios no puede superar la suma de Ambos Sexos. ",""))</f>
        <v/>
      </c>
      <c r="CB70" s="2873" t="str">
        <f>IF(AND(($C70+F70)&lt;&gt;0,$J70=""),"* No olvide ingresar la columna "&amp;$J$68&amp;""&amp;" (Digite CERO si no tiene). ",IF(J70&gt;($C70+$F70),"* El Número de Migrantes no puede superar la suma de Ambos Sexos. ",""))</f>
        <v/>
      </c>
      <c r="CC70" s="2873" t="str">
        <f>IF(AND(($C70+F70)&lt;&gt;0,$K70=""),"* No olvide ingresar la columna "&amp;$K$68&amp;""&amp;" (Digite CERO si no tiene). ",IF(K70&gt;($C70+$F70),"* El Número de "&amp;$K$68&amp;" no puede superar la suma de Ambos Sexos. ",""))</f>
        <v/>
      </c>
      <c r="CD70" s="2873" t="str">
        <f>IF(AND(($C70+F70)&lt;&gt;0,$L70=""),"* No olvide ingresar la columna "&amp;$L$68&amp;""&amp;" (Digite CERO si no tiene). ",IF(L70&gt;($C70+$F70),"* El Número de "&amp;$L$68&amp;" no puede superar la suma de Ambos Sexos. ",""))</f>
        <v/>
      </c>
      <c r="CE70" s="603"/>
      <c r="CF70" s="603"/>
      <c r="CI70" s="603"/>
      <c r="CK70" s="1793">
        <f>IF(AND(($C70+F70)&lt;&gt;0,$I70=""),1,IF(I70&gt;($C70+$F70),1,0))</f>
        <v>0</v>
      </c>
      <c r="CL70" s="1793">
        <f>IF(AND(($C70+F70)&lt;&gt;0,$J70=""),1,IF(J70&gt;($C70+$F70),1,0))</f>
        <v>0</v>
      </c>
      <c r="CM70" s="1793">
        <f>IF(AND(($C70+F70)&lt;&gt;0,$K70=""),1,IF(K70&gt;($C70+$F70),1,0))</f>
        <v>0</v>
      </c>
      <c r="CN70" s="1793">
        <f>IF(AND(($C70+F70)&lt;&gt;0,$L70=""),1,IF(L70&gt;($C70+$F70),1,0))</f>
        <v>0</v>
      </c>
    </row>
    <row r="71" spans="1:92" ht="15" customHeight="1" x14ac:dyDescent="0.25">
      <c r="A71" s="6505" t="s">
        <v>2410</v>
      </c>
      <c r="B71" s="6505"/>
      <c r="C71" s="3135">
        <f>SUM(D71:E71)</f>
        <v>0</v>
      </c>
      <c r="D71" s="3232"/>
      <c r="E71" s="3166"/>
      <c r="F71" s="3280">
        <f>SUM(G71:H71)</f>
        <v>0</v>
      </c>
      <c r="G71" s="3232"/>
      <c r="H71" s="628"/>
      <c r="I71" s="5885"/>
      <c r="J71" s="789"/>
      <c r="K71" s="3166"/>
      <c r="L71" s="3234"/>
      <c r="M71" s="1755" t="str">
        <f>$CA71&amp;CB71&amp;CC71&amp;CD71</f>
        <v/>
      </c>
      <c r="AR71" s="2718"/>
      <c r="AS71" s="2718"/>
      <c r="AT71" s="2718"/>
      <c r="AU71" s="2718"/>
      <c r="AV71" s="2718"/>
      <c r="AW71" s="2718"/>
      <c r="AX71" s="2718"/>
      <c r="AY71" s="2718"/>
      <c r="AZ71" s="2718"/>
      <c r="BA71" s="2718"/>
      <c r="BB71" s="2718"/>
      <c r="BC71" s="2718"/>
      <c r="BD71" s="2718"/>
      <c r="BE71" s="2718"/>
      <c r="BF71" s="2718"/>
      <c r="BG71" s="2718"/>
      <c r="BH71" s="2718"/>
      <c r="BI71" s="2718"/>
      <c r="BJ71" s="2718"/>
      <c r="BK71" s="2718"/>
      <c r="BL71" s="2718"/>
      <c r="BM71" s="2718"/>
      <c r="BN71" s="2718"/>
      <c r="BO71" s="2718"/>
      <c r="BP71" s="2718"/>
      <c r="BQ71" s="2718"/>
      <c r="BR71" s="2718"/>
      <c r="BS71" s="2718"/>
      <c r="BT71" s="2718"/>
      <c r="BU71" s="2718"/>
      <c r="BV71" s="2718"/>
      <c r="BW71" s="2718"/>
      <c r="BX71" s="2718"/>
      <c r="BY71" s="2718"/>
      <c r="BZ71" s="2718"/>
      <c r="CA71" s="2873" t="str">
        <f t="shared" ref="CA71:CA73" si="52">IF(AND(($C71+F71)&lt;&gt;0,$I71=""),"* No olvide ingresar la columna "&amp;$I$68&amp;""&amp;" (Digite CERO si no tiene). ",IF(I71&gt;($C71+$F71),"* El Número de Pueblos Originarios no puede superar la suma de Ambos Sexos. ",""))</f>
        <v/>
      </c>
      <c r="CB71" s="2873" t="str">
        <f t="shared" ref="CB71:CB73" si="53">IF(AND(($C71+F71)&lt;&gt;0,$J71=""),"* No olvide ingresar la columna "&amp;$J$68&amp;""&amp;" (Digite CERO si no tiene). ",IF(J71&gt;($C71+$F71),"* El Número de Migrantes no puede superar la suma de Ambos Sexos. ",""))</f>
        <v/>
      </c>
      <c r="CC71" s="2873" t="str">
        <f t="shared" ref="CC71:CC73" si="54">IF(AND(($C71+F71)&lt;&gt;0,$K71=""),"* No olvide ingresar la columna "&amp;$K$68&amp;""&amp;" (Digite CERO si no tiene). ",IF(K71&gt;($C71+$F71),"* El Número de "&amp;$K$68&amp;" no puede superar la suma de Ambos Sexos. ",""))</f>
        <v/>
      </c>
      <c r="CD71" s="2873" t="str">
        <f t="shared" ref="CD71:CD73" si="55">IF(AND(($C71+F71)&lt;&gt;0,$L71=""),"* No olvide ingresar la columna "&amp;$L$68&amp;""&amp;" (Digite CERO si no tiene). ",IF(L71&gt;($C71+$F71),"* El Número de "&amp;$L$68&amp;" no puede superar la suma de Ambos Sexos. ",""))</f>
        <v/>
      </c>
      <c r="CE71" s="603"/>
      <c r="CF71" s="603"/>
      <c r="CI71" s="603"/>
      <c r="CK71" s="1793">
        <f>IF(AND(($C71+F71)&lt;&gt;0,$I71=""),1,IF(I71&gt;($C71+$F71),1,0))</f>
        <v>0</v>
      </c>
      <c r="CL71" s="1793">
        <f>IF(AND(($C71+F71)&lt;&gt;0,$J71=""),1,IF(J71&gt;($C71+$F71),1,0))</f>
        <v>0</v>
      </c>
      <c r="CM71" s="1793">
        <f>IF(AND(($C71+F71)&lt;&gt;0,$K71=""),1,IF(K71&gt;($C71+$F71),1,0))</f>
        <v>0</v>
      </c>
      <c r="CN71" s="1793">
        <f>IF(AND(($C71+F71)&lt;&gt;0,$L71=""),1,IF(L71&gt;($C71+$F71),1,0))</f>
        <v>0</v>
      </c>
    </row>
    <row r="72" spans="1:92" ht="15" customHeight="1" x14ac:dyDescent="0.25">
      <c r="A72" s="6505" t="s">
        <v>2411</v>
      </c>
      <c r="B72" s="6505"/>
      <c r="C72" s="3135">
        <f>SUM(D72:E72)</f>
        <v>0</v>
      </c>
      <c r="D72" s="3232"/>
      <c r="E72" s="3166"/>
      <c r="F72" s="3280">
        <f>SUM(G72:H72)</f>
        <v>0</v>
      </c>
      <c r="G72" s="3232"/>
      <c r="H72" s="628"/>
      <c r="I72" s="5885"/>
      <c r="J72" s="789"/>
      <c r="K72" s="3166"/>
      <c r="L72" s="3234"/>
      <c r="M72" s="1755" t="str">
        <f>$CA72&amp;CB72&amp;CC72&amp;CD72</f>
        <v/>
      </c>
      <c r="AR72" s="2718"/>
      <c r="AS72" s="2718"/>
      <c r="AT72" s="2718"/>
      <c r="AU72" s="2718"/>
      <c r="AV72" s="2718"/>
      <c r="AW72" s="2718"/>
      <c r="AX72" s="2718"/>
      <c r="AY72" s="2718"/>
      <c r="AZ72" s="2718"/>
      <c r="BA72" s="2718"/>
      <c r="BB72" s="2718"/>
      <c r="BC72" s="2718"/>
      <c r="BD72" s="2718"/>
      <c r="BE72" s="2718"/>
      <c r="BF72" s="2718"/>
      <c r="BG72" s="2718"/>
      <c r="BH72" s="2718"/>
      <c r="BI72" s="2718"/>
      <c r="BJ72" s="2718"/>
      <c r="BK72" s="2718"/>
      <c r="BL72" s="2718"/>
      <c r="BM72" s="2718"/>
      <c r="BN72" s="2718"/>
      <c r="BO72" s="2718"/>
      <c r="BP72" s="2718"/>
      <c r="BQ72" s="2718"/>
      <c r="BR72" s="2718"/>
      <c r="BS72" s="2718"/>
      <c r="BT72" s="2718"/>
      <c r="BU72" s="2718"/>
      <c r="BV72" s="2718"/>
      <c r="BW72" s="2718"/>
      <c r="BX72" s="2718"/>
      <c r="BY72" s="2718"/>
      <c r="BZ72" s="2718"/>
      <c r="CA72" s="2873" t="str">
        <f t="shared" si="52"/>
        <v/>
      </c>
      <c r="CB72" s="2873" t="str">
        <f t="shared" si="53"/>
        <v/>
      </c>
      <c r="CC72" s="2873" t="str">
        <f t="shared" si="54"/>
        <v/>
      </c>
      <c r="CD72" s="2873" t="str">
        <f t="shared" si="55"/>
        <v/>
      </c>
      <c r="CE72" s="603"/>
      <c r="CF72" s="603"/>
      <c r="CI72" s="603"/>
      <c r="CK72" s="1793">
        <f>IF(AND(($C72+F72)&lt;&gt;0,$I72=""),1,IF(I72&gt;($C72+$F72),1,0))</f>
        <v>0</v>
      </c>
      <c r="CL72" s="1793">
        <f>IF(AND(($C72+F72)&lt;&gt;0,$J72=""),1,IF(J72&gt;($C72+$F72),1,0))</f>
        <v>0</v>
      </c>
      <c r="CM72" s="1793">
        <f>IF(AND(($C72+F72)&lt;&gt;0,$K72=""),1,IF(K72&gt;($C72+$F72),1,0))</f>
        <v>0</v>
      </c>
      <c r="CN72" s="1793">
        <f>IF(AND(($C72+F72)&lt;&gt;0,$L72=""),1,IF(L72&gt;($C72+$F72),1,0))</f>
        <v>0</v>
      </c>
    </row>
    <row r="73" spans="1:92" ht="15" customHeight="1" x14ac:dyDescent="0.25">
      <c r="A73" s="6506" t="s">
        <v>2412</v>
      </c>
      <c r="B73" s="6506"/>
      <c r="C73" s="926">
        <f>SUM(D73:E73)</f>
        <v>0</v>
      </c>
      <c r="D73" s="3232"/>
      <c r="E73" s="3166"/>
      <c r="F73" s="3983">
        <f>SUM(G73:H73)</f>
        <v>0</v>
      </c>
      <c r="G73" s="3232"/>
      <c r="H73" s="628"/>
      <c r="I73" s="5885"/>
      <c r="J73" s="789"/>
      <c r="K73" s="3166"/>
      <c r="L73" s="3234"/>
      <c r="M73" s="1755" t="str">
        <f>$CA73&amp;CB73&amp;CC73&amp;CD73</f>
        <v/>
      </c>
      <c r="AR73" s="2718"/>
      <c r="AS73" s="2718"/>
      <c r="AT73" s="2718"/>
      <c r="AU73" s="2718"/>
      <c r="AV73" s="2718"/>
      <c r="AW73" s="2718"/>
      <c r="AX73" s="2718"/>
      <c r="AY73" s="2718"/>
      <c r="AZ73" s="2718"/>
      <c r="BA73" s="2718"/>
      <c r="BB73" s="2718"/>
      <c r="BC73" s="2718"/>
      <c r="BD73" s="2718"/>
      <c r="BE73" s="2718"/>
      <c r="BF73" s="2718"/>
      <c r="BG73" s="2718"/>
      <c r="BH73" s="2718"/>
      <c r="BI73" s="2718"/>
      <c r="BJ73" s="2718"/>
      <c r="BK73" s="2718"/>
      <c r="BL73" s="2718"/>
      <c r="BM73" s="2718"/>
      <c r="BN73" s="2718"/>
      <c r="BO73" s="2718"/>
      <c r="BP73" s="2718"/>
      <c r="BQ73" s="2718"/>
      <c r="BR73" s="2718"/>
      <c r="BS73" s="2718"/>
      <c r="BT73" s="2718"/>
      <c r="BU73" s="2718"/>
      <c r="BV73" s="2718"/>
      <c r="BW73" s="2718"/>
      <c r="BX73" s="2718"/>
      <c r="BY73" s="2718"/>
      <c r="BZ73" s="2718"/>
      <c r="CA73" s="2873" t="str">
        <f t="shared" si="52"/>
        <v/>
      </c>
      <c r="CB73" s="2873" t="str">
        <f t="shared" si="53"/>
        <v/>
      </c>
      <c r="CC73" s="2873" t="str">
        <f t="shared" si="54"/>
        <v/>
      </c>
      <c r="CD73" s="2873" t="str">
        <f t="shared" si="55"/>
        <v/>
      </c>
      <c r="CE73" s="603"/>
      <c r="CF73" s="603"/>
      <c r="CI73" s="603"/>
      <c r="CK73" s="1793">
        <f>IF(AND(($C73+F73)&lt;&gt;0,$I73=""),1,IF(I73&gt;($C73+$F73),1,0))</f>
        <v>0</v>
      </c>
      <c r="CL73" s="1793">
        <f>IF(AND(($C73+F73)&lt;&gt;0,$J73=""),1,IF(J73&gt;($C73+$F73),1,0))</f>
        <v>0</v>
      </c>
      <c r="CM73" s="1793">
        <f>IF(AND(($C73+F73)&lt;&gt;0,$K73=""),1,IF(K73&gt;($C73+$F73),1,0))</f>
        <v>0</v>
      </c>
      <c r="CN73" s="1793">
        <f>IF(AND(($C73+F73)&lt;&gt;0,$L73=""),1,IF(L73&gt;($C73+$F73),1,0))</f>
        <v>0</v>
      </c>
    </row>
    <row r="74" spans="1:92" ht="15" customHeight="1" x14ac:dyDescent="0.25">
      <c r="A74" s="6507" t="s">
        <v>24</v>
      </c>
      <c r="B74" s="6507"/>
      <c r="C74" s="5881">
        <f t="shared" ref="C74:L74" si="56">SUM(C70:C73)</f>
        <v>0</v>
      </c>
      <c r="D74" s="5882">
        <f t="shared" si="56"/>
        <v>0</v>
      </c>
      <c r="E74" s="5812">
        <f t="shared" si="56"/>
        <v>0</v>
      </c>
      <c r="F74" s="5812">
        <f t="shared" si="56"/>
        <v>0</v>
      </c>
      <c r="G74" s="5882">
        <f t="shared" si="56"/>
        <v>0</v>
      </c>
      <c r="H74" s="5883">
        <f t="shared" si="56"/>
        <v>0</v>
      </c>
      <c r="I74" s="5886">
        <f t="shared" si="56"/>
        <v>0</v>
      </c>
      <c r="J74" s="5881">
        <f t="shared" si="56"/>
        <v>0</v>
      </c>
      <c r="K74" s="3238">
        <f t="shared" si="56"/>
        <v>0</v>
      </c>
      <c r="L74" s="3237">
        <f t="shared" si="56"/>
        <v>0</v>
      </c>
    </row>
    <row r="75" spans="1:92" ht="18" customHeight="1" x14ac:dyDescent="0.25">
      <c r="A75" s="3240" t="s">
        <v>2413</v>
      </c>
      <c r="B75" s="3241"/>
      <c r="C75" s="2674"/>
      <c r="D75" s="2674"/>
      <c r="E75" s="112"/>
      <c r="F75" s="112"/>
      <c r="G75" s="112"/>
      <c r="H75" s="112"/>
    </row>
    <row r="76" spans="1:92" ht="20.25" customHeight="1" x14ac:dyDescent="0.25">
      <c r="A76" s="6499" t="s">
        <v>2414</v>
      </c>
      <c r="B76" s="6499" t="s">
        <v>24</v>
      </c>
      <c r="C76" s="6499" t="s">
        <v>2376</v>
      </c>
      <c r="D76" s="6508"/>
      <c r="E76" s="6523" t="s">
        <v>3909</v>
      </c>
      <c r="F76" s="6499"/>
      <c r="G76" s="6509" t="s">
        <v>3910</v>
      </c>
      <c r="H76" s="6499"/>
      <c r="I76" s="6508"/>
      <c r="J76" s="6509" t="s">
        <v>2</v>
      </c>
      <c r="K76" s="6499" t="s">
        <v>3</v>
      </c>
      <c r="L76" s="6499" t="s">
        <v>49</v>
      </c>
      <c r="M76" s="6499" t="s">
        <v>45</v>
      </c>
    </row>
    <row r="77" spans="1:92" ht="31.9" customHeight="1" x14ac:dyDescent="0.25">
      <c r="A77" s="6499"/>
      <c r="B77" s="6499"/>
      <c r="C77" s="5813" t="s">
        <v>22</v>
      </c>
      <c r="D77" s="6202" t="s">
        <v>27</v>
      </c>
      <c r="E77" s="6326" t="s">
        <v>3914</v>
      </c>
      <c r="F77" s="5813" t="s">
        <v>3915</v>
      </c>
      <c r="G77" s="5789" t="s">
        <v>3911</v>
      </c>
      <c r="H77" s="5813" t="s">
        <v>3916</v>
      </c>
      <c r="I77" s="6202" t="s">
        <v>3917</v>
      </c>
      <c r="J77" s="6509"/>
      <c r="K77" s="6499"/>
      <c r="L77" s="6499"/>
      <c r="M77" s="6499"/>
    </row>
    <row r="78" spans="1:92" ht="15" customHeight="1" x14ac:dyDescent="0.25">
      <c r="A78" s="5884" t="s">
        <v>2415</v>
      </c>
      <c r="B78" s="6211">
        <f>SUM(C78:D78)</f>
        <v>0</v>
      </c>
      <c r="C78" s="5893"/>
      <c r="D78" s="5612"/>
      <c r="E78" s="5611"/>
      <c r="F78" s="5448"/>
      <c r="G78" s="6273"/>
      <c r="H78" s="5893"/>
      <c r="I78" s="5612"/>
      <c r="J78" s="5893"/>
      <c r="K78" s="5419"/>
      <c r="L78" s="5419"/>
      <c r="M78" s="5952"/>
      <c r="N78" s="1755" t="str">
        <f>$CA78&amp;CB78&amp;CC78&amp;CD78</f>
        <v/>
      </c>
      <c r="AS78" s="2718"/>
      <c r="AT78" s="2718"/>
      <c r="AU78" s="2718"/>
      <c r="AV78" s="2718"/>
      <c r="AW78" s="2718"/>
      <c r="AX78" s="2718"/>
      <c r="AY78" s="2718"/>
      <c r="AZ78" s="2718"/>
      <c r="BA78" s="2718"/>
      <c r="BB78" s="2718"/>
      <c r="BC78" s="2718"/>
      <c r="BD78" s="2718"/>
      <c r="BE78" s="2718"/>
      <c r="BF78" s="2718"/>
      <c r="BG78" s="2718"/>
      <c r="BH78" s="2718"/>
      <c r="BI78" s="2718"/>
      <c r="BJ78" s="2718"/>
      <c r="BK78" s="2718"/>
      <c r="BL78" s="2718"/>
      <c r="BM78" s="2718"/>
      <c r="BN78" s="2718"/>
      <c r="BO78" s="2718"/>
      <c r="BP78" s="2718"/>
      <c r="BQ78" s="2718"/>
      <c r="BR78" s="2718"/>
      <c r="BS78" s="2718"/>
      <c r="BT78" s="2718"/>
      <c r="BU78" s="2718"/>
      <c r="BV78" s="2718"/>
      <c r="BW78" s="2718"/>
      <c r="BX78" s="2718"/>
      <c r="BY78" s="2718"/>
      <c r="BZ78" s="2718"/>
      <c r="CA78" s="2873" t="str">
        <f>IF(AND($B78&lt;&gt;0,J78=""),"* No olvide ingresar la columna "&amp;J$76&amp;""&amp;" (Digite CERO si no tiene). ",IF(J78&gt;$B78,"* El Número de Pueblos Originarios no puede superar el Total. ",""))</f>
        <v/>
      </c>
      <c r="CB78" s="2873" t="str">
        <f>IF(AND($B78&lt;&gt;0,K78=""),"* No olvide ingresar la columna "&amp;K$76&amp;""&amp;" (Digite CERO si no tiene). ",IF(K78&gt;$B78,"* El Número de Migrantes no puede superar el Total. ",""))</f>
        <v/>
      </c>
      <c r="CC78" s="2873" t="str">
        <f>IF(AND($B78&lt;&gt;0,L78=""),"* No olvide ingresar la columna "&amp;L$76&amp;""&amp;" (Digite CERO si no tiene).  ",IF(L78&gt;$B78,"* El Número de El Número de Niños, Niñas, Adolescentes y Jóvenes SENAME no puede superar el Total. ",""))</f>
        <v/>
      </c>
      <c r="CD78" s="2873" t="str">
        <f>IF(AND($B78&lt;&gt;0,M78=""),"* No olvide ingresar la columna "&amp;M$76&amp;""&amp;" (Digite CERO si no tiene).  ",IF(M78&gt;$B78,"* El Número de Niños, Niñas, Adolescentes y Jóvenes Mejor Niñez no puede superar el Total. ",""))</f>
        <v/>
      </c>
      <c r="CE78" s="603"/>
      <c r="CF78" s="603"/>
      <c r="CG78" s="603"/>
      <c r="CH78" s="603"/>
      <c r="CI78" s="603"/>
      <c r="CK78" s="1793">
        <f t="shared" ref="CK78:CN82" si="57">IF(AND($B78&lt;&gt;0,J78=""),1,IF(J78&gt;$B78,1,0))</f>
        <v>0</v>
      </c>
      <c r="CL78" s="1793">
        <f t="shared" si="57"/>
        <v>0</v>
      </c>
      <c r="CM78" s="1793">
        <f t="shared" si="57"/>
        <v>0</v>
      </c>
      <c r="CN78" s="1793">
        <f t="shared" si="57"/>
        <v>0</v>
      </c>
    </row>
    <row r="79" spans="1:92" ht="15" customHeight="1" x14ac:dyDescent="0.25">
      <c r="A79" s="3135" t="s">
        <v>2416</v>
      </c>
      <c r="B79" s="3243">
        <f>SUM(C79:D79)</f>
        <v>0</v>
      </c>
      <c r="C79" s="3232"/>
      <c r="D79" s="628"/>
      <c r="E79" s="933"/>
      <c r="F79" s="630"/>
      <c r="G79" s="6270"/>
      <c r="H79" s="621"/>
      <c r="I79" s="628"/>
      <c r="J79" s="3232"/>
      <c r="K79" s="621"/>
      <c r="L79" s="621"/>
      <c r="M79" s="630"/>
      <c r="N79" s="1755" t="str">
        <f>$CA79&amp;CB79&amp;CC79&amp;CD79</f>
        <v/>
      </c>
      <c r="AS79" s="2718"/>
      <c r="AT79" s="2718"/>
      <c r="AU79" s="2718"/>
      <c r="AV79" s="2718"/>
      <c r="AW79" s="2718"/>
      <c r="AX79" s="2718"/>
      <c r="AY79" s="2718"/>
      <c r="AZ79" s="2718"/>
      <c r="BA79" s="2718"/>
      <c r="BB79" s="2718"/>
      <c r="BC79" s="2718"/>
      <c r="BD79" s="2718"/>
      <c r="BE79" s="2718"/>
      <c r="BF79" s="2718"/>
      <c r="BG79" s="2718"/>
      <c r="BH79" s="2718"/>
      <c r="BI79" s="2718"/>
      <c r="BJ79" s="2718"/>
      <c r="BK79" s="2718"/>
      <c r="BL79" s="2718"/>
      <c r="BM79" s="2718"/>
      <c r="BN79" s="2718"/>
      <c r="BO79" s="2718"/>
      <c r="BP79" s="2718"/>
      <c r="BQ79" s="2718"/>
      <c r="BR79" s="2718"/>
      <c r="BS79" s="2718"/>
      <c r="BT79" s="2718"/>
      <c r="BU79" s="2718"/>
      <c r="BV79" s="2718"/>
      <c r="BW79" s="2718"/>
      <c r="BX79" s="2718"/>
      <c r="BY79" s="2718"/>
      <c r="BZ79" s="2718"/>
      <c r="CA79" s="2873" t="str">
        <f>IF(AND($B79&lt;&gt;0,J79=""),"* No olvide ingresar la columna "&amp;J$76&amp;""&amp;" (Digite CERO si no tiene). ",IF(J79&gt;$B79,"* El Número de Pueblos Originarios no puede superar el Total. ",""))</f>
        <v/>
      </c>
      <c r="CB79" s="2873" t="str">
        <f>IF(AND($B79&lt;&gt;0,K79=""),"* No olvide ingresar la columna "&amp;K$76&amp;""&amp;" (Digite CERO si no tiene). ",IF(K79&gt;$B79,"* El Número de Migrantes no puede superar el Total. ",""))</f>
        <v/>
      </c>
      <c r="CC79" s="2873" t="str">
        <f>IF(AND($B79&lt;&gt;0,L79=""),"* No olvide ingresar la columna "&amp;L$76&amp;""&amp;" (Digite CERO si no tiene).  ",IF(L79&gt;$B79,"* El Número de El Número de Niños, Niñas, Adolescentes y Jóvenes SENAME no puede superar el Total. ",""))</f>
        <v/>
      </c>
      <c r="CD79" s="2873" t="str">
        <f>IF(AND($B79&lt;&gt;0,M79=""),"* No olvide ingresar la columna "&amp;M$76&amp;""&amp;" (Digite CERO si no tiene).  ",IF(M79&gt;$B79,"* El Número de Niños, Niñas, Adolescentes y Jóvenes Mejor Niñez no puede superar el Total. ",""))</f>
        <v/>
      </c>
      <c r="CE79" s="603"/>
      <c r="CF79" s="603"/>
      <c r="CG79" s="603"/>
      <c r="CH79" s="603"/>
      <c r="CI79" s="603"/>
      <c r="CK79" s="1793">
        <f t="shared" si="57"/>
        <v>0</v>
      </c>
      <c r="CL79" s="1793">
        <f t="shared" si="57"/>
        <v>0</v>
      </c>
      <c r="CM79" s="1793">
        <f t="shared" si="57"/>
        <v>0</v>
      </c>
      <c r="CN79" s="1793">
        <f t="shared" si="57"/>
        <v>0</v>
      </c>
    </row>
    <row r="80" spans="1:92" ht="15" customHeight="1" x14ac:dyDescent="0.25">
      <c r="A80" s="3135" t="s">
        <v>2417</v>
      </c>
      <c r="B80" s="3243">
        <f>SUM(C80:D80)</f>
        <v>0</v>
      </c>
      <c r="C80" s="3232"/>
      <c r="D80" s="628"/>
      <c r="E80" s="933"/>
      <c r="F80" s="630"/>
      <c r="G80" s="6271"/>
      <c r="H80" s="621"/>
      <c r="I80" s="628"/>
      <c r="J80" s="3232"/>
      <c r="K80" s="621"/>
      <c r="L80" s="621"/>
      <c r="M80" s="630"/>
      <c r="N80" s="1755" t="str">
        <f>$CA80&amp;CB80&amp;CC80&amp;CD80</f>
        <v/>
      </c>
      <c r="AS80" s="2718"/>
      <c r="AT80" s="2718"/>
      <c r="AU80" s="2718"/>
      <c r="AV80" s="2718"/>
      <c r="AW80" s="2718"/>
      <c r="AX80" s="2718"/>
      <c r="AY80" s="2718"/>
      <c r="AZ80" s="2718"/>
      <c r="BA80" s="2718"/>
      <c r="BB80" s="2718"/>
      <c r="BC80" s="2718"/>
      <c r="BD80" s="2718"/>
      <c r="BE80" s="2718"/>
      <c r="BF80" s="2718"/>
      <c r="BG80" s="2718"/>
      <c r="BH80" s="2718"/>
      <c r="BI80" s="2718"/>
      <c r="BJ80" s="2718"/>
      <c r="BK80" s="2718"/>
      <c r="BL80" s="2718"/>
      <c r="BM80" s="2718"/>
      <c r="BN80" s="2718"/>
      <c r="BO80" s="2718"/>
      <c r="BP80" s="2718"/>
      <c r="BQ80" s="2718"/>
      <c r="BR80" s="2718"/>
      <c r="BS80" s="2718"/>
      <c r="BT80" s="2718"/>
      <c r="BU80" s="2718"/>
      <c r="BV80" s="2718"/>
      <c r="BW80" s="2718"/>
      <c r="BX80" s="2718"/>
      <c r="BY80" s="2718"/>
      <c r="BZ80" s="2718"/>
      <c r="CA80" s="2873" t="str">
        <f>IF(AND($B80&lt;&gt;0,J80=""),"* No olvide ingresar la columna "&amp;J$76&amp;""&amp;" (Digite CERO si no tiene). ",IF(J80&gt;$B80,"* El Número de Pueblos Originarios no puede superar el Total. ",""))</f>
        <v/>
      </c>
      <c r="CB80" s="2873" t="str">
        <f>IF(AND($B80&lt;&gt;0,K80=""),"* No olvide ingresar la columna "&amp;K$76&amp;""&amp;" (Digite CERO si no tiene). ",IF(K80&gt;$B80,"* El Número de Migrantes no puede superar el Total. ",""))</f>
        <v/>
      </c>
      <c r="CC80" s="2873" t="str">
        <f>IF(AND($B80&lt;&gt;0,L80=""),"* No olvide ingresar la columna "&amp;L$76&amp;""&amp;" (Digite CERO si no tiene).  ",IF(L80&gt;$B80,"* El Número de El Número de Niños, Niñas, Adolescentes y Jóvenes SENAME no puede superar el Total. ",""))</f>
        <v/>
      </c>
      <c r="CD80" s="2873" t="str">
        <f>IF(AND($B80&lt;&gt;0,M80=""),"* No olvide ingresar la columna "&amp;M$76&amp;""&amp;" (Digite CERO si no tiene).  ",IF(M80&gt;$B80,"* El Número de Niños, Niñas, Adolescentes y Jóvenes Mejor Niñez no puede superar el Total. ",""))</f>
        <v/>
      </c>
      <c r="CE80" s="603"/>
      <c r="CF80" s="603"/>
      <c r="CG80" s="603"/>
      <c r="CH80" s="603"/>
      <c r="CI80" s="603"/>
      <c r="CK80" s="1793">
        <f t="shared" si="57"/>
        <v>0</v>
      </c>
      <c r="CL80" s="1793">
        <f t="shared" si="57"/>
        <v>0</v>
      </c>
      <c r="CM80" s="1793">
        <f t="shared" si="57"/>
        <v>0</v>
      </c>
      <c r="CN80" s="1793">
        <f t="shared" si="57"/>
        <v>0</v>
      </c>
    </row>
    <row r="81" spans="1:92" ht="15" customHeight="1" x14ac:dyDescent="0.25">
      <c r="A81" s="3135" t="s">
        <v>2418</v>
      </c>
      <c r="B81" s="3243">
        <f>SUM(C81:D81)</f>
        <v>0</v>
      </c>
      <c r="C81" s="3232"/>
      <c r="D81" s="628"/>
      <c r="E81" s="933"/>
      <c r="F81" s="630"/>
      <c r="G81" s="6271"/>
      <c r="H81" s="621"/>
      <c r="I81" s="628"/>
      <c r="J81" s="3232"/>
      <c r="K81" s="621"/>
      <c r="L81" s="621"/>
      <c r="M81" s="630"/>
      <c r="N81" s="1755" t="str">
        <f>$CA81&amp;CB81&amp;CC81&amp;CD81</f>
        <v/>
      </c>
      <c r="AS81" s="2718"/>
      <c r="AT81" s="2718"/>
      <c r="AU81" s="2718"/>
      <c r="AV81" s="2718"/>
      <c r="AW81" s="2718"/>
      <c r="AX81" s="2718"/>
      <c r="AY81" s="2718"/>
      <c r="AZ81" s="2718"/>
      <c r="BA81" s="2718"/>
      <c r="BB81" s="2718"/>
      <c r="BC81" s="2718"/>
      <c r="BD81" s="2718"/>
      <c r="BE81" s="2718"/>
      <c r="BF81" s="2718"/>
      <c r="BG81" s="2718"/>
      <c r="BH81" s="2718"/>
      <c r="BI81" s="2718"/>
      <c r="BJ81" s="2718"/>
      <c r="BK81" s="2718"/>
      <c r="BL81" s="2718"/>
      <c r="BM81" s="2718"/>
      <c r="BN81" s="2718"/>
      <c r="BO81" s="2718"/>
      <c r="BP81" s="2718"/>
      <c r="BQ81" s="2718"/>
      <c r="BR81" s="2718"/>
      <c r="BS81" s="2718"/>
      <c r="BT81" s="2718"/>
      <c r="BU81" s="2718"/>
      <c r="BV81" s="2718"/>
      <c r="BW81" s="2718"/>
      <c r="BX81" s="2718"/>
      <c r="BY81" s="2718"/>
      <c r="BZ81" s="2718"/>
      <c r="CA81" s="2873" t="str">
        <f>IF(AND($B81&lt;&gt;0,J81=""),"* No olvide ingresar la columna "&amp;J$76&amp;""&amp;" (Digite CERO si no tiene). ",IF(J81&gt;$B81,"* El Número de Pueblos Originarios no puede superar el Total. ",""))</f>
        <v/>
      </c>
      <c r="CB81" s="2873" t="str">
        <f>IF(AND($B81&lt;&gt;0,K81=""),"* No olvide ingresar la columna "&amp;K$76&amp;""&amp;" (Digite CERO si no tiene). ",IF(K81&gt;$B81,"* El Número de Migrantes no puede superar el Total. ",""))</f>
        <v/>
      </c>
      <c r="CC81" s="2873" t="str">
        <f>IF(AND($B81&lt;&gt;0,L81=""),"* No olvide ingresar la columna "&amp;L$76&amp;""&amp;" (Digite CERO si no tiene).  ",IF(L81&gt;$B81,"* El Número de El Número de Niños, Niñas, Adolescentes y Jóvenes SENAME no puede superar el Total. ",""))</f>
        <v/>
      </c>
      <c r="CD81" s="2873" t="str">
        <f>IF(AND($B81&lt;&gt;0,M81=""),"* No olvide ingresar la columna "&amp;M$76&amp;""&amp;" (Digite CERO si no tiene).  ",IF(M81&gt;$B81,"* El Número de Niños, Niñas, Adolescentes y Jóvenes Mejor Niñez no puede superar el Total. ",""))</f>
        <v/>
      </c>
      <c r="CE81" s="603"/>
      <c r="CF81" s="603"/>
      <c r="CG81" s="603"/>
      <c r="CH81" s="603"/>
      <c r="CI81" s="603"/>
      <c r="CK81" s="1793">
        <f t="shared" si="57"/>
        <v>0</v>
      </c>
      <c r="CL81" s="1793">
        <f t="shared" si="57"/>
        <v>0</v>
      </c>
      <c r="CM81" s="1793">
        <f t="shared" si="57"/>
        <v>0</v>
      </c>
      <c r="CN81" s="1793">
        <f t="shared" si="57"/>
        <v>0</v>
      </c>
    </row>
    <row r="82" spans="1:92" ht="15" customHeight="1" x14ac:dyDescent="0.25">
      <c r="A82" s="6203" t="s">
        <v>2419</v>
      </c>
      <c r="B82" s="6212">
        <f>SUM(C82:D82)</f>
        <v>0</v>
      </c>
      <c r="C82" s="121"/>
      <c r="D82" s="3169"/>
      <c r="E82" s="3869"/>
      <c r="F82" s="3124"/>
      <c r="G82" s="6272"/>
      <c r="H82" s="3109"/>
      <c r="I82" s="3169"/>
      <c r="J82" s="121"/>
      <c r="K82" s="3109"/>
      <c r="L82" s="3109"/>
      <c r="M82" s="3124"/>
      <c r="N82" s="1755" t="str">
        <f>$CA82&amp;CB82&amp;CC82&amp;CD82</f>
        <v/>
      </c>
      <c r="AS82" s="2718"/>
      <c r="AT82" s="2718"/>
      <c r="AU82" s="2718"/>
      <c r="AV82" s="2718"/>
      <c r="AW82" s="2718"/>
      <c r="AX82" s="2718"/>
      <c r="AY82" s="2718"/>
      <c r="AZ82" s="2718"/>
      <c r="BA82" s="2718"/>
      <c r="BB82" s="2718"/>
      <c r="BC82" s="2718"/>
      <c r="BD82" s="2718"/>
      <c r="BE82" s="2718"/>
      <c r="BF82" s="2718"/>
      <c r="BG82" s="2718"/>
      <c r="BH82" s="2718"/>
      <c r="BI82" s="2718"/>
      <c r="BJ82" s="2718"/>
      <c r="BK82" s="2718"/>
      <c r="BL82" s="2718"/>
      <c r="BM82" s="2718"/>
      <c r="BN82" s="2718"/>
      <c r="BO82" s="2718"/>
      <c r="BP82" s="2718"/>
      <c r="BQ82" s="2718"/>
      <c r="BR82" s="2718"/>
      <c r="BS82" s="2718"/>
      <c r="BT82" s="2718"/>
      <c r="BU82" s="2718"/>
      <c r="BV82" s="2718"/>
      <c r="BW82" s="2718"/>
      <c r="BX82" s="2718"/>
      <c r="BY82" s="2718"/>
      <c r="BZ82" s="2718"/>
      <c r="CA82" s="2873" t="str">
        <f>IF(AND($B82&lt;&gt;0,J82=""),"* No olvide ingresar la columna "&amp;J$76&amp;""&amp;" (Digite CERO si no tiene). ",IF(J82&gt;$B82,"* El Número de Pueblos Originarios no puede superar el Total. ",""))</f>
        <v/>
      </c>
      <c r="CB82" s="2873" t="str">
        <f>IF(AND($B82&lt;&gt;0,K82=""),"* No olvide ingresar la columna "&amp;K$76&amp;""&amp;" (Digite CERO si no tiene). ",IF(K82&gt;$B82,"* El Número de Migrantes no puede superar el Total. ",""))</f>
        <v/>
      </c>
      <c r="CC82" s="2873" t="str">
        <f>IF(AND($B82&lt;&gt;0,L82=""),"* No olvide ingresar la columna "&amp;L$76&amp;""&amp;" (Digite CERO si no tiene).  ",IF(L82&gt;$B82,"* El Número de El Número de Niños, Niñas, Adolescentes y Jóvenes SENAME no puede superar el Total. ",""))</f>
        <v/>
      </c>
      <c r="CD82" s="2873" t="str">
        <f>IF(AND($B82&lt;&gt;0,M82=""),"* No olvide ingresar la columna "&amp;M$76&amp;""&amp;" (Digite CERO si no tiene).  ",IF(M82&gt;$B82,"* El Número de Niños, Niñas, Adolescentes y Jóvenes Mejor Niñez no puede superar el Total. ",""))</f>
        <v/>
      </c>
      <c r="CE82" s="603"/>
      <c r="CF82" s="603"/>
      <c r="CG82" s="603"/>
      <c r="CH82" s="603"/>
      <c r="CI82" s="603"/>
      <c r="CK82" s="1793">
        <f t="shared" si="57"/>
        <v>0</v>
      </c>
      <c r="CL82" s="1793">
        <f t="shared" si="57"/>
        <v>0</v>
      </c>
      <c r="CM82" s="1793">
        <f t="shared" si="57"/>
        <v>0</v>
      </c>
      <c r="CN82" s="1793">
        <f t="shared" si="57"/>
        <v>0</v>
      </c>
    </row>
    <row r="83" spans="1:92" ht="15" customHeight="1" x14ac:dyDescent="0.25">
      <c r="A83" s="6327" t="s">
        <v>3913</v>
      </c>
      <c r="B83" s="628"/>
      <c r="C83" s="6210"/>
      <c r="D83" s="6207"/>
      <c r="E83" s="6208"/>
      <c r="F83" s="6209"/>
      <c r="G83" s="6205"/>
      <c r="H83" s="6160"/>
      <c r="I83" s="6204"/>
      <c r="J83" s="6210"/>
      <c r="K83" s="6206"/>
      <c r="L83" s="6206"/>
      <c r="M83" s="6209"/>
      <c r="N83" s="1755"/>
      <c r="AS83" s="2718"/>
      <c r="AT83" s="2718"/>
      <c r="AU83" s="2718"/>
      <c r="AV83" s="2718"/>
      <c r="AW83" s="2718"/>
      <c r="AX83" s="2718"/>
      <c r="AY83" s="2718"/>
      <c r="AZ83" s="2718"/>
      <c r="BA83" s="2718"/>
      <c r="BB83" s="2718"/>
      <c r="BC83" s="2718"/>
      <c r="BD83" s="2718"/>
      <c r="BE83" s="2718"/>
      <c r="BF83" s="2718"/>
      <c r="BG83" s="2718"/>
      <c r="BH83" s="2718"/>
      <c r="BI83" s="2718"/>
      <c r="BJ83" s="2718"/>
      <c r="BK83" s="2718"/>
      <c r="BL83" s="2718"/>
      <c r="BM83" s="2718"/>
      <c r="BN83" s="2718"/>
      <c r="BO83" s="2718"/>
      <c r="BP83" s="2718"/>
      <c r="BQ83" s="2718"/>
      <c r="BR83" s="2718"/>
      <c r="BS83" s="2718"/>
      <c r="BT83" s="2718"/>
      <c r="BU83" s="2718"/>
      <c r="BV83" s="2718"/>
      <c r="BW83" s="2718"/>
      <c r="BX83" s="2718"/>
      <c r="BY83" s="2718"/>
      <c r="BZ83" s="2718"/>
      <c r="CA83" s="2873"/>
      <c r="CB83" s="2873"/>
      <c r="CC83" s="2873"/>
      <c r="CD83" s="2873"/>
      <c r="CE83" s="603"/>
      <c r="CF83" s="603"/>
      <c r="CG83" s="603"/>
      <c r="CH83" s="603"/>
      <c r="CI83" s="603"/>
      <c r="CK83" s="1793"/>
      <c r="CL83" s="1793"/>
      <c r="CM83" s="1793"/>
      <c r="CN83" s="1793"/>
    </row>
    <row r="84" spans="1:92" ht="18" customHeight="1" x14ac:dyDescent="0.25">
      <c r="A84" s="2852" t="s">
        <v>2420</v>
      </c>
      <c r="B84" s="3245"/>
      <c r="C84" s="3245"/>
      <c r="D84" s="3246"/>
      <c r="E84" s="3245"/>
      <c r="F84" s="3245"/>
      <c r="G84" s="3245"/>
      <c r="H84" s="3245"/>
      <c r="I84" s="3245"/>
      <c r="J84" s="3245"/>
      <c r="K84" s="3245"/>
      <c r="L84" s="3245"/>
      <c r="M84" s="3245"/>
      <c r="N84" s="3245"/>
      <c r="O84" s="3245"/>
      <c r="P84" s="3245"/>
      <c r="Q84" s="3245"/>
      <c r="R84" s="3245"/>
      <c r="S84" s="3245"/>
      <c r="T84" s="3245"/>
      <c r="U84" s="3245"/>
      <c r="V84" s="3245"/>
      <c r="W84" s="3245"/>
      <c r="X84" s="3247"/>
      <c r="Y84" s="3247"/>
      <c r="Z84" s="3245"/>
      <c r="AA84" s="3245"/>
      <c r="AB84" s="3245"/>
      <c r="AC84" s="3245"/>
      <c r="AD84" s="3245"/>
      <c r="AE84" s="3245"/>
      <c r="AF84" s="3245"/>
      <c r="AG84" s="1913"/>
      <c r="AH84" s="1913"/>
    </row>
    <row r="85" spans="1:92" ht="15" customHeight="1" x14ac:dyDescent="0.25">
      <c r="A85" s="6492" t="s">
        <v>1398</v>
      </c>
      <c r="B85" s="6493" t="s">
        <v>24</v>
      </c>
      <c r="C85" s="6468"/>
      <c r="D85" s="6469"/>
      <c r="E85" s="6494" t="s">
        <v>30</v>
      </c>
      <c r="F85" s="6474"/>
      <c r="G85" s="6474"/>
      <c r="H85" s="6474"/>
      <c r="I85" s="6474"/>
      <c r="J85" s="6474"/>
      <c r="K85" s="6474"/>
      <c r="L85" s="6474"/>
      <c r="M85" s="6474"/>
      <c r="N85" s="6474"/>
      <c r="O85" s="6474"/>
      <c r="P85" s="6474"/>
      <c r="Q85" s="6474"/>
      <c r="R85" s="6474"/>
      <c r="S85" s="6474"/>
      <c r="T85" s="6474"/>
      <c r="U85" s="6474"/>
      <c r="V85" s="6474"/>
      <c r="W85" s="6474"/>
      <c r="X85" s="6474"/>
      <c r="Y85" s="6474"/>
      <c r="Z85" s="6474"/>
      <c r="AA85" s="6474"/>
      <c r="AB85" s="6474"/>
      <c r="AC85" s="6474"/>
      <c r="AD85" s="6474"/>
      <c r="AE85" s="6474"/>
      <c r="AF85" s="6495"/>
      <c r="AG85" s="6484" t="s">
        <v>3</v>
      </c>
      <c r="AH85" s="6484" t="s">
        <v>2</v>
      </c>
    </row>
    <row r="86" spans="1:92" ht="15" customHeight="1" x14ac:dyDescent="0.25">
      <c r="A86" s="6466"/>
      <c r="B86" s="6470"/>
      <c r="C86" s="6471"/>
      <c r="D86" s="6472"/>
      <c r="E86" s="6494" t="s">
        <v>4</v>
      </c>
      <c r="F86" s="6518"/>
      <c r="G86" s="6496" t="s">
        <v>5</v>
      </c>
      <c r="H86" s="6497"/>
      <c r="I86" s="6496" t="s">
        <v>6</v>
      </c>
      <c r="J86" s="6497"/>
      <c r="K86" s="6519" t="s">
        <v>7</v>
      </c>
      <c r="L86" s="6497"/>
      <c r="M86" s="6496" t="s">
        <v>8</v>
      </c>
      <c r="N86" s="6497"/>
      <c r="O86" s="6496" t="s">
        <v>9</v>
      </c>
      <c r="P86" s="6497"/>
      <c r="Q86" s="6496" t="s">
        <v>10</v>
      </c>
      <c r="R86" s="6497"/>
      <c r="S86" s="6496" t="s">
        <v>11</v>
      </c>
      <c r="T86" s="6497"/>
      <c r="U86" s="6496" t="s">
        <v>18</v>
      </c>
      <c r="V86" s="6497"/>
      <c r="W86" s="6496" t="s">
        <v>19</v>
      </c>
      <c r="X86" s="6498"/>
      <c r="Y86" s="6520" t="s">
        <v>20</v>
      </c>
      <c r="Z86" s="6521"/>
      <c r="AA86" s="6519" t="s">
        <v>70</v>
      </c>
      <c r="AB86" s="6497"/>
      <c r="AC86" s="6519" t="s">
        <v>71</v>
      </c>
      <c r="AD86" s="6497"/>
      <c r="AE86" s="6496" t="s">
        <v>32</v>
      </c>
      <c r="AF86" s="6522"/>
      <c r="AG86" s="6472"/>
      <c r="AH86" s="6472"/>
    </row>
    <row r="87" spans="1:92" ht="15" customHeight="1" x14ac:dyDescent="0.25">
      <c r="A87" s="6449"/>
      <c r="B87" s="3248" t="s">
        <v>26</v>
      </c>
      <c r="C87" s="3249" t="s">
        <v>22</v>
      </c>
      <c r="D87" s="3250" t="s">
        <v>27</v>
      </c>
      <c r="E87" s="3242" t="s">
        <v>22</v>
      </c>
      <c r="F87" s="3250" t="s">
        <v>27</v>
      </c>
      <c r="G87" s="3249" t="s">
        <v>22</v>
      </c>
      <c r="H87" s="3250" t="s">
        <v>27</v>
      </c>
      <c r="I87" s="3249" t="s">
        <v>22</v>
      </c>
      <c r="J87" s="3250" t="s">
        <v>27</v>
      </c>
      <c r="K87" s="3242" t="s">
        <v>22</v>
      </c>
      <c r="L87" s="3250" t="s">
        <v>27</v>
      </c>
      <c r="M87" s="3249" t="s">
        <v>22</v>
      </c>
      <c r="N87" s="3250" t="s">
        <v>27</v>
      </c>
      <c r="O87" s="3249" t="s">
        <v>22</v>
      </c>
      <c r="P87" s="3250" t="s">
        <v>27</v>
      </c>
      <c r="Q87" s="3249" t="s">
        <v>22</v>
      </c>
      <c r="R87" s="3250" t="s">
        <v>27</v>
      </c>
      <c r="S87" s="3249" t="s">
        <v>22</v>
      </c>
      <c r="T87" s="3250" t="s">
        <v>27</v>
      </c>
      <c r="U87" s="3249" t="s">
        <v>22</v>
      </c>
      <c r="V87" s="3250" t="s">
        <v>27</v>
      </c>
      <c r="W87" s="3249" t="s">
        <v>22</v>
      </c>
      <c r="X87" s="5547" t="s">
        <v>27</v>
      </c>
      <c r="Y87" s="5791" t="s">
        <v>22</v>
      </c>
      <c r="Z87" s="5789" t="s">
        <v>27</v>
      </c>
      <c r="AA87" s="3242" t="s">
        <v>22</v>
      </c>
      <c r="AB87" s="3250" t="s">
        <v>27</v>
      </c>
      <c r="AC87" s="3242" t="s">
        <v>22</v>
      </c>
      <c r="AD87" s="3250" t="s">
        <v>27</v>
      </c>
      <c r="AE87" s="3249" t="s">
        <v>22</v>
      </c>
      <c r="AF87" s="3251" t="s">
        <v>27</v>
      </c>
      <c r="AG87" s="6461"/>
      <c r="AH87" s="6461"/>
    </row>
    <row r="88" spans="1:92" ht="15" customHeight="1" x14ac:dyDescent="0.25">
      <c r="A88" s="3135" t="s">
        <v>2421</v>
      </c>
      <c r="B88" s="3252">
        <f t="shared" ref="B88:B93" si="58">SUM(C88:D88)</f>
        <v>0</v>
      </c>
      <c r="C88" s="3253">
        <f t="shared" ref="C88:C93" si="59">SUM(E88+G88+I88+K88+M88+O88+Q88+S88+U88+W88+Y88+AA88+AC88+AE88)</f>
        <v>0</v>
      </c>
      <c r="D88" s="3254">
        <f t="shared" ref="D88:D93" si="60">SUM(+F88+H88+J88+L88+N88+P88+R88+T88+V88+X88+Z88+AB88+AD88+AF88)</f>
        <v>0</v>
      </c>
      <c r="E88" s="620"/>
      <c r="F88" s="630"/>
      <c r="G88" s="3232"/>
      <c r="H88" s="630"/>
      <c r="I88" s="3255"/>
      <c r="J88" s="853"/>
      <c r="K88" s="851"/>
      <c r="L88" s="853"/>
      <c r="M88" s="3255"/>
      <c r="N88" s="853"/>
      <c r="O88" s="3255"/>
      <c r="P88" s="853"/>
      <c r="Q88" s="3255"/>
      <c r="R88" s="853"/>
      <c r="S88" s="3255"/>
      <c r="T88" s="853"/>
      <c r="U88" s="3255"/>
      <c r="V88" s="853"/>
      <c r="W88" s="3255"/>
      <c r="X88" s="5948"/>
      <c r="Y88" s="851"/>
      <c r="Z88" s="853"/>
      <c r="AA88" s="851"/>
      <c r="AB88" s="853"/>
      <c r="AC88" s="851"/>
      <c r="AD88" s="853"/>
      <c r="AE88" s="3255"/>
      <c r="AF88" s="3256"/>
      <c r="AG88" s="3223"/>
      <c r="AH88" s="3223"/>
      <c r="AI88" s="1755" t="str">
        <f>$CA88&amp;CB88</f>
        <v/>
      </c>
      <c r="BN88" s="2718"/>
      <c r="BO88" s="2718"/>
      <c r="BP88" s="2718"/>
      <c r="BQ88" s="2718"/>
      <c r="BR88" s="2718"/>
      <c r="BS88" s="2718"/>
      <c r="BT88" s="2718"/>
      <c r="BU88" s="2718"/>
      <c r="BV88" s="2718"/>
      <c r="BW88" s="2718"/>
      <c r="BX88" s="2718"/>
      <c r="BY88" s="2718"/>
      <c r="BZ88" s="2718"/>
      <c r="CA88" s="2873" t="str">
        <f>IF(AND($B88&lt;&gt;0,AG88=""),"* No olvide ingresar la columna "&amp;AG$85&amp;""&amp;" (Digite CERO si no tiene). ",IF(AG88&gt;$B88,"* El Número de Migrantes no puede superar el Total Ambos Sexos. ",""))</f>
        <v/>
      </c>
      <c r="CB88" s="2873" t="str">
        <f>IF(AND($B88&lt;&gt;0,AH88=""),"* No olvide ingresar la columna "&amp;AH$85&amp;""&amp;" (Digite CERO si no tiene). ",IF(AH88&gt;$B88,"* El Número de Pueblos Originarios no puede superar el Total Ambos Sexos. ",""))</f>
        <v/>
      </c>
      <c r="CC88" s="2718"/>
      <c r="CD88" s="2718"/>
      <c r="CE88" s="603"/>
      <c r="CF88" s="603"/>
      <c r="CG88" s="603"/>
      <c r="CH88" s="603"/>
      <c r="CI88" s="603"/>
      <c r="CK88" s="1793">
        <f>IF(AND($B88&lt;&gt;0,AG88=""),1,IF(AG88&gt;$B88,1,0))</f>
        <v>0</v>
      </c>
      <c r="CL88" s="1793">
        <f>IF(AND($B88&lt;&gt;0,AH88=""),1,IF(AH88&gt;$B88,1,0))</f>
        <v>0</v>
      </c>
    </row>
    <row r="89" spans="1:92" ht="15" customHeight="1" x14ac:dyDescent="0.25">
      <c r="A89" s="3135" t="s">
        <v>2422</v>
      </c>
      <c r="B89" s="3252">
        <f t="shared" si="58"/>
        <v>0</v>
      </c>
      <c r="C89" s="3253">
        <f t="shared" si="59"/>
        <v>0</v>
      </c>
      <c r="D89" s="3254">
        <f t="shared" si="60"/>
        <v>0</v>
      </c>
      <c r="E89" s="620"/>
      <c r="F89" s="630"/>
      <c r="G89" s="3232"/>
      <c r="H89" s="630"/>
      <c r="I89" s="3255"/>
      <c r="J89" s="853"/>
      <c r="K89" s="851"/>
      <c r="L89" s="853"/>
      <c r="M89" s="3255"/>
      <c r="N89" s="853"/>
      <c r="O89" s="3255"/>
      <c r="P89" s="853"/>
      <c r="Q89" s="3255"/>
      <c r="R89" s="853"/>
      <c r="S89" s="3255"/>
      <c r="T89" s="853"/>
      <c r="U89" s="3255"/>
      <c r="V89" s="853"/>
      <c r="W89" s="3255"/>
      <c r="X89" s="5948"/>
      <c r="Y89" s="851"/>
      <c r="Z89" s="853"/>
      <c r="AA89" s="851"/>
      <c r="AB89" s="853"/>
      <c r="AC89" s="851"/>
      <c r="AD89" s="853"/>
      <c r="AE89" s="3255"/>
      <c r="AF89" s="3256"/>
      <c r="AG89" s="3166"/>
      <c r="AH89" s="3166"/>
      <c r="AI89" s="1755" t="str">
        <f t="shared" ref="AI89:AI93" si="61">$CA89&amp;CB89</f>
        <v/>
      </c>
      <c r="BN89" s="2718"/>
      <c r="BO89" s="2718"/>
      <c r="BP89" s="2718"/>
      <c r="BQ89" s="2718"/>
      <c r="BR89" s="2718"/>
      <c r="BS89" s="2718"/>
      <c r="BT89" s="2718"/>
      <c r="BU89" s="2718"/>
      <c r="BV89" s="2718"/>
      <c r="BW89" s="2718"/>
      <c r="BX89" s="2718"/>
      <c r="BY89" s="2718"/>
      <c r="BZ89" s="2718"/>
      <c r="CA89" s="2873" t="str">
        <f t="shared" ref="CA89:CA93" si="62">IF(AND($B89&lt;&gt;0,AG89=""),"* No olvide ingresar la columna "&amp;AG$85&amp;""&amp;" (Digite CERO si no tiene). ",IF(AG89&gt;$B89,"* El Número de Migrantes no puede superar el Total Ambos Sexos. ",""))</f>
        <v/>
      </c>
      <c r="CB89" s="2873" t="str">
        <f t="shared" ref="CB89:CB92" si="63">IF(AND($B89&lt;&gt;0,AH89=""),"* No olvide ingresar la columna "&amp;AH$85&amp;""&amp;" (Digite CERO si no tiene). ",IF(AH89&gt;$B89,"* El Número de Pueblos Originarios no puede superar el Total Ambos Sexos. ",""))</f>
        <v/>
      </c>
      <c r="CC89" s="2718"/>
      <c r="CD89" s="2718"/>
      <c r="CE89" s="603"/>
      <c r="CF89" s="603"/>
      <c r="CG89" s="603"/>
      <c r="CH89" s="603"/>
      <c r="CI89" s="603"/>
      <c r="CK89" s="1793">
        <f t="shared" ref="CK89:CL93" si="64">IF(AND($B89&lt;&gt;0,AG89=""),1,IF(AG89&gt;$B89,1,0))</f>
        <v>0</v>
      </c>
      <c r="CL89" s="1793">
        <f t="shared" si="64"/>
        <v>0</v>
      </c>
    </row>
    <row r="90" spans="1:92" ht="15" customHeight="1" x14ac:dyDescent="0.25">
      <c r="A90" s="3083" t="s">
        <v>2423</v>
      </c>
      <c r="B90" s="3257">
        <f t="shared" si="58"/>
        <v>0</v>
      </c>
      <c r="C90" s="3258">
        <f t="shared" si="59"/>
        <v>0</v>
      </c>
      <c r="D90" s="3212">
        <f t="shared" si="60"/>
        <v>0</v>
      </c>
      <c r="E90" s="2498"/>
      <c r="F90" s="3013"/>
      <c r="G90" s="2904"/>
      <c r="H90" s="3013"/>
      <c r="I90" s="3259"/>
      <c r="J90" s="3260"/>
      <c r="K90" s="3261"/>
      <c r="L90" s="3260"/>
      <c r="M90" s="3259"/>
      <c r="N90" s="3260"/>
      <c r="O90" s="3259"/>
      <c r="P90" s="3260"/>
      <c r="Q90" s="3259"/>
      <c r="R90" s="3260"/>
      <c r="S90" s="3259"/>
      <c r="T90" s="3260"/>
      <c r="U90" s="3259"/>
      <c r="V90" s="3260"/>
      <c r="W90" s="3259"/>
      <c r="X90" s="5949"/>
      <c r="Y90" s="5950"/>
      <c r="Z90" s="5951"/>
      <c r="AA90" s="3261"/>
      <c r="AB90" s="3260"/>
      <c r="AC90" s="3261"/>
      <c r="AD90" s="3260"/>
      <c r="AE90" s="3259"/>
      <c r="AF90" s="3262"/>
      <c r="AG90" s="117"/>
      <c r="AH90" s="117"/>
      <c r="AI90" s="1755" t="str">
        <f t="shared" si="61"/>
        <v/>
      </c>
      <c r="BN90" s="2718"/>
      <c r="BO90" s="2718"/>
      <c r="BP90" s="2718"/>
      <c r="BQ90" s="2718"/>
      <c r="BR90" s="2718"/>
      <c r="BS90" s="2718"/>
      <c r="BT90" s="2718"/>
      <c r="BU90" s="2718"/>
      <c r="BV90" s="2718"/>
      <c r="BW90" s="2718"/>
      <c r="BX90" s="2718"/>
      <c r="BY90" s="2718"/>
      <c r="BZ90" s="2718"/>
      <c r="CA90" s="2873" t="str">
        <f t="shared" si="62"/>
        <v/>
      </c>
      <c r="CB90" s="2873" t="str">
        <f t="shared" si="63"/>
        <v/>
      </c>
      <c r="CC90" s="2718"/>
      <c r="CD90" s="2718"/>
      <c r="CE90" s="603"/>
      <c r="CF90" s="603"/>
      <c r="CG90" s="603"/>
      <c r="CH90" s="603"/>
      <c r="CI90" s="603"/>
      <c r="CK90" s="1793">
        <f t="shared" si="64"/>
        <v>0</v>
      </c>
      <c r="CL90" s="1793">
        <f t="shared" si="64"/>
        <v>0</v>
      </c>
    </row>
    <row r="91" spans="1:92" ht="15" customHeight="1" x14ac:dyDescent="0.25">
      <c r="A91" s="3135" t="s">
        <v>2424</v>
      </c>
      <c r="B91" s="3263">
        <f t="shared" si="58"/>
        <v>0</v>
      </c>
      <c r="C91" s="3264">
        <f t="shared" si="59"/>
        <v>0</v>
      </c>
      <c r="D91" s="3265">
        <f t="shared" si="60"/>
        <v>0</v>
      </c>
      <c r="E91" s="620"/>
      <c r="F91" s="630"/>
      <c r="G91" s="3232"/>
      <c r="H91" s="630"/>
      <c r="I91" s="3255"/>
      <c r="J91" s="853"/>
      <c r="K91" s="851"/>
      <c r="L91" s="853"/>
      <c r="M91" s="3255"/>
      <c r="N91" s="853"/>
      <c r="O91" s="3255"/>
      <c r="P91" s="853"/>
      <c r="Q91" s="3255"/>
      <c r="R91" s="853"/>
      <c r="S91" s="3255"/>
      <c r="T91" s="853"/>
      <c r="U91" s="3255"/>
      <c r="V91" s="853"/>
      <c r="W91" s="3255"/>
      <c r="X91" s="5948"/>
      <c r="Y91" s="851"/>
      <c r="Z91" s="853"/>
      <c r="AA91" s="851"/>
      <c r="AB91" s="853"/>
      <c r="AC91" s="851"/>
      <c r="AD91" s="853"/>
      <c r="AE91" s="3255"/>
      <c r="AF91" s="3256"/>
      <c r="AG91" s="3166"/>
      <c r="AH91" s="3166"/>
      <c r="AI91" s="1755" t="str">
        <f t="shared" si="61"/>
        <v/>
      </c>
      <c r="BN91" s="2718"/>
      <c r="BO91" s="2718"/>
      <c r="BP91" s="2718"/>
      <c r="BQ91" s="2718"/>
      <c r="BR91" s="2718"/>
      <c r="BS91" s="2718"/>
      <c r="BT91" s="2718"/>
      <c r="BU91" s="2718"/>
      <c r="BV91" s="2718"/>
      <c r="BW91" s="2718"/>
      <c r="BX91" s="2718"/>
      <c r="BY91" s="2718"/>
      <c r="BZ91" s="2718"/>
      <c r="CA91" s="2873" t="str">
        <f t="shared" si="62"/>
        <v/>
      </c>
      <c r="CB91" s="2873" t="str">
        <f t="shared" si="63"/>
        <v/>
      </c>
      <c r="CC91" s="2718"/>
      <c r="CD91" s="2718"/>
      <c r="CE91" s="603"/>
      <c r="CF91" s="603"/>
      <c r="CG91" s="603"/>
      <c r="CH91" s="603"/>
      <c r="CI91" s="603"/>
      <c r="CK91" s="1793">
        <f t="shared" si="64"/>
        <v>0</v>
      </c>
      <c r="CL91" s="1793">
        <f t="shared" si="64"/>
        <v>0</v>
      </c>
    </row>
    <row r="92" spans="1:92" ht="15" customHeight="1" x14ac:dyDescent="0.25">
      <c r="A92" s="3135" t="s">
        <v>2425</v>
      </c>
      <c r="B92" s="3252">
        <f t="shared" si="58"/>
        <v>0</v>
      </c>
      <c r="C92" s="3253">
        <f t="shared" si="59"/>
        <v>0</v>
      </c>
      <c r="D92" s="3254">
        <f t="shared" si="60"/>
        <v>0</v>
      </c>
      <c r="E92" s="620"/>
      <c r="F92" s="630"/>
      <c r="G92" s="3232"/>
      <c r="H92" s="630"/>
      <c r="I92" s="3255"/>
      <c r="J92" s="853"/>
      <c r="K92" s="851"/>
      <c r="L92" s="853"/>
      <c r="M92" s="3255"/>
      <c r="N92" s="853"/>
      <c r="O92" s="3255"/>
      <c r="P92" s="853"/>
      <c r="Q92" s="3255"/>
      <c r="R92" s="853"/>
      <c r="S92" s="3255"/>
      <c r="T92" s="853"/>
      <c r="U92" s="3255"/>
      <c r="V92" s="853"/>
      <c r="W92" s="3255"/>
      <c r="X92" s="5948"/>
      <c r="Y92" s="851"/>
      <c r="Z92" s="853"/>
      <c r="AA92" s="851"/>
      <c r="AB92" s="853"/>
      <c r="AC92" s="851"/>
      <c r="AD92" s="853"/>
      <c r="AE92" s="3255"/>
      <c r="AF92" s="3256"/>
      <c r="AG92" s="3166"/>
      <c r="AH92" s="3166"/>
      <c r="AI92" s="1755" t="str">
        <f t="shared" si="61"/>
        <v/>
      </c>
      <c r="BN92" s="2718"/>
      <c r="BO92" s="2718"/>
      <c r="BP92" s="2718"/>
      <c r="BQ92" s="2718"/>
      <c r="BR92" s="2718"/>
      <c r="BS92" s="2718"/>
      <c r="BT92" s="2718"/>
      <c r="BU92" s="2718"/>
      <c r="BV92" s="2718"/>
      <c r="BW92" s="2718"/>
      <c r="BX92" s="2718"/>
      <c r="BY92" s="2718"/>
      <c r="BZ92" s="2718"/>
      <c r="CA92" s="2873" t="str">
        <f t="shared" si="62"/>
        <v/>
      </c>
      <c r="CB92" s="2873" t="str">
        <f t="shared" si="63"/>
        <v/>
      </c>
      <c r="CC92" s="2718"/>
      <c r="CD92" s="2718"/>
      <c r="CE92" s="603"/>
      <c r="CF92" s="603"/>
      <c r="CG92" s="603"/>
      <c r="CH92" s="603"/>
      <c r="CI92" s="603"/>
      <c r="CK92" s="1793">
        <f t="shared" si="64"/>
        <v>0</v>
      </c>
      <c r="CL92" s="1793">
        <f t="shared" si="64"/>
        <v>0</v>
      </c>
    </row>
    <row r="93" spans="1:92" ht="15" customHeight="1" x14ac:dyDescent="0.25">
      <c r="A93" s="3083" t="s">
        <v>2426</v>
      </c>
      <c r="B93" s="3257">
        <f t="shared" si="58"/>
        <v>0</v>
      </c>
      <c r="C93" s="3258">
        <f t="shared" si="59"/>
        <v>0</v>
      </c>
      <c r="D93" s="3212">
        <f t="shared" si="60"/>
        <v>0</v>
      </c>
      <c r="E93" s="2498"/>
      <c r="F93" s="3013"/>
      <c r="G93" s="2904"/>
      <c r="H93" s="3013"/>
      <c r="I93" s="3259"/>
      <c r="J93" s="3260"/>
      <c r="K93" s="3261"/>
      <c r="L93" s="3260"/>
      <c r="M93" s="3259"/>
      <c r="N93" s="3260"/>
      <c r="O93" s="3259"/>
      <c r="P93" s="3260"/>
      <c r="Q93" s="3259"/>
      <c r="R93" s="3260"/>
      <c r="S93" s="3259"/>
      <c r="T93" s="3260"/>
      <c r="U93" s="3259"/>
      <c r="V93" s="3260"/>
      <c r="W93" s="3259"/>
      <c r="X93" s="5949"/>
      <c r="Y93" s="5950"/>
      <c r="Z93" s="5951"/>
      <c r="AA93" s="3261"/>
      <c r="AB93" s="3260"/>
      <c r="AC93" s="3261"/>
      <c r="AD93" s="3260"/>
      <c r="AE93" s="3259"/>
      <c r="AF93" s="3262"/>
      <c r="AG93" s="2501"/>
      <c r="AH93" s="2501"/>
      <c r="AI93" s="1755" t="str">
        <f t="shared" si="61"/>
        <v/>
      </c>
      <c r="BN93" s="2718"/>
      <c r="BO93" s="2718"/>
      <c r="BP93" s="2718"/>
      <c r="BQ93" s="2718"/>
      <c r="BR93" s="2718"/>
      <c r="BS93" s="2718"/>
      <c r="BT93" s="2718"/>
      <c r="BU93" s="2718"/>
      <c r="BV93" s="2718"/>
      <c r="BW93" s="2718"/>
      <c r="BX93" s="2718"/>
      <c r="BY93" s="2718"/>
      <c r="BZ93" s="2718"/>
      <c r="CA93" s="2873" t="str">
        <f t="shared" si="62"/>
        <v/>
      </c>
      <c r="CB93" s="2873" t="str">
        <f>IF(AND($B93&lt;&gt;0,AH93=""),"* No olvide ingresar la columna "&amp;AH$85&amp;""&amp;" (Digite CERO si no tiene). ",IF(AH93&gt;$B93,"* El Número de Pueblos Originarios no puede superar el Total Ambos Sexos. ",""))</f>
        <v/>
      </c>
      <c r="CC93" s="2718"/>
      <c r="CD93" s="2718"/>
      <c r="CE93" s="603"/>
      <c r="CF93" s="603"/>
      <c r="CG93" s="603"/>
      <c r="CH93" s="603"/>
      <c r="CI93" s="603"/>
      <c r="CK93" s="1793">
        <f t="shared" si="64"/>
        <v>0</v>
      </c>
      <c r="CL93" s="1793">
        <f t="shared" si="64"/>
        <v>0</v>
      </c>
    </row>
    <row r="151" spans="1:2" hidden="1" x14ac:dyDescent="0.25">
      <c r="A151" s="3266">
        <f>SUM(C11:C32,C36:C39,C44:C66,C70:C74,F70:F74,B78:B82,B88:B93)</f>
        <v>0</v>
      </c>
      <c r="B151" s="3266">
        <f>SUM(CK11:CR93)</f>
        <v>0</v>
      </c>
    </row>
  </sheetData>
  <sheetProtection algorithmName="SHA-512" hashValue="Yw2JeKtaikd1Ud1NF2cAuBTTGBQV7sorkhnljwoe1I+KXGUxcOMDzYkGAi9MPTJ+KwkehmKlLCGezCbaVy6KWw==" saltValue="rdUMIfCkyR6W33uYbAZQmg==" spinCount="100000" sheet="1" objects="1" scenarios="1"/>
  <dataConsolidate/>
  <mergeCells count="103">
    <mergeCell ref="M76:M77"/>
    <mergeCell ref="AH85:AH87"/>
    <mergeCell ref="E86:F86"/>
    <mergeCell ref="G86:H86"/>
    <mergeCell ref="I86:J86"/>
    <mergeCell ref="K86:L86"/>
    <mergeCell ref="M86:N86"/>
    <mergeCell ref="O86:P86"/>
    <mergeCell ref="Q86:R86"/>
    <mergeCell ref="S86:T86"/>
    <mergeCell ref="Y86:Z86"/>
    <mergeCell ref="AA86:AB86"/>
    <mergeCell ref="AC86:AD86"/>
    <mergeCell ref="AE86:AF86"/>
    <mergeCell ref="AG85:AG87"/>
    <mergeCell ref="E76:F76"/>
    <mergeCell ref="G76:I76"/>
    <mergeCell ref="A85:A87"/>
    <mergeCell ref="B85:D86"/>
    <mergeCell ref="E85:AF85"/>
    <mergeCell ref="U86:V86"/>
    <mergeCell ref="W86:X86"/>
    <mergeCell ref="A76:A77"/>
    <mergeCell ref="B76:B77"/>
    <mergeCell ref="A63:A66"/>
    <mergeCell ref="A68:B69"/>
    <mergeCell ref="A70:B70"/>
    <mergeCell ref="A71:B71"/>
    <mergeCell ref="A72:B72"/>
    <mergeCell ref="A73:B73"/>
    <mergeCell ref="A74:B74"/>
    <mergeCell ref="C76:D76"/>
    <mergeCell ref="J76:J77"/>
    <mergeCell ref="K76:K77"/>
    <mergeCell ref="L76:L77"/>
    <mergeCell ref="C68:E68"/>
    <mergeCell ref="F68:H68"/>
    <mergeCell ref="K68:K69"/>
    <mergeCell ref="L68:L69"/>
    <mergeCell ref="I68:I69"/>
    <mergeCell ref="J68:J69"/>
    <mergeCell ref="A44:A47"/>
    <mergeCell ref="A48:A50"/>
    <mergeCell ref="A51:A53"/>
    <mergeCell ref="A54:A56"/>
    <mergeCell ref="A57:A62"/>
    <mergeCell ref="Z42:AA42"/>
    <mergeCell ref="AB42:AC42"/>
    <mergeCell ref="AD42:AE42"/>
    <mergeCell ref="AF42:AG42"/>
    <mergeCell ref="AO41:AO43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AL42:AM42"/>
    <mergeCell ref="AH42:AI42"/>
    <mergeCell ref="AJ42:AK42"/>
    <mergeCell ref="AN34:AN35"/>
    <mergeCell ref="A36:A39"/>
    <mergeCell ref="A41:A43"/>
    <mergeCell ref="B41:B43"/>
    <mergeCell ref="C41:E42"/>
    <mergeCell ref="F41:AM41"/>
    <mergeCell ref="AN41:AN43"/>
    <mergeCell ref="X42:Y42"/>
    <mergeCell ref="A34:A35"/>
    <mergeCell ref="B34:B35"/>
    <mergeCell ref="C34:E34"/>
    <mergeCell ref="F34:AH34"/>
    <mergeCell ref="AI34:AJ34"/>
    <mergeCell ref="AK34:AK35"/>
    <mergeCell ref="AL34:AL35"/>
    <mergeCell ref="AM34:AM35"/>
    <mergeCell ref="A31:A32"/>
    <mergeCell ref="AC9:AC10"/>
    <mergeCell ref="A11:A12"/>
    <mergeCell ref="A13:A14"/>
    <mergeCell ref="A15:A16"/>
    <mergeCell ref="A17:A18"/>
    <mergeCell ref="AA9:AA10"/>
    <mergeCell ref="AB9:AB10"/>
    <mergeCell ref="W9:W10"/>
    <mergeCell ref="X9:X10"/>
    <mergeCell ref="Y9:Y10"/>
    <mergeCell ref="Z9:Z10"/>
    <mergeCell ref="U9:V9"/>
    <mergeCell ref="A21:A22"/>
    <mergeCell ref="A23:A24"/>
    <mergeCell ref="A6:P6"/>
    <mergeCell ref="A9:A10"/>
    <mergeCell ref="B9:B10"/>
    <mergeCell ref="C9:C10"/>
    <mergeCell ref="D9:T9"/>
    <mergeCell ref="A19:A20"/>
    <mergeCell ref="A25:A26"/>
    <mergeCell ref="A27:A28"/>
    <mergeCell ref="A29:A30"/>
  </mergeCells>
  <dataValidations count="3">
    <dataValidation type="whole" allowBlank="1" showInputMessage="1" showErrorMessage="1" sqref="AN44:AO66" xr:uid="{00000000-0002-0000-0100-000000000000}">
      <formula1>0</formula1>
      <formula2>9.99999999999999E+44</formula2>
    </dataValidation>
    <dataValidation type="whole" operator="greaterThanOrEqual" allowBlank="1" showInputMessage="1" showErrorMessage="1" errorTitle="Error" error="Favor ingresar sólo números." sqref="F44:AM66 D70:E73 E88:AH93 D36:AN39 D11:X32 Z11:AC28 AB29:AC30 Y23:Y28 Y31:AC32 Y11:Y12 G70:L73 C78:M83" xr:uid="{00000000-0002-0000-0100-000001000000}">
      <formula1>0</formula1>
    </dataValidation>
    <dataValidation type="whole" operator="greaterThan" allowBlank="1" showInputMessage="1" showErrorMessage="1" sqref="B83" xr:uid="{00000000-0002-0000-0100-000002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Z51"/>
  <sheetViews>
    <sheetView showGridLines="0" workbookViewId="0"/>
  </sheetViews>
  <sheetFormatPr baseColWidth="10" defaultColWidth="11.42578125" defaultRowHeight="15" x14ac:dyDescent="0.25"/>
  <cols>
    <col min="1" max="1" width="44.140625" customWidth="1"/>
    <col min="2" max="2" width="13.42578125" customWidth="1"/>
    <col min="78" max="78" width="12" customWidth="1"/>
    <col min="79" max="86" width="11.42578125" hidden="1" customWidth="1"/>
    <col min="87" max="130" width="11.42578125" customWidth="1"/>
  </cols>
  <sheetData>
    <row r="1" spans="1:130" x14ac:dyDescent="0.25">
      <c r="A1" s="779" t="s">
        <v>3878</v>
      </c>
    </row>
    <row r="2" spans="1:130" x14ac:dyDescent="0.25">
      <c r="A2" s="779" t="str">
        <f>CONCATENATE("COMUNA: ",NOMBRE!B2," - ","( ",NOMBRE!C2,NOMBRE!D2,NOMBRE!E2,NOMBRE!F2,NOMBRE!G2," )")</f>
        <v>COMUNA:  - (  )</v>
      </c>
    </row>
    <row r="3" spans="1:130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30" x14ac:dyDescent="0.25">
      <c r="A4" s="779" t="str">
        <f>CONCATENATE("MES: ",NOMBRE!B6," - ","( ",NOMBRE!C6,NOMBRE!D6," )")</f>
        <v>MES:  - (  )</v>
      </c>
    </row>
    <row r="5" spans="1:130" x14ac:dyDescent="0.25">
      <c r="A5" s="779" t="str">
        <f>CONCATENATE("AÑO: ",NOMBRE!B7)</f>
        <v>AÑO: 2024</v>
      </c>
    </row>
    <row r="6" spans="1:130" s="782" customFormat="1" ht="19.5" x14ac:dyDescent="0.25">
      <c r="A6" s="6447" t="s">
        <v>2427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  <c r="O6" s="6447"/>
      <c r="P6" s="6447"/>
      <c r="Q6" s="6447"/>
      <c r="R6" s="6447"/>
      <c r="S6" s="6447"/>
      <c r="T6" s="6447"/>
      <c r="U6" s="6447"/>
      <c r="V6" s="6447"/>
      <c r="W6" s="6447"/>
      <c r="X6" s="6447"/>
      <c r="Y6" s="6447"/>
      <c r="Z6" s="6447"/>
      <c r="AA6" s="6447"/>
      <c r="AB6" s="6447"/>
      <c r="AC6" s="6447"/>
      <c r="AD6" s="6447"/>
      <c r="AE6" s="3267"/>
      <c r="AF6" s="102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2660"/>
      <c r="CB6" s="2660"/>
      <c r="CC6" s="2660"/>
      <c r="CD6" s="2660"/>
      <c r="CE6" s="2660"/>
      <c r="CF6" s="2660"/>
      <c r="CG6" s="2660"/>
      <c r="CH6" s="2660"/>
      <c r="CI6" s="2660"/>
      <c r="CJ6" s="2660"/>
      <c r="CK6" s="2660"/>
      <c r="CL6" s="2660"/>
      <c r="CM6" s="2660"/>
      <c r="CN6" s="2660"/>
      <c r="CO6" s="2660"/>
      <c r="CP6" s="2660"/>
      <c r="CQ6" s="2660"/>
      <c r="CR6" s="2660"/>
      <c r="CS6" s="2660"/>
      <c r="CT6" s="2660"/>
      <c r="CU6" s="2660"/>
      <c r="CV6" s="2660"/>
      <c r="CW6" s="2660"/>
      <c r="CX6" s="2660"/>
      <c r="CY6" s="2660"/>
      <c r="CZ6" s="2660"/>
      <c r="DA6" s="2660"/>
      <c r="DB6" s="2660"/>
      <c r="DC6" s="2660"/>
      <c r="DD6" s="2660"/>
      <c r="DE6" s="2660"/>
      <c r="DF6" s="2660"/>
      <c r="DG6" s="2660"/>
      <c r="DH6" s="2660"/>
      <c r="DI6" s="2660"/>
      <c r="DJ6" s="2660"/>
      <c r="DK6" s="2660"/>
      <c r="DL6" s="2660"/>
      <c r="DM6" s="2660"/>
      <c r="DN6" s="2660"/>
      <c r="DO6" s="2660"/>
      <c r="DP6" s="2660"/>
      <c r="DQ6" s="2660"/>
      <c r="DR6" s="2660"/>
      <c r="DS6" s="2660"/>
      <c r="DT6" s="2660"/>
      <c r="DU6" s="2660"/>
      <c r="DV6" s="2660"/>
      <c r="DW6" s="2660"/>
      <c r="DX6" s="2660"/>
      <c r="DY6" s="2660"/>
      <c r="DZ6" s="2660"/>
    </row>
    <row r="8" spans="1:130" s="17" customFormat="1" ht="18" customHeight="1" x14ac:dyDescent="0.2">
      <c r="A8" s="123" t="s">
        <v>2428</v>
      </c>
      <c r="B8" s="123"/>
      <c r="C8" s="123"/>
      <c r="D8" s="123"/>
      <c r="E8" s="123"/>
      <c r="F8" s="123"/>
    </row>
    <row r="9" spans="1:130" ht="15" customHeight="1" x14ac:dyDescent="0.25">
      <c r="A9" s="6484" t="s">
        <v>61</v>
      </c>
      <c r="B9" s="6519" t="s">
        <v>24</v>
      </c>
      <c r="C9" s="6496"/>
      <c r="D9" s="6522"/>
      <c r="E9" s="6526" t="s">
        <v>2</v>
      </c>
      <c r="F9" s="6469" t="s">
        <v>3</v>
      </c>
    </row>
    <row r="10" spans="1:130" ht="15" customHeight="1" x14ac:dyDescent="0.25">
      <c r="A10" s="6451"/>
      <c r="B10" s="2829" t="s">
        <v>26</v>
      </c>
      <c r="C10" s="3248" t="s">
        <v>22</v>
      </c>
      <c r="D10" s="3268" t="s">
        <v>27</v>
      </c>
      <c r="E10" s="6527"/>
      <c r="F10" s="6461"/>
    </row>
    <row r="11" spans="1:130" ht="15" customHeight="1" x14ac:dyDescent="0.25">
      <c r="A11" s="3269" t="s">
        <v>47</v>
      </c>
      <c r="B11" s="3237">
        <f>SUM(B12:B17)</f>
        <v>0</v>
      </c>
      <c r="C11" s="3270">
        <f>SUM(C12:C17)</f>
        <v>0</v>
      </c>
      <c r="D11" s="3271">
        <f>SUM(D12:D17)</f>
        <v>0</v>
      </c>
      <c r="E11" s="3272">
        <f>SUM(E12:E17)</f>
        <v>0</v>
      </c>
      <c r="F11" s="3238">
        <f>SUM(F12:F17)</f>
        <v>0</v>
      </c>
    </row>
    <row r="12" spans="1:130" ht="15" customHeight="1" x14ac:dyDescent="0.25">
      <c r="A12" s="2015" t="s">
        <v>74</v>
      </c>
      <c r="B12" s="3135">
        <f t="shared" ref="B12:B17" si="0">SUM(C12:D12)</f>
        <v>0</v>
      </c>
      <c r="C12" s="106"/>
      <c r="D12" s="771"/>
      <c r="E12" s="772"/>
      <c r="F12" s="105"/>
      <c r="G12" s="112" t="str">
        <f>$CA12&amp;CB12</f>
        <v/>
      </c>
      <c r="CA12" s="2873" t="str">
        <f>IF(AND($B12&lt;&gt;0,E12=""),"* No olvide ingresar la columna "&amp;E$9&amp;""&amp;" (Digite CERO si no tiene).  ",IF(E12&gt;$B12,"* El Número de Pueblos Originarios no puede superar el Total. ",""))</f>
        <v/>
      </c>
      <c r="CB12" s="2873" t="str">
        <f>IF(AND($B12&lt;&gt;0,F12=""),"* No olvide ingresar la columna "&amp;F$9&amp;""&amp;" (Digite CERO si no tiene).  ",IF(F12&gt;$B12,"* El Número de Migrantes no puede superar el Total. ",""))</f>
        <v/>
      </c>
      <c r="CF12" s="1793">
        <f>IF(AND($B12&lt;&gt;0,E12=""),1,IF(E12&gt;$B12,1,0))</f>
        <v>0</v>
      </c>
      <c r="CG12" s="1793">
        <f>IF(AND($B12&lt;&gt;0,F12=""),1,IF(F12&gt;$B12,1,0))</f>
        <v>0</v>
      </c>
    </row>
    <row r="13" spans="1:130" ht="15" customHeight="1" x14ac:dyDescent="0.25">
      <c r="A13" s="3273" t="s">
        <v>76</v>
      </c>
      <c r="B13" s="3135">
        <f t="shared" si="0"/>
        <v>0</v>
      </c>
      <c r="C13" s="106"/>
      <c r="D13" s="771"/>
      <c r="E13" s="772"/>
      <c r="F13" s="105"/>
      <c r="G13" s="112" t="str">
        <f t="shared" ref="G13:G17" si="1">$CA13&amp;CB13</f>
        <v/>
      </c>
      <c r="CA13" s="2873" t="str">
        <f t="shared" ref="CA13:CA17" si="2">IF(AND($B13&lt;&gt;0,E13=""),"* No olvide ingresar la columna "&amp;E$9&amp;""&amp;" (Digite CERO si no tiene).  ",IF(E13&gt;$B13,"* El Número de Pueblos Originarios no puede superar el Total. ",""))</f>
        <v/>
      </c>
      <c r="CB13" s="2873" t="str">
        <f t="shared" ref="CB13:CB17" si="3">IF(AND($B13&lt;&gt;0,F13=""),"* No olvide ingresar la columna "&amp;F$9&amp;""&amp;" (Digite CERO si no tiene).  ",IF(F13&gt;$B13,"* El Número de Migrantes no puede superar el Total. ",""))</f>
        <v/>
      </c>
      <c r="CF13" s="1793">
        <f t="shared" ref="CF13:CG17" si="4">IF(AND($B13&lt;&gt;0,E13=""),1,IF(E13&gt;$B13,1,0))</f>
        <v>0</v>
      </c>
      <c r="CG13" s="1793">
        <f t="shared" si="4"/>
        <v>0</v>
      </c>
    </row>
    <row r="14" spans="1:130" ht="15" customHeight="1" x14ac:dyDescent="0.25">
      <c r="A14" s="3273" t="s">
        <v>77</v>
      </c>
      <c r="B14" s="3135">
        <f t="shared" si="0"/>
        <v>0</v>
      </c>
      <c r="C14" s="106"/>
      <c r="D14" s="771"/>
      <c r="E14" s="772"/>
      <c r="F14" s="105"/>
      <c r="G14" s="112" t="str">
        <f t="shared" si="1"/>
        <v/>
      </c>
      <c r="CA14" s="2873" t="str">
        <f t="shared" si="2"/>
        <v/>
      </c>
      <c r="CB14" s="2873" t="str">
        <f t="shared" si="3"/>
        <v/>
      </c>
      <c r="CF14" s="1793">
        <f t="shared" si="4"/>
        <v>0</v>
      </c>
      <c r="CG14" s="1793">
        <f t="shared" si="4"/>
        <v>0</v>
      </c>
    </row>
    <row r="15" spans="1:130" ht="15" customHeight="1" x14ac:dyDescent="0.25">
      <c r="A15" s="3273" t="s">
        <v>247</v>
      </c>
      <c r="B15" s="3135">
        <f t="shared" si="0"/>
        <v>0</v>
      </c>
      <c r="C15" s="106"/>
      <c r="D15" s="771"/>
      <c r="E15" s="772"/>
      <c r="F15" s="105"/>
      <c r="G15" s="112" t="str">
        <f t="shared" si="1"/>
        <v/>
      </c>
      <c r="CA15" s="2873" t="str">
        <f t="shared" si="2"/>
        <v/>
      </c>
      <c r="CB15" s="2873" t="str">
        <f t="shared" si="3"/>
        <v/>
      </c>
      <c r="CF15" s="1793">
        <f t="shared" si="4"/>
        <v>0</v>
      </c>
      <c r="CG15" s="1793">
        <f t="shared" si="4"/>
        <v>0</v>
      </c>
    </row>
    <row r="16" spans="1:130" ht="15" customHeight="1" x14ac:dyDescent="0.25">
      <c r="A16" s="773" t="s">
        <v>2429</v>
      </c>
      <c r="B16" s="3135">
        <f t="shared" si="0"/>
        <v>0</v>
      </c>
      <c r="C16" s="106"/>
      <c r="D16" s="771"/>
      <c r="E16" s="772"/>
      <c r="F16" s="105"/>
      <c r="G16" s="112" t="str">
        <f t="shared" si="1"/>
        <v/>
      </c>
      <c r="CA16" s="2873" t="str">
        <f t="shared" si="2"/>
        <v/>
      </c>
      <c r="CB16" s="2873" t="str">
        <f t="shared" si="3"/>
        <v/>
      </c>
      <c r="CF16" s="1793">
        <f t="shared" si="4"/>
        <v>0</v>
      </c>
      <c r="CG16" s="1793">
        <f t="shared" si="4"/>
        <v>0</v>
      </c>
    </row>
    <row r="17" spans="1:86" ht="15" customHeight="1" x14ac:dyDescent="0.25">
      <c r="A17" s="3274" t="s">
        <v>632</v>
      </c>
      <c r="B17" s="150">
        <f t="shared" si="0"/>
        <v>0</v>
      </c>
      <c r="C17" s="3112"/>
      <c r="D17" s="774"/>
      <c r="E17" s="3244"/>
      <c r="F17" s="2889"/>
      <c r="G17" s="112" t="str">
        <f t="shared" si="1"/>
        <v/>
      </c>
      <c r="CA17" s="2873" t="str">
        <f t="shared" si="2"/>
        <v/>
      </c>
      <c r="CB17" s="2873" t="str">
        <f t="shared" si="3"/>
        <v/>
      </c>
      <c r="CF17" s="1793">
        <f t="shared" si="4"/>
        <v>0</v>
      </c>
      <c r="CG17" s="1793">
        <f t="shared" si="4"/>
        <v>0</v>
      </c>
    </row>
    <row r="18" spans="1:86" s="17" customFormat="1" ht="18" customHeight="1" x14ac:dyDescent="0.2">
      <c r="A18" s="123" t="s">
        <v>2430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40"/>
      <c r="AH18" s="140"/>
    </row>
    <row r="19" spans="1:86" ht="15" customHeight="1" x14ac:dyDescent="0.25">
      <c r="A19" s="6524" t="s">
        <v>2502</v>
      </c>
      <c r="B19" s="6519" t="s">
        <v>24</v>
      </c>
      <c r="C19" s="6496"/>
      <c r="D19" s="6497"/>
      <c r="E19" s="6494" t="s">
        <v>4</v>
      </c>
      <c r="F19" s="6525"/>
      <c r="G19" s="6494" t="s">
        <v>5</v>
      </c>
      <c r="H19" s="6518"/>
      <c r="I19" s="6494" t="s">
        <v>6</v>
      </c>
      <c r="J19" s="6518"/>
      <c r="K19" s="6494" t="s">
        <v>7</v>
      </c>
      <c r="L19" s="6518"/>
      <c r="M19" s="6494" t="s">
        <v>8</v>
      </c>
      <c r="N19" s="6518"/>
      <c r="O19" s="6494" t="s">
        <v>9</v>
      </c>
      <c r="P19" s="6518"/>
      <c r="Q19" s="6494" t="s">
        <v>10</v>
      </c>
      <c r="R19" s="6518"/>
      <c r="S19" s="6494" t="s">
        <v>11</v>
      </c>
      <c r="T19" s="6518"/>
      <c r="U19" s="6494" t="s">
        <v>18</v>
      </c>
      <c r="V19" s="6518"/>
      <c r="W19" s="6494" t="s">
        <v>19</v>
      </c>
      <c r="X19" s="6518"/>
      <c r="Y19" s="6494" t="s">
        <v>20</v>
      </c>
      <c r="Z19" s="6518"/>
      <c r="AA19" s="6494" t="s">
        <v>70</v>
      </c>
      <c r="AB19" s="6518"/>
      <c r="AC19" s="6494" t="s">
        <v>71</v>
      </c>
      <c r="AD19" s="6518"/>
      <c r="AE19" s="6494" t="s">
        <v>32</v>
      </c>
      <c r="AF19" s="6495"/>
      <c r="AG19" s="6469" t="s">
        <v>2</v>
      </c>
      <c r="AH19" s="6469" t="s">
        <v>3</v>
      </c>
    </row>
    <row r="20" spans="1:86" ht="15" customHeight="1" x14ac:dyDescent="0.25">
      <c r="A20" s="6464"/>
      <c r="B20" s="4801" t="s">
        <v>26</v>
      </c>
      <c r="C20" s="4799" t="s">
        <v>22</v>
      </c>
      <c r="D20" s="3275" t="s">
        <v>27</v>
      </c>
      <c r="E20" s="3248" t="s">
        <v>22</v>
      </c>
      <c r="F20" s="3276" t="s">
        <v>27</v>
      </c>
      <c r="G20" s="3248" t="s">
        <v>22</v>
      </c>
      <c r="H20" s="3276" t="s">
        <v>27</v>
      </c>
      <c r="I20" s="3248" t="s">
        <v>22</v>
      </c>
      <c r="J20" s="3276" t="s">
        <v>27</v>
      </c>
      <c r="K20" s="3248" t="s">
        <v>22</v>
      </c>
      <c r="L20" s="3276" t="s">
        <v>27</v>
      </c>
      <c r="M20" s="3248" t="s">
        <v>22</v>
      </c>
      <c r="N20" s="3276" t="s">
        <v>27</v>
      </c>
      <c r="O20" s="3248" t="s">
        <v>22</v>
      </c>
      <c r="P20" s="3276" t="s">
        <v>27</v>
      </c>
      <c r="Q20" s="3248" t="s">
        <v>22</v>
      </c>
      <c r="R20" s="3276" t="s">
        <v>27</v>
      </c>
      <c r="S20" s="3248" t="s">
        <v>22</v>
      </c>
      <c r="T20" s="3276" t="s">
        <v>27</v>
      </c>
      <c r="U20" s="3248" t="s">
        <v>22</v>
      </c>
      <c r="V20" s="3276" t="s">
        <v>27</v>
      </c>
      <c r="W20" s="3248" t="s">
        <v>22</v>
      </c>
      <c r="X20" s="3276" t="s">
        <v>27</v>
      </c>
      <c r="Y20" s="3248" t="s">
        <v>22</v>
      </c>
      <c r="Z20" s="3276" t="s">
        <v>27</v>
      </c>
      <c r="AA20" s="3248" t="s">
        <v>22</v>
      </c>
      <c r="AB20" s="3276" t="s">
        <v>27</v>
      </c>
      <c r="AC20" s="3248" t="s">
        <v>22</v>
      </c>
      <c r="AD20" s="3276" t="s">
        <v>27</v>
      </c>
      <c r="AE20" s="3248" t="s">
        <v>22</v>
      </c>
      <c r="AF20" s="3277" t="s">
        <v>27</v>
      </c>
      <c r="AG20" s="6461"/>
      <c r="AH20" s="6461"/>
    </row>
    <row r="21" spans="1:86" ht="15" customHeight="1" x14ac:dyDescent="0.25">
      <c r="A21" s="3269" t="s">
        <v>24</v>
      </c>
      <c r="B21" s="4802">
        <f>SUM(B22:B25)</f>
        <v>0</v>
      </c>
      <c r="C21" s="4800">
        <f>SUM(C22:C25)</f>
        <v>0</v>
      </c>
      <c r="D21" s="3238">
        <f>SUM(D22:D25)</f>
        <v>0</v>
      </c>
      <c r="E21" s="3270">
        <f t="shared" ref="E21:AF21" si="5">SUM(E22:E25)</f>
        <v>0</v>
      </c>
      <c r="F21" s="3278">
        <f t="shared" si="5"/>
        <v>0</v>
      </c>
      <c r="G21" s="3270">
        <f t="shared" si="5"/>
        <v>0</v>
      </c>
      <c r="H21" s="3278">
        <f t="shared" si="5"/>
        <v>0</v>
      </c>
      <c r="I21" s="3270">
        <f t="shared" si="5"/>
        <v>0</v>
      </c>
      <c r="J21" s="3278">
        <f t="shared" si="5"/>
        <v>0</v>
      </c>
      <c r="K21" s="3270">
        <f t="shared" si="5"/>
        <v>0</v>
      </c>
      <c r="L21" s="3278">
        <f t="shared" si="5"/>
        <v>0</v>
      </c>
      <c r="M21" s="3270">
        <f t="shared" si="5"/>
        <v>0</v>
      </c>
      <c r="N21" s="3278">
        <f t="shared" si="5"/>
        <v>0</v>
      </c>
      <c r="O21" s="3270">
        <f t="shared" si="5"/>
        <v>0</v>
      </c>
      <c r="P21" s="3278">
        <f t="shared" si="5"/>
        <v>0</v>
      </c>
      <c r="Q21" s="3270">
        <f t="shared" si="5"/>
        <v>0</v>
      </c>
      <c r="R21" s="3278">
        <f t="shared" si="5"/>
        <v>0</v>
      </c>
      <c r="S21" s="3270">
        <f t="shared" si="5"/>
        <v>0</v>
      </c>
      <c r="T21" s="3278">
        <f t="shared" si="5"/>
        <v>0</v>
      </c>
      <c r="U21" s="3270">
        <f t="shared" si="5"/>
        <v>0</v>
      </c>
      <c r="V21" s="3278">
        <f t="shared" si="5"/>
        <v>0</v>
      </c>
      <c r="W21" s="3270">
        <f t="shared" si="5"/>
        <v>0</v>
      </c>
      <c r="X21" s="3278">
        <f t="shared" si="5"/>
        <v>0</v>
      </c>
      <c r="Y21" s="3270">
        <f t="shared" si="5"/>
        <v>0</v>
      </c>
      <c r="Z21" s="3278">
        <f t="shared" si="5"/>
        <v>0</v>
      </c>
      <c r="AA21" s="3270">
        <f t="shared" si="5"/>
        <v>0</v>
      </c>
      <c r="AB21" s="3278">
        <f t="shared" si="5"/>
        <v>0</v>
      </c>
      <c r="AC21" s="3270">
        <f t="shared" si="5"/>
        <v>0</v>
      </c>
      <c r="AD21" s="3278">
        <f t="shared" si="5"/>
        <v>0</v>
      </c>
      <c r="AE21" s="3270">
        <f t="shared" si="5"/>
        <v>0</v>
      </c>
      <c r="AF21" s="3239">
        <f t="shared" si="5"/>
        <v>0</v>
      </c>
      <c r="AG21" s="3238">
        <f>SUM(AG22:AG25)</f>
        <v>0</v>
      </c>
      <c r="AH21" s="3238">
        <f>SUM(AH22:AH25)</f>
        <v>0</v>
      </c>
      <c r="AI21" s="112" t="str">
        <f>CA21&amp;CB21&amp;CC21</f>
        <v/>
      </c>
      <c r="CA21" s="2718"/>
      <c r="CB21" s="2873" t="str">
        <f>IF(C21&lt;&gt;C11," * Debe coincidir el Total de EMP según estado nutricional en Hombres, con los EMP realizados en Hombres según Profesional de la Sección A","")</f>
        <v/>
      </c>
      <c r="CC21" s="2873" t="str">
        <f>IF(D21&lt;&gt;D11," * Debe coincidir el Total de EMP según estado nutricional en Mujeres, con los EMP realizados en Mujeres según Profesional de la Sección A","")</f>
        <v/>
      </c>
      <c r="CG21" s="1793">
        <f>IF(C21&lt;&gt;C11,1,0)</f>
        <v>0</v>
      </c>
      <c r="CH21" s="1793">
        <f>IF(D21&lt;&gt;D11,1,0)</f>
        <v>0</v>
      </c>
    </row>
    <row r="22" spans="1:86" ht="15" customHeight="1" x14ac:dyDescent="0.25">
      <c r="A22" s="2015" t="s">
        <v>2431</v>
      </c>
      <c r="B22" s="1131">
        <f>SUM(C22:D22)</f>
        <v>0</v>
      </c>
      <c r="C22" s="4289">
        <f>SUM(E22+G22+I22+K22+M22+O22+Q22+S22+U22+W22+Y22+AA22+AC22+AE22)</f>
        <v>0</v>
      </c>
      <c r="D22" s="3280">
        <f>SUM(F22+H22+J22+L22+N22+P22+R22+T22+V22+X22+Z22+AB22+AD22+AF22)</f>
        <v>0</v>
      </c>
      <c r="E22" s="106"/>
      <c r="F22" s="590"/>
      <c r="G22" s="106"/>
      <c r="H22" s="590"/>
      <c r="I22" s="106"/>
      <c r="J22" s="590"/>
      <c r="K22" s="106"/>
      <c r="L22" s="590"/>
      <c r="M22" s="106"/>
      <c r="N22" s="590"/>
      <c r="O22" s="106"/>
      <c r="P22" s="590"/>
      <c r="Q22" s="106"/>
      <c r="R22" s="590"/>
      <c r="S22" s="106"/>
      <c r="T22" s="590"/>
      <c r="U22" s="106"/>
      <c r="V22" s="590"/>
      <c r="W22" s="106"/>
      <c r="X22" s="590"/>
      <c r="Y22" s="106"/>
      <c r="Z22" s="590"/>
      <c r="AA22" s="106"/>
      <c r="AB22" s="590"/>
      <c r="AC22" s="106"/>
      <c r="AD22" s="590"/>
      <c r="AE22" s="106"/>
      <c r="AF22" s="776"/>
      <c r="AG22" s="105"/>
      <c r="AH22" s="105"/>
      <c r="AI22" s="112" t="str">
        <f t="shared" ref="AI22:AI25" si="6">CA22&amp;CB22&amp;CC22</f>
        <v/>
      </c>
      <c r="CA22" s="2873" t="str">
        <f>IF(AND($B22&lt;&gt;0,AG22=""),"* No olvide ingresar la columna "&amp;AG$19&amp;""&amp;" (Digite CERO si no tiene).  ",IF(AG22&gt;$B22,"* El Número de Pueblos Originarios no puede superar el Total. ",""))</f>
        <v/>
      </c>
      <c r="CB22" s="2873" t="str">
        <f>IF(AND($B22&lt;&gt;0,AH22=""),"* No olvide ingresar la columna "&amp;AH$19&amp;""&amp;" (Digite CERO si no tiene).  ",IF(AH22&gt;$B22,"* El Número de Migrantes no puede superar el Total. ",""))</f>
        <v/>
      </c>
      <c r="CF22" s="1793">
        <f>IF(AND($B22&lt;&gt;0,AG22=""),1,IF(AG22&gt;$B22,1,0))</f>
        <v>0</v>
      </c>
      <c r="CG22" s="1793">
        <f>IF(AND($B22&lt;&gt;0,AH22=""),1,IF(AH22&gt;$B22,1,0))</f>
        <v>0</v>
      </c>
    </row>
    <row r="23" spans="1:86" ht="15" customHeight="1" x14ac:dyDescent="0.25">
      <c r="A23" s="3273" t="s">
        <v>2432</v>
      </c>
      <c r="B23" s="1131">
        <f>SUM(C23:D23)</f>
        <v>0</v>
      </c>
      <c r="C23" s="4289">
        <f t="shared" ref="C23:D25" si="7">SUM(E23+G23+I23+K23+M23+O23+Q23+S23+U23+W23+Y23+AA23+AC23+AE23)</f>
        <v>0</v>
      </c>
      <c r="D23" s="3280">
        <f t="shared" si="7"/>
        <v>0</v>
      </c>
      <c r="E23" s="620"/>
      <c r="F23" s="630"/>
      <c r="G23" s="620"/>
      <c r="H23" s="630"/>
      <c r="I23" s="620"/>
      <c r="J23" s="630"/>
      <c r="K23" s="620"/>
      <c r="L23" s="630"/>
      <c r="M23" s="620"/>
      <c r="N23" s="630"/>
      <c r="O23" s="620"/>
      <c r="P23" s="630"/>
      <c r="Q23" s="620"/>
      <c r="R23" s="630"/>
      <c r="S23" s="620"/>
      <c r="T23" s="630"/>
      <c r="U23" s="620"/>
      <c r="V23" s="630"/>
      <c r="W23" s="620"/>
      <c r="X23" s="630"/>
      <c r="Y23" s="620"/>
      <c r="Z23" s="630"/>
      <c r="AA23" s="620"/>
      <c r="AB23" s="630"/>
      <c r="AC23" s="620"/>
      <c r="AD23" s="630"/>
      <c r="AE23" s="620"/>
      <c r="AF23" s="628"/>
      <c r="AG23" s="3166"/>
      <c r="AH23" s="3166"/>
      <c r="AI23" s="112" t="str">
        <f t="shared" si="6"/>
        <v/>
      </c>
      <c r="CA23" s="2873" t="str">
        <f t="shared" ref="CA23:CA25" si="8">IF(AND($B23&lt;&gt;0,AG23=""),"* No olvide ingresar la columna "&amp;AG$19&amp;""&amp;" (Digite CERO si no tiene).  ",IF(AG23&gt;$B23,"* El Número de Pueblos Originarios no puede superar el Total. ",""))</f>
        <v/>
      </c>
      <c r="CB23" s="2873" t="str">
        <f t="shared" ref="CB23:CB25" si="9">IF(AND($B23&lt;&gt;0,AH23=""),"* No olvide ingresar la columna "&amp;AH$19&amp;""&amp;" (Digite CERO si no tiene).  ",IF(AH23&gt;$B23,"* El Número de Migrantes no puede superar el Total. ",""))</f>
        <v/>
      </c>
      <c r="CF23" s="1793">
        <f t="shared" ref="CF23:CG25" si="10">IF(AND($B23&lt;&gt;0,AG23=""),1,IF(AG23&gt;$B23,1,0))</f>
        <v>0</v>
      </c>
      <c r="CG23" s="1793">
        <f t="shared" si="10"/>
        <v>0</v>
      </c>
    </row>
    <row r="24" spans="1:86" ht="15" customHeight="1" x14ac:dyDescent="0.25">
      <c r="A24" s="3273" t="s">
        <v>2433</v>
      </c>
      <c r="B24" s="1131">
        <f>SUM(C24:D24)</f>
        <v>0</v>
      </c>
      <c r="C24" s="4289">
        <f t="shared" si="7"/>
        <v>0</v>
      </c>
      <c r="D24" s="3280">
        <f t="shared" si="7"/>
        <v>0</v>
      </c>
      <c r="E24" s="106"/>
      <c r="F24" s="590"/>
      <c r="G24" s="106"/>
      <c r="H24" s="590"/>
      <c r="I24" s="106"/>
      <c r="J24" s="590"/>
      <c r="K24" s="106"/>
      <c r="L24" s="590"/>
      <c r="M24" s="106"/>
      <c r="N24" s="590"/>
      <c r="O24" s="106"/>
      <c r="P24" s="590"/>
      <c r="Q24" s="106"/>
      <c r="R24" s="590"/>
      <c r="S24" s="106"/>
      <c r="T24" s="590"/>
      <c r="U24" s="106"/>
      <c r="V24" s="590"/>
      <c r="W24" s="106"/>
      <c r="X24" s="590"/>
      <c r="Y24" s="106"/>
      <c r="Z24" s="590"/>
      <c r="AA24" s="106"/>
      <c r="AB24" s="590"/>
      <c r="AC24" s="106"/>
      <c r="AD24" s="590"/>
      <c r="AE24" s="106"/>
      <c r="AF24" s="776"/>
      <c r="AG24" s="105"/>
      <c r="AH24" s="105"/>
      <c r="AI24" s="112" t="str">
        <f t="shared" si="6"/>
        <v/>
      </c>
      <c r="CA24" s="2873" t="str">
        <f t="shared" si="8"/>
        <v/>
      </c>
      <c r="CB24" s="2873" t="str">
        <f t="shared" si="9"/>
        <v/>
      </c>
      <c r="CF24" s="1793">
        <f t="shared" si="10"/>
        <v>0</v>
      </c>
      <c r="CG24" s="1793">
        <f t="shared" si="10"/>
        <v>0</v>
      </c>
    </row>
    <row r="25" spans="1:86" ht="15" customHeight="1" x14ac:dyDescent="0.25">
      <c r="A25" s="596" t="s">
        <v>2434</v>
      </c>
      <c r="B25" s="3281">
        <f>SUM(C25:D25)</f>
        <v>0</v>
      </c>
      <c r="C25" s="586">
        <f t="shared" si="7"/>
        <v>0</v>
      </c>
      <c r="D25" s="777">
        <f t="shared" si="7"/>
        <v>0</v>
      </c>
      <c r="E25" s="3112"/>
      <c r="F25" s="3124"/>
      <c r="G25" s="3112"/>
      <c r="H25" s="3124"/>
      <c r="I25" s="3112"/>
      <c r="J25" s="3124"/>
      <c r="K25" s="3112"/>
      <c r="L25" s="3124"/>
      <c r="M25" s="3112"/>
      <c r="N25" s="3124"/>
      <c r="O25" s="3112"/>
      <c r="P25" s="3124"/>
      <c r="Q25" s="3112"/>
      <c r="R25" s="3124"/>
      <c r="S25" s="3112"/>
      <c r="T25" s="3124"/>
      <c r="U25" s="3112"/>
      <c r="V25" s="3124"/>
      <c r="W25" s="3112"/>
      <c r="X25" s="3124"/>
      <c r="Y25" s="3112"/>
      <c r="Z25" s="3124"/>
      <c r="AA25" s="3112"/>
      <c r="AB25" s="3124"/>
      <c r="AC25" s="3112"/>
      <c r="AD25" s="3124"/>
      <c r="AE25" s="3112"/>
      <c r="AF25" s="3169"/>
      <c r="AG25" s="117"/>
      <c r="AH25" s="117"/>
      <c r="AI25" s="112" t="str">
        <f t="shared" si="6"/>
        <v/>
      </c>
      <c r="CA25" s="2873" t="str">
        <f t="shared" si="8"/>
        <v/>
      </c>
      <c r="CB25" s="2873" t="str">
        <f t="shared" si="9"/>
        <v/>
      </c>
      <c r="CF25" s="1793">
        <f t="shared" si="10"/>
        <v>0</v>
      </c>
      <c r="CG25" s="1793">
        <f t="shared" si="10"/>
        <v>0</v>
      </c>
    </row>
    <row r="26" spans="1:86" s="17" customFormat="1" ht="18" customHeight="1" x14ac:dyDescent="0.2">
      <c r="A26" s="123" t="s">
        <v>2435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40"/>
      <c r="AH26" s="140"/>
      <c r="AI26" s="112"/>
    </row>
    <row r="27" spans="1:86" ht="15" customHeight="1" x14ac:dyDescent="0.25">
      <c r="A27" s="6484" t="s">
        <v>3896</v>
      </c>
      <c r="B27" s="6519" t="s">
        <v>24</v>
      </c>
      <c r="C27" s="6496"/>
      <c r="D27" s="6497"/>
      <c r="E27" s="6494" t="s">
        <v>4</v>
      </c>
      <c r="F27" s="6525"/>
      <c r="G27" s="6494" t="s">
        <v>5</v>
      </c>
      <c r="H27" s="6518"/>
      <c r="I27" s="6494" t="s">
        <v>6</v>
      </c>
      <c r="J27" s="6518"/>
      <c r="K27" s="6494" t="s">
        <v>7</v>
      </c>
      <c r="L27" s="6518"/>
      <c r="M27" s="6494" t="s">
        <v>8</v>
      </c>
      <c r="N27" s="6518"/>
      <c r="O27" s="6494" t="s">
        <v>9</v>
      </c>
      <c r="P27" s="6518"/>
      <c r="Q27" s="6494" t="s">
        <v>10</v>
      </c>
      <c r="R27" s="6518"/>
      <c r="S27" s="6494" t="s">
        <v>11</v>
      </c>
      <c r="T27" s="6518"/>
      <c r="U27" s="6494" t="s">
        <v>18</v>
      </c>
      <c r="V27" s="6518"/>
      <c r="W27" s="6494" t="s">
        <v>19</v>
      </c>
      <c r="X27" s="6518"/>
      <c r="Y27" s="6494" t="s">
        <v>20</v>
      </c>
      <c r="Z27" s="6518"/>
      <c r="AA27" s="6494" t="s">
        <v>70</v>
      </c>
      <c r="AB27" s="6518"/>
      <c r="AC27" s="6494" t="s">
        <v>71</v>
      </c>
      <c r="AD27" s="6518"/>
      <c r="AE27" s="6494" t="s">
        <v>32</v>
      </c>
      <c r="AF27" s="6495"/>
      <c r="AG27" s="6469" t="s">
        <v>2</v>
      </c>
      <c r="AH27" s="6528" t="s">
        <v>3</v>
      </c>
    </row>
    <row r="28" spans="1:86" ht="15" customHeight="1" x14ac:dyDescent="0.25">
      <c r="A28" s="6451"/>
      <c r="B28" s="4805" t="s">
        <v>26</v>
      </c>
      <c r="C28" s="4799" t="s">
        <v>22</v>
      </c>
      <c r="D28" s="3275" t="s">
        <v>27</v>
      </c>
      <c r="E28" s="3248" t="s">
        <v>22</v>
      </c>
      <c r="F28" s="3276" t="s">
        <v>27</v>
      </c>
      <c r="G28" s="3248" t="s">
        <v>22</v>
      </c>
      <c r="H28" s="3276" t="s">
        <v>27</v>
      </c>
      <c r="I28" s="3248" t="s">
        <v>22</v>
      </c>
      <c r="J28" s="3276" t="s">
        <v>27</v>
      </c>
      <c r="K28" s="3248" t="s">
        <v>22</v>
      </c>
      <c r="L28" s="3276" t="s">
        <v>27</v>
      </c>
      <c r="M28" s="3248" t="s">
        <v>22</v>
      </c>
      <c r="N28" s="3276" t="s">
        <v>27</v>
      </c>
      <c r="O28" s="3248" t="s">
        <v>22</v>
      </c>
      <c r="P28" s="3276" t="s">
        <v>27</v>
      </c>
      <c r="Q28" s="3248" t="s">
        <v>22</v>
      </c>
      <c r="R28" s="3276" t="s">
        <v>27</v>
      </c>
      <c r="S28" s="3248" t="s">
        <v>22</v>
      </c>
      <c r="T28" s="3276" t="s">
        <v>27</v>
      </c>
      <c r="U28" s="3248" t="s">
        <v>22</v>
      </c>
      <c r="V28" s="3276" t="s">
        <v>27</v>
      </c>
      <c r="W28" s="3248" t="s">
        <v>22</v>
      </c>
      <c r="X28" s="3276" t="s">
        <v>27</v>
      </c>
      <c r="Y28" s="3248" t="s">
        <v>22</v>
      </c>
      <c r="Z28" s="3276" t="s">
        <v>27</v>
      </c>
      <c r="AA28" s="3248" t="s">
        <v>22</v>
      </c>
      <c r="AB28" s="3276" t="s">
        <v>27</v>
      </c>
      <c r="AC28" s="3248" t="s">
        <v>22</v>
      </c>
      <c r="AD28" s="3276" t="s">
        <v>27</v>
      </c>
      <c r="AE28" s="3248" t="s">
        <v>22</v>
      </c>
      <c r="AF28" s="3277" t="s">
        <v>27</v>
      </c>
      <c r="AG28" s="6461"/>
      <c r="AH28" s="6529"/>
    </row>
    <row r="29" spans="1:86" ht="15" customHeight="1" x14ac:dyDescent="0.25">
      <c r="A29" s="3282" t="s">
        <v>33</v>
      </c>
      <c r="B29" s="4806">
        <f>SUM(C29:D29)</f>
        <v>0</v>
      </c>
      <c r="C29" s="4803">
        <f>SUM(E29+G29+I29+K29+M29+O29+Q29+S29+U29+W29+Y29+AA29+AC29+AE29)</f>
        <v>0</v>
      </c>
      <c r="D29" s="3284">
        <f>SUM(F29+H29+J29+L29+N29+P29+R29+T29+V29+X29+Z29+AB29+AD29+AF29)</f>
        <v>0</v>
      </c>
      <c r="E29" s="3216"/>
      <c r="F29" s="3217"/>
      <c r="G29" s="3216"/>
      <c r="H29" s="3217"/>
      <c r="I29" s="3216"/>
      <c r="J29" s="3217"/>
      <c r="K29" s="3216"/>
      <c r="L29" s="3217"/>
      <c r="M29" s="3216"/>
      <c r="N29" s="3217"/>
      <c r="O29" s="3216"/>
      <c r="P29" s="3217"/>
      <c r="Q29" s="3216"/>
      <c r="R29" s="3217"/>
      <c r="S29" s="3216"/>
      <c r="T29" s="3217"/>
      <c r="U29" s="3216"/>
      <c r="V29" s="3217"/>
      <c r="W29" s="3216"/>
      <c r="X29" s="3217"/>
      <c r="Y29" s="3216"/>
      <c r="Z29" s="3217"/>
      <c r="AA29" s="3216"/>
      <c r="AB29" s="3217"/>
      <c r="AC29" s="3216"/>
      <c r="AD29" s="3217"/>
      <c r="AE29" s="3216"/>
      <c r="AF29" s="3285"/>
      <c r="AG29" s="3223"/>
      <c r="AH29" s="3223"/>
      <c r="AI29" s="112" t="str">
        <f t="shared" ref="AI29:AI30" si="11">$CA29&amp;CB29</f>
        <v/>
      </c>
      <c r="CA29" s="2873" t="str">
        <f t="shared" ref="CA29:CA30" si="12">IF(AND($B29&lt;&gt;0,AG29=""),"* No olvide ingresar la columna "&amp;AG$19&amp;""&amp;" (Digite CERO si no tiene).  ",IF(AG29&gt;$B29,"* El Número de Pueblos Originarios no puede superar el Total. ",""))</f>
        <v/>
      </c>
      <c r="CB29" s="2873" t="str">
        <f t="shared" ref="CB29:CB30" si="13">IF(AND($B29&lt;&gt;0,AH29=""),"* No olvide ingresar la columna "&amp;AH$19&amp;""&amp;" (Digite CERO si no tiene).  ",IF(AH29&gt;$B29,"* El Número de Migrantes no puede superar el Total. ",""))</f>
        <v/>
      </c>
      <c r="CF29" s="1793">
        <f t="shared" ref="CF29:CG30" si="14">IF(AND($B29&lt;&gt;0,AG29=""),1,IF(AG29&gt;$B29,1,0))</f>
        <v>0</v>
      </c>
      <c r="CG29" s="1793">
        <f t="shared" si="14"/>
        <v>0</v>
      </c>
    </row>
    <row r="30" spans="1:86" ht="15" customHeight="1" x14ac:dyDescent="0.25">
      <c r="A30" s="207" t="s">
        <v>2436</v>
      </c>
      <c r="B30" s="3281">
        <f>SUM(C30:D30)</f>
        <v>0</v>
      </c>
      <c r="C30" s="586">
        <f>SUM(E30+G30+I30+K30+M30+O30+Q30+S30+U30+W30+Y30+AA30+AC30+AE30)</f>
        <v>0</v>
      </c>
      <c r="D30" s="777">
        <f>SUM(F30+H30+J30+L30+N30+P30+R30+T30+V30+X30+Z30+AB30+AD30+AF30)</f>
        <v>0</v>
      </c>
      <c r="E30" s="2498"/>
      <c r="F30" s="3013"/>
      <c r="G30" s="2498"/>
      <c r="H30" s="3013"/>
      <c r="I30" s="2498"/>
      <c r="J30" s="3013"/>
      <c r="K30" s="2498"/>
      <c r="L30" s="3013"/>
      <c r="M30" s="2498"/>
      <c r="N30" s="3013"/>
      <c r="O30" s="2498"/>
      <c r="P30" s="3013"/>
      <c r="Q30" s="2498"/>
      <c r="R30" s="3013"/>
      <c r="S30" s="2498"/>
      <c r="T30" s="3013"/>
      <c r="U30" s="2498"/>
      <c r="V30" s="3013"/>
      <c r="W30" s="2498"/>
      <c r="X30" s="3013"/>
      <c r="Y30" s="2498"/>
      <c r="Z30" s="3013"/>
      <c r="AA30" s="2498"/>
      <c r="AB30" s="3013"/>
      <c r="AC30" s="2498"/>
      <c r="AD30" s="3013"/>
      <c r="AE30" s="2498"/>
      <c r="AF30" s="3012"/>
      <c r="AG30" s="2501"/>
      <c r="AH30" s="153"/>
      <c r="AI30" s="112" t="str">
        <f t="shared" si="11"/>
        <v/>
      </c>
      <c r="CA30" s="2873" t="str">
        <f t="shared" si="12"/>
        <v/>
      </c>
      <c r="CB30" s="2873" t="str">
        <f t="shared" si="13"/>
        <v/>
      </c>
      <c r="CF30" s="1793">
        <f t="shared" si="14"/>
        <v>0</v>
      </c>
      <c r="CG30" s="1793">
        <f t="shared" si="14"/>
        <v>0</v>
      </c>
    </row>
    <row r="31" spans="1:86" ht="18" customHeight="1" x14ac:dyDescent="0.25">
      <c r="A31" s="123" t="s">
        <v>2437</v>
      </c>
      <c r="B31" s="419"/>
      <c r="C31" s="419"/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779"/>
      <c r="P31" s="419"/>
      <c r="Q31" s="3100"/>
      <c r="R31" s="3100"/>
      <c r="S31" s="3100"/>
      <c r="T31" s="3100"/>
      <c r="U31" s="3100"/>
      <c r="V31" s="3100"/>
      <c r="W31" s="3100"/>
      <c r="X31" s="3100"/>
      <c r="Y31" s="3100"/>
      <c r="Z31" s="3100"/>
      <c r="AA31" s="3100"/>
      <c r="AB31" s="3100"/>
      <c r="AC31" s="3100"/>
      <c r="AD31" s="3100"/>
      <c r="AE31" s="3100"/>
      <c r="AF31" s="102"/>
      <c r="AG31" s="3286"/>
      <c r="AH31" s="780"/>
    </row>
    <row r="32" spans="1:86" ht="15" customHeight="1" x14ac:dyDescent="0.25">
      <c r="A32" s="6484" t="s">
        <v>3896</v>
      </c>
      <c r="B32" s="6519" t="s">
        <v>24</v>
      </c>
      <c r="C32" s="6496"/>
      <c r="D32" s="6497"/>
      <c r="E32" s="6494" t="s">
        <v>4</v>
      </c>
      <c r="F32" s="6525"/>
      <c r="G32" s="6494" t="s">
        <v>5</v>
      </c>
      <c r="H32" s="6518"/>
      <c r="I32" s="6494" t="s">
        <v>6</v>
      </c>
      <c r="J32" s="6518"/>
      <c r="K32" s="6494" t="s">
        <v>7</v>
      </c>
      <c r="L32" s="6518"/>
      <c r="M32" s="6494" t="s">
        <v>8</v>
      </c>
      <c r="N32" s="6518"/>
      <c r="O32" s="6494" t="s">
        <v>9</v>
      </c>
      <c r="P32" s="6518"/>
      <c r="Q32" s="6494" t="s">
        <v>10</v>
      </c>
      <c r="R32" s="6518"/>
      <c r="S32" s="6494" t="s">
        <v>11</v>
      </c>
      <c r="T32" s="6518"/>
      <c r="U32" s="6494" t="s">
        <v>18</v>
      </c>
      <c r="V32" s="6518"/>
      <c r="W32" s="6494" t="s">
        <v>19</v>
      </c>
      <c r="X32" s="6518"/>
      <c r="Y32" s="6494" t="s">
        <v>20</v>
      </c>
      <c r="Z32" s="6518"/>
      <c r="AA32" s="6494" t="s">
        <v>70</v>
      </c>
      <c r="AB32" s="6518"/>
      <c r="AC32" s="6494" t="s">
        <v>71</v>
      </c>
      <c r="AD32" s="6518"/>
      <c r="AE32" s="6494" t="s">
        <v>32</v>
      </c>
      <c r="AF32" s="6495"/>
      <c r="AG32" s="6469" t="s">
        <v>2</v>
      </c>
      <c r="AH32" s="6469" t="s">
        <v>3</v>
      </c>
    </row>
    <row r="33" spans="1:85" ht="15" customHeight="1" x14ac:dyDescent="0.25">
      <c r="A33" s="6451"/>
      <c r="B33" s="4805" t="s">
        <v>26</v>
      </c>
      <c r="C33" s="4804" t="s">
        <v>22</v>
      </c>
      <c r="D33" s="3275" t="s">
        <v>27</v>
      </c>
      <c r="E33" s="3248" t="s">
        <v>22</v>
      </c>
      <c r="F33" s="3276" t="s">
        <v>27</v>
      </c>
      <c r="G33" s="3248" t="s">
        <v>22</v>
      </c>
      <c r="H33" s="3276" t="s">
        <v>27</v>
      </c>
      <c r="I33" s="3248" t="s">
        <v>22</v>
      </c>
      <c r="J33" s="3276" t="s">
        <v>27</v>
      </c>
      <c r="K33" s="3248" t="s">
        <v>22</v>
      </c>
      <c r="L33" s="3276" t="s">
        <v>27</v>
      </c>
      <c r="M33" s="3248" t="s">
        <v>22</v>
      </c>
      <c r="N33" s="3276" t="s">
        <v>27</v>
      </c>
      <c r="O33" s="3248" t="s">
        <v>22</v>
      </c>
      <c r="P33" s="3276" t="s">
        <v>27</v>
      </c>
      <c r="Q33" s="3248" t="s">
        <v>22</v>
      </c>
      <c r="R33" s="3276" t="s">
        <v>27</v>
      </c>
      <c r="S33" s="3248" t="s">
        <v>22</v>
      </c>
      <c r="T33" s="3276" t="s">
        <v>27</v>
      </c>
      <c r="U33" s="3248" t="s">
        <v>22</v>
      </c>
      <c r="V33" s="3276" t="s">
        <v>27</v>
      </c>
      <c r="W33" s="3248" t="s">
        <v>22</v>
      </c>
      <c r="X33" s="3276" t="s">
        <v>27</v>
      </c>
      <c r="Y33" s="3248" t="s">
        <v>22</v>
      </c>
      <c r="Z33" s="3276" t="s">
        <v>27</v>
      </c>
      <c r="AA33" s="3248" t="s">
        <v>22</v>
      </c>
      <c r="AB33" s="3276" t="s">
        <v>27</v>
      </c>
      <c r="AC33" s="3248" t="s">
        <v>22</v>
      </c>
      <c r="AD33" s="3276" t="s">
        <v>27</v>
      </c>
      <c r="AE33" s="3248" t="s">
        <v>22</v>
      </c>
      <c r="AF33" s="3277" t="s">
        <v>27</v>
      </c>
      <c r="AG33" s="6461"/>
      <c r="AH33" s="6461"/>
    </row>
    <row r="34" spans="1:85" ht="15" customHeight="1" x14ac:dyDescent="0.25">
      <c r="A34" s="3287" t="s">
        <v>2438</v>
      </c>
      <c r="B34" s="1131">
        <f>SUM(C34:D34)</f>
        <v>0</v>
      </c>
      <c r="C34" s="4289">
        <f>SUM(E34+G34+I34+K34+M34+O34+Q34+S34+U34+W34+Y34+AA34+AC34+AE34)</f>
        <v>0</v>
      </c>
      <c r="D34" s="3280">
        <f>SUM(F34+H34+J34+L34+N34+P34+R34+T34+V34+X34+Z34+AB34+AD34+AF34)</f>
        <v>0</v>
      </c>
      <c r="E34" s="106"/>
      <c r="F34" s="590"/>
      <c r="G34" s="106"/>
      <c r="H34" s="590"/>
      <c r="I34" s="106"/>
      <c r="J34" s="590"/>
      <c r="K34" s="106"/>
      <c r="L34" s="590"/>
      <c r="M34" s="106"/>
      <c r="N34" s="590"/>
      <c r="O34" s="106"/>
      <c r="P34" s="590"/>
      <c r="Q34" s="106"/>
      <c r="R34" s="590"/>
      <c r="S34" s="106"/>
      <c r="T34" s="590"/>
      <c r="U34" s="106"/>
      <c r="V34" s="590"/>
      <c r="W34" s="106"/>
      <c r="X34" s="590"/>
      <c r="Y34" s="106"/>
      <c r="Z34" s="590"/>
      <c r="AA34" s="106"/>
      <c r="AB34" s="590"/>
      <c r="AC34" s="106"/>
      <c r="AD34" s="590"/>
      <c r="AE34" s="106"/>
      <c r="AF34" s="776"/>
      <c r="AG34" s="3223"/>
      <c r="AH34" s="3223"/>
      <c r="AI34" s="112" t="str">
        <f>$CA34&amp;CB34</f>
        <v/>
      </c>
      <c r="CA34" s="2873" t="str">
        <f>IF(AND($B34&lt;&gt;0,AG34=""),"* No olvide ingresar la columna "&amp;AG$19&amp;""&amp;" (Digite CERO si no tiene).  ",IF(AG34&gt;$B34,"* El Número de Pueblos Originarios no puede superar el Total. ",""))</f>
        <v/>
      </c>
      <c r="CB34" s="2873" t="str">
        <f>IF(AND($B34&lt;&gt;0,AH34=""),"* No olvide ingresar la columna "&amp;AH$19&amp;""&amp;" (Digite CERO si no tiene).  ",IF(AH34&gt;$B34,"* El Número de Migrantes no puede superar el Total. ",""))</f>
        <v/>
      </c>
      <c r="CF34" s="1793">
        <f>IF(AND($B34&lt;&gt;0,AG34=""),1,IF(AG34&gt;$B34,1,0))</f>
        <v>0</v>
      </c>
      <c r="CG34" s="1793">
        <f>IF(AND($B34&lt;&gt;0,AH34=""),1,IF(AH34&gt;$B34,1,0))</f>
        <v>0</v>
      </c>
    </row>
    <row r="35" spans="1:85" ht="15" customHeight="1" x14ac:dyDescent="0.25">
      <c r="A35" s="3083" t="s">
        <v>2439</v>
      </c>
      <c r="B35" s="3281">
        <f>SUM(C35:D35)</f>
        <v>0</v>
      </c>
      <c r="C35" s="586">
        <f>SUM(E35+G35+I35+K35+M35+O35+Q35+S35+U35+W35+Y35+AA35+AC35+AE35)</f>
        <v>0</v>
      </c>
      <c r="D35" s="777">
        <f>SUM(F35+H35+J35+L35+N35+P35+R35+T35+V35+X35+Z35+AB35+AD35+AF35)</f>
        <v>0</v>
      </c>
      <c r="E35" s="3112"/>
      <c r="F35" s="3124"/>
      <c r="G35" s="3112"/>
      <c r="H35" s="3124"/>
      <c r="I35" s="3112"/>
      <c r="J35" s="3124"/>
      <c r="K35" s="3112"/>
      <c r="L35" s="3124"/>
      <c r="M35" s="3112"/>
      <c r="N35" s="3124"/>
      <c r="O35" s="3112"/>
      <c r="P35" s="3124"/>
      <c r="Q35" s="3112"/>
      <c r="R35" s="3124"/>
      <c r="S35" s="3112"/>
      <c r="T35" s="3124"/>
      <c r="U35" s="3112"/>
      <c r="V35" s="3124"/>
      <c r="W35" s="3112"/>
      <c r="X35" s="3124"/>
      <c r="Y35" s="3112"/>
      <c r="Z35" s="3124"/>
      <c r="AA35" s="3112"/>
      <c r="AB35" s="3124"/>
      <c r="AC35" s="3112"/>
      <c r="AD35" s="3124"/>
      <c r="AE35" s="3112"/>
      <c r="AF35" s="3169"/>
      <c r="AG35" s="2501"/>
      <c r="AH35" s="2501"/>
      <c r="AI35" s="112" t="str">
        <f>$CA35&amp;CB35</f>
        <v/>
      </c>
      <c r="CA35" s="2873" t="str">
        <f>IF(AND($B35&lt;&gt;0,AG35=""),"* No olvide ingresar la columna "&amp;AG$19&amp;""&amp;" (Digite CERO si no tiene).  ",IF(AG35&gt;$B35,"* El Número de Pueblos Originarios no puede superar el Total. ",""))</f>
        <v/>
      </c>
      <c r="CB35" s="2873" t="str">
        <f>IF(AND($B35&lt;&gt;0,AH35=""),"* No olvide ingresar la columna "&amp;AH$19&amp;""&amp;" (Digite CERO si no tiene).  ",IF(AH35&gt;$B35,"* El Número de Migrantes no puede superar el Total. ",""))</f>
        <v/>
      </c>
      <c r="CF35" s="1793">
        <f>IF(AND($B35&lt;&gt;0,AG35=""),1,IF(AG35&gt;$B35,1,0))</f>
        <v>0</v>
      </c>
      <c r="CG35" s="1793">
        <f>IF(AND($B35&lt;&gt;0,AH35=""),1,IF(AH35&gt;$B35,1,0))</f>
        <v>0</v>
      </c>
    </row>
    <row r="51" spans="1:130" s="782" customFormat="1" ht="16.5" hidden="1" customHeight="1" x14ac:dyDescent="0.2">
      <c r="A51" s="3266">
        <f>SUM(B12:B17,B22:B25,B29:B30,B34:B35)</f>
        <v>0</v>
      </c>
      <c r="B51" s="3266">
        <f>SUM(CF12:CH35)</f>
        <v>0</v>
      </c>
      <c r="CA51" s="2660"/>
      <c r="CB51" s="2660"/>
      <c r="CC51" s="2660"/>
      <c r="CD51" s="2660"/>
      <c r="CE51" s="2660"/>
      <c r="CF51" s="2660"/>
      <c r="CG51" s="2660"/>
      <c r="CH51" s="2660"/>
      <c r="CI51" s="2660"/>
      <c r="CJ51" s="2660"/>
      <c r="CK51" s="2660"/>
      <c r="CL51" s="2660"/>
      <c r="CM51" s="2660"/>
      <c r="CN51" s="2660"/>
      <c r="CO51" s="2660"/>
      <c r="CP51" s="2660"/>
      <c r="CQ51" s="2660"/>
      <c r="CR51" s="2660"/>
      <c r="CS51" s="2660"/>
      <c r="CT51" s="2660"/>
      <c r="CU51" s="2660"/>
      <c r="CV51" s="2660"/>
      <c r="CW51" s="2660"/>
      <c r="CX51" s="2660"/>
      <c r="CY51" s="2660"/>
      <c r="CZ51" s="2660"/>
      <c r="DA51" s="2660"/>
      <c r="DB51" s="2660"/>
      <c r="DC51" s="2660"/>
      <c r="DD51" s="2660"/>
      <c r="DE51" s="2660"/>
      <c r="DF51" s="2660"/>
      <c r="DG51" s="2660"/>
      <c r="DH51" s="2660"/>
      <c r="DI51" s="2660"/>
      <c r="DJ51" s="2660"/>
      <c r="DK51" s="2660"/>
      <c r="DL51" s="2660"/>
      <c r="DM51" s="2660"/>
      <c r="DN51" s="2660"/>
      <c r="DO51" s="2660"/>
      <c r="DP51" s="2660"/>
      <c r="DQ51" s="2660"/>
      <c r="DR51" s="2660"/>
      <c r="DS51" s="2660"/>
      <c r="DT51" s="2660"/>
      <c r="DU51" s="2660"/>
      <c r="DV51" s="2660"/>
      <c r="DW51" s="2660"/>
      <c r="DX51" s="2660"/>
      <c r="DY51" s="2660"/>
      <c r="DZ51" s="2660"/>
    </row>
  </sheetData>
  <sheetProtection algorithmName="SHA-512" hashValue="9gkSXWo8yWRF0gESVuse2/G8fKczUlqX+07Jg33PP6GuNr2oyjJ5l83j8IPUD4XO1b0QeU+SbtdI7rJA6IKRJA==" saltValue="QKGbJ1toC6LNTt/E0M5y6A==" spinCount="100000" sheet="1" objects="1" scenarios="1"/>
  <mergeCells count="59">
    <mergeCell ref="AA32:AB32"/>
    <mergeCell ref="AC32:AD32"/>
    <mergeCell ref="AE32:AF32"/>
    <mergeCell ref="AG32:AG33"/>
    <mergeCell ref="AH32:AH33"/>
    <mergeCell ref="O32:P32"/>
    <mergeCell ref="Q32:R32"/>
    <mergeCell ref="S32:T32"/>
    <mergeCell ref="U32:V32"/>
    <mergeCell ref="W32:X32"/>
    <mergeCell ref="Y32:Z32"/>
    <mergeCell ref="AE27:AF27"/>
    <mergeCell ref="AG27:AG28"/>
    <mergeCell ref="AH27:AH28"/>
    <mergeCell ref="A32:A33"/>
    <mergeCell ref="B32:D32"/>
    <mergeCell ref="E32:F32"/>
    <mergeCell ref="G32:H32"/>
    <mergeCell ref="I32:J32"/>
    <mergeCell ref="K32:L32"/>
    <mergeCell ref="M32:N32"/>
    <mergeCell ref="S27:T27"/>
    <mergeCell ref="U27:V27"/>
    <mergeCell ref="W27:X27"/>
    <mergeCell ref="Y27:Z27"/>
    <mergeCell ref="AA27:AB27"/>
    <mergeCell ref="AC27:AD27"/>
    <mergeCell ref="AH19:AH20"/>
    <mergeCell ref="A27:A28"/>
    <mergeCell ref="B27:D27"/>
    <mergeCell ref="E27:F27"/>
    <mergeCell ref="G27:H27"/>
    <mergeCell ref="I27:J27"/>
    <mergeCell ref="K27:L27"/>
    <mergeCell ref="M27:N27"/>
    <mergeCell ref="O27:P27"/>
    <mergeCell ref="Q27:R27"/>
    <mergeCell ref="W19:X19"/>
    <mergeCell ref="Y19:Z19"/>
    <mergeCell ref="AA19:AB19"/>
    <mergeCell ref="AC19:AD19"/>
    <mergeCell ref="AE19:AF19"/>
    <mergeCell ref="AG19:AG20"/>
    <mergeCell ref="K19:L19"/>
    <mergeCell ref="M19:N19"/>
    <mergeCell ref="O19:P19"/>
    <mergeCell ref="Q19:R19"/>
    <mergeCell ref="S19:T19"/>
    <mergeCell ref="U19:V19"/>
    <mergeCell ref="A6:AD6"/>
    <mergeCell ref="A9:A10"/>
    <mergeCell ref="B9:D9"/>
    <mergeCell ref="E9:E10"/>
    <mergeCell ref="F9:F10"/>
    <mergeCell ref="A19:A20"/>
    <mergeCell ref="B19:D19"/>
    <mergeCell ref="E19:F19"/>
    <mergeCell ref="G19:H19"/>
    <mergeCell ref="I19:J19"/>
  </mergeCells>
  <dataValidations count="2">
    <dataValidation type="whole" operator="greaterThanOrEqual" allowBlank="1" showInputMessage="1" showErrorMessage="1" sqref="E29:AH30 E34:AH35 E22:AH25 C12:F17" xr:uid="{00000000-0002-0000-0200-000000000000}">
      <formula1>0</formula1>
    </dataValidation>
    <dataValidation operator="notBetween" allowBlank="1" showInputMessage="1" showErrorMessage="1" error="Valor no Permitido" sqref="A30" xr:uid="{00000000-0002-0000-0200-000001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DZ346"/>
  <sheetViews>
    <sheetView showGridLines="0" zoomScaleNormal="100" workbookViewId="0"/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12" width="15.7109375" customWidth="1"/>
    <col min="23" max="23" width="13.140625" customWidth="1"/>
    <col min="53" max="61" width="11.42578125" customWidth="1"/>
    <col min="72" max="78" width="16" customWidth="1"/>
    <col min="79" max="94" width="11.42578125" hidden="1" customWidth="1"/>
    <col min="95" max="130" width="11.42578125" customWidth="1"/>
  </cols>
  <sheetData>
    <row r="1" spans="1:130" x14ac:dyDescent="0.25">
      <c r="A1" s="779" t="s">
        <v>3878</v>
      </c>
    </row>
    <row r="2" spans="1:130" x14ac:dyDescent="0.25">
      <c r="A2" s="779" t="str">
        <f>CONCATENATE("COMUNA: ",NOMBRE!B2," - ","( ",NOMBRE!C2,NOMBRE!D2,NOMBRE!E2,NOMBRE!F2,NOMBRE!G2," )")</f>
        <v>COMUNA:  - (  )</v>
      </c>
    </row>
    <row r="3" spans="1:130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30" x14ac:dyDescent="0.25">
      <c r="A4" s="779" t="str">
        <f>CONCATENATE("MES: ",NOMBRE!B6," - ","( ",NOMBRE!C6,NOMBRE!D6," )")</f>
        <v>MES:  - (  )</v>
      </c>
    </row>
    <row r="5" spans="1:130" x14ac:dyDescent="0.25">
      <c r="A5" s="779" t="str">
        <f>CONCATENATE("AÑO: ",NOMBRE!B7)</f>
        <v>AÑO: 2024</v>
      </c>
    </row>
    <row r="6" spans="1:130" s="602" customFormat="1" ht="18" customHeight="1" x14ac:dyDescent="0.25">
      <c r="A6" s="6447" t="s">
        <v>2440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  <c r="O6" s="6447"/>
      <c r="P6" s="6447"/>
      <c r="Q6" s="6447"/>
      <c r="R6" s="6447"/>
      <c r="S6" s="6447"/>
      <c r="T6" s="6447"/>
      <c r="U6" s="6447"/>
      <c r="V6" s="6447"/>
      <c r="W6" s="6447"/>
      <c r="X6" s="6447"/>
      <c r="Y6" s="6549"/>
      <c r="Z6" s="937"/>
      <c r="AA6" s="937"/>
      <c r="AB6" s="3288"/>
      <c r="AC6" s="3288"/>
      <c r="AD6" s="3288"/>
      <c r="AE6" s="3288"/>
      <c r="AF6" s="3288"/>
      <c r="AG6" s="3288"/>
      <c r="AH6" s="3288"/>
      <c r="AI6" s="3288"/>
      <c r="AJ6" s="3288"/>
      <c r="AK6" s="3288"/>
      <c r="AL6" s="3288"/>
      <c r="AM6" s="3288"/>
      <c r="AN6" s="3288"/>
      <c r="AO6" s="3288"/>
      <c r="AP6" s="3288"/>
      <c r="AQ6" s="3288"/>
      <c r="AR6" s="3288"/>
      <c r="AS6" s="3288"/>
      <c r="AT6" s="3288"/>
      <c r="AU6" s="3288"/>
      <c r="AV6" s="3288"/>
      <c r="AW6" s="3288"/>
      <c r="AX6" s="3288"/>
      <c r="AY6" s="3288"/>
      <c r="AZ6" s="3288"/>
      <c r="BA6" s="3289"/>
      <c r="BB6" s="3289"/>
      <c r="BC6" s="3289"/>
      <c r="BD6" s="3289"/>
      <c r="BE6" s="3289"/>
      <c r="BF6" s="3289"/>
      <c r="BG6" s="3289"/>
      <c r="BH6" s="3289"/>
      <c r="BI6" s="3289"/>
      <c r="BJ6" s="3289"/>
      <c r="BK6" s="3289"/>
      <c r="BL6" s="3289"/>
      <c r="BM6" s="3289"/>
      <c r="BN6" s="3289"/>
      <c r="BO6" s="3289"/>
      <c r="BP6" s="3289"/>
      <c r="BQ6" s="3289"/>
      <c r="BR6" s="3289"/>
      <c r="BS6" s="3289"/>
      <c r="BT6" s="3288"/>
      <c r="BU6" s="3288"/>
      <c r="BV6" s="3288"/>
      <c r="BW6" s="3288"/>
      <c r="BX6" s="3288"/>
      <c r="BY6" s="3288"/>
      <c r="BZ6" s="3288"/>
      <c r="CA6" s="3290"/>
      <c r="CB6" s="3290"/>
      <c r="CC6" s="3290"/>
      <c r="CD6" s="3290"/>
      <c r="CE6" s="3290"/>
      <c r="CF6" s="3290"/>
      <c r="CG6" s="3290"/>
      <c r="CH6" s="3290"/>
      <c r="CI6" s="3290"/>
      <c r="CJ6" s="3290"/>
      <c r="CK6" s="3290"/>
      <c r="CL6" s="3290"/>
      <c r="CM6" s="3290"/>
      <c r="CN6" s="3290"/>
      <c r="CO6" s="3290"/>
      <c r="CP6" s="3290"/>
      <c r="CQ6" s="3290"/>
      <c r="CR6" s="3290"/>
      <c r="CS6" s="3290"/>
      <c r="CT6" s="3290"/>
      <c r="CU6" s="3290"/>
      <c r="CV6" s="3290"/>
      <c r="CW6" s="3290"/>
      <c r="CX6" s="3290"/>
      <c r="CY6" s="3290"/>
      <c r="CZ6" s="3290"/>
      <c r="DA6" s="3290"/>
      <c r="DB6" s="3290"/>
      <c r="DC6" s="3290"/>
      <c r="DD6" s="3290"/>
      <c r="DE6" s="3290"/>
      <c r="DF6" s="3290"/>
      <c r="DG6" s="3290"/>
      <c r="DH6" s="3290"/>
      <c r="DI6" s="3290"/>
      <c r="DJ6" s="3290"/>
      <c r="DK6" s="3290"/>
      <c r="DL6" s="3290"/>
      <c r="DM6" s="3290"/>
      <c r="DN6" s="3290"/>
      <c r="DO6" s="3290"/>
      <c r="DP6" s="3290"/>
      <c r="DQ6" s="3290"/>
      <c r="DR6" s="3290"/>
      <c r="DS6" s="3290"/>
      <c r="DT6" s="3290"/>
      <c r="DU6" s="3290"/>
      <c r="DV6" s="3290"/>
      <c r="DW6" s="3290"/>
      <c r="DX6" s="3290"/>
      <c r="DY6" s="3290"/>
      <c r="DZ6" s="3290"/>
    </row>
    <row r="8" spans="1:130" ht="18" customHeight="1" x14ac:dyDescent="0.25">
      <c r="A8" s="123" t="s">
        <v>2441</v>
      </c>
      <c r="B8" s="3291"/>
      <c r="C8" s="3291"/>
      <c r="D8" s="3291"/>
      <c r="E8" s="3291"/>
      <c r="F8" s="3291"/>
      <c r="G8" s="3291"/>
      <c r="H8" s="3291"/>
      <c r="I8" s="3291"/>
      <c r="J8" s="3291"/>
      <c r="K8" s="3291"/>
      <c r="L8" s="3291"/>
      <c r="M8" s="3291"/>
      <c r="N8" s="3291"/>
      <c r="O8" s="3291"/>
      <c r="P8" s="3292"/>
      <c r="Q8" s="3293"/>
      <c r="R8" s="937"/>
      <c r="S8" s="937"/>
      <c r="T8" s="937"/>
      <c r="U8" s="937"/>
      <c r="V8" s="937"/>
      <c r="W8" s="937"/>
      <c r="X8" s="937"/>
      <c r="Y8" s="937"/>
    </row>
    <row r="9" spans="1:130" ht="18" customHeight="1" x14ac:dyDescent="0.25">
      <c r="A9" s="3150" t="s">
        <v>2442</v>
      </c>
      <c r="B9" s="2998"/>
      <c r="C9" s="2998"/>
      <c r="D9" s="2998"/>
      <c r="E9" s="2998"/>
      <c r="F9" s="1749"/>
      <c r="G9" s="2718"/>
      <c r="H9" s="3294"/>
      <c r="I9" s="3295"/>
      <c r="J9" s="2718"/>
      <c r="K9" s="3296"/>
      <c r="L9" s="2718"/>
      <c r="M9" s="3297"/>
      <c r="N9" s="3295"/>
      <c r="O9" s="3295"/>
      <c r="P9" s="3298"/>
      <c r="Q9" s="2718"/>
      <c r="R9" s="3297"/>
      <c r="S9" s="3297"/>
      <c r="T9" s="3297"/>
      <c r="U9" s="3297"/>
      <c r="V9" s="3297"/>
      <c r="W9" s="3297"/>
      <c r="X9" s="3297"/>
      <c r="Y9" s="3295"/>
    </row>
    <row r="10" spans="1:130" ht="15" customHeight="1" x14ac:dyDescent="0.25">
      <c r="A10" s="6550" t="s">
        <v>2443</v>
      </c>
      <c r="B10" s="6550"/>
      <c r="C10" s="6501" t="s">
        <v>35</v>
      </c>
      <c r="D10" s="6468"/>
      <c r="E10" s="6469"/>
      <c r="F10" s="6494" t="s">
        <v>30</v>
      </c>
      <c r="G10" s="6474"/>
      <c r="H10" s="6474"/>
      <c r="I10" s="6474"/>
      <c r="J10" s="6474"/>
      <c r="K10" s="6474"/>
      <c r="L10" s="6474"/>
      <c r="M10" s="6474"/>
      <c r="N10" s="6474"/>
      <c r="O10" s="6474"/>
      <c r="P10" s="6474"/>
      <c r="Q10" s="6474"/>
      <c r="R10" s="6474"/>
      <c r="S10" s="6474"/>
      <c r="T10" s="6474"/>
      <c r="U10" s="6474"/>
      <c r="V10" s="6474"/>
      <c r="W10" s="6474"/>
      <c r="X10" s="6474"/>
      <c r="Y10" s="6518"/>
    </row>
    <row r="11" spans="1:130" ht="15" customHeight="1" x14ac:dyDescent="0.25">
      <c r="A11" s="6550"/>
      <c r="B11" s="6550"/>
      <c r="C11" s="6503"/>
      <c r="D11" s="6476"/>
      <c r="E11" s="6461"/>
      <c r="F11" s="6494" t="s">
        <v>2741</v>
      </c>
      <c r="G11" s="6518"/>
      <c r="H11" s="6494" t="s">
        <v>547</v>
      </c>
      <c r="I11" s="6518"/>
      <c r="J11" s="6494" t="s">
        <v>548</v>
      </c>
      <c r="K11" s="6518"/>
      <c r="L11" s="6494" t="s">
        <v>549</v>
      </c>
      <c r="M11" s="6518"/>
      <c r="N11" s="6494" t="s">
        <v>550</v>
      </c>
      <c r="O11" s="6518"/>
      <c r="P11" s="6494" t="s">
        <v>2391</v>
      </c>
      <c r="Q11" s="6518"/>
      <c r="R11" s="6494" t="s">
        <v>552</v>
      </c>
      <c r="S11" s="6518"/>
      <c r="T11" s="6494" t="s">
        <v>2444</v>
      </c>
      <c r="U11" s="6518"/>
      <c r="V11" s="6494" t="s">
        <v>2445</v>
      </c>
      <c r="W11" s="6518"/>
      <c r="X11" s="6494" t="s">
        <v>2446</v>
      </c>
      <c r="Y11" s="6518"/>
    </row>
    <row r="12" spans="1:130" ht="15" customHeight="1" x14ac:dyDescent="0.25">
      <c r="A12" s="6550"/>
      <c r="B12" s="6550"/>
      <c r="C12" s="3242" t="s">
        <v>26</v>
      </c>
      <c r="D12" s="3249" t="s">
        <v>22</v>
      </c>
      <c r="E12" s="3250" t="s">
        <v>27</v>
      </c>
      <c r="F12" s="2020" t="s">
        <v>22</v>
      </c>
      <c r="G12" s="3250" t="s">
        <v>27</v>
      </c>
      <c r="H12" s="2020" t="s">
        <v>22</v>
      </c>
      <c r="I12" s="3250" t="s">
        <v>27</v>
      </c>
      <c r="J12" s="2020" t="s">
        <v>22</v>
      </c>
      <c r="K12" s="3250" t="s">
        <v>27</v>
      </c>
      <c r="L12" s="2020" t="s">
        <v>22</v>
      </c>
      <c r="M12" s="3250" t="s">
        <v>27</v>
      </c>
      <c r="N12" s="2020" t="s">
        <v>22</v>
      </c>
      <c r="O12" s="3250" t="s">
        <v>27</v>
      </c>
      <c r="P12" s="2020" t="s">
        <v>22</v>
      </c>
      <c r="Q12" s="3250" t="s">
        <v>27</v>
      </c>
      <c r="R12" s="2020" t="s">
        <v>22</v>
      </c>
      <c r="S12" s="3250" t="s">
        <v>27</v>
      </c>
      <c r="T12" s="2020" t="s">
        <v>22</v>
      </c>
      <c r="U12" s="3250" t="s">
        <v>27</v>
      </c>
      <c r="V12" s="2020" t="s">
        <v>22</v>
      </c>
      <c r="W12" s="3250" t="s">
        <v>27</v>
      </c>
      <c r="X12" s="2020" t="s">
        <v>22</v>
      </c>
      <c r="Y12" s="3250" t="s">
        <v>27</v>
      </c>
    </row>
    <row r="13" spans="1:130" ht="15" customHeight="1" x14ac:dyDescent="0.25">
      <c r="A13" s="6546" t="s">
        <v>2447</v>
      </c>
      <c r="B13" s="6546"/>
      <c r="C13" s="3299">
        <f>SUM(D13+E13)</f>
        <v>0</v>
      </c>
      <c r="D13" s="3300">
        <f t="shared" ref="D13:E15" si="0">SUM(F13+H13+J13+L13+N13+P13+R13+T13+V13+X13)</f>
        <v>0</v>
      </c>
      <c r="E13" s="3301">
        <f t="shared" si="0"/>
        <v>0</v>
      </c>
      <c r="F13" s="3302"/>
      <c r="G13" s="3303"/>
      <c r="H13" s="3302"/>
      <c r="I13" s="3303"/>
      <c r="J13" s="3302"/>
      <c r="K13" s="3303"/>
      <c r="L13" s="3302"/>
      <c r="M13" s="3303"/>
      <c r="N13" s="3302"/>
      <c r="O13" s="3303"/>
      <c r="P13" s="3302"/>
      <c r="Q13" s="3303"/>
      <c r="R13" s="3302"/>
      <c r="S13" s="3303"/>
      <c r="T13" s="3302"/>
      <c r="U13" s="3303"/>
      <c r="V13" s="3302"/>
      <c r="W13" s="3303"/>
      <c r="X13" s="3302"/>
      <c r="Y13" s="3303"/>
    </row>
    <row r="14" spans="1:130" ht="15" customHeight="1" x14ac:dyDescent="0.25">
      <c r="A14" s="6547" t="s">
        <v>2448</v>
      </c>
      <c r="B14" s="3282" t="s">
        <v>2431</v>
      </c>
      <c r="C14" s="3304">
        <f>SUM(D14+E14)</f>
        <v>0</v>
      </c>
      <c r="D14" s="182">
        <f t="shared" si="0"/>
        <v>0</v>
      </c>
      <c r="E14" s="3305">
        <f t="shared" si="0"/>
        <v>0</v>
      </c>
      <c r="F14" s="3216"/>
      <c r="G14" s="3223"/>
      <c r="H14" s="3216"/>
      <c r="I14" s="3223"/>
      <c r="J14" s="3216"/>
      <c r="K14" s="3223"/>
      <c r="L14" s="3216"/>
      <c r="M14" s="3223"/>
      <c r="N14" s="3216"/>
      <c r="O14" s="3223"/>
      <c r="P14" s="3216"/>
      <c r="Q14" s="3223"/>
      <c r="R14" s="3216"/>
      <c r="S14" s="3223"/>
      <c r="T14" s="3216"/>
      <c r="U14" s="3223"/>
      <c r="V14" s="3216"/>
      <c r="W14" s="3223"/>
      <c r="X14" s="3216"/>
      <c r="Y14" s="3223"/>
    </row>
    <row r="15" spans="1:130" ht="15" customHeight="1" x14ac:dyDescent="0.25">
      <c r="A15" s="6548"/>
      <c r="B15" s="207" t="s">
        <v>2449</v>
      </c>
      <c r="C15" s="3306">
        <f>SUM(D15+E15)</f>
        <v>0</v>
      </c>
      <c r="D15" s="3307">
        <f t="shared" si="0"/>
        <v>0</v>
      </c>
      <c r="E15" s="161">
        <f t="shared" si="0"/>
        <v>0</v>
      </c>
      <c r="F15" s="3308"/>
      <c r="G15" s="3309"/>
      <c r="H15" s="3112"/>
      <c r="I15" s="117"/>
      <c r="J15" s="3112"/>
      <c r="K15" s="117"/>
      <c r="L15" s="3308"/>
      <c r="M15" s="3309"/>
      <c r="N15" s="3308"/>
      <c r="O15" s="3309"/>
      <c r="P15" s="3308"/>
      <c r="Q15" s="3309"/>
      <c r="R15" s="3308"/>
      <c r="S15" s="3309"/>
      <c r="T15" s="3308"/>
      <c r="U15" s="3310"/>
      <c r="V15" s="3308"/>
      <c r="W15" s="3310"/>
      <c r="X15" s="3308"/>
      <c r="Y15" s="3309"/>
    </row>
    <row r="16" spans="1:130" ht="18" customHeight="1" x14ac:dyDescent="0.25">
      <c r="A16" s="3150" t="s">
        <v>2450</v>
      </c>
      <c r="B16" s="2998"/>
      <c r="C16" s="2998"/>
      <c r="D16" s="2998"/>
      <c r="E16" s="2998"/>
      <c r="F16" s="2998"/>
      <c r="G16" s="2998"/>
      <c r="H16" s="2998"/>
      <c r="I16" s="2998"/>
      <c r="J16" s="2998"/>
      <c r="K16" s="2998"/>
      <c r="L16" s="2998"/>
      <c r="M16" s="2998"/>
      <c r="N16" s="2998"/>
      <c r="O16" s="2998"/>
      <c r="P16" s="1749"/>
      <c r="Q16" s="3311"/>
      <c r="R16" s="3312"/>
      <c r="S16" s="3312"/>
    </row>
    <row r="17" spans="1:90" ht="15" customHeight="1" x14ac:dyDescent="0.25">
      <c r="A17" s="6537" t="s">
        <v>58</v>
      </c>
      <c r="B17" s="6537" t="s">
        <v>2451</v>
      </c>
      <c r="C17" s="6538" t="s">
        <v>1923</v>
      </c>
      <c r="D17" s="6468"/>
      <c r="E17" s="6469"/>
      <c r="F17" s="6519" t="s">
        <v>30</v>
      </c>
      <c r="G17" s="6496"/>
      <c r="H17" s="6496"/>
      <c r="I17" s="6496"/>
      <c r="J17" s="6496"/>
      <c r="K17" s="6496"/>
      <c r="L17" s="6496"/>
      <c r="M17" s="6496"/>
      <c r="N17" s="6496"/>
      <c r="O17" s="6496"/>
      <c r="P17" s="6496"/>
      <c r="Q17" s="6496"/>
      <c r="R17" s="6526" t="s">
        <v>2</v>
      </c>
      <c r="S17" s="6469" t="s">
        <v>3</v>
      </c>
    </row>
    <row r="18" spans="1:90" ht="15" customHeight="1" x14ac:dyDescent="0.25">
      <c r="A18" s="6485"/>
      <c r="B18" s="6485"/>
      <c r="C18" s="6503"/>
      <c r="D18" s="6476"/>
      <c r="E18" s="6461"/>
      <c r="F18" s="6494" t="s">
        <v>3762</v>
      </c>
      <c r="G18" s="6535"/>
      <c r="H18" s="6494" t="s">
        <v>2453</v>
      </c>
      <c r="I18" s="6535"/>
      <c r="J18" s="6494" t="s">
        <v>2445</v>
      </c>
      <c r="K18" s="6535"/>
      <c r="L18" s="6494" t="s">
        <v>2454</v>
      </c>
      <c r="M18" s="6535"/>
      <c r="N18" s="6494" t="s">
        <v>2455</v>
      </c>
      <c r="O18" s="6535"/>
      <c r="P18" s="6494" t="s">
        <v>2456</v>
      </c>
      <c r="Q18" s="6536"/>
      <c r="R18" s="6539"/>
      <c r="S18" s="6472"/>
    </row>
    <row r="19" spans="1:90" ht="15" customHeight="1" x14ac:dyDescent="0.25">
      <c r="A19" s="6451"/>
      <c r="B19" s="6451"/>
      <c r="C19" s="3313" t="s">
        <v>26</v>
      </c>
      <c r="D19" s="3314" t="s">
        <v>22</v>
      </c>
      <c r="E19" s="3315" t="s">
        <v>27</v>
      </c>
      <c r="F19" s="3242" t="s">
        <v>22</v>
      </c>
      <c r="G19" s="3315" t="s">
        <v>27</v>
      </c>
      <c r="H19" s="3242" t="s">
        <v>22</v>
      </c>
      <c r="I19" s="3315" t="s">
        <v>27</v>
      </c>
      <c r="J19" s="3242" t="s">
        <v>22</v>
      </c>
      <c r="K19" s="3315" t="s">
        <v>27</v>
      </c>
      <c r="L19" s="3242" t="s">
        <v>22</v>
      </c>
      <c r="M19" s="3315" t="s">
        <v>27</v>
      </c>
      <c r="N19" s="3242" t="s">
        <v>22</v>
      </c>
      <c r="O19" s="3315" t="s">
        <v>27</v>
      </c>
      <c r="P19" s="3242" t="s">
        <v>22</v>
      </c>
      <c r="Q19" s="3316" t="s">
        <v>27</v>
      </c>
      <c r="R19" s="6527"/>
      <c r="S19" s="6461"/>
    </row>
    <row r="20" spans="1:90" ht="15" customHeight="1" x14ac:dyDescent="0.25">
      <c r="A20" s="6551" t="s">
        <v>2457</v>
      </c>
      <c r="B20" s="6552"/>
      <c r="C20" s="3317">
        <f t="shared" ref="C20:C29" si="1">SUM(D20+E20)</f>
        <v>0</v>
      </c>
      <c r="D20" s="3318">
        <f t="shared" ref="D20:E41" si="2">SUM(F20+H20+J20+L20+N20+P20)</f>
        <v>0</v>
      </c>
      <c r="E20" s="3319">
        <f t="shared" si="2"/>
        <v>0</v>
      </c>
      <c r="F20" s="3302"/>
      <c r="G20" s="3320"/>
      <c r="H20" s="3302"/>
      <c r="I20" s="3320"/>
      <c r="J20" s="3302"/>
      <c r="K20" s="3320"/>
      <c r="L20" s="3302"/>
      <c r="M20" s="3320"/>
      <c r="N20" s="3302"/>
      <c r="O20" s="3320"/>
      <c r="P20" s="3302"/>
      <c r="Q20" s="3321"/>
      <c r="R20" s="3322"/>
      <c r="S20" s="3323"/>
      <c r="T20" s="3324" t="str">
        <f>$CA20&amp;CB20</f>
        <v/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3325"/>
      <c r="AZ20" s="3325"/>
      <c r="BA20" s="3325"/>
      <c r="BB20" s="3325"/>
      <c r="BC20" s="3325"/>
      <c r="BD20" s="3325"/>
      <c r="BE20" s="3325"/>
      <c r="BF20" s="3325"/>
      <c r="BG20" s="3325"/>
      <c r="BH20" s="3325"/>
      <c r="BI20" s="3325"/>
      <c r="BJ20" s="3325"/>
      <c r="BK20" s="3325"/>
      <c r="BL20" s="3325"/>
      <c r="BM20" s="3325"/>
      <c r="BN20" s="3325"/>
      <c r="BO20" s="3325"/>
      <c r="BP20" s="3325"/>
      <c r="BQ20" s="3325"/>
      <c r="BR20" s="3325"/>
      <c r="BS20" s="3325"/>
      <c r="BT20" s="3325"/>
      <c r="BU20" s="3325"/>
      <c r="BV20" s="3325"/>
      <c r="BW20" s="3325"/>
      <c r="BX20" s="3325"/>
      <c r="BY20" s="3325"/>
      <c r="BZ20" s="3325"/>
      <c r="CA20" s="3326" t="str">
        <f>IF(AND($C20&lt;&gt;0,R20=""),"* No olvide ingresar la columna "&amp;R$17&amp;""&amp;" (Digite CERO si no tiene). ",IF(R20&gt;$C20,"* El Número de Pueblos Originarios no puede superar el Total. ",""))</f>
        <v/>
      </c>
      <c r="CB20" s="3326" t="str">
        <f>IF(AND($C20&lt;&gt;0,S20=""),"* No olvide ingresar la columna "&amp;S$17&amp;""&amp;" (Digite CERO si no tiene). ",IF(S20&gt;$C20,"* El Número de Migrantes no puede superar el Total. ",""))</f>
        <v/>
      </c>
      <c r="CC20" s="3325"/>
      <c r="CD20" s="3325"/>
      <c r="CE20" s="3327"/>
      <c r="CF20" s="3327"/>
      <c r="CG20" s="3327"/>
      <c r="CH20" s="3327"/>
      <c r="CI20" s="3327"/>
      <c r="CJ20" s="17"/>
      <c r="CK20" s="1792">
        <f>IF(AND($C20&lt;&gt;0,R20=""),1,IF(R20&gt;$C20,1,0))</f>
        <v>0</v>
      </c>
      <c r="CL20" s="1792">
        <f>IF(AND($C20&lt;&gt;0,S20=""),1,IF(S20&gt;$C20,1,0))</f>
        <v>0</v>
      </c>
    </row>
    <row r="21" spans="1:90" ht="15" customHeight="1" x14ac:dyDescent="0.25">
      <c r="A21" s="6488" t="s">
        <v>2458</v>
      </c>
      <c r="B21" s="3287" t="s">
        <v>2431</v>
      </c>
      <c r="C21" s="3304">
        <f t="shared" si="1"/>
        <v>0</v>
      </c>
      <c r="D21" s="213">
        <f t="shared" si="2"/>
        <v>0</v>
      </c>
      <c r="E21" s="3305">
        <f t="shared" si="2"/>
        <v>0</v>
      </c>
      <c r="F21" s="106"/>
      <c r="G21" s="590"/>
      <c r="H21" s="106"/>
      <c r="I21" s="590"/>
      <c r="J21" s="106"/>
      <c r="K21" s="590"/>
      <c r="L21" s="106"/>
      <c r="M21" s="590"/>
      <c r="N21" s="113"/>
      <c r="O21" s="590"/>
      <c r="P21" s="113"/>
      <c r="Q21" s="844"/>
      <c r="R21" s="772"/>
      <c r="S21" s="105"/>
      <c r="T21" s="3324" t="str">
        <f t="shared" ref="T21:T41" si="3">$CA21&amp;CB21</f>
        <v/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3325"/>
      <c r="AZ21" s="3325"/>
      <c r="BA21" s="3325"/>
      <c r="BB21" s="3325"/>
      <c r="BC21" s="3325"/>
      <c r="BD21" s="3325"/>
      <c r="BE21" s="3325"/>
      <c r="BF21" s="3325"/>
      <c r="BG21" s="3325"/>
      <c r="BH21" s="3325"/>
      <c r="BI21" s="3325"/>
      <c r="BJ21" s="3325"/>
      <c r="BK21" s="3325"/>
      <c r="BL21" s="3325"/>
      <c r="BM21" s="3325"/>
      <c r="BN21" s="3325"/>
      <c r="BO21" s="3325"/>
      <c r="BP21" s="3325"/>
      <c r="BQ21" s="3325"/>
      <c r="BR21" s="3325"/>
      <c r="BS21" s="3325"/>
      <c r="BT21" s="3325"/>
      <c r="BU21" s="3325"/>
      <c r="BV21" s="3325"/>
      <c r="BW21" s="3325"/>
      <c r="BX21" s="3325"/>
      <c r="BY21" s="3325"/>
      <c r="BZ21" s="3325"/>
      <c r="CA21" s="3326" t="str">
        <f t="shared" ref="CA21:CA41" si="4">IF(AND($C21&lt;&gt;0,R21=""),"* No olvide ingresar la columna "&amp;R$17&amp;""&amp;" (Digite CERO si no tiene). ",IF(R21&gt;$C21,"* El Número de Pueblos Originarios no puede superar el Total. ",""))</f>
        <v/>
      </c>
      <c r="CB21" s="3326" t="str">
        <f t="shared" ref="CB21:CB40" si="5">IF(AND($C21&lt;&gt;0,S21=""),"* No olvide ingresar la columna "&amp;S$17&amp;""&amp;" (Digite CERO si no tiene). ",IF(S21&gt;$C21,"* El Número de Migrantes no puede superar el Total. ",""))</f>
        <v/>
      </c>
      <c r="CC21" s="3325"/>
      <c r="CD21" s="3325"/>
      <c r="CE21" s="3327"/>
      <c r="CF21" s="3327"/>
      <c r="CG21" s="3327"/>
      <c r="CH21" s="3327"/>
      <c r="CI21" s="3327"/>
      <c r="CJ21" s="17"/>
      <c r="CK21" s="1792">
        <f t="shared" ref="CK21:CL41" si="6">IF(AND($C21&lt;&gt;0,R21=""),1,IF(R21&gt;$C21,1,0))</f>
        <v>0</v>
      </c>
      <c r="CL21" s="1792">
        <f t="shared" si="6"/>
        <v>0</v>
      </c>
    </row>
    <row r="22" spans="1:90" ht="15" customHeight="1" x14ac:dyDescent="0.25">
      <c r="A22" s="6455"/>
      <c r="B22" s="3328" t="s">
        <v>1930</v>
      </c>
      <c r="C22" s="145">
        <f t="shared" si="1"/>
        <v>0</v>
      </c>
      <c r="D22" s="962">
        <f t="shared" si="2"/>
        <v>0</v>
      </c>
      <c r="E22" s="154">
        <f t="shared" si="2"/>
        <v>0</v>
      </c>
      <c r="F22" s="620"/>
      <c r="G22" s="630"/>
      <c r="H22" s="106"/>
      <c r="I22" s="590"/>
      <c r="J22" s="620"/>
      <c r="K22" s="630"/>
      <c r="L22" s="620"/>
      <c r="M22" s="630"/>
      <c r="N22" s="3329"/>
      <c r="O22" s="630"/>
      <c r="P22" s="3329"/>
      <c r="Q22" s="796"/>
      <c r="R22" s="622"/>
      <c r="S22" s="3166"/>
      <c r="T22" s="3324" t="str">
        <f t="shared" si="3"/>
        <v/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3325"/>
      <c r="AZ22" s="3325"/>
      <c r="BA22" s="3325"/>
      <c r="BB22" s="3325"/>
      <c r="BC22" s="3325"/>
      <c r="BD22" s="3325"/>
      <c r="BE22" s="3325"/>
      <c r="BF22" s="3325"/>
      <c r="BG22" s="3325"/>
      <c r="BH22" s="3325"/>
      <c r="BI22" s="3325"/>
      <c r="BJ22" s="3325"/>
      <c r="BK22" s="3325"/>
      <c r="BL22" s="3325"/>
      <c r="BM22" s="3325"/>
      <c r="BN22" s="3325"/>
      <c r="BO22" s="3325"/>
      <c r="BP22" s="3325"/>
      <c r="BQ22" s="3325"/>
      <c r="BR22" s="3325"/>
      <c r="BS22" s="3325"/>
      <c r="BT22" s="3325"/>
      <c r="BU22" s="3325"/>
      <c r="BV22" s="3325"/>
      <c r="BW22" s="3325"/>
      <c r="BX22" s="3325"/>
      <c r="BY22" s="3325"/>
      <c r="BZ22" s="3325"/>
      <c r="CA22" s="3326" t="str">
        <f t="shared" si="4"/>
        <v/>
      </c>
      <c r="CB22" s="3326" t="str">
        <f t="shared" si="5"/>
        <v/>
      </c>
      <c r="CC22" s="3325"/>
      <c r="CD22" s="3325"/>
      <c r="CE22" s="3327"/>
      <c r="CF22" s="3327"/>
      <c r="CG22" s="3327"/>
      <c r="CH22" s="3327"/>
      <c r="CI22" s="3327"/>
      <c r="CJ22" s="17"/>
      <c r="CK22" s="1792">
        <f t="shared" si="6"/>
        <v>0</v>
      </c>
      <c r="CL22" s="1792">
        <f t="shared" si="6"/>
        <v>0</v>
      </c>
    </row>
    <row r="23" spans="1:90" ht="15" customHeight="1" x14ac:dyDescent="0.25">
      <c r="A23" s="6455"/>
      <c r="B23" s="203" t="s">
        <v>1931</v>
      </c>
      <c r="C23" s="639">
        <f t="shared" si="1"/>
        <v>0</v>
      </c>
      <c r="D23" s="3330">
        <f t="shared" si="2"/>
        <v>0</v>
      </c>
      <c r="E23" s="3331">
        <f t="shared" si="2"/>
        <v>0</v>
      </c>
      <c r="F23" s="620"/>
      <c r="G23" s="630"/>
      <c r="H23" s="106"/>
      <c r="I23" s="590"/>
      <c r="J23" s="620"/>
      <c r="K23" s="630"/>
      <c r="L23" s="620"/>
      <c r="M23" s="630"/>
      <c r="N23" s="3329"/>
      <c r="O23" s="630"/>
      <c r="P23" s="3329"/>
      <c r="Q23" s="796"/>
      <c r="R23" s="622"/>
      <c r="S23" s="3166"/>
      <c r="T23" s="3324" t="str">
        <f t="shared" si="3"/>
        <v/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3325"/>
      <c r="AZ23" s="3325"/>
      <c r="BA23" s="3325"/>
      <c r="BB23" s="3325"/>
      <c r="BC23" s="3325"/>
      <c r="BD23" s="3325"/>
      <c r="BE23" s="3325"/>
      <c r="BF23" s="3325"/>
      <c r="BG23" s="3325"/>
      <c r="BH23" s="3325"/>
      <c r="BI23" s="3325"/>
      <c r="BJ23" s="3325"/>
      <c r="BK23" s="3325"/>
      <c r="BL23" s="3325"/>
      <c r="BM23" s="3325"/>
      <c r="BN23" s="3325"/>
      <c r="BO23" s="3325"/>
      <c r="BP23" s="3325"/>
      <c r="BQ23" s="3325"/>
      <c r="BR23" s="3325"/>
      <c r="BS23" s="3325"/>
      <c r="BT23" s="3325"/>
      <c r="BU23" s="3325"/>
      <c r="BV23" s="3325"/>
      <c r="BW23" s="3325"/>
      <c r="BX23" s="3325"/>
      <c r="BY23" s="3325"/>
      <c r="BZ23" s="3325"/>
      <c r="CA23" s="3326" t="str">
        <f t="shared" si="4"/>
        <v/>
      </c>
      <c r="CB23" s="3326" t="str">
        <f t="shared" si="5"/>
        <v/>
      </c>
      <c r="CC23" s="3325"/>
      <c r="CD23" s="3325"/>
      <c r="CE23" s="3327"/>
      <c r="CF23" s="3327"/>
      <c r="CG23" s="3327"/>
      <c r="CH23" s="3327"/>
      <c r="CI23" s="3327"/>
      <c r="CJ23" s="17"/>
      <c r="CK23" s="1792">
        <f t="shared" si="6"/>
        <v>0</v>
      </c>
      <c r="CL23" s="1792">
        <f t="shared" si="6"/>
        <v>0</v>
      </c>
    </row>
    <row r="24" spans="1:90" ht="15" customHeight="1" x14ac:dyDescent="0.25">
      <c r="A24" s="6457"/>
      <c r="B24" s="207" t="s">
        <v>1932</v>
      </c>
      <c r="C24" s="3306">
        <f t="shared" si="1"/>
        <v>0</v>
      </c>
      <c r="D24" s="3332">
        <f t="shared" si="2"/>
        <v>0</v>
      </c>
      <c r="E24" s="161">
        <f t="shared" si="2"/>
        <v>0</v>
      </c>
      <c r="F24" s="3112"/>
      <c r="G24" s="3124"/>
      <c r="H24" s="3112"/>
      <c r="I24" s="3124"/>
      <c r="J24" s="3112"/>
      <c r="K24" s="3124"/>
      <c r="L24" s="3112"/>
      <c r="M24" s="3124"/>
      <c r="N24" s="118"/>
      <c r="O24" s="3124"/>
      <c r="P24" s="118"/>
      <c r="Q24" s="3333"/>
      <c r="R24" s="3244"/>
      <c r="S24" s="117"/>
      <c r="T24" s="3324" t="str">
        <f t="shared" si="3"/>
        <v/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3325"/>
      <c r="AZ24" s="3325"/>
      <c r="BA24" s="3325"/>
      <c r="BB24" s="3325"/>
      <c r="BC24" s="3325"/>
      <c r="BD24" s="3325"/>
      <c r="BE24" s="3325"/>
      <c r="BF24" s="3325"/>
      <c r="BG24" s="3325"/>
      <c r="BH24" s="3325"/>
      <c r="BI24" s="3325"/>
      <c r="BJ24" s="3325"/>
      <c r="BK24" s="3325"/>
      <c r="BL24" s="3325"/>
      <c r="BM24" s="3325"/>
      <c r="BN24" s="3325"/>
      <c r="BO24" s="3325"/>
      <c r="BP24" s="3325"/>
      <c r="BQ24" s="3325"/>
      <c r="BR24" s="3325"/>
      <c r="BS24" s="3325"/>
      <c r="BT24" s="3325"/>
      <c r="BU24" s="3325"/>
      <c r="BV24" s="3325"/>
      <c r="BW24" s="3325"/>
      <c r="BX24" s="3325"/>
      <c r="BY24" s="3325"/>
      <c r="BZ24" s="3325"/>
      <c r="CA24" s="3326" t="str">
        <f t="shared" si="4"/>
        <v/>
      </c>
      <c r="CB24" s="3326" t="str">
        <f t="shared" si="5"/>
        <v/>
      </c>
      <c r="CC24" s="3325"/>
      <c r="CD24" s="3325"/>
      <c r="CE24" s="3327"/>
      <c r="CF24" s="3327"/>
      <c r="CG24" s="3327"/>
      <c r="CH24" s="3327"/>
      <c r="CI24" s="3327"/>
      <c r="CJ24" s="17"/>
      <c r="CK24" s="1792">
        <f t="shared" si="6"/>
        <v>0</v>
      </c>
      <c r="CL24" s="1792">
        <f t="shared" si="6"/>
        <v>0</v>
      </c>
    </row>
    <row r="25" spans="1:90" ht="21" x14ac:dyDescent="0.25">
      <c r="A25" s="6488" t="s">
        <v>2459</v>
      </c>
      <c r="B25" s="3287" t="s">
        <v>2460</v>
      </c>
      <c r="C25" s="3304">
        <f t="shared" si="1"/>
        <v>0</v>
      </c>
      <c r="D25" s="213">
        <f t="shared" si="2"/>
        <v>0</v>
      </c>
      <c r="E25" s="3305">
        <f t="shared" si="2"/>
        <v>0</v>
      </c>
      <c r="F25" s="3216"/>
      <c r="G25" s="3217"/>
      <c r="H25" s="3216"/>
      <c r="I25" s="3217"/>
      <c r="J25" s="3216"/>
      <c r="K25" s="3217"/>
      <c r="L25" s="3216"/>
      <c r="M25" s="3217"/>
      <c r="N25" s="3334"/>
      <c r="O25" s="3217"/>
      <c r="P25" s="3334"/>
      <c r="Q25" s="3335"/>
      <c r="R25" s="3336"/>
      <c r="S25" s="3223"/>
      <c r="T25" s="3324" t="str">
        <f t="shared" si="3"/>
        <v/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3325"/>
      <c r="AZ25" s="3325"/>
      <c r="BA25" s="3325"/>
      <c r="BB25" s="3325"/>
      <c r="BC25" s="3325"/>
      <c r="BD25" s="3325"/>
      <c r="BE25" s="3325"/>
      <c r="BF25" s="3325"/>
      <c r="BG25" s="3325"/>
      <c r="BH25" s="3325"/>
      <c r="BI25" s="3325"/>
      <c r="BJ25" s="3325"/>
      <c r="BK25" s="3325"/>
      <c r="BL25" s="3325"/>
      <c r="BM25" s="3325"/>
      <c r="BN25" s="3325"/>
      <c r="BO25" s="3325"/>
      <c r="BP25" s="3325"/>
      <c r="BQ25" s="3325"/>
      <c r="BR25" s="3325"/>
      <c r="BS25" s="3325"/>
      <c r="BT25" s="3325"/>
      <c r="BU25" s="3325"/>
      <c r="BV25" s="3325"/>
      <c r="BW25" s="3325"/>
      <c r="BX25" s="3325"/>
      <c r="BY25" s="3325"/>
      <c r="BZ25" s="3325"/>
      <c r="CA25" s="3326" t="str">
        <f t="shared" si="4"/>
        <v/>
      </c>
      <c r="CB25" s="3326" t="str">
        <f t="shared" si="5"/>
        <v/>
      </c>
      <c r="CC25" s="3325"/>
      <c r="CD25" s="3325"/>
      <c r="CE25" s="3327"/>
      <c r="CF25" s="3327"/>
      <c r="CG25" s="3327"/>
      <c r="CH25" s="3327"/>
      <c r="CI25" s="3327"/>
      <c r="CJ25" s="17"/>
      <c r="CK25" s="1792">
        <f t="shared" si="6"/>
        <v>0</v>
      </c>
      <c r="CL25" s="1792">
        <f t="shared" si="6"/>
        <v>0</v>
      </c>
    </row>
    <row r="26" spans="1:90" ht="15" customHeight="1" x14ac:dyDescent="0.25">
      <c r="A26" s="6455"/>
      <c r="B26" s="3087" t="s">
        <v>2461</v>
      </c>
      <c r="C26" s="145">
        <f t="shared" si="1"/>
        <v>0</v>
      </c>
      <c r="D26" s="962">
        <f t="shared" si="2"/>
        <v>0</v>
      </c>
      <c r="E26" s="154">
        <f t="shared" si="2"/>
        <v>0</v>
      </c>
      <c r="F26" s="106"/>
      <c r="G26" s="590"/>
      <c r="H26" s="106"/>
      <c r="I26" s="590"/>
      <c r="J26" s="106"/>
      <c r="K26" s="590"/>
      <c r="L26" s="106"/>
      <c r="M26" s="590"/>
      <c r="N26" s="113"/>
      <c r="O26" s="590"/>
      <c r="P26" s="113"/>
      <c r="Q26" s="844"/>
      <c r="R26" s="772"/>
      <c r="S26" s="105"/>
      <c r="T26" s="3324" t="str">
        <f t="shared" si="3"/>
        <v/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3325"/>
      <c r="AZ26" s="3325"/>
      <c r="BA26" s="3325"/>
      <c r="BB26" s="3325"/>
      <c r="BC26" s="3325"/>
      <c r="BD26" s="3325"/>
      <c r="BE26" s="3325"/>
      <c r="BF26" s="3325"/>
      <c r="BG26" s="3325"/>
      <c r="BH26" s="3325"/>
      <c r="BI26" s="3325"/>
      <c r="BJ26" s="3325"/>
      <c r="BK26" s="3325"/>
      <c r="BL26" s="3325"/>
      <c r="BM26" s="3325"/>
      <c r="BN26" s="3325"/>
      <c r="BO26" s="3325"/>
      <c r="BP26" s="3325"/>
      <c r="BQ26" s="3325"/>
      <c r="BR26" s="3325"/>
      <c r="BS26" s="3325"/>
      <c r="BT26" s="3325"/>
      <c r="BU26" s="3325"/>
      <c r="BV26" s="3325"/>
      <c r="BW26" s="3325"/>
      <c r="BX26" s="3325"/>
      <c r="BY26" s="3325"/>
      <c r="BZ26" s="3325"/>
      <c r="CA26" s="3326" t="str">
        <f t="shared" si="4"/>
        <v/>
      </c>
      <c r="CB26" s="3326" t="str">
        <f t="shared" si="5"/>
        <v/>
      </c>
      <c r="CC26" s="3325"/>
      <c r="CD26" s="3325"/>
      <c r="CE26" s="3327"/>
      <c r="CF26" s="3327"/>
      <c r="CG26" s="3327"/>
      <c r="CH26" s="3327"/>
      <c r="CI26" s="3327"/>
      <c r="CJ26" s="17"/>
      <c r="CK26" s="1792">
        <f t="shared" si="6"/>
        <v>0</v>
      </c>
      <c r="CL26" s="1792">
        <f t="shared" si="6"/>
        <v>0</v>
      </c>
    </row>
    <row r="27" spans="1:90" ht="15" customHeight="1" x14ac:dyDescent="0.25">
      <c r="A27" s="6455"/>
      <c r="B27" s="3087" t="s">
        <v>2462</v>
      </c>
      <c r="C27" s="145">
        <f t="shared" si="1"/>
        <v>0</v>
      </c>
      <c r="D27" s="962">
        <f t="shared" si="2"/>
        <v>0</v>
      </c>
      <c r="E27" s="154">
        <f t="shared" si="2"/>
        <v>0</v>
      </c>
      <c r="F27" s="106"/>
      <c r="G27" s="590"/>
      <c r="H27" s="106"/>
      <c r="I27" s="590"/>
      <c r="J27" s="106"/>
      <c r="K27" s="590"/>
      <c r="L27" s="106"/>
      <c r="M27" s="590"/>
      <c r="N27" s="113"/>
      <c r="O27" s="590"/>
      <c r="P27" s="113"/>
      <c r="Q27" s="844"/>
      <c r="R27" s="772"/>
      <c r="S27" s="105"/>
      <c r="T27" s="3324" t="str">
        <f t="shared" si="3"/>
        <v/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3325"/>
      <c r="AZ27" s="3325"/>
      <c r="BA27" s="3325"/>
      <c r="BB27" s="3325"/>
      <c r="BC27" s="3325"/>
      <c r="BD27" s="3325"/>
      <c r="BE27" s="3325"/>
      <c r="BF27" s="3325"/>
      <c r="BG27" s="3325"/>
      <c r="BH27" s="3325"/>
      <c r="BI27" s="3325"/>
      <c r="BJ27" s="3325"/>
      <c r="BK27" s="3325"/>
      <c r="BL27" s="3325"/>
      <c r="BM27" s="3325"/>
      <c r="BN27" s="3325"/>
      <c r="BO27" s="3325"/>
      <c r="BP27" s="3325"/>
      <c r="BQ27" s="3325"/>
      <c r="BR27" s="3325"/>
      <c r="BS27" s="3325"/>
      <c r="BT27" s="3325"/>
      <c r="BU27" s="3325"/>
      <c r="BV27" s="3325"/>
      <c r="BW27" s="3325"/>
      <c r="BX27" s="3325"/>
      <c r="BY27" s="3325"/>
      <c r="BZ27" s="3325"/>
      <c r="CA27" s="3326" t="str">
        <f t="shared" si="4"/>
        <v/>
      </c>
      <c r="CB27" s="3326" t="str">
        <f t="shared" si="5"/>
        <v/>
      </c>
      <c r="CC27" s="3325"/>
      <c r="CD27" s="3325"/>
      <c r="CE27" s="3327"/>
      <c r="CF27" s="3327"/>
      <c r="CG27" s="3327"/>
      <c r="CH27" s="3327"/>
      <c r="CI27" s="3327"/>
      <c r="CJ27" s="17"/>
      <c r="CK27" s="1792">
        <f t="shared" si="6"/>
        <v>0</v>
      </c>
      <c r="CL27" s="1792">
        <f t="shared" si="6"/>
        <v>0</v>
      </c>
    </row>
    <row r="28" spans="1:90" ht="15" customHeight="1" x14ac:dyDescent="0.25">
      <c r="A28" s="6455"/>
      <c r="B28" s="3086" t="s">
        <v>2463</v>
      </c>
      <c r="C28" s="3337">
        <f t="shared" si="1"/>
        <v>0</v>
      </c>
      <c r="D28" s="3338">
        <f t="shared" si="2"/>
        <v>0</v>
      </c>
      <c r="E28" s="3339">
        <f t="shared" si="2"/>
        <v>0</v>
      </c>
      <c r="F28" s="106"/>
      <c r="G28" s="590"/>
      <c r="H28" s="106"/>
      <c r="I28" s="590"/>
      <c r="J28" s="106"/>
      <c r="K28" s="590"/>
      <c r="L28" s="106"/>
      <c r="M28" s="590"/>
      <c r="N28" s="113"/>
      <c r="O28" s="590"/>
      <c r="P28" s="113"/>
      <c r="Q28" s="844"/>
      <c r="R28" s="772"/>
      <c r="S28" s="105"/>
      <c r="T28" s="3324" t="str">
        <f t="shared" si="3"/>
        <v/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3325"/>
      <c r="AZ28" s="3325"/>
      <c r="BA28" s="3325"/>
      <c r="BB28" s="3325"/>
      <c r="BC28" s="3325"/>
      <c r="BD28" s="3325"/>
      <c r="BE28" s="3325"/>
      <c r="BF28" s="3325"/>
      <c r="BG28" s="3325"/>
      <c r="BH28" s="3325"/>
      <c r="BI28" s="3325"/>
      <c r="BJ28" s="3325"/>
      <c r="BK28" s="3325"/>
      <c r="BL28" s="3325"/>
      <c r="BM28" s="3325"/>
      <c r="BN28" s="3325"/>
      <c r="BO28" s="3325"/>
      <c r="BP28" s="3325"/>
      <c r="BQ28" s="3325"/>
      <c r="BR28" s="3325"/>
      <c r="BS28" s="3325"/>
      <c r="BT28" s="3325"/>
      <c r="BU28" s="3325"/>
      <c r="BV28" s="3325"/>
      <c r="BW28" s="3325"/>
      <c r="BX28" s="3325"/>
      <c r="BY28" s="3325"/>
      <c r="BZ28" s="3325"/>
      <c r="CA28" s="3326" t="str">
        <f t="shared" si="4"/>
        <v/>
      </c>
      <c r="CB28" s="3326" t="str">
        <f t="shared" si="5"/>
        <v/>
      </c>
      <c r="CC28" s="3325"/>
      <c r="CD28" s="3325"/>
      <c r="CE28" s="3327"/>
      <c r="CF28" s="3327"/>
      <c r="CG28" s="3327"/>
      <c r="CH28" s="3327"/>
      <c r="CI28" s="3327"/>
      <c r="CJ28" s="17"/>
      <c r="CK28" s="1792">
        <f t="shared" si="6"/>
        <v>0</v>
      </c>
      <c r="CL28" s="1792">
        <f t="shared" si="6"/>
        <v>0</v>
      </c>
    </row>
    <row r="29" spans="1:90" ht="21" x14ac:dyDescent="0.25">
      <c r="A29" s="6455"/>
      <c r="B29" s="3086" t="s">
        <v>2464</v>
      </c>
      <c r="C29" s="3337">
        <f t="shared" si="1"/>
        <v>0</v>
      </c>
      <c r="D29" s="3338">
        <f t="shared" si="2"/>
        <v>0</v>
      </c>
      <c r="E29" s="3339">
        <f t="shared" si="2"/>
        <v>0</v>
      </c>
      <c r="F29" s="106"/>
      <c r="G29" s="590"/>
      <c r="H29" s="106"/>
      <c r="I29" s="590"/>
      <c r="J29" s="106"/>
      <c r="K29" s="590"/>
      <c r="L29" s="106"/>
      <c r="M29" s="590"/>
      <c r="N29" s="113"/>
      <c r="O29" s="590"/>
      <c r="P29" s="113"/>
      <c r="Q29" s="844"/>
      <c r="R29" s="772"/>
      <c r="S29" s="105"/>
      <c r="T29" s="3324" t="str">
        <f t="shared" si="3"/>
        <v/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3325"/>
      <c r="AZ29" s="3325"/>
      <c r="BA29" s="3325"/>
      <c r="BB29" s="3325"/>
      <c r="BC29" s="3325"/>
      <c r="BD29" s="3325"/>
      <c r="BE29" s="3325"/>
      <c r="BF29" s="3325"/>
      <c r="BG29" s="3325"/>
      <c r="BH29" s="3325"/>
      <c r="BI29" s="3325"/>
      <c r="BJ29" s="3325"/>
      <c r="BK29" s="3325"/>
      <c r="BL29" s="3325"/>
      <c r="BM29" s="3325"/>
      <c r="BN29" s="3325"/>
      <c r="BO29" s="3325"/>
      <c r="BP29" s="3325"/>
      <c r="BQ29" s="3325"/>
      <c r="BR29" s="3325"/>
      <c r="BS29" s="3325"/>
      <c r="BT29" s="3325"/>
      <c r="BU29" s="3325"/>
      <c r="BV29" s="3325"/>
      <c r="BW29" s="3325"/>
      <c r="BX29" s="3325"/>
      <c r="BY29" s="3325"/>
      <c r="BZ29" s="3325"/>
      <c r="CA29" s="3326" t="str">
        <f t="shared" si="4"/>
        <v/>
      </c>
      <c r="CB29" s="3326" t="str">
        <f t="shared" si="5"/>
        <v/>
      </c>
      <c r="CC29" s="3325"/>
      <c r="CD29" s="3325"/>
      <c r="CE29" s="3327"/>
      <c r="CF29" s="3327"/>
      <c r="CG29" s="3327"/>
      <c r="CH29" s="3327"/>
      <c r="CI29" s="3327"/>
      <c r="CJ29" s="17"/>
      <c r="CK29" s="1792">
        <f t="shared" si="6"/>
        <v>0</v>
      </c>
      <c r="CL29" s="1792">
        <f t="shared" si="6"/>
        <v>0</v>
      </c>
    </row>
    <row r="30" spans="1:90" ht="15" customHeight="1" x14ac:dyDescent="0.25">
      <c r="A30" s="6455"/>
      <c r="B30" s="3086" t="s">
        <v>2465</v>
      </c>
      <c r="C30" s="3337">
        <f>SUM(D30:E30)</f>
        <v>0</v>
      </c>
      <c r="D30" s="3338">
        <f t="shared" si="2"/>
        <v>0</v>
      </c>
      <c r="E30" s="3339">
        <f t="shared" si="2"/>
        <v>0</v>
      </c>
      <c r="F30" s="106"/>
      <c r="G30" s="590"/>
      <c r="H30" s="106"/>
      <c r="I30" s="590"/>
      <c r="J30" s="106"/>
      <c r="K30" s="590"/>
      <c r="L30" s="106"/>
      <c r="M30" s="590"/>
      <c r="N30" s="113"/>
      <c r="O30" s="590"/>
      <c r="P30" s="113"/>
      <c r="Q30" s="844"/>
      <c r="R30" s="772"/>
      <c r="S30" s="105"/>
      <c r="T30" s="3324" t="str">
        <f t="shared" si="3"/>
        <v/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3325"/>
      <c r="AZ30" s="3325"/>
      <c r="BA30" s="3325"/>
      <c r="BB30" s="3325"/>
      <c r="BC30" s="3325"/>
      <c r="BD30" s="3325"/>
      <c r="BE30" s="3325"/>
      <c r="BF30" s="3325"/>
      <c r="BG30" s="3325"/>
      <c r="BH30" s="3325"/>
      <c r="BI30" s="3325"/>
      <c r="BJ30" s="3325"/>
      <c r="BK30" s="3325"/>
      <c r="BL30" s="3325"/>
      <c r="BM30" s="3325"/>
      <c r="BN30" s="3325"/>
      <c r="BO30" s="3325"/>
      <c r="BP30" s="3325"/>
      <c r="BQ30" s="3325"/>
      <c r="BR30" s="3325"/>
      <c r="BS30" s="3325"/>
      <c r="BT30" s="3325"/>
      <c r="BU30" s="3325"/>
      <c r="BV30" s="3325"/>
      <c r="BW30" s="3325"/>
      <c r="BX30" s="3325"/>
      <c r="BY30" s="3325"/>
      <c r="BZ30" s="3325"/>
      <c r="CA30" s="3326" t="str">
        <f t="shared" si="4"/>
        <v/>
      </c>
      <c r="CB30" s="3326" t="str">
        <f t="shared" si="5"/>
        <v/>
      </c>
      <c r="CC30" s="3325"/>
      <c r="CD30" s="3325"/>
      <c r="CE30" s="3327"/>
      <c r="CF30" s="3327"/>
      <c r="CG30" s="3327"/>
      <c r="CH30" s="3327"/>
      <c r="CI30" s="3327"/>
      <c r="CJ30" s="17"/>
      <c r="CK30" s="1792">
        <f t="shared" si="6"/>
        <v>0</v>
      </c>
      <c r="CL30" s="1792">
        <f t="shared" si="6"/>
        <v>0</v>
      </c>
    </row>
    <row r="31" spans="1:90" ht="24.75" customHeight="1" x14ac:dyDescent="0.25">
      <c r="A31" s="6455"/>
      <c r="B31" s="3086" t="s">
        <v>2466</v>
      </c>
      <c r="C31" s="3337">
        <f>SUM(D31:E31)</f>
        <v>0</v>
      </c>
      <c r="D31" s="962">
        <f t="shared" si="2"/>
        <v>0</v>
      </c>
      <c r="E31" s="154">
        <f t="shared" si="2"/>
        <v>0</v>
      </c>
      <c r="F31" s="106"/>
      <c r="G31" s="590"/>
      <c r="H31" s="106"/>
      <c r="I31" s="590"/>
      <c r="J31" s="106"/>
      <c r="K31" s="590"/>
      <c r="L31" s="106"/>
      <c r="M31" s="590"/>
      <c r="N31" s="113"/>
      <c r="O31" s="590"/>
      <c r="P31" s="113"/>
      <c r="Q31" s="844"/>
      <c r="R31" s="772"/>
      <c r="S31" s="105"/>
      <c r="T31" s="3324" t="str">
        <f t="shared" si="3"/>
        <v/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3325"/>
      <c r="AZ31" s="3325"/>
      <c r="BA31" s="3325"/>
      <c r="BB31" s="3325"/>
      <c r="BC31" s="3325"/>
      <c r="BD31" s="3325"/>
      <c r="BE31" s="3325"/>
      <c r="BF31" s="3325"/>
      <c r="BG31" s="3325"/>
      <c r="BH31" s="3325"/>
      <c r="BI31" s="3325"/>
      <c r="BJ31" s="3325"/>
      <c r="BK31" s="3325"/>
      <c r="BL31" s="3325"/>
      <c r="BM31" s="3325"/>
      <c r="BN31" s="3325"/>
      <c r="BO31" s="3325"/>
      <c r="BP31" s="3325"/>
      <c r="BQ31" s="3325"/>
      <c r="BR31" s="3325"/>
      <c r="BS31" s="3325"/>
      <c r="BT31" s="3325"/>
      <c r="BU31" s="3325"/>
      <c r="BV31" s="3325"/>
      <c r="BW31" s="3325"/>
      <c r="BX31" s="3325"/>
      <c r="BY31" s="3325"/>
      <c r="BZ31" s="3325"/>
      <c r="CA31" s="3326" t="str">
        <f t="shared" si="4"/>
        <v/>
      </c>
      <c r="CB31" s="3326" t="str">
        <f t="shared" si="5"/>
        <v/>
      </c>
      <c r="CC31" s="3325"/>
      <c r="CD31" s="3325"/>
      <c r="CE31" s="3327"/>
      <c r="CF31" s="3327"/>
      <c r="CG31" s="3327"/>
      <c r="CH31" s="3327"/>
      <c r="CI31" s="3327"/>
      <c r="CJ31" s="17"/>
      <c r="CK31" s="1792">
        <f t="shared" si="6"/>
        <v>0</v>
      </c>
      <c r="CL31" s="1792">
        <f t="shared" si="6"/>
        <v>0</v>
      </c>
    </row>
    <row r="32" spans="1:90" ht="15" customHeight="1" x14ac:dyDescent="0.25">
      <c r="A32" s="6455"/>
      <c r="B32" s="3086" t="s">
        <v>2467</v>
      </c>
      <c r="C32" s="145">
        <f t="shared" ref="C32:C41" si="7">SUM(D32+E32)</f>
        <v>0</v>
      </c>
      <c r="D32" s="962">
        <f t="shared" si="2"/>
        <v>0</v>
      </c>
      <c r="E32" s="154">
        <f t="shared" si="2"/>
        <v>0</v>
      </c>
      <c r="F32" s="620"/>
      <c r="G32" s="630"/>
      <c r="H32" s="620"/>
      <c r="I32" s="630"/>
      <c r="J32" s="620"/>
      <c r="K32" s="630"/>
      <c r="L32" s="620"/>
      <c r="M32" s="630"/>
      <c r="N32" s="3329"/>
      <c r="O32" s="630"/>
      <c r="P32" s="3329"/>
      <c r="Q32" s="796"/>
      <c r="R32" s="622"/>
      <c r="S32" s="3166"/>
      <c r="T32" s="3324" t="str">
        <f t="shared" si="3"/>
        <v/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3325"/>
      <c r="AZ32" s="3325"/>
      <c r="BA32" s="3325"/>
      <c r="BB32" s="3325"/>
      <c r="BC32" s="3325"/>
      <c r="BD32" s="3325"/>
      <c r="BE32" s="3325"/>
      <c r="BF32" s="3325"/>
      <c r="BG32" s="3325"/>
      <c r="BH32" s="3325"/>
      <c r="BI32" s="3325"/>
      <c r="BJ32" s="3325"/>
      <c r="BK32" s="3325"/>
      <c r="BL32" s="3325"/>
      <c r="BM32" s="3325"/>
      <c r="BN32" s="3325"/>
      <c r="BO32" s="3325"/>
      <c r="BP32" s="3325"/>
      <c r="BQ32" s="3325"/>
      <c r="BR32" s="3325"/>
      <c r="BS32" s="3325"/>
      <c r="BT32" s="3325"/>
      <c r="BU32" s="3325"/>
      <c r="BV32" s="3325"/>
      <c r="BW32" s="3325"/>
      <c r="BX32" s="3325"/>
      <c r="BY32" s="3325"/>
      <c r="BZ32" s="3325"/>
      <c r="CA32" s="3326" t="str">
        <f t="shared" si="4"/>
        <v/>
      </c>
      <c r="CB32" s="3326" t="str">
        <f t="shared" si="5"/>
        <v/>
      </c>
      <c r="CC32" s="3325"/>
      <c r="CD32" s="3325"/>
      <c r="CE32" s="3327"/>
      <c r="CF32" s="3327"/>
      <c r="CG32" s="3327"/>
      <c r="CH32" s="3327"/>
      <c r="CI32" s="3327"/>
      <c r="CJ32" s="17"/>
      <c r="CK32" s="1792">
        <f t="shared" si="6"/>
        <v>0</v>
      </c>
      <c r="CL32" s="1792">
        <f t="shared" si="6"/>
        <v>0</v>
      </c>
    </row>
    <row r="33" spans="1:90" ht="15" customHeight="1" x14ac:dyDescent="0.25">
      <c r="A33" s="6455"/>
      <c r="B33" s="3340" t="s">
        <v>2468</v>
      </c>
      <c r="C33" s="639">
        <f t="shared" si="7"/>
        <v>0</v>
      </c>
      <c r="D33" s="3330">
        <f t="shared" si="2"/>
        <v>0</v>
      </c>
      <c r="E33" s="3331">
        <f t="shared" si="2"/>
        <v>0</v>
      </c>
      <c r="F33" s="90"/>
      <c r="G33" s="92"/>
      <c r="H33" s="90"/>
      <c r="I33" s="92"/>
      <c r="J33" s="90"/>
      <c r="K33" s="92"/>
      <c r="L33" s="90"/>
      <c r="M33" s="92"/>
      <c r="N33" s="93"/>
      <c r="O33" s="92"/>
      <c r="P33" s="93"/>
      <c r="Q33" s="128"/>
      <c r="R33" s="884"/>
      <c r="S33" s="91"/>
      <c r="T33" s="3324" t="str">
        <f t="shared" si="3"/>
        <v/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3325"/>
      <c r="AZ33" s="3325"/>
      <c r="BA33" s="3325"/>
      <c r="BB33" s="3325"/>
      <c r="BC33" s="3325"/>
      <c r="BD33" s="3325"/>
      <c r="BE33" s="3325"/>
      <c r="BF33" s="3325"/>
      <c r="BG33" s="3325"/>
      <c r="BH33" s="3325"/>
      <c r="BI33" s="3325"/>
      <c r="BJ33" s="3325"/>
      <c r="BK33" s="3325"/>
      <c r="BL33" s="3325"/>
      <c r="BM33" s="3325"/>
      <c r="BN33" s="3325"/>
      <c r="BO33" s="3325"/>
      <c r="BP33" s="3325"/>
      <c r="BQ33" s="3325"/>
      <c r="BR33" s="3325"/>
      <c r="BS33" s="3325"/>
      <c r="BT33" s="3325"/>
      <c r="BU33" s="3325"/>
      <c r="BV33" s="3325"/>
      <c r="BW33" s="3325"/>
      <c r="BX33" s="3325"/>
      <c r="BY33" s="3325"/>
      <c r="BZ33" s="3325"/>
      <c r="CA33" s="3326" t="str">
        <f t="shared" si="4"/>
        <v/>
      </c>
      <c r="CB33" s="3326" t="str">
        <f t="shared" si="5"/>
        <v/>
      </c>
      <c r="CC33" s="3325"/>
      <c r="CD33" s="3325"/>
      <c r="CE33" s="3327"/>
      <c r="CF33" s="3327"/>
      <c r="CG33" s="3327"/>
      <c r="CH33" s="3327"/>
      <c r="CI33" s="3327"/>
      <c r="CJ33" s="17"/>
      <c r="CK33" s="1792">
        <f t="shared" si="6"/>
        <v>0</v>
      </c>
      <c r="CL33" s="1792">
        <f t="shared" si="6"/>
        <v>0</v>
      </c>
    </row>
    <row r="34" spans="1:90" ht="15" customHeight="1" x14ac:dyDescent="0.25">
      <c r="A34" s="6455"/>
      <c r="B34" s="3328" t="s">
        <v>2469</v>
      </c>
      <c r="C34" s="639">
        <f t="shared" si="7"/>
        <v>0</v>
      </c>
      <c r="D34" s="3330">
        <f t="shared" si="2"/>
        <v>0</v>
      </c>
      <c r="E34" s="3331">
        <f t="shared" si="2"/>
        <v>0</v>
      </c>
      <c r="F34" s="90"/>
      <c r="G34" s="92"/>
      <c r="H34" s="90"/>
      <c r="I34" s="92"/>
      <c r="J34" s="90"/>
      <c r="K34" s="92"/>
      <c r="L34" s="90"/>
      <c r="M34" s="92"/>
      <c r="N34" s="93"/>
      <c r="O34" s="92"/>
      <c r="P34" s="93"/>
      <c r="Q34" s="128"/>
      <c r="R34" s="884"/>
      <c r="S34" s="91"/>
      <c r="T34" s="3324" t="str">
        <f t="shared" si="3"/>
        <v/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3325"/>
      <c r="AZ34" s="3325"/>
      <c r="BA34" s="3325"/>
      <c r="BB34" s="3325"/>
      <c r="BC34" s="3325"/>
      <c r="BD34" s="3325"/>
      <c r="BE34" s="3325"/>
      <c r="BF34" s="3325"/>
      <c r="BG34" s="3325"/>
      <c r="BH34" s="3325"/>
      <c r="BI34" s="3325"/>
      <c r="BJ34" s="3325"/>
      <c r="BK34" s="3325"/>
      <c r="BL34" s="3325"/>
      <c r="BM34" s="3325"/>
      <c r="BN34" s="3325"/>
      <c r="BO34" s="3325"/>
      <c r="BP34" s="3325"/>
      <c r="BQ34" s="3325"/>
      <c r="BR34" s="3325"/>
      <c r="BS34" s="3325"/>
      <c r="BT34" s="3325"/>
      <c r="BU34" s="3325"/>
      <c r="BV34" s="3325"/>
      <c r="BW34" s="3325"/>
      <c r="BX34" s="3325"/>
      <c r="BY34" s="3325"/>
      <c r="BZ34" s="3325"/>
      <c r="CA34" s="3326" t="str">
        <f t="shared" si="4"/>
        <v/>
      </c>
      <c r="CB34" s="3326" t="str">
        <f t="shared" si="5"/>
        <v/>
      </c>
      <c r="CC34" s="3325"/>
      <c r="CD34" s="3325"/>
      <c r="CE34" s="3327"/>
      <c r="CF34" s="3327"/>
      <c r="CG34" s="3327"/>
      <c r="CH34" s="3327"/>
      <c r="CI34" s="3327"/>
      <c r="CJ34" s="17"/>
      <c r="CK34" s="1792">
        <f t="shared" si="6"/>
        <v>0</v>
      </c>
      <c r="CL34" s="1792">
        <f t="shared" si="6"/>
        <v>0</v>
      </c>
    </row>
    <row r="35" spans="1:90" ht="15" customHeight="1" x14ac:dyDescent="0.25">
      <c r="A35" s="6455"/>
      <c r="B35" s="3341" t="s">
        <v>2470</v>
      </c>
      <c r="C35" s="3342">
        <f t="shared" si="7"/>
        <v>0</v>
      </c>
      <c r="D35" s="190">
        <f t="shared" si="2"/>
        <v>0</v>
      </c>
      <c r="E35" s="3343">
        <f t="shared" si="2"/>
        <v>0</v>
      </c>
      <c r="F35" s="90"/>
      <c r="G35" s="92"/>
      <c r="H35" s="90"/>
      <c r="I35" s="92"/>
      <c r="J35" s="90"/>
      <c r="K35" s="92"/>
      <c r="L35" s="90"/>
      <c r="M35" s="92"/>
      <c r="N35" s="93"/>
      <c r="O35" s="92"/>
      <c r="P35" s="93"/>
      <c r="Q35" s="128"/>
      <c r="R35" s="884"/>
      <c r="S35" s="91"/>
      <c r="T35" s="3324" t="str">
        <f t="shared" si="3"/>
        <v/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3325"/>
      <c r="AZ35" s="3325"/>
      <c r="BA35" s="3325"/>
      <c r="BB35" s="3325"/>
      <c r="BC35" s="3325"/>
      <c r="BD35" s="3325"/>
      <c r="BE35" s="3325"/>
      <c r="BF35" s="3325"/>
      <c r="BG35" s="3325"/>
      <c r="BH35" s="3325"/>
      <c r="BI35" s="3325"/>
      <c r="BJ35" s="3325"/>
      <c r="BK35" s="3325"/>
      <c r="BL35" s="3325"/>
      <c r="BM35" s="3325"/>
      <c r="BN35" s="3325"/>
      <c r="BO35" s="3325"/>
      <c r="BP35" s="3325"/>
      <c r="BQ35" s="3325"/>
      <c r="BR35" s="3325"/>
      <c r="BS35" s="3325"/>
      <c r="BT35" s="3325"/>
      <c r="BU35" s="3325"/>
      <c r="BV35" s="3325"/>
      <c r="BW35" s="3325"/>
      <c r="BX35" s="3325"/>
      <c r="BY35" s="3325"/>
      <c r="BZ35" s="3325"/>
      <c r="CA35" s="3326" t="str">
        <f t="shared" si="4"/>
        <v/>
      </c>
      <c r="CB35" s="3326" t="str">
        <f t="shared" si="5"/>
        <v/>
      </c>
      <c r="CC35" s="3325"/>
      <c r="CD35" s="3325"/>
      <c r="CE35" s="3327"/>
      <c r="CF35" s="3327"/>
      <c r="CG35" s="3327"/>
      <c r="CH35" s="3327"/>
      <c r="CI35" s="3327"/>
      <c r="CJ35" s="17"/>
      <c r="CK35" s="1792">
        <f t="shared" si="6"/>
        <v>0</v>
      </c>
      <c r="CL35" s="1792">
        <f t="shared" si="6"/>
        <v>0</v>
      </c>
    </row>
    <row r="36" spans="1:90" x14ac:dyDescent="0.25">
      <c r="A36" s="6457"/>
      <c r="B36" s="3344" t="s">
        <v>2471</v>
      </c>
      <c r="C36" s="3306">
        <f t="shared" si="7"/>
        <v>0</v>
      </c>
      <c r="D36" s="3332">
        <f t="shared" si="2"/>
        <v>0</v>
      </c>
      <c r="E36" s="161">
        <f t="shared" si="2"/>
        <v>0</v>
      </c>
      <c r="F36" s="3112"/>
      <c r="G36" s="3124"/>
      <c r="H36" s="3112"/>
      <c r="I36" s="3124"/>
      <c r="J36" s="3112"/>
      <c r="K36" s="3124"/>
      <c r="L36" s="3112"/>
      <c r="M36" s="3124"/>
      <c r="N36" s="118"/>
      <c r="O36" s="3124"/>
      <c r="P36" s="118"/>
      <c r="Q36" s="3333"/>
      <c r="R36" s="3244"/>
      <c r="S36" s="117"/>
      <c r="T36" s="3324" t="str">
        <f t="shared" si="3"/>
        <v/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3325"/>
      <c r="AZ36" s="3325"/>
      <c r="BA36" s="3325"/>
      <c r="BB36" s="3325"/>
      <c r="BC36" s="3325"/>
      <c r="BD36" s="3325"/>
      <c r="BE36" s="3325"/>
      <c r="BF36" s="3325"/>
      <c r="BG36" s="3325"/>
      <c r="BH36" s="3325"/>
      <c r="BI36" s="3325"/>
      <c r="BJ36" s="3325"/>
      <c r="BK36" s="3325"/>
      <c r="BL36" s="3325"/>
      <c r="BM36" s="3325"/>
      <c r="BN36" s="3325"/>
      <c r="BO36" s="3325"/>
      <c r="BP36" s="3325"/>
      <c r="BQ36" s="3325"/>
      <c r="BR36" s="3325"/>
      <c r="BS36" s="3325"/>
      <c r="BT36" s="3325"/>
      <c r="BU36" s="3325"/>
      <c r="BV36" s="3325"/>
      <c r="BW36" s="3325"/>
      <c r="BX36" s="3325"/>
      <c r="BY36" s="3325"/>
      <c r="BZ36" s="3325"/>
      <c r="CA36" s="3326" t="str">
        <f t="shared" si="4"/>
        <v/>
      </c>
      <c r="CB36" s="3326" t="str">
        <f t="shared" si="5"/>
        <v/>
      </c>
      <c r="CC36" s="3325"/>
      <c r="CD36" s="3325"/>
      <c r="CE36" s="3327"/>
      <c r="CF36" s="3327"/>
      <c r="CG36" s="3327"/>
      <c r="CH36" s="3327"/>
      <c r="CI36" s="3327"/>
      <c r="CJ36" s="17"/>
      <c r="CK36" s="1792">
        <f t="shared" si="6"/>
        <v>0</v>
      </c>
      <c r="CL36" s="1792">
        <f t="shared" si="6"/>
        <v>0</v>
      </c>
    </row>
    <row r="37" spans="1:90" ht="15" customHeight="1" x14ac:dyDescent="0.25">
      <c r="A37" s="6553" t="s">
        <v>2472</v>
      </c>
      <c r="B37" s="203" t="s">
        <v>1931</v>
      </c>
      <c r="C37" s="145">
        <f t="shared" si="7"/>
        <v>0</v>
      </c>
      <c r="D37" s="962">
        <f t="shared" si="2"/>
        <v>0</v>
      </c>
      <c r="E37" s="154">
        <f t="shared" si="2"/>
        <v>0</v>
      </c>
      <c r="F37" s="106"/>
      <c r="G37" s="590"/>
      <c r="H37" s="106"/>
      <c r="I37" s="590"/>
      <c r="J37" s="106"/>
      <c r="K37" s="590"/>
      <c r="L37" s="106"/>
      <c r="M37" s="590"/>
      <c r="N37" s="106"/>
      <c r="O37" s="590"/>
      <c r="P37" s="113"/>
      <c r="Q37" s="844"/>
      <c r="R37" s="772"/>
      <c r="S37" s="105"/>
      <c r="T37" s="3324" t="str">
        <f t="shared" si="3"/>
        <v/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3325"/>
      <c r="AZ37" s="3325"/>
      <c r="BA37" s="3325"/>
      <c r="BB37" s="3325"/>
      <c r="BC37" s="3325"/>
      <c r="BD37" s="3325"/>
      <c r="BE37" s="3325"/>
      <c r="BF37" s="3325"/>
      <c r="BG37" s="3325"/>
      <c r="BH37" s="3325"/>
      <c r="BI37" s="3325"/>
      <c r="BJ37" s="3325"/>
      <c r="BK37" s="3325"/>
      <c r="BL37" s="3325"/>
      <c r="BM37" s="3325"/>
      <c r="BN37" s="3325"/>
      <c r="BO37" s="3325"/>
      <c r="BP37" s="3325"/>
      <c r="BQ37" s="3325"/>
      <c r="BR37" s="3325"/>
      <c r="BS37" s="3325"/>
      <c r="BT37" s="3325"/>
      <c r="BU37" s="3325"/>
      <c r="BV37" s="3325"/>
      <c r="BW37" s="3325"/>
      <c r="BX37" s="3325"/>
      <c r="BY37" s="3325"/>
      <c r="BZ37" s="3325"/>
      <c r="CA37" s="3326" t="str">
        <f t="shared" si="4"/>
        <v/>
      </c>
      <c r="CB37" s="3326" t="str">
        <f t="shared" si="5"/>
        <v/>
      </c>
      <c r="CC37" s="3325"/>
      <c r="CD37" s="3325"/>
      <c r="CE37" s="3327"/>
      <c r="CF37" s="3327"/>
      <c r="CG37" s="3327"/>
      <c r="CH37" s="3327"/>
      <c r="CI37" s="3327"/>
      <c r="CJ37" s="17"/>
      <c r="CK37" s="1792">
        <f t="shared" si="6"/>
        <v>0</v>
      </c>
      <c r="CL37" s="1792">
        <f t="shared" si="6"/>
        <v>0</v>
      </c>
    </row>
    <row r="38" spans="1:90" ht="15" customHeight="1" x14ac:dyDescent="0.25">
      <c r="A38" s="6553"/>
      <c r="B38" s="207" t="s">
        <v>1932</v>
      </c>
      <c r="C38" s="87">
        <f t="shared" si="7"/>
        <v>0</v>
      </c>
      <c r="D38" s="88">
        <f t="shared" si="2"/>
        <v>0</v>
      </c>
      <c r="E38" s="89">
        <f t="shared" si="2"/>
        <v>0</v>
      </c>
      <c r="F38" s="90"/>
      <c r="G38" s="92"/>
      <c r="H38" s="90"/>
      <c r="I38" s="92"/>
      <c r="J38" s="90"/>
      <c r="K38" s="92"/>
      <c r="L38" s="90"/>
      <c r="M38" s="92"/>
      <c r="N38" s="90"/>
      <c r="O38" s="92"/>
      <c r="P38" s="93"/>
      <c r="Q38" s="128"/>
      <c r="R38" s="884"/>
      <c r="S38" s="91"/>
      <c r="T38" s="3324" t="str">
        <f t="shared" si="3"/>
        <v/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3325"/>
      <c r="AZ38" s="3325"/>
      <c r="BA38" s="3325"/>
      <c r="BB38" s="3325"/>
      <c r="BC38" s="3325"/>
      <c r="BD38" s="3325"/>
      <c r="BE38" s="3325"/>
      <c r="BF38" s="3325"/>
      <c r="BG38" s="3325"/>
      <c r="BH38" s="3325"/>
      <c r="BI38" s="3325"/>
      <c r="BJ38" s="3325"/>
      <c r="BK38" s="3325"/>
      <c r="BL38" s="3325"/>
      <c r="BM38" s="3325"/>
      <c r="BN38" s="3325"/>
      <c r="BO38" s="3325"/>
      <c r="BP38" s="3325"/>
      <c r="BQ38" s="3325"/>
      <c r="BR38" s="3325"/>
      <c r="BS38" s="3325"/>
      <c r="BT38" s="3325"/>
      <c r="BU38" s="3325"/>
      <c r="BV38" s="3325"/>
      <c r="BW38" s="3325"/>
      <c r="BX38" s="3325"/>
      <c r="BY38" s="3325"/>
      <c r="BZ38" s="3325"/>
      <c r="CA38" s="3326" t="str">
        <f t="shared" si="4"/>
        <v/>
      </c>
      <c r="CB38" s="3326" t="str">
        <f t="shared" si="5"/>
        <v/>
      </c>
      <c r="CC38" s="3325"/>
      <c r="CD38" s="3325"/>
      <c r="CE38" s="3327"/>
      <c r="CF38" s="3327"/>
      <c r="CG38" s="3327"/>
      <c r="CH38" s="3327"/>
      <c r="CI38" s="3327"/>
      <c r="CJ38" s="17"/>
      <c r="CK38" s="1792">
        <f t="shared" si="6"/>
        <v>0</v>
      </c>
      <c r="CL38" s="1792">
        <f t="shared" si="6"/>
        <v>0</v>
      </c>
    </row>
    <row r="39" spans="1:90" ht="15" customHeight="1" x14ac:dyDescent="0.25">
      <c r="A39" s="6488" t="s">
        <v>2473</v>
      </c>
      <c r="B39" s="3085" t="s">
        <v>1930</v>
      </c>
      <c r="C39" s="3317">
        <f t="shared" si="7"/>
        <v>0</v>
      </c>
      <c r="D39" s="3318">
        <f t="shared" si="2"/>
        <v>0</v>
      </c>
      <c r="E39" s="3305">
        <f t="shared" si="2"/>
        <v>0</v>
      </c>
      <c r="F39" s="3216"/>
      <c r="G39" s="3217"/>
      <c r="H39" s="3216"/>
      <c r="I39" s="3217"/>
      <c r="J39" s="3216"/>
      <c r="K39" s="3217"/>
      <c r="L39" s="3216"/>
      <c r="M39" s="3217"/>
      <c r="N39" s="3216"/>
      <c r="O39" s="3217"/>
      <c r="P39" s="3334"/>
      <c r="Q39" s="3335"/>
      <c r="R39" s="3336"/>
      <c r="S39" s="3223"/>
      <c r="T39" s="3324" t="str">
        <f t="shared" si="3"/>
        <v/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3325"/>
      <c r="AZ39" s="3325"/>
      <c r="BA39" s="3325"/>
      <c r="BB39" s="3325"/>
      <c r="BC39" s="3325"/>
      <c r="BD39" s="3325"/>
      <c r="BE39" s="3325"/>
      <c r="BF39" s="3325"/>
      <c r="BG39" s="3325"/>
      <c r="BH39" s="3325"/>
      <c r="BI39" s="3325"/>
      <c r="BJ39" s="3325"/>
      <c r="BK39" s="3325"/>
      <c r="BL39" s="3325"/>
      <c r="BM39" s="3325"/>
      <c r="BN39" s="3325"/>
      <c r="BO39" s="3325"/>
      <c r="BP39" s="3325"/>
      <c r="BQ39" s="3325"/>
      <c r="BR39" s="3325"/>
      <c r="BS39" s="3325"/>
      <c r="BT39" s="3325"/>
      <c r="BU39" s="3325"/>
      <c r="BV39" s="3325"/>
      <c r="BW39" s="3325"/>
      <c r="BX39" s="3325"/>
      <c r="BY39" s="3325"/>
      <c r="BZ39" s="3325"/>
      <c r="CA39" s="3326" t="str">
        <f t="shared" si="4"/>
        <v/>
      </c>
      <c r="CB39" s="3326" t="str">
        <f t="shared" si="5"/>
        <v/>
      </c>
      <c r="CC39" s="3325"/>
      <c r="CD39" s="3325"/>
      <c r="CE39" s="3327"/>
      <c r="CF39" s="3327"/>
      <c r="CG39" s="3327"/>
      <c r="CH39" s="3327"/>
      <c r="CI39" s="3327"/>
      <c r="CJ39" s="17"/>
      <c r="CK39" s="1792">
        <f t="shared" si="6"/>
        <v>0</v>
      </c>
      <c r="CL39" s="1792">
        <f t="shared" si="6"/>
        <v>0</v>
      </c>
    </row>
    <row r="40" spans="1:90" ht="15" customHeight="1" x14ac:dyDescent="0.25">
      <c r="A40" s="6455"/>
      <c r="B40" s="3328" t="s">
        <v>1931</v>
      </c>
      <c r="C40" s="639">
        <f t="shared" si="7"/>
        <v>0</v>
      </c>
      <c r="D40" s="3330">
        <f t="shared" si="2"/>
        <v>0</v>
      </c>
      <c r="E40" s="3331">
        <f t="shared" si="2"/>
        <v>0</v>
      </c>
      <c r="F40" s="620"/>
      <c r="G40" s="630"/>
      <c r="H40" s="620"/>
      <c r="I40" s="630"/>
      <c r="J40" s="620"/>
      <c r="K40" s="630"/>
      <c r="L40" s="620"/>
      <c r="M40" s="630"/>
      <c r="N40" s="620"/>
      <c r="O40" s="630"/>
      <c r="P40" s="3329"/>
      <c r="Q40" s="796"/>
      <c r="R40" s="622"/>
      <c r="S40" s="3166"/>
      <c r="T40" s="3324" t="str">
        <f t="shared" si="3"/>
        <v/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3325"/>
      <c r="AZ40" s="3325"/>
      <c r="BA40" s="3325"/>
      <c r="BB40" s="3325"/>
      <c r="BC40" s="3325"/>
      <c r="BD40" s="3325"/>
      <c r="BE40" s="3325"/>
      <c r="BF40" s="3325"/>
      <c r="BG40" s="3325"/>
      <c r="BH40" s="3325"/>
      <c r="BI40" s="3325"/>
      <c r="BJ40" s="3325"/>
      <c r="BK40" s="3325"/>
      <c r="BL40" s="3325"/>
      <c r="BM40" s="3325"/>
      <c r="BN40" s="3325"/>
      <c r="BO40" s="3325"/>
      <c r="BP40" s="3325"/>
      <c r="BQ40" s="3325"/>
      <c r="BR40" s="3325"/>
      <c r="BS40" s="3325"/>
      <c r="BT40" s="3325"/>
      <c r="BU40" s="3325"/>
      <c r="BV40" s="3325"/>
      <c r="BW40" s="3325"/>
      <c r="BX40" s="3325"/>
      <c r="BY40" s="3325"/>
      <c r="BZ40" s="3325"/>
      <c r="CA40" s="3326" t="str">
        <f t="shared" si="4"/>
        <v/>
      </c>
      <c r="CB40" s="3326" t="str">
        <f t="shared" si="5"/>
        <v/>
      </c>
      <c r="CC40" s="3325"/>
      <c r="CD40" s="3325"/>
      <c r="CE40" s="3327"/>
      <c r="CF40" s="3327"/>
      <c r="CG40" s="3327"/>
      <c r="CH40" s="3327"/>
      <c r="CI40" s="3327"/>
      <c r="CJ40" s="17"/>
      <c r="CK40" s="1792">
        <f t="shared" si="6"/>
        <v>0</v>
      </c>
      <c r="CL40" s="1792">
        <f t="shared" si="6"/>
        <v>0</v>
      </c>
    </row>
    <row r="41" spans="1:90" ht="15" customHeight="1" x14ac:dyDescent="0.25">
      <c r="A41" s="6457"/>
      <c r="B41" s="207" t="s">
        <v>1932</v>
      </c>
      <c r="C41" s="3306">
        <f t="shared" si="7"/>
        <v>0</v>
      </c>
      <c r="D41" s="3332">
        <f t="shared" si="2"/>
        <v>0</v>
      </c>
      <c r="E41" s="161">
        <f t="shared" si="2"/>
        <v>0</v>
      </c>
      <c r="F41" s="3112"/>
      <c r="G41" s="3124"/>
      <c r="H41" s="3112"/>
      <c r="I41" s="3124"/>
      <c r="J41" s="3112"/>
      <c r="K41" s="3124"/>
      <c r="L41" s="3112"/>
      <c r="M41" s="3124"/>
      <c r="N41" s="3112"/>
      <c r="O41" s="3124"/>
      <c r="P41" s="118"/>
      <c r="Q41" s="3333"/>
      <c r="R41" s="3244"/>
      <c r="S41" s="117"/>
      <c r="T41" s="3324" t="str">
        <f t="shared" si="3"/>
        <v/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3325"/>
      <c r="AZ41" s="3325"/>
      <c r="BA41" s="3325"/>
      <c r="BB41" s="3325"/>
      <c r="BC41" s="3325"/>
      <c r="BD41" s="3325"/>
      <c r="BE41" s="3325"/>
      <c r="BF41" s="3325"/>
      <c r="BG41" s="3325"/>
      <c r="BH41" s="3325"/>
      <c r="BI41" s="3325"/>
      <c r="BJ41" s="3325"/>
      <c r="BK41" s="3325"/>
      <c r="BL41" s="3325"/>
      <c r="BM41" s="3325"/>
      <c r="BN41" s="3325"/>
      <c r="BO41" s="3325"/>
      <c r="BP41" s="3325"/>
      <c r="BQ41" s="3325"/>
      <c r="BR41" s="3325"/>
      <c r="BS41" s="3325"/>
      <c r="BT41" s="3325"/>
      <c r="BU41" s="3325"/>
      <c r="BV41" s="3325"/>
      <c r="BW41" s="3325"/>
      <c r="BX41" s="3325"/>
      <c r="BY41" s="3325"/>
      <c r="BZ41" s="3325"/>
      <c r="CA41" s="3326" t="str">
        <f t="shared" si="4"/>
        <v/>
      </c>
      <c r="CB41" s="3326" t="str">
        <f>IF(AND($C41&lt;&gt;0,S41=""),"* No olvide ingresar la columna "&amp;S$17&amp;""&amp;" (Digite CERO si no tiene). ",IF(S41&gt;$C41,"* El Número de Migrantes no puede superar el Total. ",""))</f>
        <v/>
      </c>
      <c r="CC41" s="3325"/>
      <c r="CD41" s="3325"/>
      <c r="CE41" s="3327"/>
      <c r="CF41" s="3327"/>
      <c r="CG41" s="3327"/>
      <c r="CH41" s="3327"/>
      <c r="CI41" s="3327"/>
      <c r="CJ41" s="17"/>
      <c r="CK41" s="1792">
        <f t="shared" si="6"/>
        <v>0</v>
      </c>
      <c r="CL41" s="1792">
        <f t="shared" si="6"/>
        <v>0</v>
      </c>
    </row>
    <row r="42" spans="1:90" ht="18" customHeight="1" x14ac:dyDescent="0.25">
      <c r="A42" s="3345" t="s">
        <v>2474</v>
      </c>
      <c r="B42" s="3346"/>
      <c r="C42" s="3346"/>
      <c r="D42" s="3346"/>
      <c r="E42" s="3346"/>
      <c r="F42" s="3346"/>
      <c r="G42" s="3346"/>
      <c r="H42" s="3346"/>
      <c r="I42" s="3346"/>
      <c r="J42" s="3346"/>
      <c r="K42" s="3346"/>
      <c r="L42" s="3346"/>
      <c r="M42" s="3346"/>
      <c r="N42" s="3346"/>
      <c r="O42" s="3346"/>
      <c r="P42" s="3346"/>
    </row>
    <row r="43" spans="1:90" ht="15" customHeight="1" x14ac:dyDescent="0.25">
      <c r="A43" s="6484" t="s">
        <v>2475</v>
      </c>
      <c r="B43" s="6493" t="s">
        <v>1923</v>
      </c>
      <c r="C43" s="6468"/>
      <c r="D43" s="6469"/>
      <c r="E43" s="6519" t="s">
        <v>30</v>
      </c>
      <c r="F43" s="6496"/>
      <c r="G43" s="6496"/>
      <c r="H43" s="6496"/>
      <c r="I43" s="6496"/>
      <c r="J43" s="6496"/>
      <c r="K43" s="6496"/>
      <c r="L43" s="6496"/>
      <c r="M43" s="6496"/>
      <c r="N43" s="6496"/>
      <c r="O43" s="6496"/>
      <c r="P43" s="6498"/>
      <c r="Q43" s="6540" t="s">
        <v>2</v>
      </c>
      <c r="R43" s="6543" t="s">
        <v>3</v>
      </c>
    </row>
    <row r="44" spans="1:90" ht="15" customHeight="1" x14ac:dyDescent="0.25">
      <c r="A44" s="6485"/>
      <c r="B44" s="6503"/>
      <c r="C44" s="6476"/>
      <c r="D44" s="6461"/>
      <c r="E44" s="6494" t="s">
        <v>3762</v>
      </c>
      <c r="F44" s="6535"/>
      <c r="G44" s="6494" t="s">
        <v>2453</v>
      </c>
      <c r="H44" s="6535"/>
      <c r="I44" s="6494" t="s">
        <v>2445</v>
      </c>
      <c r="J44" s="6535"/>
      <c r="K44" s="6494" t="s">
        <v>2454</v>
      </c>
      <c r="L44" s="6535"/>
      <c r="M44" s="6494" t="s">
        <v>2455</v>
      </c>
      <c r="N44" s="6535"/>
      <c r="O44" s="6494" t="s">
        <v>2456</v>
      </c>
      <c r="P44" s="6511"/>
      <c r="Q44" s="6541"/>
      <c r="R44" s="6544"/>
    </row>
    <row r="45" spans="1:90" ht="15" customHeight="1" x14ac:dyDescent="0.25">
      <c r="A45" s="6451"/>
      <c r="B45" s="4807" t="s">
        <v>26</v>
      </c>
      <c r="C45" s="3249" t="s">
        <v>22</v>
      </c>
      <c r="D45" s="2828" t="s">
        <v>27</v>
      </c>
      <c r="E45" s="3242" t="s">
        <v>22</v>
      </c>
      <c r="F45" s="2644" t="s">
        <v>27</v>
      </c>
      <c r="G45" s="3242" t="s">
        <v>22</v>
      </c>
      <c r="H45" s="2644" t="s">
        <v>27</v>
      </c>
      <c r="I45" s="3242" t="s">
        <v>22</v>
      </c>
      <c r="J45" s="2644" t="s">
        <v>27</v>
      </c>
      <c r="K45" s="3242" t="s">
        <v>22</v>
      </c>
      <c r="L45" s="2644" t="s">
        <v>27</v>
      </c>
      <c r="M45" s="3242" t="s">
        <v>22</v>
      </c>
      <c r="N45" s="2644" t="s">
        <v>27</v>
      </c>
      <c r="O45" s="3242" t="s">
        <v>22</v>
      </c>
      <c r="P45" s="5901" t="s">
        <v>27</v>
      </c>
      <c r="Q45" s="6542"/>
      <c r="R45" s="6545"/>
    </row>
    <row r="46" spans="1:90" ht="15" customHeight="1" x14ac:dyDescent="0.25">
      <c r="A46" s="3347" t="s">
        <v>1930</v>
      </c>
      <c r="B46" s="4808">
        <f>SUM(C46+D46)</f>
        <v>0</v>
      </c>
      <c r="C46" s="3348">
        <f t="shared" ref="C46:D49" si="8">SUM(E46+G46+I46+K46+M46+O46)</f>
        <v>0</v>
      </c>
      <c r="D46" s="3284">
        <f t="shared" si="8"/>
        <v>0</v>
      </c>
      <c r="E46" s="3216"/>
      <c r="F46" s="3223"/>
      <c r="G46" s="3216"/>
      <c r="H46" s="3223"/>
      <c r="I46" s="3216"/>
      <c r="J46" s="3217"/>
      <c r="K46" s="3216"/>
      <c r="L46" s="3217"/>
      <c r="M46" s="3334"/>
      <c r="N46" s="3217"/>
      <c r="O46" s="3334"/>
      <c r="P46" s="5894"/>
      <c r="Q46" s="5895"/>
      <c r="R46" s="5952"/>
      <c r="S46" s="3324" t="str">
        <f>$CA46&amp;CB46</f>
        <v/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3325"/>
      <c r="AY46" s="3325"/>
      <c r="AZ46" s="3325"/>
      <c r="BA46" s="3325"/>
      <c r="BB46" s="3325"/>
      <c r="BC46" s="3325"/>
      <c r="BD46" s="3325"/>
      <c r="BE46" s="3325"/>
      <c r="BF46" s="3325"/>
      <c r="BG46" s="3325"/>
      <c r="BH46" s="3325"/>
      <c r="BI46" s="3325"/>
      <c r="BJ46" s="3325"/>
      <c r="BK46" s="3325"/>
      <c r="BL46" s="3325"/>
      <c r="BM46" s="3325"/>
      <c r="BN46" s="3325"/>
      <c r="BO46" s="3325"/>
      <c r="BP46" s="3325"/>
      <c r="BQ46" s="3325"/>
      <c r="BR46" s="3325"/>
      <c r="BS46" s="3325"/>
      <c r="BT46" s="3325"/>
      <c r="BU46" s="3325"/>
      <c r="BV46" s="3325"/>
      <c r="BW46" s="3325"/>
      <c r="BX46" s="3325"/>
      <c r="BY46" s="3325"/>
      <c r="BZ46" s="3325"/>
      <c r="CA46" s="3326" t="str">
        <f>IF(AND($B46&lt;&gt;0,Q46=""),"* No olvide ingresar la columna "&amp;Q$43&amp;""&amp;" (Digite CERO si no tiene). ",IF(Q46&gt;$B46,"* El Número de Pueblos Originarios no puede superar el Total. ",""))</f>
        <v/>
      </c>
      <c r="CB46" s="3326" t="str">
        <f>IF(AND($B46&lt;&gt;0,R46=""),"* No olvide ingresar la columna "&amp;R$43&amp;""&amp;" (Digite CERO si no tiene). ",IF(R46&gt;$B46,"* El Número de Migrantes no puede superar el Total. ",""))</f>
        <v/>
      </c>
      <c r="CC46" s="3325"/>
      <c r="CD46" s="3325"/>
      <c r="CE46" s="3327"/>
      <c r="CF46" s="3327"/>
      <c r="CG46" s="3327"/>
      <c r="CH46" s="3327"/>
      <c r="CI46" s="3327"/>
      <c r="CJ46" s="17"/>
      <c r="CK46" s="1792">
        <f>IF(AND($B46&lt;&gt;0,Q46=""),1,IF(Q46&gt;$B46,1,0))</f>
        <v>0</v>
      </c>
      <c r="CL46" s="1792">
        <f>IF(AND($B46&lt;&gt;0,R46=""),1,IF(R46&gt;$B46,1,0))</f>
        <v>0</v>
      </c>
    </row>
    <row r="47" spans="1:90" ht="15" customHeight="1" x14ac:dyDescent="0.25">
      <c r="A47" s="3350" t="s">
        <v>1931</v>
      </c>
      <c r="B47" s="4809">
        <f>SUM(C47+D47)</f>
        <v>0</v>
      </c>
      <c r="C47" s="3351">
        <f t="shared" si="8"/>
        <v>0</v>
      </c>
      <c r="D47" s="143">
        <f t="shared" si="8"/>
        <v>0</v>
      </c>
      <c r="E47" s="620"/>
      <c r="F47" s="105"/>
      <c r="G47" s="106"/>
      <c r="H47" s="105"/>
      <c r="I47" s="106"/>
      <c r="J47" s="590"/>
      <c r="K47" s="106"/>
      <c r="L47" s="590"/>
      <c r="M47" s="113"/>
      <c r="N47" s="590"/>
      <c r="O47" s="113"/>
      <c r="P47" s="4952"/>
      <c r="Q47" s="933"/>
      <c r="R47" s="630"/>
      <c r="S47" s="3324" t="str">
        <f>$CA47&amp;CB47</f>
        <v/>
      </c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3325"/>
      <c r="AY47" s="3325"/>
      <c r="AZ47" s="3325"/>
      <c r="BA47" s="3325"/>
      <c r="BB47" s="3325"/>
      <c r="BC47" s="3325"/>
      <c r="BD47" s="3325"/>
      <c r="BE47" s="3325"/>
      <c r="BF47" s="3325"/>
      <c r="BG47" s="3325"/>
      <c r="BH47" s="3325"/>
      <c r="BI47" s="3325"/>
      <c r="BJ47" s="3325"/>
      <c r="BK47" s="3325"/>
      <c r="BL47" s="3325"/>
      <c r="BM47" s="3325"/>
      <c r="BN47" s="3325"/>
      <c r="BO47" s="3325"/>
      <c r="BP47" s="3325"/>
      <c r="BQ47" s="3325"/>
      <c r="BR47" s="3325"/>
      <c r="BS47" s="3325"/>
      <c r="BT47" s="3325"/>
      <c r="BU47" s="3325"/>
      <c r="BV47" s="3325"/>
      <c r="BW47" s="3325"/>
      <c r="BX47" s="3325"/>
      <c r="BY47" s="3325"/>
      <c r="BZ47" s="3325"/>
      <c r="CA47" s="3326" t="str">
        <f t="shared" ref="CA47:CA49" si="9">IF(AND($B47&lt;&gt;0,Q47=""),"* No olvide ingresar la columna "&amp;Q$43&amp;""&amp;" (Digite CERO si no tiene). ",IF(Q47&gt;$B47,"* El Número de Pueblos Originarios no puede superar el Total. ",""))</f>
        <v/>
      </c>
      <c r="CB47" s="3326" t="str">
        <f t="shared" ref="CB47:CB49" si="10">IF(AND($B47&lt;&gt;0,R47=""),"* No olvide ingresar la columna "&amp;R$43&amp;""&amp;" (Digite CERO si no tiene). ",IF(R47&gt;$B47,"* El Número de Migrantes no puede superar el Total. ",""))</f>
        <v/>
      </c>
      <c r="CC47" s="3325"/>
      <c r="CD47" s="3325"/>
      <c r="CE47" s="3327"/>
      <c r="CF47" s="3327"/>
      <c r="CG47" s="3327"/>
      <c r="CH47" s="3327"/>
      <c r="CI47" s="3327"/>
      <c r="CJ47" s="17"/>
      <c r="CK47" s="1792">
        <f t="shared" ref="CK47:CK49" si="11">IF(AND($B47&lt;&gt;0,Q47=""),1,IF(Q47&gt;$B47,1,0))</f>
        <v>0</v>
      </c>
      <c r="CL47" s="1792">
        <f t="shared" ref="CL47:CL49" si="12">IF(AND($B47&lt;&gt;0,R47=""),1,IF(R47&gt;$B47,1,0))</f>
        <v>0</v>
      </c>
    </row>
    <row r="48" spans="1:90" ht="15" customHeight="1" x14ac:dyDescent="0.25">
      <c r="A48" s="3350" t="s">
        <v>1932</v>
      </c>
      <c r="B48" s="4950">
        <f>SUM(C48+D48)</f>
        <v>0</v>
      </c>
      <c r="C48" s="4705">
        <f t="shared" si="8"/>
        <v>0</v>
      </c>
      <c r="D48" s="3280">
        <f t="shared" si="8"/>
        <v>0</v>
      </c>
      <c r="E48" s="1089"/>
      <c r="F48" s="3166"/>
      <c r="G48" s="1089"/>
      <c r="H48" s="3166"/>
      <c r="I48" s="1089"/>
      <c r="J48" s="1077"/>
      <c r="K48" s="1089"/>
      <c r="L48" s="1077"/>
      <c r="M48" s="3329"/>
      <c r="N48" s="1077"/>
      <c r="O48" s="3329"/>
      <c r="P48" s="5613"/>
      <c r="Q48" s="933"/>
      <c r="R48" s="630"/>
      <c r="S48" s="3324" t="str">
        <f>$CA48&amp;CB48</f>
        <v/>
      </c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3325"/>
      <c r="AY48" s="3325"/>
      <c r="AZ48" s="3325"/>
      <c r="BA48" s="3325"/>
      <c r="BB48" s="3325"/>
      <c r="BC48" s="3325"/>
      <c r="BD48" s="3325"/>
      <c r="BE48" s="3325"/>
      <c r="BF48" s="3325"/>
      <c r="BG48" s="3325"/>
      <c r="BH48" s="3325"/>
      <c r="BI48" s="3325"/>
      <c r="BJ48" s="3325"/>
      <c r="BK48" s="3325"/>
      <c r="BL48" s="3325"/>
      <c r="BM48" s="3325"/>
      <c r="BN48" s="3325"/>
      <c r="BO48" s="3325"/>
      <c r="BP48" s="3325"/>
      <c r="BQ48" s="3325"/>
      <c r="BR48" s="3325"/>
      <c r="BS48" s="3325"/>
      <c r="BT48" s="3325"/>
      <c r="BU48" s="3325"/>
      <c r="BV48" s="3325"/>
      <c r="BW48" s="3325"/>
      <c r="BX48" s="3325"/>
      <c r="BY48" s="3325"/>
      <c r="BZ48" s="3325"/>
      <c r="CA48" s="3326" t="str">
        <f t="shared" si="9"/>
        <v/>
      </c>
      <c r="CB48" s="3326" t="str">
        <f t="shared" si="10"/>
        <v/>
      </c>
      <c r="CC48" s="3325"/>
      <c r="CD48" s="3325"/>
      <c r="CE48" s="3327"/>
      <c r="CF48" s="3327"/>
      <c r="CG48" s="3327"/>
      <c r="CH48" s="3327"/>
      <c r="CI48" s="3327"/>
      <c r="CJ48" s="17"/>
      <c r="CK48" s="1792">
        <f t="shared" si="11"/>
        <v>0</v>
      </c>
      <c r="CL48" s="1792">
        <f t="shared" si="12"/>
        <v>0</v>
      </c>
    </row>
    <row r="49" spans="1:90" ht="15" customHeight="1" x14ac:dyDescent="0.25">
      <c r="A49" s="4942" t="s">
        <v>1933</v>
      </c>
      <c r="B49" s="4943">
        <f>SUM(C49:D49)</f>
        <v>0</v>
      </c>
      <c r="C49" s="4944">
        <f t="shared" si="8"/>
        <v>0</v>
      </c>
      <c r="D49" s="4945">
        <f t="shared" si="8"/>
        <v>0</v>
      </c>
      <c r="E49" s="4946"/>
      <c r="F49" s="4947"/>
      <c r="G49" s="4946"/>
      <c r="H49" s="4947"/>
      <c r="I49" s="4946"/>
      <c r="J49" s="4948"/>
      <c r="K49" s="4946"/>
      <c r="L49" s="4948"/>
      <c r="M49" s="4949"/>
      <c r="N49" s="4948"/>
      <c r="O49" s="4949"/>
      <c r="P49" s="5621"/>
      <c r="Q49" s="5622"/>
      <c r="R49" s="4948"/>
      <c r="S49" s="3324" t="str">
        <f t="shared" ref="S49" si="13">$CA49&amp;CB49</f>
        <v/>
      </c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3325"/>
      <c r="AY49" s="3325"/>
      <c r="AZ49" s="3325"/>
      <c r="BA49" s="3325"/>
      <c r="BB49" s="3325"/>
      <c r="BC49" s="3325"/>
      <c r="BD49" s="3325"/>
      <c r="BE49" s="3325"/>
      <c r="BF49" s="3325"/>
      <c r="BG49" s="3325"/>
      <c r="BH49" s="3325"/>
      <c r="BI49" s="3325"/>
      <c r="BJ49" s="3325"/>
      <c r="BK49" s="3325"/>
      <c r="BL49" s="3325"/>
      <c r="BM49" s="3325"/>
      <c r="BN49" s="3325"/>
      <c r="BO49" s="3325"/>
      <c r="BP49" s="3325"/>
      <c r="BQ49" s="3325"/>
      <c r="BR49" s="3325"/>
      <c r="BS49" s="3325"/>
      <c r="BT49" s="3325"/>
      <c r="BU49" s="3325"/>
      <c r="BV49" s="3325"/>
      <c r="BW49" s="3325"/>
      <c r="BX49" s="3325"/>
      <c r="BY49" s="3325"/>
      <c r="BZ49" s="3325"/>
      <c r="CA49" s="3326" t="str">
        <f t="shared" si="9"/>
        <v/>
      </c>
      <c r="CB49" s="3326" t="str">
        <f t="shared" si="10"/>
        <v/>
      </c>
      <c r="CC49" s="3325"/>
      <c r="CD49" s="3325"/>
      <c r="CE49" s="3327"/>
      <c r="CF49" s="3327"/>
      <c r="CG49" s="3327"/>
      <c r="CH49" s="3327"/>
      <c r="CI49" s="3327"/>
      <c r="CJ49" s="17"/>
      <c r="CK49" s="1792">
        <f t="shared" si="11"/>
        <v>0</v>
      </c>
      <c r="CL49" s="1792">
        <f t="shared" si="12"/>
        <v>0</v>
      </c>
    </row>
    <row r="50" spans="1:90" ht="18" customHeight="1" x14ac:dyDescent="0.25">
      <c r="A50" s="3150" t="s">
        <v>2476</v>
      </c>
      <c r="B50" s="2998"/>
      <c r="C50" s="2998"/>
      <c r="D50" s="2998"/>
      <c r="E50" s="2998"/>
      <c r="F50" s="2998"/>
      <c r="G50" s="2998"/>
      <c r="H50" s="2998"/>
    </row>
    <row r="51" spans="1:90" ht="15" customHeight="1" x14ac:dyDescent="0.25">
      <c r="A51" s="6492" t="s">
        <v>2477</v>
      </c>
      <c r="B51" s="6493" t="s">
        <v>35</v>
      </c>
      <c r="C51" s="6468"/>
      <c r="D51" s="6469"/>
      <c r="E51" s="6550" t="s">
        <v>30</v>
      </c>
      <c r="F51" s="6550"/>
      <c r="G51" s="6550"/>
      <c r="H51" s="6558"/>
      <c r="I51" s="6559" t="s">
        <v>2</v>
      </c>
      <c r="J51" s="6560" t="s">
        <v>3</v>
      </c>
    </row>
    <row r="52" spans="1:90" ht="15" customHeight="1" x14ac:dyDescent="0.25">
      <c r="A52" s="6466"/>
      <c r="B52" s="6503"/>
      <c r="C52" s="6476"/>
      <c r="D52" s="6461"/>
      <c r="E52" s="6494" t="s">
        <v>547</v>
      </c>
      <c r="F52" s="6535"/>
      <c r="G52" s="6494" t="s">
        <v>548</v>
      </c>
      <c r="H52" s="6561"/>
      <c r="I52" s="6541"/>
      <c r="J52" s="6544"/>
    </row>
    <row r="53" spans="1:90" ht="15" customHeight="1" x14ac:dyDescent="0.25">
      <c r="A53" s="6449"/>
      <c r="B53" s="4807" t="s">
        <v>26</v>
      </c>
      <c r="C53" s="3249" t="s">
        <v>22</v>
      </c>
      <c r="D53" s="2828" t="s">
        <v>27</v>
      </c>
      <c r="E53" s="3242" t="s">
        <v>22</v>
      </c>
      <c r="F53" s="3315" t="s">
        <v>27</v>
      </c>
      <c r="G53" s="3242" t="s">
        <v>22</v>
      </c>
      <c r="H53" s="4935" t="s">
        <v>27</v>
      </c>
      <c r="I53" s="6542"/>
      <c r="J53" s="6545"/>
    </row>
    <row r="54" spans="1:90" ht="21" customHeight="1" x14ac:dyDescent="0.25">
      <c r="A54" s="3352" t="s">
        <v>2478</v>
      </c>
      <c r="B54" s="4810">
        <f>SUM(C54+D54)</f>
        <v>0</v>
      </c>
      <c r="C54" s="3354">
        <f t="shared" ref="C54:D57" si="14">SUM(E54+G54)</f>
        <v>0</v>
      </c>
      <c r="D54" s="3319">
        <f t="shared" si="14"/>
        <v>0</v>
      </c>
      <c r="E54" s="3270">
        <f t="shared" ref="E54:J54" si="15">SUM(E55:E57)</f>
        <v>0</v>
      </c>
      <c r="F54" s="3353">
        <f t="shared" si="15"/>
        <v>0</v>
      </c>
      <c r="G54" s="3355">
        <f t="shared" si="15"/>
        <v>0</v>
      </c>
      <c r="H54" s="4951">
        <f t="shared" si="15"/>
        <v>0</v>
      </c>
      <c r="I54" s="4953">
        <f t="shared" si="15"/>
        <v>0</v>
      </c>
      <c r="J54" s="4954">
        <f t="shared" si="15"/>
        <v>0</v>
      </c>
    </row>
    <row r="55" spans="1:90" ht="15" customHeight="1" x14ac:dyDescent="0.25">
      <c r="A55" s="3356" t="s">
        <v>2431</v>
      </c>
      <c r="B55" s="2093">
        <f>SUM(C55+D55)</f>
        <v>0</v>
      </c>
      <c r="C55" s="3357">
        <f t="shared" si="14"/>
        <v>0</v>
      </c>
      <c r="D55" s="154">
        <f t="shared" si="14"/>
        <v>0</v>
      </c>
      <c r="E55" s="106"/>
      <c r="F55" s="105"/>
      <c r="G55" s="113"/>
      <c r="H55" s="4952"/>
      <c r="I55" s="1132"/>
      <c r="J55" s="1077"/>
      <c r="K55" s="3324" t="str">
        <f>$CA55&amp;CB55</f>
        <v/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3325"/>
      <c r="AQ55" s="3325"/>
      <c r="AR55" s="3325"/>
      <c r="AS55" s="3325"/>
      <c r="AT55" s="3325"/>
      <c r="AU55" s="3325"/>
      <c r="AV55" s="3325"/>
      <c r="AW55" s="3325"/>
      <c r="AX55" s="3325"/>
      <c r="AY55" s="3325"/>
      <c r="AZ55" s="3325"/>
      <c r="BA55" s="3325"/>
      <c r="BB55" s="3325"/>
      <c r="BC55" s="3325"/>
      <c r="BD55" s="3325"/>
      <c r="BE55" s="3325"/>
      <c r="BF55" s="3325"/>
      <c r="BG55" s="3325"/>
      <c r="BH55" s="3325"/>
      <c r="BI55" s="3325"/>
      <c r="BJ55" s="3325"/>
      <c r="BK55" s="3325"/>
      <c r="BL55" s="3325"/>
      <c r="BM55" s="3325"/>
      <c r="BN55" s="3325"/>
      <c r="BO55" s="3325"/>
      <c r="BP55" s="3325"/>
      <c r="BQ55" s="3325"/>
      <c r="BR55" s="3325"/>
      <c r="BS55" s="3325"/>
      <c r="BT55" s="3325"/>
      <c r="BU55" s="3325"/>
      <c r="BV55" s="3325"/>
      <c r="BW55" s="3325"/>
      <c r="BX55" s="3325"/>
      <c r="BY55" s="3325"/>
      <c r="BZ55" s="3325"/>
      <c r="CA55" s="3326" t="str">
        <f>IF(AND($B55&lt;&gt;0,I55=""),"* No olvide ingresar la columna "&amp;I$51&amp;""&amp;" (Digite CERO si no tiene). ",IF(I55&gt;$B55,"* El Número de Pueblos Originarios no puede superar el Total. ",""))</f>
        <v/>
      </c>
      <c r="CB55" s="3326" t="str">
        <f>IF(AND($B55&lt;&gt;0,J55=""),"* No olvide ingresar la columna "&amp;J$51&amp;""&amp;" (Digite CERO si no tiene). ",IF(J55&gt;$B55,"* El Número de Migrantes no puede superar el Total. ",""))</f>
        <v/>
      </c>
      <c r="CC55" s="3325"/>
      <c r="CD55" s="3325"/>
      <c r="CE55" s="3327"/>
      <c r="CF55" s="3327"/>
      <c r="CG55" s="3327"/>
      <c r="CH55" s="3327"/>
      <c r="CI55" s="3327"/>
      <c r="CJ55" s="17"/>
      <c r="CK55" s="1792">
        <f>IF(AND($B55&lt;&gt;0,I55=""),1,IF(I55&gt;$B55,1,0))</f>
        <v>0</v>
      </c>
      <c r="CL55" s="1792">
        <f>IF(AND($B55&lt;&gt;0,J55=""),1,IF(J55&gt;$B55,1,0))</f>
        <v>0</v>
      </c>
    </row>
    <row r="56" spans="1:90" ht="15" customHeight="1" x14ac:dyDescent="0.25">
      <c r="A56" s="3350" t="s">
        <v>2479</v>
      </c>
      <c r="B56" s="1054">
        <f>SUM(C56+D56)</f>
        <v>0</v>
      </c>
      <c r="C56" s="3359">
        <f t="shared" si="14"/>
        <v>0</v>
      </c>
      <c r="D56" s="3331">
        <f t="shared" si="14"/>
        <v>0</v>
      </c>
      <c r="E56" s="620"/>
      <c r="F56" s="3166"/>
      <c r="G56" s="3329"/>
      <c r="H56" s="1098"/>
      <c r="I56" s="1132"/>
      <c r="J56" s="1077"/>
      <c r="K56" s="3324" t="str">
        <f t="shared" ref="K56:K57" si="16">$CA56&amp;CB56</f>
        <v/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3325"/>
      <c r="AQ56" s="3325"/>
      <c r="AR56" s="3325"/>
      <c r="AS56" s="3325"/>
      <c r="AT56" s="3325"/>
      <c r="AU56" s="3325"/>
      <c r="AV56" s="3325"/>
      <c r="AW56" s="3325"/>
      <c r="AX56" s="3325"/>
      <c r="AY56" s="3325"/>
      <c r="AZ56" s="3325"/>
      <c r="BA56" s="3325"/>
      <c r="BB56" s="3325"/>
      <c r="BC56" s="3325"/>
      <c r="BD56" s="3325"/>
      <c r="BE56" s="3325"/>
      <c r="BF56" s="3325"/>
      <c r="BG56" s="3325"/>
      <c r="BH56" s="3325"/>
      <c r="BI56" s="3325"/>
      <c r="BJ56" s="3325"/>
      <c r="BK56" s="3325"/>
      <c r="BL56" s="3325"/>
      <c r="BM56" s="3325"/>
      <c r="BN56" s="3325"/>
      <c r="BO56" s="3325"/>
      <c r="BP56" s="3325"/>
      <c r="BQ56" s="3325"/>
      <c r="BR56" s="3325"/>
      <c r="BS56" s="3325"/>
      <c r="BT56" s="3325"/>
      <c r="BU56" s="3325"/>
      <c r="BV56" s="3325"/>
      <c r="BW56" s="3325"/>
      <c r="BX56" s="3325"/>
      <c r="BY56" s="3325"/>
      <c r="BZ56" s="3325"/>
      <c r="CA56" s="3326" t="str">
        <f t="shared" ref="CA56:CA57" si="17">IF(AND($B56&lt;&gt;0,I56=""),"* No olvide ingresar la columna "&amp;I$51&amp;""&amp;" (Digite CERO si no tiene). ",IF(I56&gt;$B56,"* El Número de Pueblos Originarios no puede superar el Total. ",""))</f>
        <v/>
      </c>
      <c r="CB56" s="3326" t="str">
        <f t="shared" ref="CB56:CB57" si="18">IF(AND($B56&lt;&gt;0,J56=""),"* No olvide ingresar la columna "&amp;J$51&amp;""&amp;" (Digite CERO si no tiene). ",IF(J56&gt;$B56,"* El Número de Migrantes no puede superar el Total. ",""))</f>
        <v/>
      </c>
      <c r="CC56" s="3325"/>
      <c r="CD56" s="3325"/>
      <c r="CE56" s="3327"/>
      <c r="CF56" s="3327"/>
      <c r="CG56" s="3327"/>
      <c r="CH56" s="3327"/>
      <c r="CI56" s="3327"/>
      <c r="CJ56" s="17"/>
      <c r="CK56" s="1792">
        <f t="shared" ref="CK56:CL57" si="19">IF(AND($B56&lt;&gt;0,I56=""),1,IF(I56&gt;$B56,1,0))</f>
        <v>0</v>
      </c>
      <c r="CL56" s="1792">
        <f t="shared" si="19"/>
        <v>0</v>
      </c>
    </row>
    <row r="57" spans="1:90" ht="15" customHeight="1" x14ac:dyDescent="0.25">
      <c r="A57" s="2074" t="s">
        <v>2480</v>
      </c>
      <c r="B57" s="3306">
        <f>SUM(C57+D57)</f>
        <v>0</v>
      </c>
      <c r="C57" s="208">
        <f t="shared" si="14"/>
        <v>0</v>
      </c>
      <c r="D57" s="161">
        <f t="shared" si="14"/>
        <v>0</v>
      </c>
      <c r="E57" s="3112"/>
      <c r="F57" s="117"/>
      <c r="G57" s="118"/>
      <c r="H57" s="3333"/>
      <c r="I57" s="3869"/>
      <c r="J57" s="3124"/>
      <c r="K57" s="3324" t="str">
        <f t="shared" si="16"/>
        <v/>
      </c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3325"/>
      <c r="AQ57" s="3325"/>
      <c r="AR57" s="3325"/>
      <c r="AS57" s="3325"/>
      <c r="AT57" s="3325"/>
      <c r="AU57" s="3325"/>
      <c r="AV57" s="3325"/>
      <c r="AW57" s="3325"/>
      <c r="AX57" s="3325"/>
      <c r="AY57" s="3325"/>
      <c r="AZ57" s="3325"/>
      <c r="BA57" s="3325"/>
      <c r="BB57" s="3325"/>
      <c r="BC57" s="3325"/>
      <c r="BD57" s="3325"/>
      <c r="BE57" s="3325"/>
      <c r="BF57" s="3325"/>
      <c r="BG57" s="3325"/>
      <c r="BH57" s="3325"/>
      <c r="BI57" s="3325"/>
      <c r="BJ57" s="3325"/>
      <c r="BK57" s="3325"/>
      <c r="BL57" s="3325"/>
      <c r="BM57" s="3325"/>
      <c r="BN57" s="3325"/>
      <c r="BO57" s="3325"/>
      <c r="BP57" s="3325"/>
      <c r="BQ57" s="3325"/>
      <c r="BR57" s="3325"/>
      <c r="BS57" s="3325"/>
      <c r="BT57" s="3325"/>
      <c r="BU57" s="3325"/>
      <c r="BV57" s="3325"/>
      <c r="BW57" s="3325"/>
      <c r="BX57" s="3325"/>
      <c r="BY57" s="3325"/>
      <c r="BZ57" s="3325"/>
      <c r="CA57" s="3326" t="str">
        <f t="shared" si="17"/>
        <v/>
      </c>
      <c r="CB57" s="3326" t="str">
        <f t="shared" si="18"/>
        <v/>
      </c>
      <c r="CC57" s="3325"/>
      <c r="CD57" s="3325"/>
      <c r="CE57" s="3327"/>
      <c r="CF57" s="3327"/>
      <c r="CG57" s="3327"/>
      <c r="CH57" s="3327"/>
      <c r="CI57" s="3327"/>
      <c r="CJ57" s="17"/>
      <c r="CK57" s="1792">
        <f t="shared" si="19"/>
        <v>0</v>
      </c>
      <c r="CL57" s="1792">
        <f t="shared" si="19"/>
        <v>0</v>
      </c>
    </row>
    <row r="58" spans="1:90" ht="18" customHeight="1" x14ac:dyDescent="0.25">
      <c r="A58" s="3150" t="s">
        <v>2481</v>
      </c>
      <c r="B58" s="2998"/>
      <c r="C58" s="2998"/>
      <c r="D58" s="2998"/>
      <c r="E58" s="2998"/>
      <c r="F58" s="2998"/>
      <c r="G58" s="2998"/>
      <c r="H58" s="2998"/>
      <c r="I58" s="2998"/>
      <c r="J58" s="1749"/>
      <c r="K58" s="1749"/>
    </row>
    <row r="59" spans="1:90" ht="15" customHeight="1" x14ac:dyDescent="0.25">
      <c r="A59" s="6493" t="s">
        <v>2482</v>
      </c>
      <c r="B59" s="6469"/>
      <c r="C59" s="6484" t="s">
        <v>24</v>
      </c>
      <c r="D59" s="6494" t="s">
        <v>2483</v>
      </c>
      <c r="E59" s="6474"/>
      <c r="F59" s="6474"/>
      <c r="G59" s="6474"/>
      <c r="H59" s="6474"/>
      <c r="I59" s="6474"/>
      <c r="J59" s="6495"/>
      <c r="K59" s="6554" t="s">
        <v>2</v>
      </c>
      <c r="L59" s="6469" t="s">
        <v>3</v>
      </c>
    </row>
    <row r="60" spans="1:90" ht="21" x14ac:dyDescent="0.25">
      <c r="A60" s="6503"/>
      <c r="B60" s="6461"/>
      <c r="C60" s="6451"/>
      <c r="D60" s="3360" t="s">
        <v>2484</v>
      </c>
      <c r="E60" s="3360" t="s">
        <v>2485</v>
      </c>
      <c r="F60" s="3360" t="s">
        <v>2486</v>
      </c>
      <c r="G60" s="3315" t="s">
        <v>2487</v>
      </c>
      <c r="H60" s="3159" t="s">
        <v>2488</v>
      </c>
      <c r="I60" s="3361" t="s">
        <v>2489</v>
      </c>
      <c r="J60" s="3362" t="s">
        <v>2490</v>
      </c>
      <c r="K60" s="6555"/>
      <c r="L60" s="6472"/>
    </row>
    <row r="61" spans="1:90" ht="15" customHeight="1" x14ac:dyDescent="0.25">
      <c r="A61" s="6556" t="s">
        <v>2491</v>
      </c>
      <c r="B61" s="6557"/>
      <c r="C61" s="3363">
        <f>SUM(D61:H61)</f>
        <v>0</v>
      </c>
      <c r="D61" s="3364"/>
      <c r="E61" s="3364"/>
      <c r="F61" s="3364"/>
      <c r="G61" s="3223"/>
      <c r="H61" s="3349"/>
      <c r="I61" s="3365"/>
      <c r="J61" s="3366"/>
      <c r="K61" s="3349"/>
      <c r="L61" s="3217"/>
      <c r="M61" s="3324" t="str">
        <f>$CA61&amp;CB61</f>
        <v/>
      </c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3325"/>
      <c r="AS61" s="3325"/>
      <c r="AT61" s="3325"/>
      <c r="AU61" s="3325"/>
      <c r="AV61" s="3325"/>
      <c r="AW61" s="3325"/>
      <c r="AX61" s="3325"/>
      <c r="AY61" s="3325"/>
      <c r="AZ61" s="3325"/>
      <c r="BA61" s="3325"/>
      <c r="BB61" s="3325"/>
      <c r="BC61" s="3325"/>
      <c r="BD61" s="3325"/>
      <c r="BE61" s="3325"/>
      <c r="BF61" s="3325"/>
      <c r="BG61" s="3325"/>
      <c r="BH61" s="3325"/>
      <c r="BI61" s="3325"/>
      <c r="BJ61" s="3325"/>
      <c r="BK61" s="3325"/>
      <c r="BL61" s="3325"/>
      <c r="BM61" s="3325"/>
      <c r="BN61" s="3325"/>
      <c r="BO61" s="3325"/>
      <c r="BP61" s="3325"/>
      <c r="BQ61" s="3325"/>
      <c r="BR61" s="3325"/>
      <c r="BS61" s="3325"/>
      <c r="BT61" s="3325"/>
      <c r="BU61" s="3325"/>
      <c r="BV61" s="3325"/>
      <c r="BW61" s="3325"/>
      <c r="BX61" s="3325"/>
      <c r="BY61" s="3325"/>
      <c r="BZ61" s="3325"/>
      <c r="CA61" s="3326" t="str">
        <f>IF(AND($C61&lt;&gt;0,K61=""),"* No olvide ingresar la columna "&amp;K$59&amp;""&amp;" (Digite CERO si no tiene). ",IF(K61&gt;$C61,"* El Número de Pueblos Originarios no puede superar el Total. ",""))</f>
        <v/>
      </c>
      <c r="CB61" s="3326" t="str">
        <f>IF(AND($C61&lt;&gt;0,L61=""),"* No olvide ingresar la columna "&amp;L$59&amp;""&amp;" (Digite CERO si no tiene). ",IF(L61&gt;$C61,"* El Número de Migrantes no puede superar el Total. ",""))</f>
        <v/>
      </c>
      <c r="CC61" s="3325"/>
      <c r="CD61" s="3325"/>
      <c r="CE61" s="3327"/>
      <c r="CF61" s="3327"/>
      <c r="CG61" s="3327"/>
      <c r="CH61" s="3327"/>
      <c r="CI61" s="3327"/>
      <c r="CJ61" s="17"/>
      <c r="CK61" s="1792">
        <f>IF(AND($C61&lt;&gt;0,K61=""),1,IF(K61&gt;$C61,1,0))</f>
        <v>0</v>
      </c>
      <c r="CL61" s="1792">
        <f>IF(AND($C61&lt;&gt;0,L61=""),1,IF(L61&gt;$C61,1,0))</f>
        <v>0</v>
      </c>
    </row>
    <row r="62" spans="1:90" ht="15" customHeight="1" x14ac:dyDescent="0.25">
      <c r="A62" s="6567" t="s">
        <v>2492</v>
      </c>
      <c r="B62" s="6568"/>
      <c r="C62" s="3358">
        <f>SUM(D62:H62)</f>
        <v>0</v>
      </c>
      <c r="D62" s="148"/>
      <c r="E62" s="148"/>
      <c r="F62" s="148"/>
      <c r="G62" s="105"/>
      <c r="H62" s="591"/>
      <c r="I62" s="3114"/>
      <c r="J62" s="3368"/>
      <c r="K62" s="3232"/>
      <c r="L62" s="630"/>
      <c r="M62" s="3324" t="str">
        <f t="shared" ref="M62:M67" si="20">$CA62&amp;CB62</f>
        <v/>
      </c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3325"/>
      <c r="AS62" s="3325"/>
      <c r="AT62" s="3325"/>
      <c r="AU62" s="3325"/>
      <c r="AV62" s="3325"/>
      <c r="AW62" s="3325"/>
      <c r="AX62" s="3325"/>
      <c r="AY62" s="3325"/>
      <c r="AZ62" s="3325"/>
      <c r="BA62" s="3325"/>
      <c r="BB62" s="3325"/>
      <c r="BC62" s="3325"/>
      <c r="BD62" s="3325"/>
      <c r="BE62" s="3325"/>
      <c r="BF62" s="3325"/>
      <c r="BG62" s="3325"/>
      <c r="BH62" s="3325"/>
      <c r="BI62" s="3325"/>
      <c r="BJ62" s="3325"/>
      <c r="BK62" s="3325"/>
      <c r="BL62" s="3325"/>
      <c r="BM62" s="3325"/>
      <c r="BN62" s="3325"/>
      <c r="BO62" s="3325"/>
      <c r="BP62" s="3325"/>
      <c r="BQ62" s="3325"/>
      <c r="BR62" s="3325"/>
      <c r="BS62" s="3325"/>
      <c r="BT62" s="3325"/>
      <c r="BU62" s="3325"/>
      <c r="BV62" s="3325"/>
      <c r="BW62" s="3325"/>
      <c r="BX62" s="3325"/>
      <c r="BY62" s="3325"/>
      <c r="BZ62" s="3325"/>
      <c r="CA62" s="3326" t="str">
        <f t="shared" ref="CA62:CA67" si="21">IF(AND($C62&lt;&gt;0,K62=""),"* No olvide ingresar la columna "&amp;K$59&amp;""&amp;" (Digite CERO si no tiene). ",IF(K62&gt;$C62,"* El Número de Pueblos Originarios no puede superar el Total. ",""))</f>
        <v/>
      </c>
      <c r="CB62" s="3326" t="str">
        <f t="shared" ref="CB62:CB67" si="22">IF(AND($C62&lt;&gt;0,L62=""),"* No olvide ingresar la columna "&amp;L$59&amp;""&amp;" (Digite CERO si no tiene). ",IF(L62&gt;$C62,"* El Número de Migrantes no puede superar el Total. ",""))</f>
        <v/>
      </c>
      <c r="CC62" s="3325"/>
      <c r="CD62" s="3325"/>
      <c r="CE62" s="3327"/>
      <c r="CF62" s="3327"/>
      <c r="CG62" s="3327"/>
      <c r="CH62" s="3327"/>
      <c r="CI62" s="3327"/>
      <c r="CJ62" s="17"/>
      <c r="CK62" s="1792">
        <f t="shared" ref="CK62:CL67" si="23">IF(AND($C62&lt;&gt;0,K62=""),1,IF(K62&gt;$C62,1,0))</f>
        <v>0</v>
      </c>
      <c r="CL62" s="1792">
        <f t="shared" si="23"/>
        <v>0</v>
      </c>
    </row>
    <row r="63" spans="1:90" ht="15" customHeight="1" x14ac:dyDescent="0.25">
      <c r="A63" s="6569" t="s">
        <v>2493</v>
      </c>
      <c r="B63" s="6568"/>
      <c r="C63" s="3358">
        <f>SUM(D63:H63)</f>
        <v>0</v>
      </c>
      <c r="D63" s="3234"/>
      <c r="E63" s="3234"/>
      <c r="F63" s="3234"/>
      <c r="G63" s="3166"/>
      <c r="H63" s="3232"/>
      <c r="I63" s="3369"/>
      <c r="J63" s="3370"/>
      <c r="K63" s="3232"/>
      <c r="L63" s="630"/>
      <c r="M63" s="3324" t="str">
        <f t="shared" si="20"/>
        <v/>
      </c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3325"/>
      <c r="AS63" s="3325"/>
      <c r="AT63" s="3325"/>
      <c r="AU63" s="3325"/>
      <c r="AV63" s="3325"/>
      <c r="AW63" s="3325"/>
      <c r="AX63" s="3325"/>
      <c r="AY63" s="3325"/>
      <c r="AZ63" s="3325"/>
      <c r="BA63" s="3325"/>
      <c r="BB63" s="3325"/>
      <c r="BC63" s="3325"/>
      <c r="BD63" s="3325"/>
      <c r="BE63" s="3325"/>
      <c r="BF63" s="3325"/>
      <c r="BG63" s="3325"/>
      <c r="BH63" s="3325"/>
      <c r="BI63" s="3325"/>
      <c r="BJ63" s="3325"/>
      <c r="BK63" s="3325"/>
      <c r="BL63" s="3325"/>
      <c r="BM63" s="3325"/>
      <c r="BN63" s="3325"/>
      <c r="BO63" s="3325"/>
      <c r="BP63" s="3325"/>
      <c r="BQ63" s="3325"/>
      <c r="BR63" s="3325"/>
      <c r="BS63" s="3325"/>
      <c r="BT63" s="3325"/>
      <c r="BU63" s="3325"/>
      <c r="BV63" s="3325"/>
      <c r="BW63" s="3325"/>
      <c r="BX63" s="3325"/>
      <c r="BY63" s="3325"/>
      <c r="BZ63" s="3325"/>
      <c r="CA63" s="3326" t="str">
        <f t="shared" si="21"/>
        <v/>
      </c>
      <c r="CB63" s="3326" t="str">
        <f t="shared" si="22"/>
        <v/>
      </c>
      <c r="CC63" s="3325"/>
      <c r="CD63" s="3325"/>
      <c r="CE63" s="3327"/>
      <c r="CF63" s="3327"/>
      <c r="CG63" s="3327"/>
      <c r="CH63" s="3327"/>
      <c r="CI63" s="3327"/>
      <c r="CJ63" s="17"/>
      <c r="CK63" s="1792">
        <f t="shared" si="23"/>
        <v>0</v>
      </c>
      <c r="CL63" s="1792">
        <f t="shared" si="23"/>
        <v>0</v>
      </c>
    </row>
    <row r="64" spans="1:90" ht="15" customHeight="1" x14ac:dyDescent="0.25">
      <c r="A64" s="6569" t="s">
        <v>2494</v>
      </c>
      <c r="B64" s="6568"/>
      <c r="C64" s="639">
        <f>SUM(H64:J64)</f>
        <v>0</v>
      </c>
      <c r="D64" s="3371"/>
      <c r="E64" s="3371"/>
      <c r="F64" s="3371"/>
      <c r="G64" s="3371"/>
      <c r="H64" s="3372"/>
      <c r="I64" s="620"/>
      <c r="J64" s="3236"/>
      <c r="K64" s="3232"/>
      <c r="L64" s="630"/>
      <c r="M64" s="3324" t="str">
        <f t="shared" si="20"/>
        <v/>
      </c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3325"/>
      <c r="AS64" s="3325"/>
      <c r="AT64" s="3325"/>
      <c r="AU64" s="3325"/>
      <c r="AV64" s="3325"/>
      <c r="AW64" s="3325"/>
      <c r="AX64" s="3325"/>
      <c r="AY64" s="3325"/>
      <c r="AZ64" s="3325"/>
      <c r="BA64" s="3325"/>
      <c r="BB64" s="3325"/>
      <c r="BC64" s="3325"/>
      <c r="BD64" s="3325"/>
      <c r="BE64" s="3325"/>
      <c r="BF64" s="3325"/>
      <c r="BG64" s="3325"/>
      <c r="BH64" s="3325"/>
      <c r="BI64" s="3325"/>
      <c r="BJ64" s="3325"/>
      <c r="BK64" s="3325"/>
      <c r="BL64" s="3325"/>
      <c r="BM64" s="3325"/>
      <c r="BN64" s="3325"/>
      <c r="BO64" s="3325"/>
      <c r="BP64" s="3325"/>
      <c r="BQ64" s="3325"/>
      <c r="BR64" s="3325"/>
      <c r="BS64" s="3325"/>
      <c r="BT64" s="3325"/>
      <c r="BU64" s="3325"/>
      <c r="BV64" s="3325"/>
      <c r="BW64" s="3325"/>
      <c r="BX64" s="3325"/>
      <c r="BY64" s="3325"/>
      <c r="BZ64" s="3325"/>
      <c r="CA64" s="3326" t="str">
        <f t="shared" si="21"/>
        <v/>
      </c>
      <c r="CB64" s="3326" t="str">
        <f t="shared" si="22"/>
        <v/>
      </c>
      <c r="CC64" s="3325"/>
      <c r="CD64" s="3325"/>
      <c r="CE64" s="3327"/>
      <c r="CF64" s="3327"/>
      <c r="CG64" s="3327"/>
      <c r="CH64" s="3327"/>
      <c r="CI64" s="3327"/>
      <c r="CJ64" s="17"/>
      <c r="CK64" s="1792">
        <f t="shared" si="23"/>
        <v>0</v>
      </c>
      <c r="CL64" s="1792">
        <f t="shared" si="23"/>
        <v>0</v>
      </c>
    </row>
    <row r="65" spans="1:90" ht="20.25" customHeight="1" x14ac:dyDescent="0.25">
      <c r="A65" s="6569" t="s">
        <v>2495</v>
      </c>
      <c r="B65" s="6568"/>
      <c r="C65" s="639">
        <f>SUM(H65:J65)</f>
        <v>0</v>
      </c>
      <c r="D65" s="3371"/>
      <c r="E65" s="3371"/>
      <c r="F65" s="3371"/>
      <c r="G65" s="3371"/>
      <c r="H65" s="3372"/>
      <c r="I65" s="620"/>
      <c r="J65" s="3236"/>
      <c r="K65" s="3232"/>
      <c r="L65" s="630"/>
      <c r="M65" s="3324" t="str">
        <f t="shared" si="20"/>
        <v/>
      </c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3325"/>
      <c r="AS65" s="3325"/>
      <c r="AT65" s="3325"/>
      <c r="AU65" s="3325"/>
      <c r="AV65" s="3325"/>
      <c r="AW65" s="3325"/>
      <c r="AX65" s="3325"/>
      <c r="AY65" s="3325"/>
      <c r="AZ65" s="3325"/>
      <c r="BA65" s="3325"/>
      <c r="BB65" s="3325"/>
      <c r="BC65" s="3325"/>
      <c r="BD65" s="3325"/>
      <c r="BE65" s="3325"/>
      <c r="BF65" s="3325"/>
      <c r="BG65" s="3325"/>
      <c r="BH65" s="3325"/>
      <c r="BI65" s="3325"/>
      <c r="BJ65" s="3325"/>
      <c r="BK65" s="3325"/>
      <c r="BL65" s="3325"/>
      <c r="BM65" s="3325"/>
      <c r="BN65" s="3325"/>
      <c r="BO65" s="3325"/>
      <c r="BP65" s="3325"/>
      <c r="BQ65" s="3325"/>
      <c r="BR65" s="3325"/>
      <c r="BS65" s="3325"/>
      <c r="BT65" s="3325"/>
      <c r="BU65" s="3325"/>
      <c r="BV65" s="3325"/>
      <c r="BW65" s="3325"/>
      <c r="BX65" s="3325"/>
      <c r="BY65" s="3325"/>
      <c r="BZ65" s="3325"/>
      <c r="CA65" s="3326" t="str">
        <f t="shared" si="21"/>
        <v/>
      </c>
      <c r="CB65" s="3326" t="str">
        <f t="shared" si="22"/>
        <v/>
      </c>
      <c r="CC65" s="3325"/>
      <c r="CD65" s="3325"/>
      <c r="CE65" s="3327"/>
      <c r="CF65" s="3327"/>
      <c r="CG65" s="3327"/>
      <c r="CH65" s="3327"/>
      <c r="CI65" s="3327"/>
      <c r="CJ65" s="17"/>
      <c r="CK65" s="1792">
        <f t="shared" si="23"/>
        <v>0</v>
      </c>
      <c r="CL65" s="1792">
        <f t="shared" si="23"/>
        <v>0</v>
      </c>
    </row>
    <row r="66" spans="1:90" ht="15" customHeight="1" x14ac:dyDescent="0.25">
      <c r="A66" s="6570" t="s">
        <v>2496</v>
      </c>
      <c r="B66" s="6571"/>
      <c r="C66" s="934">
        <f>SUM(H66:J66)</f>
        <v>0</v>
      </c>
      <c r="D66" s="913"/>
      <c r="E66" s="913"/>
      <c r="F66" s="913"/>
      <c r="G66" s="913"/>
      <c r="H66" s="3373"/>
      <c r="I66" s="3112"/>
      <c r="J66" s="1756"/>
      <c r="K66" s="121"/>
      <c r="L66" s="3124"/>
      <c r="M66" s="3324" t="str">
        <f>$CA66&amp;CB66</f>
        <v/>
      </c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3325"/>
      <c r="AS66" s="3325"/>
      <c r="AT66" s="3325"/>
      <c r="AU66" s="3325"/>
      <c r="AV66" s="3325"/>
      <c r="AW66" s="3325"/>
      <c r="AX66" s="3325"/>
      <c r="AY66" s="3325"/>
      <c r="AZ66" s="3325"/>
      <c r="BA66" s="3325"/>
      <c r="BB66" s="3325"/>
      <c r="BC66" s="3325"/>
      <c r="BD66" s="3325"/>
      <c r="BE66" s="3325"/>
      <c r="BF66" s="3325"/>
      <c r="BG66" s="3325"/>
      <c r="BH66" s="3325"/>
      <c r="BI66" s="3325"/>
      <c r="BJ66" s="3325"/>
      <c r="BK66" s="3325"/>
      <c r="BL66" s="3325"/>
      <c r="BM66" s="3325"/>
      <c r="BN66" s="3325"/>
      <c r="BO66" s="3325"/>
      <c r="BP66" s="3325"/>
      <c r="BQ66" s="3325"/>
      <c r="BR66" s="3325"/>
      <c r="BS66" s="3325"/>
      <c r="BT66" s="3325"/>
      <c r="BU66" s="3325"/>
      <c r="BV66" s="3325"/>
      <c r="BW66" s="3325"/>
      <c r="BX66" s="3325"/>
      <c r="BY66" s="3325"/>
      <c r="BZ66" s="3325"/>
      <c r="CA66" s="3326" t="str">
        <f>IF(AND($C66&lt;&gt;0,K66=""),"* No olvide ingresar la columna "&amp;K$59&amp;""&amp;" (Digite CERO si no tiene). ",IF(K66&gt;$C66,"* El Número de Pueblos Originarios no puede superar el Total. ",""))</f>
        <v/>
      </c>
      <c r="CB66" s="3326" t="str">
        <f t="shared" si="22"/>
        <v/>
      </c>
      <c r="CC66" s="3325"/>
      <c r="CD66" s="3325"/>
      <c r="CE66" s="3327"/>
      <c r="CF66" s="3327"/>
      <c r="CG66" s="3327"/>
      <c r="CH66" s="3327"/>
      <c r="CI66" s="3327"/>
      <c r="CJ66" s="17"/>
      <c r="CK66" s="1792">
        <f t="shared" si="23"/>
        <v>0</v>
      </c>
      <c r="CL66" s="1792">
        <f t="shared" si="23"/>
        <v>0</v>
      </c>
    </row>
    <row r="67" spans="1:90" ht="15" customHeight="1" x14ac:dyDescent="0.25">
      <c r="A67" s="6572" t="s">
        <v>2497</v>
      </c>
      <c r="B67" s="6548"/>
      <c r="C67" s="2818">
        <f>SUM(D67:J67)</f>
        <v>0</v>
      </c>
      <c r="D67" s="3374"/>
      <c r="E67" s="3374"/>
      <c r="F67" s="3374"/>
      <c r="G67" s="3374"/>
      <c r="H67" s="3259"/>
      <c r="I67" s="2498"/>
      <c r="J67" s="3375"/>
      <c r="K67" s="2904"/>
      <c r="L67" s="3013"/>
      <c r="M67" s="3324" t="str">
        <f t="shared" si="20"/>
        <v/>
      </c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3325"/>
      <c r="AS67" s="3325"/>
      <c r="AT67" s="3325"/>
      <c r="AU67" s="3325"/>
      <c r="AV67" s="3325"/>
      <c r="AW67" s="3325"/>
      <c r="AX67" s="3325"/>
      <c r="AY67" s="3325"/>
      <c r="AZ67" s="3325"/>
      <c r="BA67" s="3325"/>
      <c r="BB67" s="3325"/>
      <c r="BC67" s="3325"/>
      <c r="BD67" s="3325"/>
      <c r="BE67" s="3325"/>
      <c r="BF67" s="3325"/>
      <c r="BG67" s="3325"/>
      <c r="BH67" s="3325"/>
      <c r="BI67" s="3325"/>
      <c r="BJ67" s="3325"/>
      <c r="BK67" s="3325"/>
      <c r="BL67" s="3325"/>
      <c r="BM67" s="3325"/>
      <c r="BN67" s="3325"/>
      <c r="BO67" s="3325"/>
      <c r="BP67" s="3325"/>
      <c r="BQ67" s="3325"/>
      <c r="BR67" s="3325"/>
      <c r="BS67" s="3325"/>
      <c r="BT67" s="3325"/>
      <c r="BU67" s="3325"/>
      <c r="BV67" s="3325"/>
      <c r="BW67" s="3325"/>
      <c r="BX67" s="3325"/>
      <c r="BY67" s="3325"/>
      <c r="BZ67" s="3325"/>
      <c r="CA67" s="3326" t="str">
        <f t="shared" si="21"/>
        <v/>
      </c>
      <c r="CB67" s="3326" t="str">
        <f t="shared" si="22"/>
        <v/>
      </c>
      <c r="CC67" s="3325"/>
      <c r="CD67" s="3325"/>
      <c r="CE67" s="3327"/>
      <c r="CF67" s="3327"/>
      <c r="CG67" s="3327"/>
      <c r="CH67" s="3327"/>
      <c r="CI67" s="3327"/>
      <c r="CJ67" s="17"/>
      <c r="CK67" s="1792">
        <f t="shared" si="23"/>
        <v>0</v>
      </c>
      <c r="CL67" s="1792">
        <f t="shared" si="23"/>
        <v>0</v>
      </c>
    </row>
    <row r="68" spans="1:90" s="3379" customFormat="1" ht="18" customHeight="1" x14ac:dyDescent="0.25">
      <c r="A68" s="3150" t="s">
        <v>2498</v>
      </c>
      <c r="B68" s="3376"/>
      <c r="C68" s="3376"/>
      <c r="D68" s="3376"/>
      <c r="E68" s="3376"/>
      <c r="F68" s="3376"/>
      <c r="G68" s="3376"/>
      <c r="H68" s="3376"/>
      <c r="I68" s="3376"/>
      <c r="J68" s="3377"/>
      <c r="K68" s="3377"/>
      <c r="L68" s="3378"/>
    </row>
    <row r="69" spans="1:90" ht="15" customHeight="1" x14ac:dyDescent="0.25">
      <c r="A69" s="6469" t="s">
        <v>2451</v>
      </c>
      <c r="B69" s="6493" t="s">
        <v>35</v>
      </c>
      <c r="C69" s="6468"/>
      <c r="D69" s="6469"/>
      <c r="E69" s="6550" t="s">
        <v>30</v>
      </c>
      <c r="F69" s="6550"/>
      <c r="G69" s="6550"/>
      <c r="H69" s="6562"/>
      <c r="I69" s="6563" t="s">
        <v>2</v>
      </c>
      <c r="J69" s="6565" t="s">
        <v>3</v>
      </c>
    </row>
    <row r="70" spans="1:90" ht="15" customHeight="1" x14ac:dyDescent="0.25">
      <c r="A70" s="6472"/>
      <c r="B70" s="6503"/>
      <c r="C70" s="6476"/>
      <c r="D70" s="6461"/>
      <c r="E70" s="6494" t="s">
        <v>549</v>
      </c>
      <c r="F70" s="6535"/>
      <c r="G70" s="6474" t="s">
        <v>550</v>
      </c>
      <c r="H70" s="6495"/>
      <c r="I70" s="6541"/>
      <c r="J70" s="6544"/>
    </row>
    <row r="71" spans="1:90" ht="15" customHeight="1" x14ac:dyDescent="0.25">
      <c r="A71" s="6461"/>
      <c r="B71" s="4811" t="s">
        <v>26</v>
      </c>
      <c r="C71" s="3249" t="s">
        <v>22</v>
      </c>
      <c r="D71" s="2828" t="s">
        <v>27</v>
      </c>
      <c r="E71" s="3242" t="s">
        <v>22</v>
      </c>
      <c r="F71" s="3315" t="s">
        <v>27</v>
      </c>
      <c r="G71" s="3242" t="s">
        <v>22</v>
      </c>
      <c r="H71" s="3251" t="s">
        <v>27</v>
      </c>
      <c r="I71" s="6564"/>
      <c r="J71" s="6566"/>
    </row>
    <row r="72" spans="1:90" ht="15" customHeight="1" x14ac:dyDescent="0.25">
      <c r="A72" s="3380" t="s">
        <v>2431</v>
      </c>
      <c r="B72" s="145">
        <f>SUM(C72:D72)</f>
        <v>0</v>
      </c>
      <c r="C72" s="3381">
        <f t="shared" ref="C72:D74" si="24">+E72+G72</f>
        <v>0</v>
      </c>
      <c r="D72" s="3382">
        <f t="shared" si="24"/>
        <v>0</v>
      </c>
      <c r="E72" s="3216"/>
      <c r="F72" s="105"/>
      <c r="G72" s="106"/>
      <c r="H72" s="771"/>
      <c r="I72" s="591"/>
      <c r="J72" s="590"/>
      <c r="K72" s="3324" t="str">
        <f>$CA72&amp;CB72</f>
        <v/>
      </c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3325"/>
      <c r="AQ72" s="3325"/>
      <c r="AR72" s="3325"/>
      <c r="AS72" s="3325"/>
      <c r="AT72" s="3325"/>
      <c r="AU72" s="3325"/>
      <c r="AV72" s="3325"/>
      <c r="AW72" s="3325"/>
      <c r="AX72" s="3325"/>
      <c r="AY72" s="3325"/>
      <c r="AZ72" s="3325"/>
      <c r="BA72" s="3325"/>
      <c r="BB72" s="3325"/>
      <c r="BC72" s="3325"/>
      <c r="BD72" s="3325"/>
      <c r="BE72" s="3325"/>
      <c r="BF72" s="3325"/>
      <c r="BG72" s="3325"/>
      <c r="BH72" s="3325"/>
      <c r="BI72" s="3325"/>
      <c r="BJ72" s="3325"/>
      <c r="BK72" s="3325"/>
      <c r="BL72" s="3325"/>
      <c r="BM72" s="3325"/>
      <c r="BN72" s="3325"/>
      <c r="BO72" s="3325"/>
      <c r="BP72" s="3325"/>
      <c r="BQ72" s="3325"/>
      <c r="BR72" s="3325"/>
      <c r="BS72" s="3325"/>
      <c r="BT72" s="3325"/>
      <c r="BU72" s="3325"/>
      <c r="BV72" s="3325"/>
      <c r="BW72" s="3325"/>
      <c r="BX72" s="3325"/>
      <c r="BY72" s="3325"/>
      <c r="BZ72" s="3325"/>
      <c r="CA72" s="3326" t="str">
        <f>IF(AND($B72&lt;&gt;0,I72=""),"* No olvide ingresar la columna "&amp;I$69&amp;""&amp;" (Digite CERO si no tiene). ",IF(I72&gt;$B72,"* El Número de Pueblos Originarios no puede superar el Total. ",""))</f>
        <v/>
      </c>
      <c r="CB72" s="3326" t="str">
        <f>IF(AND($B72&lt;&gt;0,J72=""),"* No olvide ingresar la columna "&amp;J$69&amp;""&amp;" (Digite CERO si no tiene). ",IF(J72&gt;$B72,"* El Número de Migrantes no puede superar el Total. ",""))</f>
        <v/>
      </c>
      <c r="CC72" s="3325"/>
      <c r="CD72" s="3325"/>
      <c r="CE72" s="3327"/>
      <c r="CF72" s="3327"/>
      <c r="CG72" s="3327"/>
      <c r="CH72" s="3327"/>
      <c r="CI72" s="3327"/>
      <c r="CJ72" s="17"/>
      <c r="CK72" s="1792">
        <f>IF(AND($B72&lt;&gt;0,I72=""),1,IF(I72&gt;$B72,1,0))</f>
        <v>0</v>
      </c>
      <c r="CL72" s="1792">
        <f>IF(AND($B72&lt;&gt;0,J72=""),1,IF(J72&gt;$B72,1,0))</f>
        <v>0</v>
      </c>
    </row>
    <row r="73" spans="1:90" ht="15" customHeight="1" x14ac:dyDescent="0.25">
      <c r="A73" s="3383" t="s">
        <v>2479</v>
      </c>
      <c r="B73" s="1054">
        <f>SUM(C73:D73)</f>
        <v>0</v>
      </c>
      <c r="C73" s="3384">
        <f t="shared" si="24"/>
        <v>0</v>
      </c>
      <c r="D73" s="3385">
        <f t="shared" si="24"/>
        <v>0</v>
      </c>
      <c r="E73" s="620"/>
      <c r="F73" s="3166"/>
      <c r="G73" s="620"/>
      <c r="H73" s="3233"/>
      <c r="I73" s="3232"/>
      <c r="J73" s="630"/>
      <c r="K73" s="3324" t="str">
        <f t="shared" ref="K73:K74" si="25">$CA73&amp;CB73</f>
        <v/>
      </c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3325"/>
      <c r="AQ73" s="3325"/>
      <c r="AR73" s="3325"/>
      <c r="AS73" s="3325"/>
      <c r="AT73" s="3325"/>
      <c r="AU73" s="3325"/>
      <c r="AV73" s="3325"/>
      <c r="AW73" s="3325"/>
      <c r="AX73" s="3325"/>
      <c r="AY73" s="3325"/>
      <c r="AZ73" s="3325"/>
      <c r="BA73" s="3325"/>
      <c r="BB73" s="3325"/>
      <c r="BC73" s="3325"/>
      <c r="BD73" s="3325"/>
      <c r="BE73" s="3325"/>
      <c r="BF73" s="3325"/>
      <c r="BG73" s="3325"/>
      <c r="BH73" s="3325"/>
      <c r="BI73" s="3325"/>
      <c r="BJ73" s="3325"/>
      <c r="BK73" s="3325"/>
      <c r="BL73" s="3325"/>
      <c r="BM73" s="3325"/>
      <c r="BN73" s="3325"/>
      <c r="BO73" s="3325"/>
      <c r="BP73" s="3325"/>
      <c r="BQ73" s="3325"/>
      <c r="BR73" s="3325"/>
      <c r="BS73" s="3325"/>
      <c r="BT73" s="3325"/>
      <c r="BU73" s="3325"/>
      <c r="BV73" s="3325"/>
      <c r="BW73" s="3325"/>
      <c r="BX73" s="3325"/>
      <c r="BY73" s="3325"/>
      <c r="BZ73" s="3325"/>
      <c r="CA73" s="3326" t="str">
        <f t="shared" ref="CA73:CA74" si="26">IF(AND($B73&lt;&gt;0,I73=""),"* No olvide ingresar la columna "&amp;I$69&amp;""&amp;" (Digite CERO si no tiene). ",IF(I73&gt;$B73,"* El Número de Pueblos Originarios no puede superar el Total. ",""))</f>
        <v/>
      </c>
      <c r="CB73" s="3326" t="str">
        <f t="shared" ref="CB73:CB74" si="27">IF(AND($B73&lt;&gt;0,J73=""),"* No olvide ingresar la columna "&amp;J$69&amp;""&amp;" (Digite CERO si no tiene). ",IF(J73&gt;$B73,"* El Número de Migrantes no puede superar el Total. ",""))</f>
        <v/>
      </c>
      <c r="CC73" s="3325"/>
      <c r="CD73" s="3325"/>
      <c r="CE73" s="3327"/>
      <c r="CF73" s="3327"/>
      <c r="CG73" s="3327"/>
      <c r="CH73" s="3327"/>
      <c r="CI73" s="3327"/>
      <c r="CJ73" s="17"/>
      <c r="CK73" s="1792">
        <f t="shared" ref="CK73:CL74" si="28">IF(AND($B73&lt;&gt;0,I73=""),1,IF(I73&gt;$B73,1,0))</f>
        <v>0</v>
      </c>
      <c r="CL73" s="1792">
        <f t="shared" si="28"/>
        <v>0</v>
      </c>
    </row>
    <row r="74" spans="1:90" ht="15" customHeight="1" x14ac:dyDescent="0.25">
      <c r="A74" s="2074" t="s">
        <v>2499</v>
      </c>
      <c r="B74" s="3306">
        <f>SUM(C74:D74)</f>
        <v>0</v>
      </c>
      <c r="C74" s="3386">
        <f t="shared" si="24"/>
        <v>0</v>
      </c>
      <c r="D74" s="3387">
        <f t="shared" si="24"/>
        <v>0</v>
      </c>
      <c r="E74" s="3112"/>
      <c r="F74" s="117"/>
      <c r="G74" s="3112"/>
      <c r="H74" s="774"/>
      <c r="I74" s="121"/>
      <c r="J74" s="3124"/>
      <c r="K74" s="3324" t="str">
        <f t="shared" si="25"/>
        <v/>
      </c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3325"/>
      <c r="AQ74" s="3325"/>
      <c r="AR74" s="3325"/>
      <c r="AS74" s="3325"/>
      <c r="AT74" s="3325"/>
      <c r="AU74" s="3325"/>
      <c r="AV74" s="3325"/>
      <c r="AW74" s="3325"/>
      <c r="AX74" s="3325"/>
      <c r="AY74" s="3325"/>
      <c r="AZ74" s="3325"/>
      <c r="BA74" s="3325"/>
      <c r="BB74" s="3325"/>
      <c r="BC74" s="3325"/>
      <c r="BD74" s="3325"/>
      <c r="BE74" s="3325"/>
      <c r="BF74" s="3325"/>
      <c r="BG74" s="3325"/>
      <c r="BH74" s="3325"/>
      <c r="BI74" s="3325"/>
      <c r="BJ74" s="3325"/>
      <c r="BK74" s="3325"/>
      <c r="BL74" s="3325"/>
      <c r="BM74" s="3325"/>
      <c r="BN74" s="3325"/>
      <c r="BO74" s="3325"/>
      <c r="BP74" s="3325"/>
      <c r="BQ74" s="3325"/>
      <c r="BR74" s="3325"/>
      <c r="BS74" s="3325"/>
      <c r="BT74" s="3325"/>
      <c r="BU74" s="3325"/>
      <c r="BV74" s="3325"/>
      <c r="BW74" s="3325"/>
      <c r="BX74" s="3325"/>
      <c r="BY74" s="3325"/>
      <c r="BZ74" s="3325"/>
      <c r="CA74" s="3326" t="str">
        <f t="shared" si="26"/>
        <v/>
      </c>
      <c r="CB74" s="3326" t="str">
        <f t="shared" si="27"/>
        <v/>
      </c>
      <c r="CC74" s="3325"/>
      <c r="CD74" s="3325"/>
      <c r="CE74" s="3327"/>
      <c r="CF74" s="3327"/>
      <c r="CG74" s="3327"/>
      <c r="CH74" s="3327"/>
      <c r="CI74" s="3327"/>
      <c r="CJ74" s="17"/>
      <c r="CK74" s="1792">
        <f t="shared" si="28"/>
        <v>0</v>
      </c>
      <c r="CL74" s="1792">
        <f t="shared" si="28"/>
        <v>0</v>
      </c>
    </row>
    <row r="75" spans="1:90" ht="18" customHeight="1" x14ac:dyDescent="0.25">
      <c r="A75" s="210" t="s">
        <v>2500</v>
      </c>
      <c r="B75" s="3286"/>
      <c r="C75" s="3286"/>
      <c r="D75" s="3286"/>
      <c r="E75" s="3286"/>
      <c r="F75" s="3286"/>
      <c r="G75" s="3286"/>
    </row>
    <row r="76" spans="1:90" ht="18" customHeight="1" x14ac:dyDescent="0.25">
      <c r="A76" s="210" t="s">
        <v>2501</v>
      </c>
      <c r="B76" s="3388"/>
      <c r="C76" s="3388"/>
      <c r="D76" s="3388"/>
      <c r="E76" s="3388"/>
      <c r="F76" s="3388"/>
      <c r="G76" s="3388"/>
    </row>
    <row r="77" spans="1:90" ht="15" customHeight="1" x14ac:dyDescent="0.25">
      <c r="A77" s="6484" t="s">
        <v>2502</v>
      </c>
      <c r="B77" s="6484" t="s">
        <v>24</v>
      </c>
    </row>
    <row r="78" spans="1:90" ht="15" customHeight="1" x14ac:dyDescent="0.25">
      <c r="A78" s="6485"/>
      <c r="B78" s="6451"/>
    </row>
    <row r="79" spans="1:90" ht="15" customHeight="1" x14ac:dyDescent="0.25">
      <c r="A79" s="6451"/>
      <c r="B79" s="3237">
        <f>SUM(B80:B83)</f>
        <v>0</v>
      </c>
    </row>
    <row r="80" spans="1:90" ht="15" customHeight="1" x14ac:dyDescent="0.25">
      <c r="A80" s="1760" t="s">
        <v>2503</v>
      </c>
      <c r="B80" s="148"/>
    </row>
    <row r="81" spans="1:91" ht="15" customHeight="1" x14ac:dyDescent="0.25">
      <c r="A81" s="3135" t="s">
        <v>2433</v>
      </c>
      <c r="B81" s="3234"/>
    </row>
    <row r="82" spans="1:91" ht="15" customHeight="1" x14ac:dyDescent="0.25">
      <c r="A82" s="3135" t="s">
        <v>2431</v>
      </c>
      <c r="B82" s="3234"/>
    </row>
    <row r="83" spans="1:91" ht="15" customHeight="1" x14ac:dyDescent="0.25">
      <c r="A83" s="150" t="s">
        <v>2504</v>
      </c>
      <c r="B83" s="153"/>
    </row>
    <row r="84" spans="1:91" ht="18" customHeight="1" x14ac:dyDescent="0.25">
      <c r="A84" s="123" t="s">
        <v>2505</v>
      </c>
    </row>
    <row r="85" spans="1:91" ht="31.5" x14ac:dyDescent="0.25">
      <c r="A85" s="3361" t="s">
        <v>112</v>
      </c>
      <c r="B85" s="3360" t="s">
        <v>2506</v>
      </c>
      <c r="C85" s="3360" t="s">
        <v>1931</v>
      </c>
      <c r="D85" s="3360" t="s">
        <v>2507</v>
      </c>
      <c r="E85" s="3360" t="s">
        <v>321</v>
      </c>
    </row>
    <row r="86" spans="1:91" ht="15" customHeight="1" x14ac:dyDescent="0.25">
      <c r="A86" s="3389" t="s">
        <v>2508</v>
      </c>
      <c r="B86" s="3364"/>
      <c r="C86" s="3364"/>
      <c r="D86" s="3364"/>
      <c r="E86" s="3364"/>
      <c r="F86" s="3286" t="str">
        <f>CA86&amp;CB86&amp;CC86</f>
        <v/>
      </c>
      <c r="CA86" s="2873" t="str">
        <f>IF(CK86=1,"* Las Aplicaciones de EPSA con resultado de Riesgo NO DEBE ser MAYOR que el Total de las aplicaciones. ","")</f>
        <v/>
      </c>
      <c r="CB86" s="6155" t="str">
        <f>IF(CL86=1,"* Las Aplicaciones de EPSA con resultado de Riesgo NO DEBE ser MENOR que las Derivaciones a equipo de cabecera. ","")</f>
        <v/>
      </c>
      <c r="CC86" s="6155" t="str">
        <f>IF(CM86=1,"* Las Aplicaciones de EPSA asociadas a Violencia Intrafamiliar NO DEBEN ser MAYOR al Total de las aplicaciones. ","")</f>
        <v/>
      </c>
      <c r="CD86" s="3290"/>
      <c r="CE86" s="3290"/>
      <c r="CF86" s="3290"/>
      <c r="CG86" s="3290"/>
      <c r="CH86" s="3290"/>
      <c r="CI86" s="3290"/>
      <c r="CJ86" s="3290"/>
      <c r="CK86" s="3759">
        <f>IF(B86&lt;C86,1,0)</f>
        <v>0</v>
      </c>
      <c r="CL86" s="3759">
        <f>IF(C86&lt;D86,1,0)</f>
        <v>0</v>
      </c>
      <c r="CM86" s="3759">
        <f>IF(E86&gt;B86,1,0)</f>
        <v>0</v>
      </c>
    </row>
    <row r="87" spans="1:91" ht="15" customHeight="1" x14ac:dyDescent="0.25">
      <c r="A87" s="3390" t="s">
        <v>2509</v>
      </c>
      <c r="B87" s="3005"/>
      <c r="C87" s="3005"/>
      <c r="D87" s="3005"/>
      <c r="E87" s="3005"/>
      <c r="F87" s="3286" t="str">
        <f>CA87&amp;CB87&amp;CC87</f>
        <v/>
      </c>
      <c r="CA87" s="2873" t="str">
        <f>IF(CK87=1,"* Las Aplicaciones de EPSA con resultado de Riesgo NO DEBE ser MAYOR que el Total de las aplicaciones. ","")</f>
        <v/>
      </c>
      <c r="CB87" s="6155" t="str">
        <f>IF(CL87=1,"* Las Aplicaciones de EPSA con resultado de Riesgo NO DEBE ser MENOR que las Derivaciones a equipo de cabecera. ","")</f>
        <v/>
      </c>
      <c r="CC87" s="6155" t="str">
        <f>IF(CM87=1,"* Las Aplicaciones de EPSA asociadas a Violencia Intrafamiliar NO DEBEN ser MAYOR al Total de las aplicaciones. ","")</f>
        <v/>
      </c>
      <c r="CD87" s="3290"/>
      <c r="CE87" s="3290"/>
      <c r="CF87" s="3290"/>
      <c r="CG87" s="3290"/>
      <c r="CH87" s="3290"/>
      <c r="CI87" s="3290"/>
      <c r="CJ87" s="3290"/>
      <c r="CK87" s="3759">
        <f>IF(B87&lt;C87,1,0)</f>
        <v>0</v>
      </c>
      <c r="CL87" s="3759">
        <f>IF(C87&lt;D87,1,0)</f>
        <v>0</v>
      </c>
      <c r="CM87" s="3759">
        <f>IF(E87&gt;B87,1,0)</f>
        <v>0</v>
      </c>
    </row>
    <row r="88" spans="1:91" ht="18" customHeight="1" x14ac:dyDescent="0.25">
      <c r="A88" s="123" t="s">
        <v>2510</v>
      </c>
      <c r="B88" s="1749"/>
      <c r="C88" s="1749"/>
      <c r="D88" s="1749"/>
      <c r="E88" s="1749"/>
      <c r="F88" s="3388"/>
    </row>
    <row r="89" spans="1:91" ht="52.5" x14ac:dyDescent="0.25">
      <c r="A89" s="6493" t="s">
        <v>23</v>
      </c>
      <c r="B89" s="6469"/>
      <c r="C89" s="1443" t="s">
        <v>2511</v>
      </c>
      <c r="D89" s="3360" t="s">
        <v>2512</v>
      </c>
      <c r="E89" s="3360" t="s">
        <v>2513</v>
      </c>
      <c r="F89" s="3360" t="s">
        <v>2514</v>
      </c>
    </row>
    <row r="90" spans="1:91" ht="24" customHeight="1" x14ac:dyDescent="0.25">
      <c r="A90" s="6577" t="s">
        <v>2515</v>
      </c>
      <c r="B90" s="5866" t="s">
        <v>2516</v>
      </c>
      <c r="C90" s="5867"/>
      <c r="D90" s="5868"/>
      <c r="E90" s="5867"/>
      <c r="F90" s="5867"/>
    </row>
    <row r="91" spans="1:91" ht="21.6" customHeight="1" x14ac:dyDescent="0.25">
      <c r="A91" s="6578"/>
      <c r="B91" s="2074" t="s">
        <v>2517</v>
      </c>
      <c r="C91" s="153"/>
      <c r="D91" s="5869"/>
      <c r="E91" s="153"/>
      <c r="F91" s="153"/>
    </row>
    <row r="92" spans="1:91" ht="15" customHeight="1" x14ac:dyDescent="0.25">
      <c r="A92" s="6579" t="s">
        <v>2518</v>
      </c>
      <c r="B92" s="5783" t="s">
        <v>2519</v>
      </c>
      <c r="C92" s="789"/>
      <c r="D92" s="789"/>
      <c r="E92" s="5296"/>
      <c r="F92" s="789"/>
    </row>
    <row r="93" spans="1:91" ht="15" customHeight="1" x14ac:dyDescent="0.25">
      <c r="A93" s="6457"/>
      <c r="B93" s="587" t="s">
        <v>2520</v>
      </c>
      <c r="C93" s="153"/>
      <c r="D93" s="153"/>
      <c r="E93" s="152"/>
      <c r="F93" s="153"/>
    </row>
    <row r="94" spans="1:91" ht="18" customHeight="1" x14ac:dyDescent="0.25">
      <c r="A94" s="123" t="s">
        <v>2521</v>
      </c>
      <c r="B94" s="3391"/>
      <c r="C94" s="112"/>
      <c r="D94" s="112"/>
      <c r="E94" s="112"/>
      <c r="F94" s="937"/>
      <c r="G94" s="3286"/>
      <c r="H94" s="3392"/>
      <c r="I94" s="937"/>
    </row>
    <row r="95" spans="1:91" ht="15" customHeight="1" x14ac:dyDescent="0.25">
      <c r="A95" s="6468" t="s">
        <v>2502</v>
      </c>
      <c r="B95" s="6469"/>
      <c r="C95" s="6494" t="s">
        <v>24</v>
      </c>
      <c r="D95" s="6474"/>
      <c r="E95" s="6535"/>
      <c r="F95" s="6494" t="s">
        <v>38</v>
      </c>
      <c r="G95" s="6535"/>
      <c r="H95" s="6494" t="s">
        <v>4</v>
      </c>
      <c r="I95" s="6535"/>
    </row>
    <row r="96" spans="1:91" ht="15" customHeight="1" x14ac:dyDescent="0.25">
      <c r="A96" s="6476"/>
      <c r="B96" s="6461"/>
      <c r="C96" s="3313" t="s">
        <v>26</v>
      </c>
      <c r="D96" s="3249" t="s">
        <v>22</v>
      </c>
      <c r="E96" s="3315" t="s">
        <v>27</v>
      </c>
      <c r="F96" s="3242" t="s">
        <v>22</v>
      </c>
      <c r="G96" s="3315" t="s">
        <v>27</v>
      </c>
      <c r="H96" s="3242" t="s">
        <v>22</v>
      </c>
      <c r="I96" s="3393" t="s">
        <v>27</v>
      </c>
    </row>
    <row r="97" spans="1:21" ht="15" customHeight="1" x14ac:dyDescent="0.25">
      <c r="A97" s="6494" t="s">
        <v>24</v>
      </c>
      <c r="B97" s="6535"/>
      <c r="C97" s="3270">
        <f t="shared" ref="C97:I97" si="29">SUM(C98:C102)</f>
        <v>0</v>
      </c>
      <c r="D97" s="3394">
        <f t="shared" si="29"/>
        <v>0</v>
      </c>
      <c r="E97" s="3353">
        <f t="shared" si="29"/>
        <v>0</v>
      </c>
      <c r="F97" s="3355">
        <f t="shared" si="29"/>
        <v>0</v>
      </c>
      <c r="G97" s="3278">
        <f t="shared" si="29"/>
        <v>0</v>
      </c>
      <c r="H97" s="3355">
        <f t="shared" si="29"/>
        <v>0</v>
      </c>
      <c r="I97" s="3278">
        <f t="shared" si="29"/>
        <v>0</v>
      </c>
    </row>
    <row r="98" spans="1:21" ht="15" customHeight="1" x14ac:dyDescent="0.25">
      <c r="A98" s="6573" t="s">
        <v>2431</v>
      </c>
      <c r="B98" s="6574"/>
      <c r="C98" s="3283">
        <f>SUM(D98+E98)</f>
        <v>0</v>
      </c>
      <c r="D98" s="3395">
        <f t="shared" ref="D98:E102" si="30">SUM(F98+H98)</f>
        <v>0</v>
      </c>
      <c r="E98" s="3284">
        <f t="shared" si="30"/>
        <v>0</v>
      </c>
      <c r="F98" s="3216"/>
      <c r="G98" s="3223"/>
      <c r="H98" s="3216"/>
      <c r="I98" s="3217"/>
    </row>
    <row r="99" spans="1:21" ht="15" customHeight="1" x14ac:dyDescent="0.25">
      <c r="A99" s="6575" t="s">
        <v>2504</v>
      </c>
      <c r="B99" s="6576"/>
      <c r="C99" s="2190">
        <f>SUM(D99+E99)</f>
        <v>0</v>
      </c>
      <c r="D99" s="3396">
        <f t="shared" si="30"/>
        <v>0</v>
      </c>
      <c r="E99" s="143">
        <f t="shared" si="30"/>
        <v>0</v>
      </c>
      <c r="F99" s="106"/>
      <c r="G99" s="105"/>
      <c r="H99" s="106"/>
      <c r="I99" s="590"/>
    </row>
    <row r="100" spans="1:21" ht="15" customHeight="1" x14ac:dyDescent="0.25">
      <c r="A100" s="6575" t="s">
        <v>2433</v>
      </c>
      <c r="B100" s="6576"/>
      <c r="C100" s="2190">
        <f>SUM(D100+E100)</f>
        <v>0</v>
      </c>
      <c r="D100" s="3396">
        <f t="shared" si="30"/>
        <v>0</v>
      </c>
      <c r="E100" s="143">
        <f t="shared" si="30"/>
        <v>0</v>
      </c>
      <c r="F100" s="620"/>
      <c r="G100" s="3166"/>
      <c r="H100" s="620"/>
      <c r="I100" s="630"/>
    </row>
    <row r="101" spans="1:21" ht="15" customHeight="1" x14ac:dyDescent="0.25">
      <c r="A101" s="6580" t="s">
        <v>2434</v>
      </c>
      <c r="B101" s="6581"/>
      <c r="C101" s="3397">
        <f>SUM(D101+E101)</f>
        <v>0</v>
      </c>
      <c r="D101" s="3398">
        <f t="shared" si="30"/>
        <v>0</v>
      </c>
      <c r="E101" s="3399">
        <f t="shared" si="30"/>
        <v>0</v>
      </c>
      <c r="F101" s="90"/>
      <c r="G101" s="91"/>
      <c r="H101" s="90"/>
      <c r="I101" s="92"/>
    </row>
    <row r="102" spans="1:21" ht="15" customHeight="1" x14ac:dyDescent="0.25">
      <c r="A102" s="6582" t="s">
        <v>2522</v>
      </c>
      <c r="B102" s="6583"/>
      <c r="C102" s="3281">
        <f>SUM(D102+E102)</f>
        <v>0</v>
      </c>
      <c r="D102" s="586">
        <f t="shared" si="30"/>
        <v>0</v>
      </c>
      <c r="E102" s="777">
        <f t="shared" si="30"/>
        <v>0</v>
      </c>
      <c r="F102" s="3112"/>
      <c r="G102" s="117"/>
      <c r="H102" s="3112"/>
      <c r="I102" s="3124"/>
    </row>
    <row r="103" spans="1:21" ht="18" customHeight="1" x14ac:dyDescent="0.25">
      <c r="A103" s="6584" t="s">
        <v>2523</v>
      </c>
      <c r="B103" s="6584"/>
      <c r="C103" s="6584"/>
      <c r="D103" s="6584"/>
      <c r="E103" s="6584"/>
      <c r="F103" s="6584"/>
      <c r="G103" s="6584"/>
      <c r="H103" s="6584"/>
      <c r="I103" s="6584"/>
      <c r="J103" s="6584"/>
      <c r="K103" s="6584"/>
      <c r="L103" s="6584"/>
      <c r="M103" s="6584"/>
      <c r="N103" s="6584"/>
      <c r="O103" s="6584"/>
      <c r="P103" s="6584"/>
      <c r="Q103" s="3400"/>
      <c r="R103" s="937"/>
      <c r="S103" s="937"/>
      <c r="T103" s="937"/>
      <c r="U103" s="937"/>
    </row>
    <row r="104" spans="1:21" ht="18" customHeight="1" x14ac:dyDescent="0.25">
      <c r="A104" s="6585" t="s">
        <v>2524</v>
      </c>
      <c r="B104" s="6585"/>
      <c r="C104" s="6585"/>
      <c r="D104" s="6585"/>
      <c r="E104" s="6585"/>
      <c r="F104" s="6586"/>
      <c r="G104" s="6586"/>
      <c r="H104" s="6586"/>
      <c r="I104" s="6586"/>
      <c r="J104" s="6586"/>
      <c r="K104" s="6586"/>
      <c r="L104" s="6586"/>
      <c r="M104" s="6586"/>
      <c r="N104" s="6586"/>
      <c r="O104" s="6586"/>
      <c r="P104" s="6586"/>
      <c r="Q104" s="6586"/>
      <c r="R104" s="937"/>
      <c r="S104" s="937"/>
      <c r="T104" s="937"/>
      <c r="U104" s="937"/>
    </row>
    <row r="105" spans="1:21" ht="15" customHeight="1" x14ac:dyDescent="0.25">
      <c r="A105" s="6587" t="s">
        <v>453</v>
      </c>
      <c r="B105" s="6588"/>
      <c r="C105" s="6493" t="s">
        <v>2525</v>
      </c>
      <c r="D105" s="6468"/>
      <c r="E105" s="6469"/>
      <c r="F105" s="6519" t="s">
        <v>30</v>
      </c>
      <c r="G105" s="6496"/>
      <c r="H105" s="6496"/>
      <c r="I105" s="6496"/>
      <c r="J105" s="6496"/>
      <c r="K105" s="6496"/>
      <c r="L105" s="6496"/>
      <c r="M105" s="6496"/>
      <c r="N105" s="6496"/>
      <c r="O105" s="6496"/>
      <c r="P105" s="6496"/>
      <c r="Q105" s="6496"/>
      <c r="R105" s="6496"/>
      <c r="S105" s="6496"/>
      <c r="T105" s="6496"/>
      <c r="U105" s="6593"/>
    </row>
    <row r="106" spans="1:21" ht="15" customHeight="1" x14ac:dyDescent="0.25">
      <c r="A106" s="6589"/>
      <c r="B106" s="6590"/>
      <c r="C106" s="6503"/>
      <c r="D106" s="6476"/>
      <c r="E106" s="6461"/>
      <c r="F106" s="6494" t="s">
        <v>554</v>
      </c>
      <c r="G106" s="6474"/>
      <c r="H106" s="6494" t="s">
        <v>568</v>
      </c>
      <c r="I106" s="6535"/>
      <c r="J106" s="6494" t="s">
        <v>559</v>
      </c>
      <c r="K106" s="6535"/>
      <c r="L106" s="6494" t="s">
        <v>2309</v>
      </c>
      <c r="M106" s="6535"/>
      <c r="N106" s="6494" t="s">
        <v>400</v>
      </c>
      <c r="O106" s="6535"/>
      <c r="P106" s="6494" t="s">
        <v>557</v>
      </c>
      <c r="Q106" s="6535"/>
      <c r="R106" s="6494" t="s">
        <v>2354</v>
      </c>
      <c r="S106" s="6535"/>
      <c r="T106" s="6494" t="s">
        <v>32</v>
      </c>
      <c r="U106" s="6535"/>
    </row>
    <row r="107" spans="1:21" ht="15" customHeight="1" x14ac:dyDescent="0.25">
      <c r="A107" s="6591"/>
      <c r="B107" s="6592"/>
      <c r="C107" s="3313" t="s">
        <v>26</v>
      </c>
      <c r="D107" s="3314" t="s">
        <v>22</v>
      </c>
      <c r="E107" s="2828" t="s">
        <v>27</v>
      </c>
      <c r="F107" s="3242" t="s">
        <v>22</v>
      </c>
      <c r="G107" s="1773" t="s">
        <v>27</v>
      </c>
      <c r="H107" s="3242" t="s">
        <v>22</v>
      </c>
      <c r="I107" s="2644" t="s">
        <v>27</v>
      </c>
      <c r="J107" s="3242" t="s">
        <v>22</v>
      </c>
      <c r="K107" s="2644" t="s">
        <v>27</v>
      </c>
      <c r="L107" s="3242" t="s">
        <v>22</v>
      </c>
      <c r="M107" s="2644" t="s">
        <v>27</v>
      </c>
      <c r="N107" s="3242" t="s">
        <v>22</v>
      </c>
      <c r="O107" s="2644" t="s">
        <v>27</v>
      </c>
      <c r="P107" s="3242" t="s">
        <v>22</v>
      </c>
      <c r="Q107" s="2644" t="s">
        <v>27</v>
      </c>
      <c r="R107" s="3242" t="s">
        <v>22</v>
      </c>
      <c r="S107" s="2644" t="s">
        <v>27</v>
      </c>
      <c r="T107" s="3242" t="s">
        <v>22</v>
      </c>
      <c r="U107" s="2644" t="s">
        <v>27</v>
      </c>
    </row>
    <row r="108" spans="1:21" ht="15" customHeight="1" x14ac:dyDescent="0.25">
      <c r="A108" s="6594" t="s">
        <v>2526</v>
      </c>
      <c r="B108" s="6594"/>
      <c r="C108" s="3401">
        <f t="shared" ref="C108:C116" si="31">SUM(D108+E108)</f>
        <v>0</v>
      </c>
      <c r="D108" s="182">
        <f>+H108+J108+L108+N108+P108+R108+T108</f>
        <v>0</v>
      </c>
      <c r="E108" s="3305">
        <f>+I108+K108+M108+O108+Q108+S108+U108</f>
        <v>0</v>
      </c>
      <c r="F108" s="3402"/>
      <c r="G108" s="3403"/>
      <c r="H108" s="3216"/>
      <c r="I108" s="3217"/>
      <c r="J108" s="3216"/>
      <c r="K108" s="3217"/>
      <c r="L108" s="3216"/>
      <c r="M108" s="3217"/>
      <c r="N108" s="3216"/>
      <c r="O108" s="3217"/>
      <c r="P108" s="3334"/>
      <c r="Q108" s="3217"/>
      <c r="R108" s="3334"/>
      <c r="S108" s="3217"/>
      <c r="T108" s="3334"/>
      <c r="U108" s="3217"/>
    </row>
    <row r="109" spans="1:21" ht="15" customHeight="1" x14ac:dyDescent="0.25">
      <c r="A109" s="6595" t="s">
        <v>2527</v>
      </c>
      <c r="B109" s="6595"/>
      <c r="C109" s="3404">
        <f t="shared" si="31"/>
        <v>0</v>
      </c>
      <c r="D109" s="638">
        <f t="shared" ref="D109:E111" si="32">SUM(J109+L109+N109+P109+R109+T109)</f>
        <v>0</v>
      </c>
      <c r="E109" s="3331">
        <f t="shared" si="32"/>
        <v>0</v>
      </c>
      <c r="F109" s="845"/>
      <c r="G109" s="3405"/>
      <c r="H109" s="845"/>
      <c r="I109" s="846"/>
      <c r="J109" s="620"/>
      <c r="K109" s="630"/>
      <c r="L109" s="620"/>
      <c r="M109" s="630"/>
      <c r="N109" s="620"/>
      <c r="O109" s="630"/>
      <c r="P109" s="3329"/>
      <c r="Q109" s="630"/>
      <c r="R109" s="3329"/>
      <c r="S109" s="630"/>
      <c r="T109" s="3329"/>
      <c r="U109" s="630"/>
    </row>
    <row r="110" spans="1:21" ht="15" customHeight="1" x14ac:dyDescent="0.25">
      <c r="A110" s="6595" t="s">
        <v>2528</v>
      </c>
      <c r="B110" s="6595"/>
      <c r="C110" s="3404">
        <f t="shared" si="31"/>
        <v>0</v>
      </c>
      <c r="D110" s="638">
        <f t="shared" si="32"/>
        <v>0</v>
      </c>
      <c r="E110" s="3331">
        <f t="shared" si="32"/>
        <v>0</v>
      </c>
      <c r="F110" s="566"/>
      <c r="G110" s="3406"/>
      <c r="H110" s="566"/>
      <c r="I110" s="567"/>
      <c r="J110" s="90"/>
      <c r="K110" s="92"/>
      <c r="L110" s="90"/>
      <c r="M110" s="92"/>
      <c r="N110" s="90"/>
      <c r="O110" s="92"/>
      <c r="P110" s="93"/>
      <c r="Q110" s="92"/>
      <c r="R110" s="93"/>
      <c r="S110" s="92"/>
      <c r="T110" s="93"/>
      <c r="U110" s="92"/>
    </row>
    <row r="111" spans="1:21" ht="15" customHeight="1" x14ac:dyDescent="0.25">
      <c r="A111" s="6596" t="s">
        <v>2529</v>
      </c>
      <c r="B111" s="6597"/>
      <c r="C111" s="3404">
        <f t="shared" si="31"/>
        <v>0</v>
      </c>
      <c r="D111" s="638">
        <f t="shared" si="32"/>
        <v>0</v>
      </c>
      <c r="E111" s="3331">
        <f t="shared" si="32"/>
        <v>0</v>
      </c>
      <c r="F111" s="566"/>
      <c r="G111" s="3406"/>
      <c r="H111" s="566"/>
      <c r="I111" s="567"/>
      <c r="J111" s="90"/>
      <c r="K111" s="92"/>
      <c r="L111" s="90"/>
      <c r="M111" s="92"/>
      <c r="N111" s="90"/>
      <c r="O111" s="92"/>
      <c r="P111" s="93"/>
      <c r="Q111" s="92"/>
      <c r="R111" s="93"/>
      <c r="S111" s="92"/>
      <c r="T111" s="93"/>
      <c r="U111" s="92"/>
    </row>
    <row r="112" spans="1:21" ht="15" customHeight="1" x14ac:dyDescent="0.25">
      <c r="A112" s="6596" t="s">
        <v>2530</v>
      </c>
      <c r="B112" s="6597"/>
      <c r="C112" s="3404">
        <f t="shared" si="31"/>
        <v>0</v>
      </c>
      <c r="D112" s="638">
        <f>+F112+H112</f>
        <v>0</v>
      </c>
      <c r="E112" s="3331">
        <f>+G112+I112</f>
        <v>0</v>
      </c>
      <c r="F112" s="90"/>
      <c r="G112" s="2056"/>
      <c r="H112" s="90"/>
      <c r="I112" s="91"/>
      <c r="J112" s="845"/>
      <c r="K112" s="846"/>
      <c r="L112" s="845"/>
      <c r="M112" s="846"/>
      <c r="N112" s="845"/>
      <c r="O112" s="846"/>
      <c r="P112" s="3407"/>
      <c r="Q112" s="846"/>
      <c r="R112" s="3407"/>
      <c r="S112" s="846"/>
      <c r="T112" s="3407"/>
      <c r="U112" s="846"/>
    </row>
    <row r="113" spans="1:27" ht="15" customHeight="1" x14ac:dyDescent="0.25">
      <c r="A113" s="6596" t="s">
        <v>2531</v>
      </c>
      <c r="B113" s="6597"/>
      <c r="C113" s="3408">
        <f t="shared" si="31"/>
        <v>0</v>
      </c>
      <c r="D113" s="638">
        <f>+F113+H113</f>
        <v>0</v>
      </c>
      <c r="E113" s="3331">
        <f>+G113+I113</f>
        <v>0</v>
      </c>
      <c r="F113" s="90"/>
      <c r="G113" s="2056"/>
      <c r="H113" s="90"/>
      <c r="I113" s="91"/>
      <c r="J113" s="3409"/>
      <c r="K113" s="883"/>
      <c r="L113" s="3409"/>
      <c r="M113" s="883"/>
      <c r="N113" s="3409"/>
      <c r="O113" s="883"/>
      <c r="P113" s="3410"/>
      <c r="Q113" s="883"/>
      <c r="R113" s="3410"/>
      <c r="S113" s="883"/>
      <c r="T113" s="3410"/>
      <c r="U113" s="883"/>
    </row>
    <row r="114" spans="1:27" ht="15" customHeight="1" x14ac:dyDescent="0.25">
      <c r="A114" s="6488" t="s">
        <v>2532</v>
      </c>
      <c r="B114" s="3411" t="s">
        <v>2533</v>
      </c>
      <c r="C114" s="3317">
        <f t="shared" si="31"/>
        <v>0</v>
      </c>
      <c r="D114" s="3318">
        <f t="shared" ref="D114:E116" si="33">SUM(F114+H114+J114+L114+N114+P114+R114+T114)</f>
        <v>0</v>
      </c>
      <c r="E114" s="3305">
        <f t="shared" si="33"/>
        <v>0</v>
      </c>
      <c r="F114" s="3216"/>
      <c r="G114" s="3412"/>
      <c r="H114" s="3216"/>
      <c r="I114" s="3223"/>
      <c r="J114" s="3216"/>
      <c r="K114" s="3217"/>
      <c r="L114" s="3216"/>
      <c r="M114" s="3217"/>
      <c r="N114" s="3216"/>
      <c r="O114" s="3223"/>
      <c r="P114" s="3216"/>
      <c r="Q114" s="3223"/>
      <c r="R114" s="3216"/>
      <c r="S114" s="3223"/>
      <c r="T114" s="3216"/>
      <c r="U114" s="3223"/>
    </row>
    <row r="115" spans="1:27" ht="15" customHeight="1" x14ac:dyDescent="0.25">
      <c r="A115" s="6455"/>
      <c r="B115" s="3413" t="s">
        <v>2534</v>
      </c>
      <c r="C115" s="87">
        <f t="shared" si="31"/>
        <v>0</v>
      </c>
      <c r="D115" s="88">
        <f t="shared" si="33"/>
        <v>0</v>
      </c>
      <c r="E115" s="3414">
        <f t="shared" si="33"/>
        <v>0</v>
      </c>
      <c r="F115" s="90"/>
      <c r="G115" s="2056"/>
      <c r="H115" s="90"/>
      <c r="I115" s="91"/>
      <c r="J115" s="90"/>
      <c r="K115" s="92"/>
      <c r="L115" s="90"/>
      <c r="M115" s="92"/>
      <c r="N115" s="90"/>
      <c r="O115" s="91"/>
      <c r="P115" s="90"/>
      <c r="Q115" s="91"/>
      <c r="R115" s="90"/>
      <c r="S115" s="91"/>
      <c r="T115" s="90"/>
      <c r="U115" s="91"/>
    </row>
    <row r="116" spans="1:27" ht="19.5" customHeight="1" x14ac:dyDescent="0.25">
      <c r="A116" s="6457"/>
      <c r="B116" s="3415" t="s">
        <v>2535</v>
      </c>
      <c r="C116" s="3306">
        <f t="shared" si="31"/>
        <v>0</v>
      </c>
      <c r="D116" s="3332">
        <f t="shared" si="33"/>
        <v>0</v>
      </c>
      <c r="E116" s="259">
        <f t="shared" si="33"/>
        <v>0</v>
      </c>
      <c r="F116" s="3112"/>
      <c r="G116" s="138"/>
      <c r="H116" s="3112"/>
      <c r="I116" s="117"/>
      <c r="J116" s="3112"/>
      <c r="K116" s="3124"/>
      <c r="L116" s="3112"/>
      <c r="M116" s="3124"/>
      <c r="N116" s="3112"/>
      <c r="O116" s="117"/>
      <c r="P116" s="3112"/>
      <c r="Q116" s="117"/>
      <c r="R116" s="3112"/>
      <c r="S116" s="117"/>
      <c r="T116" s="3112"/>
      <c r="U116" s="117"/>
    </row>
    <row r="117" spans="1:27" ht="18" customHeight="1" x14ac:dyDescent="0.25">
      <c r="A117" s="3150" t="s">
        <v>2536</v>
      </c>
      <c r="B117" s="3231"/>
      <c r="C117" s="3231"/>
      <c r="D117" s="3231"/>
      <c r="E117" s="3231"/>
      <c r="F117" s="3416"/>
      <c r="G117" s="3416"/>
      <c r="H117" s="3416"/>
      <c r="I117" s="3417"/>
      <c r="J117" s="3418"/>
      <c r="K117" s="3418"/>
      <c r="L117" s="3419"/>
      <c r="M117" s="3420"/>
      <c r="N117" s="3421"/>
      <c r="O117" s="3416"/>
      <c r="P117" s="3421"/>
      <c r="Q117" s="3422"/>
      <c r="R117" s="3423"/>
      <c r="S117" s="3423"/>
      <c r="T117" s="3421"/>
      <c r="U117" s="3421"/>
      <c r="V117" s="3421"/>
      <c r="W117" s="3416"/>
      <c r="X117" s="3421"/>
      <c r="Y117" s="3416"/>
      <c r="Z117" s="3424"/>
      <c r="AA117" s="3425"/>
    </row>
    <row r="118" spans="1:27" ht="15" customHeight="1" x14ac:dyDescent="0.25">
      <c r="A118" s="6485" t="s">
        <v>58</v>
      </c>
      <c r="B118" s="6485" t="s">
        <v>2451</v>
      </c>
      <c r="C118" s="6600" t="s">
        <v>1923</v>
      </c>
      <c r="D118" s="6471"/>
      <c r="E118" s="6472"/>
      <c r="F118" s="6519" t="s">
        <v>30</v>
      </c>
      <c r="G118" s="6496"/>
      <c r="H118" s="6496"/>
      <c r="I118" s="6496"/>
      <c r="J118" s="6496"/>
      <c r="K118" s="6496"/>
      <c r="L118" s="6496"/>
      <c r="M118" s="6496"/>
      <c r="N118" s="6496"/>
      <c r="O118" s="6496"/>
      <c r="P118" s="6496"/>
      <c r="Q118" s="6496"/>
      <c r="R118" s="6496"/>
      <c r="S118" s="6496"/>
      <c r="T118" s="6603"/>
      <c r="U118" s="6603"/>
      <c r="V118" s="6496"/>
      <c r="W118" s="6496"/>
      <c r="X118" s="6496"/>
      <c r="Y118" s="6496"/>
      <c r="Z118" s="6496"/>
      <c r="AA118" s="6593"/>
    </row>
    <row r="119" spans="1:27" ht="15" customHeight="1" x14ac:dyDescent="0.25">
      <c r="A119" s="6485"/>
      <c r="B119" s="6485"/>
      <c r="C119" s="6601"/>
      <c r="D119" s="6476"/>
      <c r="E119" s="6602"/>
      <c r="F119" s="6494" t="s">
        <v>2537</v>
      </c>
      <c r="G119" s="6535"/>
      <c r="H119" s="6494" t="s">
        <v>2538</v>
      </c>
      <c r="I119" s="6535"/>
      <c r="J119" s="6494" t="s">
        <v>1451</v>
      </c>
      <c r="K119" s="6535"/>
      <c r="L119" s="6474" t="s">
        <v>37</v>
      </c>
      <c r="M119" s="6535"/>
      <c r="N119" s="6494" t="s">
        <v>38</v>
      </c>
      <c r="O119" s="6535"/>
      <c r="P119" s="6494" t="s">
        <v>4</v>
      </c>
      <c r="Q119" s="6535"/>
      <c r="R119" s="6494" t="s">
        <v>5</v>
      </c>
      <c r="S119" s="6535"/>
      <c r="T119" s="6494" t="s">
        <v>3719</v>
      </c>
      <c r="U119" s="6535"/>
      <c r="V119" s="6494" t="s">
        <v>20</v>
      </c>
      <c r="W119" s="6535"/>
      <c r="X119" s="6494" t="s">
        <v>3720</v>
      </c>
      <c r="Y119" s="6535"/>
      <c r="Z119" s="6598" t="s">
        <v>32</v>
      </c>
      <c r="AA119" s="6599"/>
    </row>
    <row r="120" spans="1:27" ht="15" customHeight="1" x14ac:dyDescent="0.25">
      <c r="A120" s="6451"/>
      <c r="B120" s="6451"/>
      <c r="C120" s="3242" t="s">
        <v>26</v>
      </c>
      <c r="D120" s="3314" t="s">
        <v>22</v>
      </c>
      <c r="E120" s="3393" t="s">
        <v>27</v>
      </c>
      <c r="F120" s="3242" t="s">
        <v>22</v>
      </c>
      <c r="G120" s="3427" t="s">
        <v>27</v>
      </c>
      <c r="H120" s="3242" t="s">
        <v>22</v>
      </c>
      <c r="I120" s="3427" t="s">
        <v>27</v>
      </c>
      <c r="J120" s="3242" t="s">
        <v>22</v>
      </c>
      <c r="K120" s="3427" t="s">
        <v>27</v>
      </c>
      <c r="L120" s="3249" t="s">
        <v>22</v>
      </c>
      <c r="M120" s="3427" t="s">
        <v>27</v>
      </c>
      <c r="N120" s="3242" t="s">
        <v>22</v>
      </c>
      <c r="O120" s="3427" t="s">
        <v>27</v>
      </c>
      <c r="P120" s="3242" t="s">
        <v>22</v>
      </c>
      <c r="Q120" s="3427" t="s">
        <v>27</v>
      </c>
      <c r="R120" s="3242" t="s">
        <v>22</v>
      </c>
      <c r="S120" s="3360" t="s">
        <v>27</v>
      </c>
      <c r="T120" s="3242" t="s">
        <v>22</v>
      </c>
      <c r="U120" s="3427" t="s">
        <v>27</v>
      </c>
      <c r="V120" s="3242" t="s">
        <v>22</v>
      </c>
      <c r="W120" s="3427" t="s">
        <v>27</v>
      </c>
      <c r="X120" s="3242" t="s">
        <v>22</v>
      </c>
      <c r="Y120" s="3427" t="s">
        <v>27</v>
      </c>
      <c r="Z120" s="3428" t="s">
        <v>22</v>
      </c>
      <c r="AA120" s="3429" t="s">
        <v>27</v>
      </c>
    </row>
    <row r="121" spans="1:27" ht="15" customHeight="1" x14ac:dyDescent="0.25">
      <c r="A121" s="6504" t="s">
        <v>2539</v>
      </c>
      <c r="B121" s="3287" t="s">
        <v>2540</v>
      </c>
      <c r="C121" s="3283">
        <f t="shared" ref="C121:C150" si="34">SUM(D121+E121)</f>
        <v>0</v>
      </c>
      <c r="D121" s="915">
        <f t="shared" ref="D121:E150" si="35">SUM(F121+H121+J121+L121+N121+P121+R121+T121+V121+X121+Z121)</f>
        <v>0</v>
      </c>
      <c r="E121" s="3430">
        <f t="shared" si="35"/>
        <v>0</v>
      </c>
      <c r="F121" s="3216"/>
      <c r="G121" s="3223"/>
      <c r="H121" s="3216"/>
      <c r="I121" s="3217"/>
      <c r="J121" s="3216"/>
      <c r="K121" s="3217"/>
      <c r="L121" s="3431"/>
      <c r="M121" s="3217"/>
      <c r="N121" s="3216"/>
      <c r="O121" s="3217"/>
      <c r="P121" s="3216"/>
      <c r="Q121" s="3217"/>
      <c r="R121" s="3216"/>
      <c r="S121" s="3217"/>
      <c r="T121" s="3216"/>
      <c r="U121" s="3217"/>
      <c r="V121" s="3334"/>
      <c r="W121" s="3217"/>
      <c r="X121" s="3334"/>
      <c r="Y121" s="3217"/>
      <c r="Z121" s="3412"/>
      <c r="AA121" s="3432"/>
    </row>
    <row r="122" spans="1:27" ht="15" customHeight="1" x14ac:dyDescent="0.25">
      <c r="A122" s="6606"/>
      <c r="B122" s="203" t="s">
        <v>2541</v>
      </c>
      <c r="C122" s="2190">
        <f t="shared" si="34"/>
        <v>0</v>
      </c>
      <c r="D122" s="3433">
        <f t="shared" si="35"/>
        <v>0</v>
      </c>
      <c r="E122" s="3434">
        <f t="shared" si="35"/>
        <v>0</v>
      </c>
      <c r="F122" s="620"/>
      <c r="G122" s="3166"/>
      <c r="H122" s="620"/>
      <c r="I122" s="630"/>
      <c r="J122" s="620"/>
      <c r="K122" s="630"/>
      <c r="L122" s="3435"/>
      <c r="M122" s="630"/>
      <c r="N122" s="620"/>
      <c r="O122" s="630"/>
      <c r="P122" s="620"/>
      <c r="Q122" s="630"/>
      <c r="R122" s="620"/>
      <c r="S122" s="630"/>
      <c r="T122" s="620"/>
      <c r="U122" s="630"/>
      <c r="V122" s="3329"/>
      <c r="W122" s="630"/>
      <c r="X122" s="3329"/>
      <c r="Y122" s="630"/>
      <c r="Z122" s="3436"/>
      <c r="AA122" s="853"/>
    </row>
    <row r="123" spans="1:27" ht="15" customHeight="1" x14ac:dyDescent="0.25">
      <c r="A123" s="6606"/>
      <c r="B123" s="3328" t="s">
        <v>2542</v>
      </c>
      <c r="C123" s="2190">
        <f t="shared" si="34"/>
        <v>0</v>
      </c>
      <c r="D123" s="3433">
        <f t="shared" si="35"/>
        <v>0</v>
      </c>
      <c r="E123" s="3434">
        <f t="shared" si="35"/>
        <v>0</v>
      </c>
      <c r="F123" s="620"/>
      <c r="G123" s="3166"/>
      <c r="H123" s="620"/>
      <c r="I123" s="630"/>
      <c r="J123" s="620"/>
      <c r="K123" s="630"/>
      <c r="L123" s="3435"/>
      <c r="M123" s="630"/>
      <c r="N123" s="620"/>
      <c r="O123" s="630"/>
      <c r="P123" s="620"/>
      <c r="Q123" s="630"/>
      <c r="R123" s="620"/>
      <c r="S123" s="630"/>
      <c r="T123" s="620"/>
      <c r="U123" s="630"/>
      <c r="V123" s="3329"/>
      <c r="W123" s="630"/>
      <c r="X123" s="3329"/>
      <c r="Y123" s="630"/>
      <c r="Z123" s="3436"/>
      <c r="AA123" s="853"/>
    </row>
    <row r="124" spans="1:27" ht="15" customHeight="1" x14ac:dyDescent="0.25">
      <c r="A124" s="6505"/>
      <c r="B124" s="3328" t="s">
        <v>2543</v>
      </c>
      <c r="C124" s="3279">
        <f t="shared" si="34"/>
        <v>0</v>
      </c>
      <c r="D124" s="918">
        <f t="shared" si="35"/>
        <v>0</v>
      </c>
      <c r="E124" s="791">
        <f t="shared" si="35"/>
        <v>0</v>
      </c>
      <c r="F124" s="620"/>
      <c r="G124" s="3166"/>
      <c r="H124" s="620"/>
      <c r="I124" s="630"/>
      <c r="J124" s="620"/>
      <c r="K124" s="630"/>
      <c r="L124" s="3435"/>
      <c r="M124" s="630"/>
      <c r="N124" s="620"/>
      <c r="O124" s="630"/>
      <c r="P124" s="620"/>
      <c r="Q124" s="630"/>
      <c r="R124" s="620"/>
      <c r="S124" s="630"/>
      <c r="T124" s="620"/>
      <c r="U124" s="630"/>
      <c r="V124" s="3329"/>
      <c r="W124" s="630"/>
      <c r="X124" s="3329"/>
      <c r="Y124" s="630"/>
      <c r="Z124" s="3436"/>
      <c r="AA124" s="853"/>
    </row>
    <row r="125" spans="1:27" ht="15" customHeight="1" x14ac:dyDescent="0.25">
      <c r="A125" s="6607"/>
      <c r="B125" s="207" t="s">
        <v>2544</v>
      </c>
      <c r="C125" s="3281">
        <f t="shared" si="34"/>
        <v>0</v>
      </c>
      <c r="D125" s="3437">
        <f t="shared" si="35"/>
        <v>0</v>
      </c>
      <c r="E125" s="3438">
        <f t="shared" si="35"/>
        <v>0</v>
      </c>
      <c r="F125" s="3112"/>
      <c r="G125" s="117"/>
      <c r="H125" s="3112"/>
      <c r="I125" s="3124"/>
      <c r="J125" s="3112"/>
      <c r="K125" s="3124"/>
      <c r="L125" s="138"/>
      <c r="M125" s="3124"/>
      <c r="N125" s="3112"/>
      <c r="O125" s="3124"/>
      <c r="P125" s="3112"/>
      <c r="Q125" s="3124"/>
      <c r="R125" s="3112"/>
      <c r="S125" s="3124"/>
      <c r="T125" s="3112"/>
      <c r="U125" s="3124"/>
      <c r="V125" s="118"/>
      <c r="W125" s="3124"/>
      <c r="X125" s="118"/>
      <c r="Y125" s="3124"/>
      <c r="Z125" s="3439"/>
      <c r="AA125" s="3440"/>
    </row>
    <row r="126" spans="1:27" ht="15" customHeight="1" x14ac:dyDescent="0.25">
      <c r="A126" s="6504" t="s">
        <v>2545</v>
      </c>
      <c r="B126" s="3287" t="s">
        <v>2540</v>
      </c>
      <c r="C126" s="3283">
        <f t="shared" si="34"/>
        <v>0</v>
      </c>
      <c r="D126" s="915">
        <f t="shared" si="35"/>
        <v>0</v>
      </c>
      <c r="E126" s="3430">
        <f t="shared" si="35"/>
        <v>0</v>
      </c>
      <c r="F126" s="3216"/>
      <c r="G126" s="3223"/>
      <c r="H126" s="3216"/>
      <c r="I126" s="3217"/>
      <c r="J126" s="3216"/>
      <c r="K126" s="3217"/>
      <c r="L126" s="3431"/>
      <c r="M126" s="3217"/>
      <c r="N126" s="3216"/>
      <c r="O126" s="3217"/>
      <c r="P126" s="3216"/>
      <c r="Q126" s="3217"/>
      <c r="R126" s="3216"/>
      <c r="S126" s="3217"/>
      <c r="T126" s="3216"/>
      <c r="U126" s="3217"/>
      <c r="V126" s="3334"/>
      <c r="W126" s="3217"/>
      <c r="X126" s="3334"/>
      <c r="Y126" s="3217"/>
      <c r="Z126" s="3412"/>
      <c r="AA126" s="3432"/>
    </row>
    <row r="127" spans="1:27" ht="15" customHeight="1" x14ac:dyDescent="0.25">
      <c r="A127" s="6606"/>
      <c r="B127" s="203" t="s">
        <v>2541</v>
      </c>
      <c r="C127" s="2190">
        <f t="shared" si="34"/>
        <v>0</v>
      </c>
      <c r="D127" s="3433">
        <f t="shared" si="35"/>
        <v>0</v>
      </c>
      <c r="E127" s="3434">
        <f t="shared" si="35"/>
        <v>0</v>
      </c>
      <c r="F127" s="620"/>
      <c r="G127" s="3166"/>
      <c r="H127" s="620"/>
      <c r="I127" s="630"/>
      <c r="J127" s="620"/>
      <c r="K127" s="630"/>
      <c r="L127" s="3435"/>
      <c r="M127" s="630"/>
      <c r="N127" s="620"/>
      <c r="O127" s="630"/>
      <c r="P127" s="620"/>
      <c r="Q127" s="630"/>
      <c r="R127" s="620"/>
      <c r="S127" s="630"/>
      <c r="T127" s="620"/>
      <c r="U127" s="630"/>
      <c r="V127" s="3329"/>
      <c r="W127" s="630"/>
      <c r="X127" s="3329"/>
      <c r="Y127" s="630"/>
      <c r="Z127" s="3436"/>
      <c r="AA127" s="853"/>
    </row>
    <row r="128" spans="1:27" ht="15" customHeight="1" x14ac:dyDescent="0.25">
      <c r="A128" s="6606"/>
      <c r="B128" s="3328" t="s">
        <v>2542</v>
      </c>
      <c r="C128" s="2190">
        <f t="shared" si="34"/>
        <v>0</v>
      </c>
      <c r="D128" s="3433">
        <f t="shared" si="35"/>
        <v>0</v>
      </c>
      <c r="E128" s="3434">
        <f t="shared" si="35"/>
        <v>0</v>
      </c>
      <c r="F128" s="620"/>
      <c r="G128" s="3166"/>
      <c r="H128" s="620"/>
      <c r="I128" s="630"/>
      <c r="J128" s="620"/>
      <c r="K128" s="630"/>
      <c r="L128" s="3435"/>
      <c r="M128" s="630"/>
      <c r="N128" s="620"/>
      <c r="O128" s="630"/>
      <c r="P128" s="620"/>
      <c r="Q128" s="630"/>
      <c r="R128" s="620"/>
      <c r="S128" s="630"/>
      <c r="T128" s="620"/>
      <c r="U128" s="630"/>
      <c r="V128" s="3329"/>
      <c r="W128" s="630"/>
      <c r="X128" s="3329"/>
      <c r="Y128" s="630"/>
      <c r="Z128" s="3436"/>
      <c r="AA128" s="853"/>
    </row>
    <row r="129" spans="1:27" ht="15" customHeight="1" x14ac:dyDescent="0.25">
      <c r="A129" s="6505"/>
      <c r="B129" s="3328" t="s">
        <v>2543</v>
      </c>
      <c r="C129" s="3279">
        <f t="shared" si="34"/>
        <v>0</v>
      </c>
      <c r="D129" s="918">
        <f t="shared" si="35"/>
        <v>0</v>
      </c>
      <c r="E129" s="791">
        <f t="shared" si="35"/>
        <v>0</v>
      </c>
      <c r="F129" s="620"/>
      <c r="G129" s="3166"/>
      <c r="H129" s="620"/>
      <c r="I129" s="630"/>
      <c r="J129" s="620"/>
      <c r="K129" s="630"/>
      <c r="L129" s="3435"/>
      <c r="M129" s="630"/>
      <c r="N129" s="620"/>
      <c r="O129" s="630"/>
      <c r="P129" s="620"/>
      <c r="Q129" s="630"/>
      <c r="R129" s="620"/>
      <c r="S129" s="630"/>
      <c r="T129" s="620"/>
      <c r="U129" s="630"/>
      <c r="V129" s="3329"/>
      <c r="W129" s="630"/>
      <c r="X129" s="3329"/>
      <c r="Y129" s="630"/>
      <c r="Z129" s="3436"/>
      <c r="AA129" s="853"/>
    </row>
    <row r="130" spans="1:27" ht="15" customHeight="1" x14ac:dyDescent="0.25">
      <c r="A130" s="6607"/>
      <c r="B130" s="207" t="s">
        <v>2544</v>
      </c>
      <c r="C130" s="3281">
        <f t="shared" si="34"/>
        <v>0</v>
      </c>
      <c r="D130" s="3437">
        <f t="shared" si="35"/>
        <v>0</v>
      </c>
      <c r="E130" s="3438">
        <f t="shared" si="35"/>
        <v>0</v>
      </c>
      <c r="F130" s="3112"/>
      <c r="G130" s="117"/>
      <c r="H130" s="3112"/>
      <c r="I130" s="3124"/>
      <c r="J130" s="3112"/>
      <c r="K130" s="3124"/>
      <c r="L130" s="138"/>
      <c r="M130" s="3124"/>
      <c r="N130" s="3112"/>
      <c r="O130" s="3124"/>
      <c r="P130" s="3112"/>
      <c r="Q130" s="3124"/>
      <c r="R130" s="3112"/>
      <c r="S130" s="3124"/>
      <c r="T130" s="3112"/>
      <c r="U130" s="3124"/>
      <c r="V130" s="118"/>
      <c r="W130" s="3124"/>
      <c r="X130" s="118"/>
      <c r="Y130" s="3124"/>
      <c r="Z130" s="3439"/>
      <c r="AA130" s="3440"/>
    </row>
    <row r="131" spans="1:27" ht="15" customHeight="1" x14ac:dyDescent="0.25">
      <c r="A131" s="6488" t="s">
        <v>2546</v>
      </c>
      <c r="B131" s="3287" t="s">
        <v>2540</v>
      </c>
      <c r="C131" s="3283">
        <f t="shared" si="34"/>
        <v>0</v>
      </c>
      <c r="D131" s="915">
        <f t="shared" si="35"/>
        <v>0</v>
      </c>
      <c r="E131" s="3430">
        <f t="shared" si="35"/>
        <v>0</v>
      </c>
      <c r="F131" s="3216"/>
      <c r="G131" s="3223"/>
      <c r="H131" s="3216"/>
      <c r="I131" s="3217"/>
      <c r="J131" s="3216"/>
      <c r="K131" s="3217"/>
      <c r="L131" s="3431"/>
      <c r="M131" s="3217"/>
      <c r="N131" s="3216"/>
      <c r="O131" s="3217"/>
      <c r="P131" s="3216"/>
      <c r="Q131" s="3217"/>
      <c r="R131" s="3216"/>
      <c r="S131" s="3217"/>
      <c r="T131" s="3216"/>
      <c r="U131" s="3217"/>
      <c r="V131" s="3334"/>
      <c r="W131" s="3217"/>
      <c r="X131" s="3334"/>
      <c r="Y131" s="3217"/>
      <c r="Z131" s="3412"/>
      <c r="AA131" s="3432"/>
    </row>
    <row r="132" spans="1:27" ht="15" customHeight="1" x14ac:dyDescent="0.25">
      <c r="A132" s="6455"/>
      <c r="B132" s="203" t="s">
        <v>2541</v>
      </c>
      <c r="C132" s="2190">
        <f t="shared" si="34"/>
        <v>0</v>
      </c>
      <c r="D132" s="3433">
        <f t="shared" si="35"/>
        <v>0</v>
      </c>
      <c r="E132" s="3434">
        <f t="shared" si="35"/>
        <v>0</v>
      </c>
      <c r="F132" s="620"/>
      <c r="G132" s="3166"/>
      <c r="H132" s="620"/>
      <c r="I132" s="630"/>
      <c r="J132" s="620"/>
      <c r="K132" s="630"/>
      <c r="L132" s="3435"/>
      <c r="M132" s="630"/>
      <c r="N132" s="620"/>
      <c r="O132" s="630"/>
      <c r="P132" s="620"/>
      <c r="Q132" s="630"/>
      <c r="R132" s="620"/>
      <c r="S132" s="630"/>
      <c r="T132" s="620"/>
      <c r="U132" s="630"/>
      <c r="V132" s="3329"/>
      <c r="W132" s="630"/>
      <c r="X132" s="3329"/>
      <c r="Y132" s="630"/>
      <c r="Z132" s="3436"/>
      <c r="AA132" s="853"/>
    </row>
    <row r="133" spans="1:27" ht="15" customHeight="1" x14ac:dyDescent="0.25">
      <c r="A133" s="6455"/>
      <c r="B133" s="3328" t="s">
        <v>2542</v>
      </c>
      <c r="C133" s="2190">
        <f t="shared" si="34"/>
        <v>0</v>
      </c>
      <c r="D133" s="3433">
        <f t="shared" si="35"/>
        <v>0</v>
      </c>
      <c r="E133" s="3434">
        <f t="shared" si="35"/>
        <v>0</v>
      </c>
      <c r="F133" s="620"/>
      <c r="G133" s="3166"/>
      <c r="H133" s="620"/>
      <c r="I133" s="630"/>
      <c r="J133" s="620"/>
      <c r="K133" s="630"/>
      <c r="L133" s="3435"/>
      <c r="M133" s="630"/>
      <c r="N133" s="620"/>
      <c r="O133" s="630"/>
      <c r="P133" s="620"/>
      <c r="Q133" s="630"/>
      <c r="R133" s="620"/>
      <c r="S133" s="630"/>
      <c r="T133" s="620"/>
      <c r="U133" s="630"/>
      <c r="V133" s="3329"/>
      <c r="W133" s="630"/>
      <c r="X133" s="3329"/>
      <c r="Y133" s="630"/>
      <c r="Z133" s="3436"/>
      <c r="AA133" s="853"/>
    </row>
    <row r="134" spans="1:27" ht="15" customHeight="1" x14ac:dyDescent="0.25">
      <c r="A134" s="6455"/>
      <c r="B134" s="3328" t="s">
        <v>2543</v>
      </c>
      <c r="C134" s="3279">
        <f t="shared" si="34"/>
        <v>0</v>
      </c>
      <c r="D134" s="918">
        <f t="shared" si="35"/>
        <v>0</v>
      </c>
      <c r="E134" s="791">
        <f t="shared" si="35"/>
        <v>0</v>
      </c>
      <c r="F134" s="620"/>
      <c r="G134" s="3166"/>
      <c r="H134" s="620"/>
      <c r="I134" s="630"/>
      <c r="J134" s="620"/>
      <c r="K134" s="630"/>
      <c r="L134" s="3435"/>
      <c r="M134" s="630"/>
      <c r="N134" s="620"/>
      <c r="O134" s="630"/>
      <c r="P134" s="620"/>
      <c r="Q134" s="630"/>
      <c r="R134" s="620"/>
      <c r="S134" s="630"/>
      <c r="T134" s="620"/>
      <c r="U134" s="630"/>
      <c r="V134" s="3329"/>
      <c r="W134" s="630"/>
      <c r="X134" s="3329"/>
      <c r="Y134" s="630"/>
      <c r="Z134" s="3436"/>
      <c r="AA134" s="853"/>
    </row>
    <row r="135" spans="1:27" ht="15" customHeight="1" x14ac:dyDescent="0.25">
      <c r="A135" s="6457"/>
      <c r="B135" s="207" t="s">
        <v>2544</v>
      </c>
      <c r="C135" s="3281">
        <f t="shared" si="34"/>
        <v>0</v>
      </c>
      <c r="D135" s="3437">
        <f t="shared" si="35"/>
        <v>0</v>
      </c>
      <c r="E135" s="3438">
        <f t="shared" si="35"/>
        <v>0</v>
      </c>
      <c r="F135" s="3112"/>
      <c r="G135" s="117"/>
      <c r="H135" s="3112"/>
      <c r="I135" s="3124"/>
      <c r="J135" s="3112"/>
      <c r="K135" s="3124"/>
      <c r="L135" s="138"/>
      <c r="M135" s="3124"/>
      <c r="N135" s="3112"/>
      <c r="O135" s="3124"/>
      <c r="P135" s="3112"/>
      <c r="Q135" s="3124"/>
      <c r="R135" s="3112"/>
      <c r="S135" s="3124"/>
      <c r="T135" s="3112"/>
      <c r="U135" s="3124"/>
      <c r="V135" s="118"/>
      <c r="W135" s="3124"/>
      <c r="X135" s="118"/>
      <c r="Y135" s="3124"/>
      <c r="Z135" s="3439"/>
      <c r="AA135" s="3440"/>
    </row>
    <row r="136" spans="1:27" ht="15" customHeight="1" x14ac:dyDescent="0.25">
      <c r="A136" s="6504" t="s">
        <v>2547</v>
      </c>
      <c r="B136" s="3287" t="s">
        <v>2540</v>
      </c>
      <c r="C136" s="3283">
        <f t="shared" si="34"/>
        <v>0</v>
      </c>
      <c r="D136" s="915">
        <f t="shared" si="35"/>
        <v>0</v>
      </c>
      <c r="E136" s="3430">
        <f t="shared" si="35"/>
        <v>0</v>
      </c>
      <c r="F136" s="3216"/>
      <c r="G136" s="3223"/>
      <c r="H136" s="3216"/>
      <c r="I136" s="3217"/>
      <c r="J136" s="3216"/>
      <c r="K136" s="3217"/>
      <c r="L136" s="3431"/>
      <c r="M136" s="3217"/>
      <c r="N136" s="3216"/>
      <c r="O136" s="3217"/>
      <c r="P136" s="3216"/>
      <c r="Q136" s="3217"/>
      <c r="R136" s="3216"/>
      <c r="S136" s="3217"/>
      <c r="T136" s="3216"/>
      <c r="U136" s="3217"/>
      <c r="V136" s="3334"/>
      <c r="W136" s="3217"/>
      <c r="X136" s="3334"/>
      <c r="Y136" s="3217"/>
      <c r="Z136" s="3412"/>
      <c r="AA136" s="3432"/>
    </row>
    <row r="137" spans="1:27" ht="15" customHeight="1" x14ac:dyDescent="0.25">
      <c r="A137" s="6606"/>
      <c r="B137" s="203" t="s">
        <v>2541</v>
      </c>
      <c r="C137" s="2190">
        <f t="shared" si="34"/>
        <v>0</v>
      </c>
      <c r="D137" s="3433">
        <f t="shared" si="35"/>
        <v>0</v>
      </c>
      <c r="E137" s="3434">
        <f t="shared" si="35"/>
        <v>0</v>
      </c>
      <c r="F137" s="620"/>
      <c r="G137" s="3166"/>
      <c r="H137" s="620"/>
      <c r="I137" s="630"/>
      <c r="J137" s="620"/>
      <c r="K137" s="630"/>
      <c r="L137" s="3435"/>
      <c r="M137" s="630"/>
      <c r="N137" s="620"/>
      <c r="O137" s="630"/>
      <c r="P137" s="620"/>
      <c r="Q137" s="630"/>
      <c r="R137" s="620"/>
      <c r="S137" s="630"/>
      <c r="T137" s="620"/>
      <c r="U137" s="630"/>
      <c r="V137" s="3329"/>
      <c r="W137" s="630"/>
      <c r="X137" s="3329"/>
      <c r="Y137" s="630"/>
      <c r="Z137" s="3436"/>
      <c r="AA137" s="853"/>
    </row>
    <row r="138" spans="1:27" ht="15" customHeight="1" x14ac:dyDescent="0.25">
      <c r="A138" s="6606"/>
      <c r="B138" s="3328" t="s">
        <v>2542</v>
      </c>
      <c r="C138" s="2190">
        <f t="shared" si="34"/>
        <v>0</v>
      </c>
      <c r="D138" s="3433">
        <f t="shared" si="35"/>
        <v>0</v>
      </c>
      <c r="E138" s="3434">
        <f t="shared" si="35"/>
        <v>0</v>
      </c>
      <c r="F138" s="620"/>
      <c r="G138" s="3166"/>
      <c r="H138" s="620"/>
      <c r="I138" s="630"/>
      <c r="J138" s="620"/>
      <c r="K138" s="630"/>
      <c r="L138" s="3435"/>
      <c r="M138" s="630"/>
      <c r="N138" s="620"/>
      <c r="O138" s="630"/>
      <c r="P138" s="620"/>
      <c r="Q138" s="630"/>
      <c r="R138" s="620"/>
      <c r="S138" s="630"/>
      <c r="T138" s="620"/>
      <c r="U138" s="630"/>
      <c r="V138" s="3329"/>
      <c r="W138" s="630"/>
      <c r="X138" s="3329"/>
      <c r="Y138" s="630"/>
      <c r="Z138" s="3436"/>
      <c r="AA138" s="853"/>
    </row>
    <row r="139" spans="1:27" ht="15" customHeight="1" x14ac:dyDescent="0.25">
      <c r="A139" s="6505"/>
      <c r="B139" s="3328" t="s">
        <v>2543</v>
      </c>
      <c r="C139" s="3279">
        <f t="shared" si="34"/>
        <v>0</v>
      </c>
      <c r="D139" s="918">
        <f t="shared" si="35"/>
        <v>0</v>
      </c>
      <c r="E139" s="791">
        <f t="shared" si="35"/>
        <v>0</v>
      </c>
      <c r="F139" s="620"/>
      <c r="G139" s="3166"/>
      <c r="H139" s="620"/>
      <c r="I139" s="630"/>
      <c r="J139" s="620"/>
      <c r="K139" s="630"/>
      <c r="L139" s="3435"/>
      <c r="M139" s="630"/>
      <c r="N139" s="620"/>
      <c r="O139" s="630"/>
      <c r="P139" s="620"/>
      <c r="Q139" s="630"/>
      <c r="R139" s="620"/>
      <c r="S139" s="630"/>
      <c r="T139" s="620"/>
      <c r="U139" s="630"/>
      <c r="V139" s="3329"/>
      <c r="W139" s="630"/>
      <c r="X139" s="3329"/>
      <c r="Y139" s="630"/>
      <c r="Z139" s="3436"/>
      <c r="AA139" s="853"/>
    </row>
    <row r="140" spans="1:27" ht="15" customHeight="1" x14ac:dyDescent="0.25">
      <c r="A140" s="6607"/>
      <c r="B140" s="207" t="s">
        <v>2544</v>
      </c>
      <c r="C140" s="3281">
        <f t="shared" si="34"/>
        <v>0</v>
      </c>
      <c r="D140" s="3437">
        <f t="shared" si="35"/>
        <v>0</v>
      </c>
      <c r="E140" s="3438">
        <f t="shared" si="35"/>
        <v>0</v>
      </c>
      <c r="F140" s="3112"/>
      <c r="G140" s="117"/>
      <c r="H140" s="3112"/>
      <c r="I140" s="3124"/>
      <c r="J140" s="3112"/>
      <c r="K140" s="3124"/>
      <c r="L140" s="138"/>
      <c r="M140" s="3124"/>
      <c r="N140" s="3112"/>
      <c r="O140" s="3124"/>
      <c r="P140" s="3112"/>
      <c r="Q140" s="3124"/>
      <c r="R140" s="3112"/>
      <c r="S140" s="3124"/>
      <c r="T140" s="3112"/>
      <c r="U140" s="3124"/>
      <c r="V140" s="118"/>
      <c r="W140" s="3124"/>
      <c r="X140" s="118"/>
      <c r="Y140" s="3124"/>
      <c r="Z140" s="3439"/>
      <c r="AA140" s="3440"/>
    </row>
    <row r="141" spans="1:27" ht="15" customHeight="1" x14ac:dyDescent="0.25">
      <c r="A141" s="6504" t="s">
        <v>2548</v>
      </c>
      <c r="B141" s="3287" t="s">
        <v>2540</v>
      </c>
      <c r="C141" s="3283">
        <f t="shared" si="34"/>
        <v>0</v>
      </c>
      <c r="D141" s="915">
        <f t="shared" si="35"/>
        <v>0</v>
      </c>
      <c r="E141" s="3430">
        <f t="shared" si="35"/>
        <v>0</v>
      </c>
      <c r="F141" s="3216"/>
      <c r="G141" s="3223"/>
      <c r="H141" s="3216"/>
      <c r="I141" s="3217"/>
      <c r="J141" s="3216"/>
      <c r="K141" s="3217"/>
      <c r="L141" s="3431"/>
      <c r="M141" s="3217"/>
      <c r="N141" s="3216"/>
      <c r="O141" s="3217"/>
      <c r="P141" s="3216"/>
      <c r="Q141" s="3217"/>
      <c r="R141" s="3216"/>
      <c r="S141" s="3217"/>
      <c r="T141" s="3216"/>
      <c r="U141" s="3217"/>
      <c r="V141" s="3334"/>
      <c r="W141" s="3217"/>
      <c r="X141" s="3334"/>
      <c r="Y141" s="3217"/>
      <c r="Z141" s="3412"/>
      <c r="AA141" s="3432"/>
    </row>
    <row r="142" spans="1:27" ht="15" customHeight="1" x14ac:dyDescent="0.25">
      <c r="A142" s="6606"/>
      <c r="B142" s="203" t="s">
        <v>2541</v>
      </c>
      <c r="C142" s="2190">
        <f t="shared" si="34"/>
        <v>0</v>
      </c>
      <c r="D142" s="3433">
        <f t="shared" si="35"/>
        <v>0</v>
      </c>
      <c r="E142" s="3434">
        <f t="shared" si="35"/>
        <v>0</v>
      </c>
      <c r="F142" s="620"/>
      <c r="G142" s="3166"/>
      <c r="H142" s="620"/>
      <c r="I142" s="630"/>
      <c r="J142" s="620"/>
      <c r="K142" s="630"/>
      <c r="L142" s="3435"/>
      <c r="M142" s="630"/>
      <c r="N142" s="620"/>
      <c r="O142" s="630"/>
      <c r="P142" s="620"/>
      <c r="Q142" s="630"/>
      <c r="R142" s="620"/>
      <c r="S142" s="630"/>
      <c r="T142" s="620"/>
      <c r="U142" s="630"/>
      <c r="V142" s="3329"/>
      <c r="W142" s="630"/>
      <c r="X142" s="3329"/>
      <c r="Y142" s="630"/>
      <c r="Z142" s="3436"/>
      <c r="AA142" s="853"/>
    </row>
    <row r="143" spans="1:27" ht="15" customHeight="1" x14ac:dyDescent="0.25">
      <c r="A143" s="6606"/>
      <c r="B143" s="3328" t="s">
        <v>2542</v>
      </c>
      <c r="C143" s="2190">
        <f t="shared" si="34"/>
        <v>0</v>
      </c>
      <c r="D143" s="3433">
        <f t="shared" si="35"/>
        <v>0</v>
      </c>
      <c r="E143" s="3434">
        <f t="shared" si="35"/>
        <v>0</v>
      </c>
      <c r="F143" s="620"/>
      <c r="G143" s="3166"/>
      <c r="H143" s="620"/>
      <c r="I143" s="630"/>
      <c r="J143" s="620"/>
      <c r="K143" s="630"/>
      <c r="L143" s="3435"/>
      <c r="M143" s="630"/>
      <c r="N143" s="620"/>
      <c r="O143" s="630"/>
      <c r="P143" s="620"/>
      <c r="Q143" s="630"/>
      <c r="R143" s="620"/>
      <c r="S143" s="630"/>
      <c r="T143" s="620"/>
      <c r="U143" s="630"/>
      <c r="V143" s="3329"/>
      <c r="W143" s="630"/>
      <c r="X143" s="3329"/>
      <c r="Y143" s="630"/>
      <c r="Z143" s="3436"/>
      <c r="AA143" s="853"/>
    </row>
    <row r="144" spans="1:27" ht="15" customHeight="1" x14ac:dyDescent="0.25">
      <c r="A144" s="6505"/>
      <c r="B144" s="3328" t="s">
        <v>2543</v>
      </c>
      <c r="C144" s="3279">
        <f t="shared" si="34"/>
        <v>0</v>
      </c>
      <c r="D144" s="918">
        <f t="shared" si="35"/>
        <v>0</v>
      </c>
      <c r="E144" s="791">
        <f t="shared" si="35"/>
        <v>0</v>
      </c>
      <c r="F144" s="620"/>
      <c r="G144" s="3166"/>
      <c r="H144" s="620"/>
      <c r="I144" s="630"/>
      <c r="J144" s="620"/>
      <c r="K144" s="630"/>
      <c r="L144" s="3435"/>
      <c r="M144" s="630"/>
      <c r="N144" s="620"/>
      <c r="O144" s="630"/>
      <c r="P144" s="620"/>
      <c r="Q144" s="630"/>
      <c r="R144" s="620"/>
      <c r="S144" s="630"/>
      <c r="T144" s="620"/>
      <c r="U144" s="630"/>
      <c r="V144" s="3329"/>
      <c r="W144" s="630"/>
      <c r="X144" s="3329"/>
      <c r="Y144" s="630"/>
      <c r="Z144" s="3436"/>
      <c r="AA144" s="853"/>
    </row>
    <row r="145" spans="1:27" ht="15" customHeight="1" x14ac:dyDescent="0.25">
      <c r="A145" s="6607"/>
      <c r="B145" s="207" t="s">
        <v>2544</v>
      </c>
      <c r="C145" s="3281">
        <f t="shared" si="34"/>
        <v>0</v>
      </c>
      <c r="D145" s="3437">
        <f t="shared" si="35"/>
        <v>0</v>
      </c>
      <c r="E145" s="3438">
        <f t="shared" si="35"/>
        <v>0</v>
      </c>
      <c r="F145" s="3112"/>
      <c r="G145" s="117"/>
      <c r="H145" s="3112"/>
      <c r="I145" s="3124"/>
      <c r="J145" s="3112"/>
      <c r="K145" s="3124"/>
      <c r="L145" s="138"/>
      <c r="M145" s="3124"/>
      <c r="N145" s="3112"/>
      <c r="O145" s="3124"/>
      <c r="P145" s="3112"/>
      <c r="Q145" s="3124"/>
      <c r="R145" s="3112"/>
      <c r="S145" s="3124"/>
      <c r="T145" s="3112"/>
      <c r="U145" s="3124"/>
      <c r="V145" s="118"/>
      <c r="W145" s="3124"/>
      <c r="X145" s="118"/>
      <c r="Y145" s="3124"/>
      <c r="Z145" s="3439"/>
      <c r="AA145" s="3440"/>
    </row>
    <row r="146" spans="1:27" ht="15" customHeight="1" x14ac:dyDescent="0.25">
      <c r="A146" s="6488" t="s">
        <v>2549</v>
      </c>
      <c r="B146" s="3287" t="s">
        <v>2540</v>
      </c>
      <c r="C146" s="3283">
        <f t="shared" si="34"/>
        <v>0</v>
      </c>
      <c r="D146" s="915">
        <f t="shared" si="35"/>
        <v>0</v>
      </c>
      <c r="E146" s="3430">
        <f t="shared" si="35"/>
        <v>0</v>
      </c>
      <c r="F146" s="3216"/>
      <c r="G146" s="3223"/>
      <c r="H146" s="3216"/>
      <c r="I146" s="3217"/>
      <c r="J146" s="3216"/>
      <c r="K146" s="3217"/>
      <c r="L146" s="3431"/>
      <c r="M146" s="3217"/>
      <c r="N146" s="3216"/>
      <c r="O146" s="3217"/>
      <c r="P146" s="3216"/>
      <c r="Q146" s="3217"/>
      <c r="R146" s="3216"/>
      <c r="S146" s="3217"/>
      <c r="T146" s="3216"/>
      <c r="U146" s="3217"/>
      <c r="V146" s="3334"/>
      <c r="W146" s="3217"/>
      <c r="X146" s="3334"/>
      <c r="Y146" s="3217"/>
      <c r="Z146" s="3412"/>
      <c r="AA146" s="3432"/>
    </row>
    <row r="147" spans="1:27" ht="15" customHeight="1" x14ac:dyDescent="0.25">
      <c r="A147" s="6455"/>
      <c r="B147" s="203" t="s">
        <v>2541</v>
      </c>
      <c r="C147" s="2190">
        <f t="shared" si="34"/>
        <v>0</v>
      </c>
      <c r="D147" s="3433">
        <f t="shared" si="35"/>
        <v>0</v>
      </c>
      <c r="E147" s="3434">
        <f t="shared" si="35"/>
        <v>0</v>
      </c>
      <c r="F147" s="620"/>
      <c r="G147" s="3166"/>
      <c r="H147" s="620"/>
      <c r="I147" s="630"/>
      <c r="J147" s="620"/>
      <c r="K147" s="630"/>
      <c r="L147" s="3435"/>
      <c r="M147" s="630"/>
      <c r="N147" s="620"/>
      <c r="O147" s="630"/>
      <c r="P147" s="620"/>
      <c r="Q147" s="630"/>
      <c r="R147" s="620"/>
      <c r="S147" s="630"/>
      <c r="T147" s="620"/>
      <c r="U147" s="630"/>
      <c r="V147" s="3329"/>
      <c r="W147" s="630"/>
      <c r="X147" s="3329"/>
      <c r="Y147" s="630"/>
      <c r="Z147" s="3436"/>
      <c r="AA147" s="853"/>
    </row>
    <row r="148" spans="1:27" ht="15" customHeight="1" x14ac:dyDescent="0.25">
      <c r="A148" s="6455"/>
      <c r="B148" s="3328" t="s">
        <v>2542</v>
      </c>
      <c r="C148" s="2190">
        <f t="shared" si="34"/>
        <v>0</v>
      </c>
      <c r="D148" s="3433">
        <f t="shared" si="35"/>
        <v>0</v>
      </c>
      <c r="E148" s="3434">
        <f t="shared" si="35"/>
        <v>0</v>
      </c>
      <c r="F148" s="620"/>
      <c r="G148" s="3166"/>
      <c r="H148" s="620"/>
      <c r="I148" s="630"/>
      <c r="J148" s="620"/>
      <c r="K148" s="630"/>
      <c r="L148" s="3435"/>
      <c r="M148" s="630"/>
      <c r="N148" s="620"/>
      <c r="O148" s="630"/>
      <c r="P148" s="620"/>
      <c r="Q148" s="630"/>
      <c r="R148" s="620"/>
      <c r="S148" s="630"/>
      <c r="T148" s="620"/>
      <c r="U148" s="630"/>
      <c r="V148" s="3329"/>
      <c r="W148" s="630"/>
      <c r="X148" s="3329"/>
      <c r="Y148" s="630"/>
      <c r="Z148" s="3436"/>
      <c r="AA148" s="853"/>
    </row>
    <row r="149" spans="1:27" ht="15" customHeight="1" x14ac:dyDescent="0.25">
      <c r="A149" s="6455"/>
      <c r="B149" s="3328" t="s">
        <v>2543</v>
      </c>
      <c r="C149" s="3279">
        <f t="shared" si="34"/>
        <v>0</v>
      </c>
      <c r="D149" s="918">
        <f t="shared" si="35"/>
        <v>0</v>
      </c>
      <c r="E149" s="791">
        <f t="shared" si="35"/>
        <v>0</v>
      </c>
      <c r="F149" s="620"/>
      <c r="G149" s="3166"/>
      <c r="H149" s="620"/>
      <c r="I149" s="630"/>
      <c r="J149" s="620"/>
      <c r="K149" s="630"/>
      <c r="L149" s="3435"/>
      <c r="M149" s="630"/>
      <c r="N149" s="620"/>
      <c r="O149" s="630"/>
      <c r="P149" s="620"/>
      <c r="Q149" s="630"/>
      <c r="R149" s="620"/>
      <c r="S149" s="630"/>
      <c r="T149" s="620"/>
      <c r="U149" s="630"/>
      <c r="V149" s="3329"/>
      <c r="W149" s="630"/>
      <c r="X149" s="3329"/>
      <c r="Y149" s="630"/>
      <c r="Z149" s="3436"/>
      <c r="AA149" s="853"/>
    </row>
    <row r="150" spans="1:27" ht="15" customHeight="1" x14ac:dyDescent="0.25">
      <c r="A150" s="6455"/>
      <c r="B150" s="207" t="s">
        <v>2544</v>
      </c>
      <c r="C150" s="3397">
        <f t="shared" si="34"/>
        <v>0</v>
      </c>
      <c r="D150" s="3441">
        <f t="shared" si="35"/>
        <v>0</v>
      </c>
      <c r="E150" s="3442">
        <f t="shared" si="35"/>
        <v>0</v>
      </c>
      <c r="F150" s="90"/>
      <c r="G150" s="91"/>
      <c r="H150" s="90"/>
      <c r="I150" s="92"/>
      <c r="J150" s="90"/>
      <c r="K150" s="92"/>
      <c r="L150" s="2056"/>
      <c r="M150" s="92"/>
      <c r="N150" s="90"/>
      <c r="O150" s="92"/>
      <c r="P150" s="90"/>
      <c r="Q150" s="92"/>
      <c r="R150" s="90"/>
      <c r="S150" s="92"/>
      <c r="T150" s="90"/>
      <c r="U150" s="92"/>
      <c r="V150" s="93"/>
      <c r="W150" s="92"/>
      <c r="X150" s="93"/>
      <c r="Y150" s="92"/>
      <c r="Z150" s="3443"/>
      <c r="AA150" s="3444"/>
    </row>
    <row r="151" spans="1:27" ht="15" customHeight="1" x14ac:dyDescent="0.25">
      <c r="A151" s="6510" t="s">
        <v>2550</v>
      </c>
      <c r="B151" s="6509"/>
      <c r="C151" s="5860">
        <f t="shared" ref="C151:AA151" si="36">SUM(C121:C150)</f>
        <v>0</v>
      </c>
      <c r="D151" s="5861">
        <f t="shared" si="36"/>
        <v>0</v>
      </c>
      <c r="E151" s="5862">
        <f t="shared" si="36"/>
        <v>0</v>
      </c>
      <c r="F151" s="5860">
        <f t="shared" si="36"/>
        <v>0</v>
      </c>
      <c r="G151" s="5863">
        <f t="shared" si="36"/>
        <v>0</v>
      </c>
      <c r="H151" s="5860">
        <f t="shared" si="36"/>
        <v>0</v>
      </c>
      <c r="I151" s="5863">
        <f t="shared" si="36"/>
        <v>0</v>
      </c>
      <c r="J151" s="5860">
        <f t="shared" si="36"/>
        <v>0</v>
      </c>
      <c r="K151" s="5863">
        <f t="shared" si="36"/>
        <v>0</v>
      </c>
      <c r="L151" s="5860">
        <f t="shared" si="36"/>
        <v>0</v>
      </c>
      <c r="M151" s="5863">
        <f t="shared" si="36"/>
        <v>0</v>
      </c>
      <c r="N151" s="5860">
        <f t="shared" si="36"/>
        <v>0</v>
      </c>
      <c r="O151" s="5863">
        <f t="shared" si="36"/>
        <v>0</v>
      </c>
      <c r="P151" s="5860">
        <f t="shared" si="36"/>
        <v>0</v>
      </c>
      <c r="Q151" s="5863">
        <f t="shared" si="36"/>
        <v>0</v>
      </c>
      <c r="R151" s="5860">
        <f t="shared" si="36"/>
        <v>0</v>
      </c>
      <c r="S151" s="5863">
        <f t="shared" si="36"/>
        <v>0</v>
      </c>
      <c r="T151" s="5860">
        <f t="shared" si="36"/>
        <v>0</v>
      </c>
      <c r="U151" s="5863">
        <f t="shared" si="36"/>
        <v>0</v>
      </c>
      <c r="V151" s="5860">
        <f t="shared" si="36"/>
        <v>0</v>
      </c>
      <c r="W151" s="5863">
        <f t="shared" si="36"/>
        <v>0</v>
      </c>
      <c r="X151" s="5860">
        <f t="shared" si="36"/>
        <v>0</v>
      </c>
      <c r="Y151" s="5863">
        <f t="shared" si="36"/>
        <v>0</v>
      </c>
      <c r="Z151" s="5864">
        <f t="shared" si="36"/>
        <v>0</v>
      </c>
      <c r="AA151" s="5865">
        <f t="shared" si="36"/>
        <v>0</v>
      </c>
    </row>
    <row r="152" spans="1:27" ht="15" customHeight="1" x14ac:dyDescent="0.25">
      <c r="A152" s="6553" t="s">
        <v>2551</v>
      </c>
      <c r="B152" s="5667" t="s">
        <v>2540</v>
      </c>
      <c r="C152" s="581">
        <f t="shared" ref="C152:C161" si="37">SUM(D152+E152)</f>
        <v>0</v>
      </c>
      <c r="D152" s="5857">
        <f t="shared" ref="D152:E161" si="38">SUM(F152+H152+J152+L152+N152+P152+R152+T152+V152+X152+Z152)</f>
        <v>0</v>
      </c>
      <c r="E152" s="5858">
        <f t="shared" si="38"/>
        <v>0</v>
      </c>
      <c r="F152" s="589"/>
      <c r="G152" s="4561"/>
      <c r="H152" s="589"/>
      <c r="I152" s="5238"/>
      <c r="J152" s="589"/>
      <c r="K152" s="5238"/>
      <c r="L152" s="135"/>
      <c r="M152" s="5238"/>
      <c r="N152" s="589"/>
      <c r="O152" s="5238"/>
      <c r="P152" s="589"/>
      <c r="Q152" s="5238"/>
      <c r="R152" s="589"/>
      <c r="S152" s="5238"/>
      <c r="T152" s="589"/>
      <c r="U152" s="5238"/>
      <c r="V152" s="113"/>
      <c r="W152" s="5238"/>
      <c r="X152" s="113"/>
      <c r="Y152" s="5238"/>
      <c r="Z152" s="3450"/>
      <c r="AA152" s="5859"/>
    </row>
    <row r="153" spans="1:27" ht="15" customHeight="1" x14ac:dyDescent="0.25">
      <c r="A153" s="6553"/>
      <c r="B153" s="203" t="s">
        <v>2541</v>
      </c>
      <c r="C153" s="2190">
        <f t="shared" si="37"/>
        <v>0</v>
      </c>
      <c r="D153" s="3433">
        <f t="shared" si="38"/>
        <v>0</v>
      </c>
      <c r="E153" s="3434">
        <f t="shared" si="38"/>
        <v>0</v>
      </c>
      <c r="F153" s="106"/>
      <c r="G153" s="105"/>
      <c r="H153" s="106"/>
      <c r="I153" s="590"/>
      <c r="J153" s="106"/>
      <c r="K153" s="590"/>
      <c r="L153" s="135"/>
      <c r="M153" s="590"/>
      <c r="N153" s="106"/>
      <c r="O153" s="590"/>
      <c r="P153" s="106"/>
      <c r="Q153" s="590"/>
      <c r="R153" s="106"/>
      <c r="S153" s="590"/>
      <c r="T153" s="106"/>
      <c r="U153" s="590"/>
      <c r="V153" s="113"/>
      <c r="W153" s="590"/>
      <c r="X153" s="113"/>
      <c r="Y153" s="590"/>
      <c r="Z153" s="3450"/>
      <c r="AA153" s="1551"/>
    </row>
    <row r="154" spans="1:27" ht="15" customHeight="1" x14ac:dyDescent="0.25">
      <c r="A154" s="6553"/>
      <c r="B154" s="3328" t="s">
        <v>2542</v>
      </c>
      <c r="C154" s="2190">
        <f t="shared" si="37"/>
        <v>0</v>
      </c>
      <c r="D154" s="3433">
        <f t="shared" si="38"/>
        <v>0</v>
      </c>
      <c r="E154" s="3434">
        <f t="shared" si="38"/>
        <v>0</v>
      </c>
      <c r="F154" s="106"/>
      <c r="G154" s="105"/>
      <c r="H154" s="106"/>
      <c r="I154" s="590"/>
      <c r="J154" s="106"/>
      <c r="K154" s="590"/>
      <c r="L154" s="135"/>
      <c r="M154" s="590"/>
      <c r="N154" s="106"/>
      <c r="O154" s="590"/>
      <c r="P154" s="106"/>
      <c r="Q154" s="590"/>
      <c r="R154" s="106"/>
      <c r="S154" s="590"/>
      <c r="T154" s="106"/>
      <c r="U154" s="590"/>
      <c r="V154" s="113"/>
      <c r="W154" s="590"/>
      <c r="X154" s="113"/>
      <c r="Y154" s="590"/>
      <c r="Z154" s="3450"/>
      <c r="AA154" s="1551"/>
    </row>
    <row r="155" spans="1:27" ht="15" customHeight="1" x14ac:dyDescent="0.25">
      <c r="A155" s="6553"/>
      <c r="B155" s="3328" t="s">
        <v>2543</v>
      </c>
      <c r="C155" s="2190">
        <f t="shared" si="37"/>
        <v>0</v>
      </c>
      <c r="D155" s="3433">
        <f t="shared" si="38"/>
        <v>0</v>
      </c>
      <c r="E155" s="3434">
        <f t="shared" si="38"/>
        <v>0</v>
      </c>
      <c r="F155" s="106"/>
      <c r="G155" s="105"/>
      <c r="H155" s="106"/>
      <c r="I155" s="590"/>
      <c r="J155" s="106"/>
      <c r="K155" s="590"/>
      <c r="L155" s="135"/>
      <c r="M155" s="590"/>
      <c r="N155" s="106"/>
      <c r="O155" s="590"/>
      <c r="P155" s="106"/>
      <c r="Q155" s="590"/>
      <c r="R155" s="106"/>
      <c r="S155" s="590"/>
      <c r="T155" s="106"/>
      <c r="U155" s="590"/>
      <c r="V155" s="113"/>
      <c r="W155" s="590"/>
      <c r="X155" s="113"/>
      <c r="Y155" s="590"/>
      <c r="Z155" s="3450"/>
      <c r="AA155" s="1551"/>
    </row>
    <row r="156" spans="1:27" ht="15" customHeight="1" x14ac:dyDescent="0.25">
      <c r="A156" s="6553"/>
      <c r="B156" s="207" t="s">
        <v>2544</v>
      </c>
      <c r="C156" s="3451">
        <f t="shared" si="37"/>
        <v>0</v>
      </c>
      <c r="D156" s="3452">
        <f t="shared" si="38"/>
        <v>0</v>
      </c>
      <c r="E156" s="3453">
        <f t="shared" si="38"/>
        <v>0</v>
      </c>
      <c r="F156" s="2491"/>
      <c r="G156" s="878"/>
      <c r="H156" s="2491"/>
      <c r="I156" s="1429"/>
      <c r="J156" s="2491"/>
      <c r="K156" s="1429"/>
      <c r="L156" s="2487"/>
      <c r="M156" s="1429"/>
      <c r="N156" s="2491"/>
      <c r="O156" s="1429"/>
      <c r="P156" s="2491"/>
      <c r="Q156" s="1429"/>
      <c r="R156" s="2491"/>
      <c r="S156" s="1429"/>
      <c r="T156" s="2491"/>
      <c r="U156" s="1429"/>
      <c r="V156" s="3454"/>
      <c r="W156" s="1429"/>
      <c r="X156" s="3454"/>
      <c r="Y156" s="1429"/>
      <c r="Z156" s="3455"/>
      <c r="AA156" s="3456"/>
    </row>
    <row r="157" spans="1:27" ht="15" customHeight="1" x14ac:dyDescent="0.25">
      <c r="A157" s="6604" t="s">
        <v>2552</v>
      </c>
      <c r="B157" s="3287" t="s">
        <v>2540</v>
      </c>
      <c r="C157" s="3283">
        <f t="shared" si="37"/>
        <v>0</v>
      </c>
      <c r="D157" s="915">
        <f t="shared" si="38"/>
        <v>0</v>
      </c>
      <c r="E157" s="3430">
        <f t="shared" si="38"/>
        <v>0</v>
      </c>
      <c r="F157" s="3216"/>
      <c r="G157" s="3223"/>
      <c r="H157" s="3216"/>
      <c r="I157" s="3217"/>
      <c r="J157" s="3216"/>
      <c r="K157" s="3217"/>
      <c r="L157" s="3431"/>
      <c r="M157" s="3217"/>
      <c r="N157" s="3216"/>
      <c r="O157" s="3217"/>
      <c r="P157" s="3216"/>
      <c r="Q157" s="3217"/>
      <c r="R157" s="3216"/>
      <c r="S157" s="3217"/>
      <c r="T157" s="3216"/>
      <c r="U157" s="3217"/>
      <c r="V157" s="3334"/>
      <c r="W157" s="3217"/>
      <c r="X157" s="3334"/>
      <c r="Y157" s="3217"/>
      <c r="Z157" s="3412"/>
      <c r="AA157" s="3432"/>
    </row>
    <row r="158" spans="1:27" ht="15" customHeight="1" x14ac:dyDescent="0.25">
      <c r="A158" s="6553"/>
      <c r="B158" s="203" t="s">
        <v>2541</v>
      </c>
      <c r="C158" s="2190">
        <f t="shared" si="37"/>
        <v>0</v>
      </c>
      <c r="D158" s="3433">
        <f t="shared" si="38"/>
        <v>0</v>
      </c>
      <c r="E158" s="3434">
        <f t="shared" si="38"/>
        <v>0</v>
      </c>
      <c r="F158" s="106"/>
      <c r="G158" s="105"/>
      <c r="H158" s="106"/>
      <c r="I158" s="590"/>
      <c r="J158" s="106"/>
      <c r="K158" s="590"/>
      <c r="L158" s="135"/>
      <c r="M158" s="590"/>
      <c r="N158" s="106"/>
      <c r="O158" s="590"/>
      <c r="P158" s="106"/>
      <c r="Q158" s="590"/>
      <c r="R158" s="106"/>
      <c r="S158" s="590"/>
      <c r="T158" s="106"/>
      <c r="U158" s="590"/>
      <c r="V158" s="113"/>
      <c r="W158" s="590"/>
      <c r="X158" s="113"/>
      <c r="Y158" s="590"/>
      <c r="Z158" s="3450"/>
      <c r="AA158" s="1551"/>
    </row>
    <row r="159" spans="1:27" ht="15" customHeight="1" x14ac:dyDescent="0.25">
      <c r="A159" s="6553"/>
      <c r="B159" s="3328" t="s">
        <v>2542</v>
      </c>
      <c r="C159" s="2190">
        <f t="shared" si="37"/>
        <v>0</v>
      </c>
      <c r="D159" s="3433">
        <f t="shared" si="38"/>
        <v>0</v>
      </c>
      <c r="E159" s="3434">
        <f t="shared" si="38"/>
        <v>0</v>
      </c>
      <c r="F159" s="106"/>
      <c r="G159" s="105"/>
      <c r="H159" s="106"/>
      <c r="I159" s="590"/>
      <c r="J159" s="106"/>
      <c r="K159" s="590"/>
      <c r="L159" s="135"/>
      <c r="M159" s="590"/>
      <c r="N159" s="106"/>
      <c r="O159" s="590"/>
      <c r="P159" s="106"/>
      <c r="Q159" s="590"/>
      <c r="R159" s="106"/>
      <c r="S159" s="590"/>
      <c r="T159" s="106"/>
      <c r="U159" s="590"/>
      <c r="V159" s="113"/>
      <c r="W159" s="590"/>
      <c r="X159" s="113"/>
      <c r="Y159" s="590"/>
      <c r="Z159" s="3450"/>
      <c r="AA159" s="1551"/>
    </row>
    <row r="160" spans="1:27" ht="15" customHeight="1" x14ac:dyDescent="0.25">
      <c r="A160" s="6553"/>
      <c r="B160" s="3328" t="s">
        <v>2543</v>
      </c>
      <c r="C160" s="2190">
        <f t="shared" si="37"/>
        <v>0</v>
      </c>
      <c r="D160" s="3433">
        <f t="shared" si="38"/>
        <v>0</v>
      </c>
      <c r="E160" s="3434">
        <f t="shared" si="38"/>
        <v>0</v>
      </c>
      <c r="F160" s="106"/>
      <c r="G160" s="105"/>
      <c r="H160" s="106"/>
      <c r="I160" s="590"/>
      <c r="J160" s="106"/>
      <c r="K160" s="590"/>
      <c r="L160" s="135"/>
      <c r="M160" s="590"/>
      <c r="N160" s="106"/>
      <c r="O160" s="590"/>
      <c r="P160" s="106"/>
      <c r="Q160" s="590"/>
      <c r="R160" s="106"/>
      <c r="S160" s="590"/>
      <c r="T160" s="106"/>
      <c r="U160" s="590"/>
      <c r="V160" s="113"/>
      <c r="W160" s="590"/>
      <c r="X160" s="113"/>
      <c r="Y160" s="590"/>
      <c r="Z160" s="3450"/>
      <c r="AA160" s="1551"/>
    </row>
    <row r="161" spans="1:39" ht="15" customHeight="1" x14ac:dyDescent="0.25">
      <c r="A161" s="6605"/>
      <c r="B161" s="207" t="s">
        <v>2544</v>
      </c>
      <c r="C161" s="2486">
        <f t="shared" si="37"/>
        <v>0</v>
      </c>
      <c r="D161" s="2484">
        <f t="shared" si="38"/>
        <v>0</v>
      </c>
      <c r="E161" s="3457">
        <f t="shared" si="38"/>
        <v>0</v>
      </c>
      <c r="F161" s="2498"/>
      <c r="G161" s="3458"/>
      <c r="H161" s="2498"/>
      <c r="I161" s="3013"/>
      <c r="J161" s="2498"/>
      <c r="K161" s="3013"/>
      <c r="L161" s="2952"/>
      <c r="M161" s="3013"/>
      <c r="N161" s="2498"/>
      <c r="O161" s="3013"/>
      <c r="P161" s="2498"/>
      <c r="Q161" s="3013"/>
      <c r="R161" s="2498"/>
      <c r="S161" s="3013"/>
      <c r="T161" s="2498"/>
      <c r="U161" s="3013"/>
      <c r="V161" s="3459"/>
      <c r="W161" s="3013"/>
      <c r="X161" s="3459"/>
      <c r="Y161" s="3013"/>
      <c r="Z161" s="3460"/>
      <c r="AA161" s="3260"/>
    </row>
    <row r="162" spans="1:39" x14ac:dyDescent="0.25">
      <c r="A162" s="6494" t="s">
        <v>2550</v>
      </c>
      <c r="B162" s="6535"/>
      <c r="C162" s="3445">
        <f t="shared" ref="C162:AA162" si="39">SUM(C152:C161)</f>
        <v>0</v>
      </c>
      <c r="D162" s="3446">
        <f t="shared" si="39"/>
        <v>0</v>
      </c>
      <c r="E162" s="3447">
        <f t="shared" si="39"/>
        <v>0</v>
      </c>
      <c r="F162" s="3445">
        <f t="shared" si="39"/>
        <v>0</v>
      </c>
      <c r="G162" s="3448">
        <f t="shared" si="39"/>
        <v>0</v>
      </c>
      <c r="H162" s="3445">
        <f t="shared" si="39"/>
        <v>0</v>
      </c>
      <c r="I162" s="3448">
        <f t="shared" si="39"/>
        <v>0</v>
      </c>
      <c r="J162" s="3445">
        <f t="shared" si="39"/>
        <v>0</v>
      </c>
      <c r="K162" s="3448">
        <f t="shared" si="39"/>
        <v>0</v>
      </c>
      <c r="L162" s="3445">
        <f t="shared" si="39"/>
        <v>0</v>
      </c>
      <c r="M162" s="3448">
        <f t="shared" si="39"/>
        <v>0</v>
      </c>
      <c r="N162" s="3445">
        <f t="shared" si="39"/>
        <v>0</v>
      </c>
      <c r="O162" s="3448">
        <f t="shared" si="39"/>
        <v>0</v>
      </c>
      <c r="P162" s="3445">
        <f t="shared" si="39"/>
        <v>0</v>
      </c>
      <c r="Q162" s="3448">
        <f t="shared" si="39"/>
        <v>0</v>
      </c>
      <c r="R162" s="3445">
        <f t="shared" si="39"/>
        <v>0</v>
      </c>
      <c r="S162" s="3448">
        <f t="shared" si="39"/>
        <v>0</v>
      </c>
      <c r="T162" s="3445">
        <f t="shared" si="39"/>
        <v>0</v>
      </c>
      <c r="U162" s="3448">
        <f t="shared" si="39"/>
        <v>0</v>
      </c>
      <c r="V162" s="3445">
        <f t="shared" si="39"/>
        <v>0</v>
      </c>
      <c r="W162" s="3448">
        <f t="shared" si="39"/>
        <v>0</v>
      </c>
      <c r="X162" s="3445">
        <f t="shared" si="39"/>
        <v>0</v>
      </c>
      <c r="Y162" s="3448">
        <f t="shared" si="39"/>
        <v>0</v>
      </c>
      <c r="Z162" s="3461">
        <f t="shared" si="39"/>
        <v>0</v>
      </c>
      <c r="AA162" s="3449">
        <f t="shared" si="39"/>
        <v>0</v>
      </c>
    </row>
    <row r="163" spans="1:39" ht="18" customHeight="1" x14ac:dyDescent="0.25">
      <c r="A163" s="2852" t="s">
        <v>2553</v>
      </c>
      <c r="B163" s="3462"/>
      <c r="C163" s="3462"/>
      <c r="D163" s="3462"/>
      <c r="E163" s="112"/>
      <c r="F163" s="3463"/>
      <c r="G163" s="3463"/>
      <c r="H163" s="3463"/>
      <c r="I163" s="3463"/>
      <c r="J163" s="3463"/>
      <c r="K163" s="3463"/>
      <c r="L163" s="3463"/>
      <c r="M163" s="3463"/>
      <c r="N163" s="3463"/>
      <c r="O163" s="3463"/>
      <c r="P163" s="3463"/>
      <c r="Q163" s="3463"/>
      <c r="R163" s="3463"/>
      <c r="S163" s="3463"/>
      <c r="T163" s="3463"/>
      <c r="U163" s="3463"/>
      <c r="V163" s="3463"/>
      <c r="W163" s="3463"/>
      <c r="X163" s="3463"/>
      <c r="Y163" s="3463"/>
      <c r="Z163" s="937"/>
      <c r="AA163" s="937"/>
      <c r="AB163" s="3288"/>
      <c r="AC163" s="3288"/>
      <c r="AD163" s="3288"/>
      <c r="AE163" s="3288"/>
      <c r="AF163" s="3288"/>
      <c r="AG163" s="3288"/>
      <c r="AH163" s="3288"/>
      <c r="AI163" s="3288"/>
      <c r="AJ163" s="3288"/>
      <c r="AK163" s="3288"/>
      <c r="AL163" s="3288"/>
      <c r="AM163" s="3288"/>
    </row>
    <row r="164" spans="1:39" ht="15" customHeight="1" x14ac:dyDescent="0.25">
      <c r="A164" s="6468" t="s">
        <v>2477</v>
      </c>
      <c r="B164" s="6469"/>
      <c r="C164" s="6493" t="s">
        <v>24</v>
      </c>
      <c r="D164" s="6468"/>
      <c r="E164" s="6469"/>
      <c r="F164" s="6494" t="s">
        <v>30</v>
      </c>
      <c r="G164" s="6474"/>
      <c r="H164" s="6474"/>
      <c r="I164" s="6474"/>
      <c r="J164" s="6474"/>
      <c r="K164" s="6474"/>
      <c r="L164" s="6474"/>
      <c r="M164" s="6474"/>
      <c r="N164" s="6474"/>
      <c r="O164" s="6474"/>
      <c r="P164" s="6474"/>
      <c r="Q164" s="6474"/>
      <c r="R164" s="6474"/>
      <c r="S164" s="6474"/>
      <c r="T164" s="6474"/>
      <c r="U164" s="6474"/>
      <c r="V164" s="6474"/>
      <c r="W164" s="6474"/>
      <c r="X164" s="6474"/>
      <c r="Y164" s="6474"/>
      <c r="Z164" s="6474"/>
      <c r="AA164" s="6474"/>
      <c r="AB164" s="6474"/>
      <c r="AC164" s="6474"/>
      <c r="AD164" s="6474"/>
      <c r="AE164" s="6474"/>
      <c r="AF164" s="6474"/>
      <c r="AG164" s="6474"/>
      <c r="AH164" s="6474"/>
      <c r="AI164" s="6474"/>
      <c r="AJ164" s="6474"/>
      <c r="AK164" s="6474"/>
      <c r="AL164" s="6474"/>
      <c r="AM164" s="6535"/>
    </row>
    <row r="165" spans="1:39" ht="15" customHeight="1" x14ac:dyDescent="0.25">
      <c r="A165" s="6471"/>
      <c r="B165" s="6472"/>
      <c r="C165" s="6601"/>
      <c r="D165" s="6476"/>
      <c r="E165" s="6602"/>
      <c r="F165" s="6494" t="s">
        <v>36</v>
      </c>
      <c r="G165" s="6535"/>
      <c r="H165" s="6494" t="s">
        <v>37</v>
      </c>
      <c r="I165" s="6535"/>
      <c r="J165" s="6494" t="s">
        <v>38</v>
      </c>
      <c r="K165" s="6535"/>
      <c r="L165" s="6608" t="s">
        <v>4</v>
      </c>
      <c r="M165" s="6609"/>
      <c r="N165" s="6609" t="s">
        <v>5</v>
      </c>
      <c r="O165" s="6610"/>
      <c r="P165" s="6494" t="s">
        <v>6</v>
      </c>
      <c r="Q165" s="6535"/>
      <c r="R165" s="6474" t="s">
        <v>7</v>
      </c>
      <c r="S165" s="6535"/>
      <c r="T165" s="6474" t="s">
        <v>8</v>
      </c>
      <c r="U165" s="6535"/>
      <c r="V165" s="6494" t="s">
        <v>9</v>
      </c>
      <c r="W165" s="6535"/>
      <c r="X165" s="6474" t="s">
        <v>10</v>
      </c>
      <c r="Y165" s="6535"/>
      <c r="Z165" s="6598" t="s">
        <v>11</v>
      </c>
      <c r="AA165" s="6599"/>
      <c r="AB165" s="6598" t="s">
        <v>18</v>
      </c>
      <c r="AC165" s="6599"/>
      <c r="AD165" s="6598" t="s">
        <v>19</v>
      </c>
      <c r="AE165" s="6599"/>
      <c r="AF165" s="6598" t="s">
        <v>20</v>
      </c>
      <c r="AG165" s="6599"/>
      <c r="AH165" s="6598" t="s">
        <v>70</v>
      </c>
      <c r="AI165" s="6599"/>
      <c r="AJ165" s="6598" t="s">
        <v>71</v>
      </c>
      <c r="AK165" s="6599"/>
      <c r="AL165" s="6612" t="s">
        <v>32</v>
      </c>
      <c r="AM165" s="6599"/>
    </row>
    <row r="166" spans="1:39" ht="15" customHeight="1" x14ac:dyDescent="0.25">
      <c r="A166" s="6476"/>
      <c r="B166" s="6602"/>
      <c r="C166" s="3313" t="s">
        <v>26</v>
      </c>
      <c r="D166" s="3464" t="s">
        <v>22</v>
      </c>
      <c r="E166" s="1781" t="s">
        <v>27</v>
      </c>
      <c r="F166" s="2020" t="s">
        <v>22</v>
      </c>
      <c r="G166" s="1781" t="s">
        <v>27</v>
      </c>
      <c r="H166" s="2020" t="s">
        <v>22</v>
      </c>
      <c r="I166" s="1781" t="s">
        <v>27</v>
      </c>
      <c r="J166" s="2020" t="s">
        <v>22</v>
      </c>
      <c r="K166" s="1781" t="s">
        <v>27</v>
      </c>
      <c r="L166" s="3242" t="s">
        <v>22</v>
      </c>
      <c r="M166" s="3465" t="s">
        <v>27</v>
      </c>
      <c r="N166" s="3314" t="s">
        <v>22</v>
      </c>
      <c r="O166" s="3393" t="s">
        <v>27</v>
      </c>
      <c r="P166" s="3314" t="s">
        <v>22</v>
      </c>
      <c r="Q166" s="3393" t="s">
        <v>27</v>
      </c>
      <c r="R166" s="3249" t="s">
        <v>22</v>
      </c>
      <c r="S166" s="3427" t="s">
        <v>27</v>
      </c>
      <c r="T166" s="3249" t="s">
        <v>22</v>
      </c>
      <c r="U166" s="3427" t="s">
        <v>27</v>
      </c>
      <c r="V166" s="3242" t="s">
        <v>22</v>
      </c>
      <c r="W166" s="3427" t="s">
        <v>27</v>
      </c>
      <c r="X166" s="3249" t="s">
        <v>22</v>
      </c>
      <c r="Y166" s="3427" t="s">
        <v>27</v>
      </c>
      <c r="Z166" s="3428" t="s">
        <v>22</v>
      </c>
      <c r="AA166" s="3429" t="s">
        <v>27</v>
      </c>
      <c r="AB166" s="3428" t="s">
        <v>22</v>
      </c>
      <c r="AC166" s="3429" t="s">
        <v>27</v>
      </c>
      <c r="AD166" s="3428" t="s">
        <v>22</v>
      </c>
      <c r="AE166" s="3429" t="s">
        <v>27</v>
      </c>
      <c r="AF166" s="3428" t="s">
        <v>22</v>
      </c>
      <c r="AG166" s="3429" t="s">
        <v>27</v>
      </c>
      <c r="AH166" s="3428" t="s">
        <v>22</v>
      </c>
      <c r="AI166" s="3429" t="s">
        <v>27</v>
      </c>
      <c r="AJ166" s="3428" t="s">
        <v>22</v>
      </c>
      <c r="AK166" s="3429" t="s">
        <v>27</v>
      </c>
      <c r="AL166" s="3466" t="s">
        <v>22</v>
      </c>
      <c r="AM166" s="3429" t="s">
        <v>27</v>
      </c>
    </row>
    <row r="167" spans="1:39" ht="15" customHeight="1" x14ac:dyDescent="0.25">
      <c r="A167" s="6613" t="s">
        <v>2554</v>
      </c>
      <c r="B167" s="3467" t="s">
        <v>2555</v>
      </c>
      <c r="C167" s="3283">
        <f t="shared" ref="C167:C172" si="40">SUM(D167+E167)</f>
        <v>0</v>
      </c>
      <c r="D167" s="915">
        <f t="shared" ref="D167:E172" si="41">SUM(F167+H167+J167+L167+N167+P167+R167+T167+V167+X167+Z167+AB167+AD167+AF167+AH167+AJ167+AL167)</f>
        <v>0</v>
      </c>
      <c r="E167" s="3284">
        <f t="shared" si="41"/>
        <v>0</v>
      </c>
      <c r="F167" s="3216"/>
      <c r="G167" s="3217"/>
      <c r="H167" s="3216"/>
      <c r="I167" s="3217"/>
      <c r="J167" s="3216"/>
      <c r="K167" s="3217"/>
      <c r="L167" s="3216"/>
      <c r="M167" s="320"/>
      <c r="N167" s="320"/>
      <c r="O167" s="3217"/>
      <c r="P167" s="3216"/>
      <c r="Q167" s="3217"/>
      <c r="R167" s="3349"/>
      <c r="S167" s="3217"/>
      <c r="T167" s="3349"/>
      <c r="U167" s="3217"/>
      <c r="V167" s="3216"/>
      <c r="W167" s="3217"/>
      <c r="X167" s="3349"/>
      <c r="Y167" s="3217"/>
      <c r="Z167" s="3468"/>
      <c r="AA167" s="3432"/>
      <c r="AB167" s="3468"/>
      <c r="AC167" s="3432"/>
      <c r="AD167" s="3468"/>
      <c r="AE167" s="3432"/>
      <c r="AF167" s="3468"/>
      <c r="AG167" s="3432"/>
      <c r="AH167" s="3468"/>
      <c r="AI167" s="3432"/>
      <c r="AJ167" s="3468"/>
      <c r="AK167" s="3432"/>
      <c r="AL167" s="3469"/>
      <c r="AM167" s="3432"/>
    </row>
    <row r="168" spans="1:39" ht="15" customHeight="1" x14ac:dyDescent="0.25">
      <c r="A168" s="6614"/>
      <c r="B168" s="3470" t="s">
        <v>2556</v>
      </c>
      <c r="C168" s="2190">
        <f t="shared" si="40"/>
        <v>0</v>
      </c>
      <c r="D168" s="3433">
        <f t="shared" si="41"/>
        <v>0</v>
      </c>
      <c r="E168" s="143">
        <f t="shared" si="41"/>
        <v>0</v>
      </c>
      <c r="F168" s="620"/>
      <c r="G168" s="630"/>
      <c r="H168" s="620"/>
      <c r="I168" s="630"/>
      <c r="J168" s="620"/>
      <c r="K168" s="630"/>
      <c r="L168" s="620"/>
      <c r="M168" s="621"/>
      <c r="N168" s="621"/>
      <c r="O168" s="630"/>
      <c r="P168" s="620"/>
      <c r="Q168" s="630"/>
      <c r="R168" s="3232"/>
      <c r="S168" s="630"/>
      <c r="T168" s="3232"/>
      <c r="U168" s="630"/>
      <c r="V168" s="620"/>
      <c r="W168" s="630"/>
      <c r="X168" s="3232"/>
      <c r="Y168" s="630"/>
      <c r="Z168" s="851"/>
      <c r="AA168" s="853"/>
      <c r="AB168" s="851"/>
      <c r="AC168" s="853"/>
      <c r="AD168" s="851"/>
      <c r="AE168" s="853"/>
      <c r="AF168" s="851"/>
      <c r="AG168" s="853"/>
      <c r="AH168" s="851"/>
      <c r="AI168" s="853"/>
      <c r="AJ168" s="851"/>
      <c r="AK168" s="853"/>
      <c r="AL168" s="3255"/>
      <c r="AM168" s="853"/>
    </row>
    <row r="169" spans="1:39" ht="15" customHeight="1" x14ac:dyDescent="0.25">
      <c r="A169" s="6615"/>
      <c r="B169" s="3084" t="s">
        <v>2557</v>
      </c>
      <c r="C169" s="2486">
        <f t="shared" si="40"/>
        <v>0</v>
      </c>
      <c r="D169" s="2484">
        <f t="shared" si="41"/>
        <v>0</v>
      </c>
      <c r="E169" s="3472">
        <f t="shared" si="41"/>
        <v>0</v>
      </c>
      <c r="F169" s="3112"/>
      <c r="G169" s="3124"/>
      <c r="H169" s="3112"/>
      <c r="I169" s="3124"/>
      <c r="J169" s="3112"/>
      <c r="K169" s="3124"/>
      <c r="L169" s="3112"/>
      <c r="M169" s="3109"/>
      <c r="N169" s="3109"/>
      <c r="O169" s="3124"/>
      <c r="P169" s="3112"/>
      <c r="Q169" s="3124"/>
      <c r="R169" s="121"/>
      <c r="S169" s="3124"/>
      <c r="T169" s="121"/>
      <c r="U169" s="3124"/>
      <c r="V169" s="3112"/>
      <c r="W169" s="3124"/>
      <c r="X169" s="121"/>
      <c r="Y169" s="3124"/>
      <c r="Z169" s="3473"/>
      <c r="AA169" s="3440"/>
      <c r="AB169" s="3473"/>
      <c r="AC169" s="3440"/>
      <c r="AD169" s="3473"/>
      <c r="AE169" s="3440"/>
      <c r="AF169" s="3473"/>
      <c r="AG169" s="3440"/>
      <c r="AH169" s="3473"/>
      <c r="AI169" s="3440"/>
      <c r="AJ169" s="3473"/>
      <c r="AK169" s="3440"/>
      <c r="AL169" s="3474"/>
      <c r="AM169" s="3440"/>
    </row>
    <row r="170" spans="1:39" ht="15" customHeight="1" x14ac:dyDescent="0.25">
      <c r="A170" s="6613" t="s">
        <v>2558</v>
      </c>
      <c r="B170" s="3467" t="s">
        <v>2555</v>
      </c>
      <c r="C170" s="3283">
        <f t="shared" si="40"/>
        <v>0</v>
      </c>
      <c r="D170" s="915">
        <f t="shared" si="41"/>
        <v>0</v>
      </c>
      <c r="E170" s="3284">
        <f t="shared" si="41"/>
        <v>0</v>
      </c>
      <c r="F170" s="3216"/>
      <c r="G170" s="3217"/>
      <c r="H170" s="3216"/>
      <c r="I170" s="3217"/>
      <c r="J170" s="3216"/>
      <c r="K170" s="3217"/>
      <c r="L170" s="3216"/>
      <c r="M170" s="320"/>
      <c r="N170" s="320"/>
      <c r="O170" s="3217"/>
      <c r="P170" s="3216"/>
      <c r="Q170" s="3217"/>
      <c r="R170" s="3349"/>
      <c r="S170" s="3217"/>
      <c r="T170" s="3349"/>
      <c r="U170" s="3217"/>
      <c r="V170" s="3216"/>
      <c r="W170" s="3217"/>
      <c r="X170" s="3349"/>
      <c r="Y170" s="3217"/>
      <c r="Z170" s="3468"/>
      <c r="AA170" s="3432"/>
      <c r="AB170" s="3468"/>
      <c r="AC170" s="3432"/>
      <c r="AD170" s="3468"/>
      <c r="AE170" s="3432"/>
      <c r="AF170" s="3468"/>
      <c r="AG170" s="3432"/>
      <c r="AH170" s="3468"/>
      <c r="AI170" s="3432"/>
      <c r="AJ170" s="3468"/>
      <c r="AK170" s="3432"/>
      <c r="AL170" s="3469"/>
      <c r="AM170" s="3432"/>
    </row>
    <row r="171" spans="1:39" ht="15" customHeight="1" x14ac:dyDescent="0.25">
      <c r="A171" s="6614"/>
      <c r="B171" s="3470" t="s">
        <v>2556</v>
      </c>
      <c r="C171" s="2190">
        <f t="shared" si="40"/>
        <v>0</v>
      </c>
      <c r="D171" s="3433">
        <f t="shared" si="41"/>
        <v>0</v>
      </c>
      <c r="E171" s="143">
        <f t="shared" si="41"/>
        <v>0</v>
      </c>
      <c r="F171" s="620"/>
      <c r="G171" s="630"/>
      <c r="H171" s="620"/>
      <c r="I171" s="630"/>
      <c r="J171" s="620"/>
      <c r="K171" s="630"/>
      <c r="L171" s="620"/>
      <c r="M171" s="621"/>
      <c r="N171" s="621"/>
      <c r="O171" s="630"/>
      <c r="P171" s="620"/>
      <c r="Q171" s="630"/>
      <c r="R171" s="3232"/>
      <c r="S171" s="630"/>
      <c r="T171" s="3232"/>
      <c r="U171" s="630"/>
      <c r="V171" s="620"/>
      <c r="W171" s="630"/>
      <c r="X171" s="3232"/>
      <c r="Y171" s="630"/>
      <c r="Z171" s="851"/>
      <c r="AA171" s="853"/>
      <c r="AB171" s="851"/>
      <c r="AC171" s="853"/>
      <c r="AD171" s="851"/>
      <c r="AE171" s="853"/>
      <c r="AF171" s="851"/>
      <c r="AG171" s="853"/>
      <c r="AH171" s="851"/>
      <c r="AI171" s="853"/>
      <c r="AJ171" s="851"/>
      <c r="AK171" s="853"/>
      <c r="AL171" s="3255"/>
      <c r="AM171" s="853"/>
    </row>
    <row r="172" spans="1:39" ht="15" customHeight="1" x14ac:dyDescent="0.25">
      <c r="A172" s="6615"/>
      <c r="B172" s="3084" t="s">
        <v>2557</v>
      </c>
      <c r="C172" s="2486">
        <f t="shared" si="40"/>
        <v>0</v>
      </c>
      <c r="D172" s="2484">
        <f t="shared" si="41"/>
        <v>0</v>
      </c>
      <c r="E172" s="3472">
        <f t="shared" si="41"/>
        <v>0</v>
      </c>
      <c r="F172" s="3112"/>
      <c r="G172" s="3124"/>
      <c r="H172" s="3112"/>
      <c r="I172" s="3124"/>
      <c r="J172" s="3112"/>
      <c r="K172" s="3124"/>
      <c r="L172" s="3112"/>
      <c r="M172" s="3109"/>
      <c r="N172" s="3109"/>
      <c r="O172" s="3124"/>
      <c r="P172" s="3112"/>
      <c r="Q172" s="3124"/>
      <c r="R172" s="121"/>
      <c r="S172" s="3124"/>
      <c r="T172" s="121"/>
      <c r="U172" s="3124"/>
      <c r="V172" s="3112"/>
      <c r="W172" s="3124"/>
      <c r="X172" s="121"/>
      <c r="Y172" s="3124"/>
      <c r="Z172" s="3473"/>
      <c r="AA172" s="3440"/>
      <c r="AB172" s="3473"/>
      <c r="AC172" s="3440"/>
      <c r="AD172" s="3473"/>
      <c r="AE172" s="3440"/>
      <c r="AF172" s="3473"/>
      <c r="AG172" s="3440"/>
      <c r="AH172" s="3473"/>
      <c r="AI172" s="3440"/>
      <c r="AJ172" s="3473"/>
      <c r="AK172" s="3440"/>
      <c r="AL172" s="3474"/>
      <c r="AM172" s="3440"/>
    </row>
    <row r="173" spans="1:39" ht="18" customHeight="1" x14ac:dyDescent="0.25">
      <c r="A173" s="2852" t="s">
        <v>2559</v>
      </c>
      <c r="B173" s="2998"/>
      <c r="C173" s="2998"/>
      <c r="D173" s="2998"/>
      <c r="E173" s="1749"/>
      <c r="F173" s="1749"/>
      <c r="G173" s="1749"/>
      <c r="H173" s="1749"/>
      <c r="I173" s="1749"/>
      <c r="J173" s="1749"/>
      <c r="K173" s="1749"/>
      <c r="L173" s="1749"/>
      <c r="M173" s="2476"/>
      <c r="N173" s="937"/>
      <c r="O173" s="937"/>
    </row>
    <row r="174" spans="1:39" ht="15" customHeight="1" x14ac:dyDescent="0.25">
      <c r="A174" s="6484" t="s">
        <v>58</v>
      </c>
      <c r="B174" s="6484" t="s">
        <v>2451</v>
      </c>
      <c r="C174" s="6493" t="s">
        <v>24</v>
      </c>
      <c r="D174" s="6468"/>
      <c r="E174" s="6469"/>
      <c r="F174" s="6494" t="s">
        <v>30</v>
      </c>
      <c r="G174" s="6474"/>
      <c r="H174" s="6474"/>
      <c r="I174" s="6474"/>
      <c r="J174" s="6474"/>
      <c r="K174" s="6474"/>
      <c r="L174" s="6474"/>
      <c r="M174" s="6474"/>
      <c r="N174" s="6474"/>
      <c r="O174" s="6535"/>
    </row>
    <row r="175" spans="1:39" ht="15" customHeight="1" x14ac:dyDescent="0.25">
      <c r="A175" s="6485"/>
      <c r="B175" s="6485"/>
      <c r="C175" s="6601"/>
      <c r="D175" s="6476"/>
      <c r="E175" s="6602"/>
      <c r="F175" s="6494" t="s">
        <v>19</v>
      </c>
      <c r="G175" s="6535"/>
      <c r="H175" s="6494" t="s">
        <v>20</v>
      </c>
      <c r="I175" s="6535"/>
      <c r="J175" s="6494" t="s">
        <v>70</v>
      </c>
      <c r="K175" s="6535"/>
      <c r="L175" s="6494" t="s">
        <v>71</v>
      </c>
      <c r="M175" s="6535"/>
      <c r="N175" s="6494" t="s">
        <v>32</v>
      </c>
      <c r="O175" s="6535"/>
    </row>
    <row r="176" spans="1:39" ht="15" customHeight="1" x14ac:dyDescent="0.25">
      <c r="A176" s="6451"/>
      <c r="B176" s="6451"/>
      <c r="C176" s="3313" t="s">
        <v>26</v>
      </c>
      <c r="D176" s="3464" t="s">
        <v>22</v>
      </c>
      <c r="E176" s="1781" t="s">
        <v>27</v>
      </c>
      <c r="F176" s="2020" t="s">
        <v>22</v>
      </c>
      <c r="G176" s="1781" t="s">
        <v>27</v>
      </c>
      <c r="H176" s="2020" t="s">
        <v>22</v>
      </c>
      <c r="I176" s="1781" t="s">
        <v>27</v>
      </c>
      <c r="J176" s="2020" t="s">
        <v>22</v>
      </c>
      <c r="K176" s="1781" t="s">
        <v>27</v>
      </c>
      <c r="L176" s="2020" t="s">
        <v>22</v>
      </c>
      <c r="M176" s="1781" t="s">
        <v>27</v>
      </c>
      <c r="N176" s="2020" t="s">
        <v>22</v>
      </c>
      <c r="O176" s="1781" t="s">
        <v>27</v>
      </c>
    </row>
    <row r="177" spans="1:17" ht="15" customHeight="1" x14ac:dyDescent="0.25">
      <c r="A177" s="6488" t="s">
        <v>2560</v>
      </c>
      <c r="B177" s="3467" t="s">
        <v>2561</v>
      </c>
      <c r="C177" s="3283">
        <f t="shared" ref="C177:C182" si="42">SUM(D177+E177)</f>
        <v>0</v>
      </c>
      <c r="D177" s="915">
        <f t="shared" ref="D177:E182" si="43">SUM(F177+H177+J177+L177+N177)</f>
        <v>0</v>
      </c>
      <c r="E177" s="3284">
        <f t="shared" si="43"/>
        <v>0</v>
      </c>
      <c r="F177" s="3216"/>
      <c r="G177" s="3335"/>
      <c r="H177" s="3216"/>
      <c r="I177" s="3217"/>
      <c r="J177" s="3349"/>
      <c r="K177" s="3335"/>
      <c r="L177" s="3216"/>
      <c r="M177" s="3217"/>
      <c r="N177" s="3216"/>
      <c r="O177" s="3217"/>
    </row>
    <row r="178" spans="1:17" ht="15" customHeight="1" x14ac:dyDescent="0.25">
      <c r="A178" s="6455"/>
      <c r="B178" s="3135" t="s">
        <v>2562</v>
      </c>
      <c r="C178" s="3451">
        <f t="shared" si="42"/>
        <v>0</v>
      </c>
      <c r="D178" s="3452">
        <f t="shared" si="43"/>
        <v>0</v>
      </c>
      <c r="E178" s="1745">
        <f t="shared" si="43"/>
        <v>0</v>
      </c>
      <c r="F178" s="2491"/>
      <c r="G178" s="1520"/>
      <c r="H178" s="2491"/>
      <c r="I178" s="1429"/>
      <c r="J178" s="125"/>
      <c r="K178" s="1520"/>
      <c r="L178" s="2491"/>
      <c r="M178" s="1429"/>
      <c r="N178" s="2491"/>
      <c r="O178" s="1429"/>
    </row>
    <row r="179" spans="1:17" ht="15" customHeight="1" x14ac:dyDescent="0.25">
      <c r="A179" s="6457"/>
      <c r="B179" s="909" t="s">
        <v>2563</v>
      </c>
      <c r="C179" s="3475">
        <f t="shared" si="42"/>
        <v>0</v>
      </c>
      <c r="D179" s="3441">
        <f t="shared" si="43"/>
        <v>0</v>
      </c>
      <c r="E179" s="3399">
        <f t="shared" si="43"/>
        <v>0</v>
      </c>
      <c r="F179" s="90"/>
      <c r="G179" s="128"/>
      <c r="H179" s="90"/>
      <c r="I179" s="92"/>
      <c r="J179" s="129"/>
      <c r="K179" s="128"/>
      <c r="L179" s="90"/>
      <c r="M179" s="92"/>
      <c r="N179" s="90"/>
      <c r="O179" s="92"/>
    </row>
    <row r="180" spans="1:17" ht="15" customHeight="1" x14ac:dyDescent="0.25">
      <c r="A180" s="6488" t="s">
        <v>2564</v>
      </c>
      <c r="B180" s="3467" t="s">
        <v>2561</v>
      </c>
      <c r="C180" s="3283">
        <f t="shared" si="42"/>
        <v>0</v>
      </c>
      <c r="D180" s="915">
        <f t="shared" si="43"/>
        <v>0</v>
      </c>
      <c r="E180" s="3284">
        <f t="shared" si="43"/>
        <v>0</v>
      </c>
      <c r="F180" s="3216"/>
      <c r="G180" s="3217"/>
      <c r="H180" s="3216"/>
      <c r="I180" s="3335"/>
      <c r="J180" s="3216"/>
      <c r="K180" s="3217"/>
      <c r="L180" s="3349"/>
      <c r="M180" s="3335"/>
      <c r="N180" s="3216"/>
      <c r="O180" s="3217"/>
    </row>
    <row r="181" spans="1:17" ht="15" customHeight="1" x14ac:dyDescent="0.25">
      <c r="A181" s="6455"/>
      <c r="B181" s="3135" t="s">
        <v>2562</v>
      </c>
      <c r="C181" s="3279">
        <f t="shared" si="42"/>
        <v>0</v>
      </c>
      <c r="D181" s="918">
        <f t="shared" si="43"/>
        <v>0</v>
      </c>
      <c r="E181" s="3280">
        <f t="shared" si="43"/>
        <v>0</v>
      </c>
      <c r="F181" s="2491"/>
      <c r="G181" s="1429"/>
      <c r="H181" s="620"/>
      <c r="I181" s="796"/>
      <c r="J181" s="620"/>
      <c r="K181" s="630"/>
      <c r="L181" s="3232"/>
      <c r="M181" s="796"/>
      <c r="N181" s="620"/>
      <c r="O181" s="630"/>
    </row>
    <row r="182" spans="1:17" ht="15" customHeight="1" x14ac:dyDescent="0.25">
      <c r="A182" s="6457"/>
      <c r="B182" s="909" t="s">
        <v>2563</v>
      </c>
      <c r="C182" s="3281">
        <f t="shared" si="42"/>
        <v>0</v>
      </c>
      <c r="D182" s="3437">
        <f t="shared" si="43"/>
        <v>0</v>
      </c>
      <c r="E182" s="777">
        <f t="shared" si="43"/>
        <v>0</v>
      </c>
      <c r="F182" s="3112"/>
      <c r="G182" s="3124"/>
      <c r="H182" s="3112"/>
      <c r="I182" s="3333"/>
      <c r="J182" s="3112"/>
      <c r="K182" s="3124"/>
      <c r="L182" s="121"/>
      <c r="M182" s="3333"/>
      <c r="N182" s="3112"/>
      <c r="O182" s="3124"/>
    </row>
    <row r="183" spans="1:17" ht="18" customHeight="1" x14ac:dyDescent="0.25">
      <c r="A183" s="6611" t="s">
        <v>2565</v>
      </c>
      <c r="B183" s="6611"/>
      <c r="C183" s="6611"/>
      <c r="D183" s="6611"/>
      <c r="E183" s="6611"/>
      <c r="F183" s="6611"/>
      <c r="G183" s="6611"/>
      <c r="H183" s="6611"/>
      <c r="I183" s="6611"/>
      <c r="J183" s="6611"/>
      <c r="K183" s="6611"/>
      <c r="L183" s="6611"/>
      <c r="M183" s="6611"/>
      <c r="N183" s="6611"/>
      <c r="O183" s="6611"/>
      <c r="P183" s="937"/>
      <c r="Q183" s="937"/>
    </row>
    <row r="184" spans="1:17" ht="15" customHeight="1" x14ac:dyDescent="0.25">
      <c r="A184" s="6493" t="s">
        <v>2566</v>
      </c>
      <c r="B184" s="6469"/>
      <c r="C184" s="6493" t="s">
        <v>24</v>
      </c>
      <c r="D184" s="6468"/>
      <c r="E184" s="6469"/>
      <c r="F184" s="6494" t="s">
        <v>30</v>
      </c>
      <c r="G184" s="6474"/>
      <c r="H184" s="6474"/>
      <c r="I184" s="6474"/>
      <c r="J184" s="6474"/>
      <c r="K184" s="6474"/>
      <c r="L184" s="6474"/>
      <c r="M184" s="6474"/>
      <c r="N184" s="6474"/>
      <c r="O184" s="6474"/>
      <c r="P184" s="6474"/>
      <c r="Q184" s="6535"/>
    </row>
    <row r="185" spans="1:17" ht="15" customHeight="1" x14ac:dyDescent="0.25">
      <c r="A185" s="6600"/>
      <c r="B185" s="6472"/>
      <c r="C185" s="6601"/>
      <c r="D185" s="6476"/>
      <c r="E185" s="6602"/>
      <c r="F185" s="6494" t="s">
        <v>20</v>
      </c>
      <c r="G185" s="6535"/>
      <c r="H185" s="6494" t="s">
        <v>70</v>
      </c>
      <c r="I185" s="6535"/>
      <c r="J185" s="6494" t="s">
        <v>71</v>
      </c>
      <c r="K185" s="6535"/>
      <c r="L185" s="6494" t="s">
        <v>3721</v>
      </c>
      <c r="M185" s="6535"/>
      <c r="N185" s="6494" t="s">
        <v>3722</v>
      </c>
      <c r="O185" s="6535"/>
      <c r="P185" s="6494" t="s">
        <v>2567</v>
      </c>
      <c r="Q185" s="6535"/>
    </row>
    <row r="186" spans="1:17" ht="15" customHeight="1" x14ac:dyDescent="0.25">
      <c r="A186" s="6601"/>
      <c r="B186" s="6602"/>
      <c r="C186" s="3313" t="s">
        <v>26</v>
      </c>
      <c r="D186" s="3464" t="s">
        <v>22</v>
      </c>
      <c r="E186" s="1781" t="s">
        <v>27</v>
      </c>
      <c r="F186" s="2020" t="s">
        <v>22</v>
      </c>
      <c r="G186" s="1781" t="s">
        <v>27</v>
      </c>
      <c r="H186" s="2020" t="s">
        <v>22</v>
      </c>
      <c r="I186" s="1781" t="s">
        <v>27</v>
      </c>
      <c r="J186" s="2020" t="s">
        <v>22</v>
      </c>
      <c r="K186" s="3080" t="s">
        <v>27</v>
      </c>
      <c r="L186" s="2020" t="s">
        <v>22</v>
      </c>
      <c r="M186" s="1781" t="s">
        <v>27</v>
      </c>
      <c r="N186" s="2020" t="s">
        <v>22</v>
      </c>
      <c r="O186" s="1781" t="s">
        <v>27</v>
      </c>
      <c r="P186" s="2020" t="s">
        <v>22</v>
      </c>
      <c r="Q186" s="3080" t="s">
        <v>27</v>
      </c>
    </row>
    <row r="187" spans="1:17" ht="15" customHeight="1" x14ac:dyDescent="0.25">
      <c r="A187" s="6556" t="s">
        <v>2568</v>
      </c>
      <c r="B187" s="6557"/>
      <c r="C187" s="3283">
        <f>SUM(D187+E187)</f>
        <v>0</v>
      </c>
      <c r="D187" s="915">
        <f t="shared" ref="D187:E189" si="44">SUM(F187+H187+J187+L187+N187+P187)</f>
        <v>0</v>
      </c>
      <c r="E187" s="3284">
        <f t="shared" si="44"/>
        <v>0</v>
      </c>
      <c r="F187" s="3216"/>
      <c r="G187" s="3335"/>
      <c r="H187" s="3216"/>
      <c r="I187" s="3217"/>
      <c r="J187" s="3349"/>
      <c r="K187" s="3217"/>
      <c r="L187" s="3349"/>
      <c r="M187" s="3335"/>
      <c r="N187" s="3216"/>
      <c r="O187" s="3217"/>
      <c r="P187" s="3349"/>
      <c r="Q187" s="3217"/>
    </row>
    <row r="188" spans="1:17" ht="15" customHeight="1" x14ac:dyDescent="0.25">
      <c r="A188" s="6616" t="s">
        <v>2569</v>
      </c>
      <c r="B188" s="6576"/>
      <c r="C188" s="3279">
        <f>SUM(D188+E188)</f>
        <v>0</v>
      </c>
      <c r="D188" s="918">
        <f t="shared" si="44"/>
        <v>0</v>
      </c>
      <c r="E188" s="1745">
        <f t="shared" si="44"/>
        <v>0</v>
      </c>
      <c r="F188" s="2491"/>
      <c r="G188" s="1520"/>
      <c r="H188" s="2491"/>
      <c r="I188" s="1429"/>
      <c r="J188" s="125"/>
      <c r="K188" s="1429"/>
      <c r="L188" s="125"/>
      <c r="M188" s="1520"/>
      <c r="N188" s="2491"/>
      <c r="O188" s="1429"/>
      <c r="P188" s="125"/>
      <c r="Q188" s="1429"/>
    </row>
    <row r="189" spans="1:17" ht="15" customHeight="1" x14ac:dyDescent="0.25">
      <c r="A189" s="6617" t="s">
        <v>2570</v>
      </c>
      <c r="B189" s="6618"/>
      <c r="C189" s="3476">
        <f>SUM(D189+E189)</f>
        <v>0</v>
      </c>
      <c r="D189" s="918">
        <f t="shared" si="44"/>
        <v>0</v>
      </c>
      <c r="E189" s="3280">
        <f t="shared" si="44"/>
        <v>0</v>
      </c>
      <c r="F189" s="620"/>
      <c r="G189" s="796"/>
      <c r="H189" s="620"/>
      <c r="I189" s="630"/>
      <c r="J189" s="3232"/>
      <c r="K189" s="630"/>
      <c r="L189" s="3232"/>
      <c r="M189" s="796"/>
      <c r="N189" s="620"/>
      <c r="O189" s="630"/>
      <c r="P189" s="3232"/>
      <c r="Q189" s="630"/>
    </row>
    <row r="190" spans="1:17" ht="15" customHeight="1" x14ac:dyDescent="0.25">
      <c r="A190" s="6494" t="s">
        <v>24</v>
      </c>
      <c r="B190" s="6535"/>
      <c r="C190" s="3270">
        <f t="shared" ref="C190:Q190" si="45">SUM(C187:C189)</f>
        <v>0</v>
      </c>
      <c r="D190" s="3477">
        <f t="shared" si="45"/>
        <v>0</v>
      </c>
      <c r="E190" s="3394">
        <f t="shared" si="45"/>
        <v>0</v>
      </c>
      <c r="F190" s="3270">
        <f t="shared" si="45"/>
        <v>0</v>
      </c>
      <c r="G190" s="3394">
        <f t="shared" si="45"/>
        <v>0</v>
      </c>
      <c r="H190" s="3270">
        <f t="shared" si="45"/>
        <v>0</v>
      </c>
      <c r="I190" s="3394">
        <f t="shared" si="45"/>
        <v>0</v>
      </c>
      <c r="J190" s="3270">
        <f t="shared" si="45"/>
        <v>0</v>
      </c>
      <c r="K190" s="3394">
        <f t="shared" si="45"/>
        <v>0</v>
      </c>
      <c r="L190" s="3270">
        <f t="shared" si="45"/>
        <v>0</v>
      </c>
      <c r="M190" s="3394">
        <f t="shared" si="45"/>
        <v>0</v>
      </c>
      <c r="N190" s="3270">
        <f t="shared" si="45"/>
        <v>0</v>
      </c>
      <c r="O190" s="3394">
        <f t="shared" si="45"/>
        <v>0</v>
      </c>
      <c r="P190" s="3270">
        <f t="shared" si="45"/>
        <v>0</v>
      </c>
      <c r="Q190" s="3278">
        <f t="shared" si="45"/>
        <v>0</v>
      </c>
    </row>
    <row r="191" spans="1:17" ht="15" customHeight="1" x14ac:dyDescent="0.25">
      <c r="A191" s="602" t="s">
        <v>2571</v>
      </c>
    </row>
    <row r="192" spans="1:17" ht="18" customHeight="1" x14ac:dyDescent="0.25">
      <c r="A192" s="122" t="s">
        <v>2572</v>
      </c>
      <c r="B192" s="3478"/>
      <c r="C192" s="3478"/>
      <c r="D192" s="3478"/>
      <c r="E192" s="3478"/>
      <c r="F192" s="937"/>
      <c r="G192" s="937"/>
      <c r="H192" s="937"/>
      <c r="I192" s="937"/>
      <c r="J192" s="937"/>
      <c r="K192" s="937"/>
      <c r="L192" s="937"/>
      <c r="M192" s="937"/>
      <c r="N192" s="937"/>
      <c r="O192" s="937"/>
      <c r="P192" s="937"/>
      <c r="Q192" s="937"/>
    </row>
    <row r="193" spans="1:94" ht="15" customHeight="1" x14ac:dyDescent="0.25">
      <c r="A193" s="6493" t="s">
        <v>2573</v>
      </c>
      <c r="B193" s="6469"/>
      <c r="C193" s="6619" t="s">
        <v>2525</v>
      </c>
      <c r="D193" s="6620"/>
      <c r="E193" s="6621"/>
      <c r="F193" s="6519" t="s">
        <v>30</v>
      </c>
      <c r="G193" s="6496"/>
      <c r="H193" s="6496"/>
      <c r="I193" s="6496"/>
      <c r="J193" s="6496"/>
      <c r="K193" s="6496"/>
      <c r="L193" s="6496"/>
      <c r="M193" s="6496"/>
      <c r="N193" s="6496"/>
      <c r="O193" s="6496"/>
      <c r="P193" s="6496"/>
      <c r="Q193" s="6496"/>
      <c r="R193" s="6496"/>
      <c r="S193" s="6496"/>
      <c r="T193" s="6496"/>
      <c r="U193" s="6593"/>
    </row>
    <row r="194" spans="1:94" ht="15" customHeight="1" x14ac:dyDescent="0.25">
      <c r="A194" s="6600"/>
      <c r="B194" s="6472"/>
      <c r="C194" s="6622"/>
      <c r="D194" s="6623"/>
      <c r="E194" s="6624"/>
      <c r="F194" s="6608" t="s">
        <v>36</v>
      </c>
      <c r="G194" s="6610"/>
      <c r="H194" s="6625" t="s">
        <v>37</v>
      </c>
      <c r="I194" s="6610"/>
      <c r="J194" s="6608" t="s">
        <v>38</v>
      </c>
      <c r="K194" s="6610"/>
      <c r="L194" s="6625" t="s">
        <v>4</v>
      </c>
      <c r="M194" s="6610"/>
      <c r="N194" s="6625" t="s">
        <v>5</v>
      </c>
      <c r="O194" s="6610"/>
      <c r="P194" s="6625" t="s">
        <v>399</v>
      </c>
      <c r="Q194" s="6610"/>
      <c r="R194" s="6625" t="s">
        <v>3527</v>
      </c>
      <c r="S194" s="6610"/>
      <c r="T194" s="6555" t="s">
        <v>2574</v>
      </c>
      <c r="U194" s="6544"/>
    </row>
    <row r="195" spans="1:94" ht="15" customHeight="1" x14ac:dyDescent="0.25">
      <c r="A195" s="6601"/>
      <c r="B195" s="6602"/>
      <c r="C195" s="4811" t="s">
        <v>26</v>
      </c>
      <c r="D195" s="4341" t="s">
        <v>22</v>
      </c>
      <c r="E195" s="3315" t="s">
        <v>27</v>
      </c>
      <c r="F195" s="3242" t="s">
        <v>22</v>
      </c>
      <c r="G195" s="3393" t="s">
        <v>27</v>
      </c>
      <c r="H195" s="3249" t="s">
        <v>22</v>
      </c>
      <c r="I195" s="3393" t="s">
        <v>27</v>
      </c>
      <c r="J195" s="3242" t="s">
        <v>22</v>
      </c>
      <c r="K195" s="3393" t="s">
        <v>27</v>
      </c>
      <c r="L195" s="3249" t="s">
        <v>22</v>
      </c>
      <c r="M195" s="3393" t="s">
        <v>27</v>
      </c>
      <c r="N195" s="3249" t="s">
        <v>22</v>
      </c>
      <c r="O195" s="3393" t="s">
        <v>27</v>
      </c>
      <c r="P195" s="3249" t="s">
        <v>22</v>
      </c>
      <c r="Q195" s="3393" t="s">
        <v>27</v>
      </c>
      <c r="R195" s="3249" t="s">
        <v>22</v>
      </c>
      <c r="S195" s="3393" t="s">
        <v>27</v>
      </c>
      <c r="T195" s="3249" t="s">
        <v>22</v>
      </c>
      <c r="U195" s="3393" t="s">
        <v>27</v>
      </c>
    </row>
    <row r="196" spans="1:94" ht="15" customHeight="1" x14ac:dyDescent="0.25">
      <c r="A196" s="6626" t="s">
        <v>2575</v>
      </c>
      <c r="B196" s="6627"/>
      <c r="C196" s="145">
        <f>SUM(D196+E196)</f>
        <v>0</v>
      </c>
      <c r="D196" s="963">
        <f t="shared" ref="D196:E198" si="46">SUM(F196+H196+J196+L196+N196+P196+R196+T196)</f>
        <v>0</v>
      </c>
      <c r="E196" s="245">
        <f t="shared" si="46"/>
        <v>0</v>
      </c>
      <c r="F196" s="106"/>
      <c r="G196" s="590"/>
      <c r="H196" s="591"/>
      <c r="I196" s="590"/>
      <c r="J196" s="106"/>
      <c r="K196" s="590"/>
      <c r="L196" s="591"/>
      <c r="M196" s="590"/>
      <c r="N196" s="591"/>
      <c r="O196" s="590"/>
      <c r="P196" s="591"/>
      <c r="Q196" s="590"/>
      <c r="R196" s="591"/>
      <c r="S196" s="590"/>
      <c r="T196" s="591"/>
      <c r="U196" s="590"/>
    </row>
    <row r="197" spans="1:94" ht="15" customHeight="1" x14ac:dyDescent="0.25">
      <c r="A197" s="6628" t="s">
        <v>2576</v>
      </c>
      <c r="B197" s="6614"/>
      <c r="C197" s="87">
        <f>SUM(D197+E197)</f>
        <v>0</v>
      </c>
      <c r="D197" s="4458">
        <f t="shared" si="46"/>
        <v>0</v>
      </c>
      <c r="E197" s="2665">
        <f t="shared" si="46"/>
        <v>0</v>
      </c>
      <c r="F197" s="90"/>
      <c r="G197" s="92"/>
      <c r="H197" s="129"/>
      <c r="I197" s="92"/>
      <c r="J197" s="90"/>
      <c r="K197" s="92"/>
      <c r="L197" s="129"/>
      <c r="M197" s="92"/>
      <c r="N197" s="129"/>
      <c r="O197" s="92"/>
      <c r="P197" s="129"/>
      <c r="Q197" s="92"/>
      <c r="R197" s="129"/>
      <c r="S197" s="92"/>
      <c r="T197" s="129"/>
      <c r="U197" s="92"/>
    </row>
    <row r="198" spans="1:94" ht="15" customHeight="1" x14ac:dyDescent="0.25">
      <c r="A198" s="6629" t="s">
        <v>2577</v>
      </c>
      <c r="B198" s="6630"/>
      <c r="C198" s="4810">
        <f>SUM(D198+E198)</f>
        <v>0</v>
      </c>
      <c r="D198" s="4459">
        <f t="shared" si="46"/>
        <v>0</v>
      </c>
      <c r="E198" s="4457">
        <f t="shared" si="46"/>
        <v>0</v>
      </c>
      <c r="F198" s="4308">
        <f t="shared" ref="F198:U198" si="47">SUM(F196:F197)</f>
        <v>0</v>
      </c>
      <c r="G198" s="4309">
        <f t="shared" si="47"/>
        <v>0</v>
      </c>
      <c r="H198" s="4269">
        <f t="shared" si="47"/>
        <v>0</v>
      </c>
      <c r="I198" s="4309">
        <f t="shared" si="47"/>
        <v>0</v>
      </c>
      <c r="J198" s="4308">
        <f t="shared" si="47"/>
        <v>0</v>
      </c>
      <c r="K198" s="4309">
        <f t="shared" si="47"/>
        <v>0</v>
      </c>
      <c r="L198" s="4269">
        <f t="shared" si="47"/>
        <v>0</v>
      </c>
      <c r="M198" s="4309">
        <f t="shared" si="47"/>
        <v>0</v>
      </c>
      <c r="N198" s="4269">
        <f t="shared" si="47"/>
        <v>0</v>
      </c>
      <c r="O198" s="4309">
        <f t="shared" si="47"/>
        <v>0</v>
      </c>
      <c r="P198" s="4269">
        <f t="shared" si="47"/>
        <v>0</v>
      </c>
      <c r="Q198" s="4309">
        <f t="shared" si="47"/>
        <v>0</v>
      </c>
      <c r="R198" s="4269">
        <f t="shared" si="47"/>
        <v>0</v>
      </c>
      <c r="S198" s="4309">
        <f t="shared" si="47"/>
        <v>0</v>
      </c>
      <c r="T198" s="4269">
        <f t="shared" si="47"/>
        <v>0</v>
      </c>
      <c r="U198" s="4309">
        <f t="shared" si="47"/>
        <v>0</v>
      </c>
    </row>
    <row r="199" spans="1:94" ht="18" customHeight="1" x14ac:dyDescent="0.25">
      <c r="A199" s="122" t="s">
        <v>2578</v>
      </c>
      <c r="B199" s="1069"/>
      <c r="C199" s="1069"/>
      <c r="D199" s="1069"/>
      <c r="E199" s="1069"/>
      <c r="F199" s="1069"/>
      <c r="G199" s="1069"/>
      <c r="H199" s="1069"/>
      <c r="I199" s="937"/>
      <c r="J199" s="937"/>
      <c r="K199" s="937"/>
      <c r="L199" s="937"/>
      <c r="M199" s="937"/>
      <c r="N199" s="937"/>
      <c r="O199" s="937"/>
      <c r="P199" s="937"/>
      <c r="Q199" s="937"/>
      <c r="R199" s="602"/>
      <c r="S199" s="602"/>
      <c r="T199" s="602"/>
      <c r="U199" s="602"/>
      <c r="V199" s="602"/>
      <c r="W199" s="602"/>
      <c r="X199" s="602"/>
      <c r="Y199" s="602"/>
      <c r="Z199" s="3288"/>
      <c r="AA199" s="3288"/>
      <c r="AB199" s="3288"/>
      <c r="AC199" s="3288"/>
      <c r="AD199" s="3288"/>
      <c r="AE199" s="3288"/>
      <c r="AF199" s="3288"/>
      <c r="AG199" s="3288"/>
      <c r="AH199" s="3288"/>
      <c r="AI199" s="3288"/>
    </row>
    <row r="200" spans="1:94" ht="15" customHeight="1" x14ac:dyDescent="0.25">
      <c r="A200" s="6631" t="s">
        <v>2579</v>
      </c>
      <c r="B200" s="6632"/>
      <c r="C200" s="6637" t="s">
        <v>24</v>
      </c>
      <c r="D200" s="6638"/>
      <c r="E200" s="6639"/>
      <c r="F200" s="6643" t="s">
        <v>30</v>
      </c>
      <c r="G200" s="6643"/>
      <c r="H200" s="6643"/>
      <c r="I200" s="6643"/>
      <c r="J200" s="6643"/>
      <c r="K200" s="6643"/>
      <c r="L200" s="6643"/>
      <c r="M200" s="6643"/>
      <c r="N200" s="6643"/>
      <c r="O200" s="6643"/>
      <c r="P200" s="6643"/>
      <c r="Q200" s="6643"/>
      <c r="R200" s="6643"/>
      <c r="S200" s="6643"/>
      <c r="T200" s="6643"/>
      <c r="U200" s="6643"/>
      <c r="V200" s="6643"/>
      <c r="W200" s="6643"/>
      <c r="X200" s="6643"/>
      <c r="Y200" s="6643"/>
      <c r="Z200" s="6643"/>
      <c r="AA200" s="6643"/>
      <c r="AB200" s="6643"/>
      <c r="AC200" s="6644"/>
      <c r="AD200" s="6646" t="s">
        <v>49</v>
      </c>
      <c r="AE200" s="6647"/>
      <c r="AF200" s="6650" t="s">
        <v>45</v>
      </c>
      <c r="AG200" s="6647"/>
      <c r="AH200" s="6652" t="s">
        <v>2</v>
      </c>
      <c r="AI200" s="6655" t="s">
        <v>3</v>
      </c>
    </row>
    <row r="201" spans="1:94" ht="15" customHeight="1" x14ac:dyDescent="0.25">
      <c r="A201" s="6633"/>
      <c r="B201" s="6634"/>
      <c r="C201" s="6640"/>
      <c r="D201" s="6641"/>
      <c r="E201" s="6642"/>
      <c r="F201" s="6519" t="s">
        <v>2580</v>
      </c>
      <c r="G201" s="6593"/>
      <c r="H201" s="6635" t="s">
        <v>683</v>
      </c>
      <c r="I201" s="6636"/>
      <c r="J201" s="6635" t="s">
        <v>684</v>
      </c>
      <c r="K201" s="6636"/>
      <c r="L201" s="6635" t="s">
        <v>2581</v>
      </c>
      <c r="M201" s="6636"/>
      <c r="N201" s="6635" t="s">
        <v>686</v>
      </c>
      <c r="O201" s="6636"/>
      <c r="P201" s="6635" t="s">
        <v>687</v>
      </c>
      <c r="Q201" s="6636"/>
      <c r="R201" s="6635" t="s">
        <v>688</v>
      </c>
      <c r="S201" s="6636"/>
      <c r="T201" s="6645" t="s">
        <v>689</v>
      </c>
      <c r="U201" s="6645"/>
      <c r="V201" s="6645" t="s">
        <v>2582</v>
      </c>
      <c r="W201" s="6645"/>
      <c r="X201" s="6645" t="s">
        <v>2583</v>
      </c>
      <c r="Y201" s="6645"/>
      <c r="Z201" s="6625" t="s">
        <v>554</v>
      </c>
      <c r="AA201" s="6610"/>
      <c r="AB201" s="6625" t="s">
        <v>568</v>
      </c>
      <c r="AC201" s="6658"/>
      <c r="AD201" s="6648"/>
      <c r="AE201" s="6649"/>
      <c r="AF201" s="6651"/>
      <c r="AG201" s="6649"/>
      <c r="AH201" s="6653"/>
      <c r="AI201" s="6656"/>
    </row>
    <row r="202" spans="1:94" ht="15" customHeight="1" x14ac:dyDescent="0.25">
      <c r="A202" s="6635"/>
      <c r="B202" s="6636"/>
      <c r="C202" s="4812" t="s">
        <v>2584</v>
      </c>
      <c r="D202" s="3479" t="s">
        <v>22</v>
      </c>
      <c r="E202" s="3480" t="s">
        <v>27</v>
      </c>
      <c r="F202" s="3481" t="s">
        <v>22</v>
      </c>
      <c r="G202" s="3482" t="s">
        <v>27</v>
      </c>
      <c r="H202" s="3481" t="s">
        <v>22</v>
      </c>
      <c r="I202" s="3482" t="s">
        <v>27</v>
      </c>
      <c r="J202" s="3481" t="s">
        <v>22</v>
      </c>
      <c r="K202" s="3482" t="s">
        <v>27</v>
      </c>
      <c r="L202" s="3481" t="s">
        <v>22</v>
      </c>
      <c r="M202" s="3482" t="s">
        <v>27</v>
      </c>
      <c r="N202" s="3481" t="s">
        <v>22</v>
      </c>
      <c r="O202" s="3482" t="s">
        <v>27</v>
      </c>
      <c r="P202" s="3481" t="s">
        <v>22</v>
      </c>
      <c r="Q202" s="3482" t="s">
        <v>27</v>
      </c>
      <c r="R202" s="3481" t="s">
        <v>22</v>
      </c>
      <c r="S202" s="3482" t="s">
        <v>27</v>
      </c>
      <c r="T202" s="3481" t="s">
        <v>22</v>
      </c>
      <c r="U202" s="3482" t="s">
        <v>27</v>
      </c>
      <c r="V202" s="3481" t="s">
        <v>22</v>
      </c>
      <c r="W202" s="3482" t="s">
        <v>27</v>
      </c>
      <c r="X202" s="3481" t="s">
        <v>22</v>
      </c>
      <c r="Y202" s="3482" t="s">
        <v>27</v>
      </c>
      <c r="Z202" s="3481" t="s">
        <v>22</v>
      </c>
      <c r="AA202" s="3482" t="s">
        <v>27</v>
      </c>
      <c r="AB202" s="3481" t="s">
        <v>22</v>
      </c>
      <c r="AC202" s="3483" t="s">
        <v>27</v>
      </c>
      <c r="AD202" s="3484" t="s">
        <v>22</v>
      </c>
      <c r="AE202" s="3482" t="s">
        <v>27</v>
      </c>
      <c r="AF202" s="3484" t="s">
        <v>22</v>
      </c>
      <c r="AG202" s="3482" t="s">
        <v>27</v>
      </c>
      <c r="AH202" s="6654"/>
      <c r="AI202" s="6657" t="s">
        <v>27</v>
      </c>
    </row>
    <row r="203" spans="1:94" ht="15" customHeight="1" x14ac:dyDescent="0.25">
      <c r="A203" s="6659" t="s">
        <v>2585</v>
      </c>
      <c r="B203" s="3485" t="s">
        <v>2533</v>
      </c>
      <c r="C203" s="4813">
        <f>SUM(D203+E203)</f>
        <v>0</v>
      </c>
      <c r="D203" s="3486">
        <f>SUM(F203+H203+J203+L203+N203+P203+R203+T203+V203+X203+Z203+AB203)</f>
        <v>0</v>
      </c>
      <c r="E203" s="3487">
        <f>SUM(G203+I203+K203+M203+O203+Q203+S203+U203+W203+Y203+AA203+AC203)</f>
        <v>0</v>
      </c>
      <c r="F203" s="3488"/>
      <c r="G203" s="3489"/>
      <c r="H203" s="3488"/>
      <c r="I203" s="3489"/>
      <c r="J203" s="3488"/>
      <c r="K203" s="3489"/>
      <c r="L203" s="3488"/>
      <c r="M203" s="3489"/>
      <c r="N203" s="3488"/>
      <c r="O203" s="3489"/>
      <c r="P203" s="3488"/>
      <c r="Q203" s="3490"/>
      <c r="R203" s="3488"/>
      <c r="S203" s="3490"/>
      <c r="T203" s="3488"/>
      <c r="U203" s="3489"/>
      <c r="V203" s="3488"/>
      <c r="W203" s="3489"/>
      <c r="X203" s="3488"/>
      <c r="Y203" s="3490"/>
      <c r="Z203" s="3488"/>
      <c r="AA203" s="3490"/>
      <c r="AB203" s="3488"/>
      <c r="AC203" s="3491"/>
      <c r="AD203" s="3489"/>
      <c r="AE203" s="3490"/>
      <c r="AF203" s="3489"/>
      <c r="AG203" s="3490"/>
      <c r="AH203" s="3492"/>
      <c r="AI203" s="3490"/>
      <c r="AJ203" s="1755" t="str">
        <f>$CA203&amp;CB203&amp;CC203&amp;CE203&amp;CF203&amp;CD203</f>
        <v/>
      </c>
      <c r="CA203" s="2873" t="str">
        <f>IF(AND($D203&lt;&gt;0,AD203=""),"* No olvide ingresar la columna "&amp;AD$200&amp;""&amp;"  Hombres (Digite CERO si no tiene).  ",IF(AD203&gt;$D203,"* El Número de Niños, Niñas, Adolescentes y Jóvenes SENAME Hombres no puede superar el Total Hombres. ",""))</f>
        <v/>
      </c>
      <c r="CB203" s="2873" t="str">
        <f>IF(AND($E203&lt;&gt;0,AE203=""),"* No olvide ingresar la columna Niños, Niñas, Adolescentes y Jóvenes SENAME  Mujeres (Digite CERO si no tiene).  ",IF(AE203&gt;$E203,"* El Número de Niños, Niñas, Adolescentes y Jóvenes SENAME Mujeres no puede superar el Total Mujeres ",""))</f>
        <v/>
      </c>
      <c r="CC203" s="2873" t="str">
        <f>IF(AND($D203&lt;&gt;0,AF203=""),"* No olvide ingresar la columna "&amp;AF$200&amp;""&amp;" Hombres (Digite CERO si no tiene).  ",IF(AF203&gt;$D203,"* El Número de Niños, Niñas, Adolescentes y Jóvenes Mejor Niñez Hombres no puede superar el Total Hombres. ",""))</f>
        <v/>
      </c>
      <c r="CD203" s="2873" t="str">
        <f>IF(AND($E203&lt;&gt;0,AG203=""),"* No olvide ingresar la columna Niños, Niñas, Adolescentes y Jóvenes Mejor niñez Mujeres (Digite CERO si no tiene).  ",IF(AG203&gt;$E203,"* El Número de Niños, Niñas, Adolescentes y Jóvenes Mejor Niñez Mujeres no puede superar el Total Mujeres. ",""))</f>
        <v/>
      </c>
      <c r="CE203" s="2873" t="str">
        <f>IF(AND($C203&lt;&gt;0,AH203=""),"* No olvide ingresar la columna "&amp;AH$200&amp;""&amp;" (Digite CERO si no tiene).  ",IF(AH203&gt;$C203,"* El Número de Pueblos Originarios no puede superar el Total. ",""))</f>
        <v/>
      </c>
      <c r="CF203" s="2873" t="str">
        <f>IF(AND($C203&lt;&gt;0,AI203=""),"* No olvide ingresar la columna "&amp;AI$200&amp;""&amp;" (Digite CERO si no tiene).  ",IF(AI203&gt;$C203,"* El Número de Migrantes no puede superar el Total. ",""))</f>
        <v/>
      </c>
      <c r="CK203" s="1793">
        <f>IF(AND($D203&lt;&gt;0,AD203=""),1,IF(AD203&gt;$D203,1,0))</f>
        <v>0</v>
      </c>
      <c r="CL203" s="1793">
        <f>IF(AND($E203&lt;&gt;0,AE203=""),1,IF(AE203&gt;$E203,1,0))</f>
        <v>0</v>
      </c>
      <c r="CM203" s="1793">
        <f>IF(AND($D203&lt;&gt;0,AF203=""),1,IF(AF203&gt;$D203,1,0))</f>
        <v>0</v>
      </c>
      <c r="CN203" s="1793">
        <f>IF(AND($E203&lt;&gt;0,AG203=""),1,IF(AG203&gt;$E203,1,0))</f>
        <v>0</v>
      </c>
      <c r="CO203" s="1793">
        <f>IF(AND($C203&lt;&gt;0,AH203=""),1,IF(AH203&gt;$C203,1,0))</f>
        <v>0</v>
      </c>
      <c r="CP203" s="1793">
        <f>IF(AND($C203&lt;&gt;0,AI203=""),1,IF(AI203&gt;$C203,1,0))</f>
        <v>0</v>
      </c>
    </row>
    <row r="204" spans="1:94" ht="15" customHeight="1" x14ac:dyDescent="0.25">
      <c r="A204" s="6660"/>
      <c r="B204" s="3493" t="s">
        <v>2586</v>
      </c>
      <c r="C204" s="4814">
        <f>SUM(D204+E204)</f>
        <v>0</v>
      </c>
      <c r="D204" s="3494">
        <f>SUM(F204+H204+J204+L204+N204+P204+R204+T204+V204+X204+Z204+AB204)</f>
        <v>0</v>
      </c>
      <c r="E204" s="3495">
        <f>SUM(G204+I204+K204+M204+O204+Q204+S204+U204+W204+Y204+AA204+AC204)</f>
        <v>0</v>
      </c>
      <c r="F204" s="3496"/>
      <c r="G204" s="3497"/>
      <c r="H204" s="3496"/>
      <c r="I204" s="3497"/>
      <c r="J204" s="3496"/>
      <c r="K204" s="3497"/>
      <c r="L204" s="3496"/>
      <c r="M204" s="3497"/>
      <c r="N204" s="3496"/>
      <c r="O204" s="3497"/>
      <c r="P204" s="3496"/>
      <c r="Q204" s="3498"/>
      <c r="R204" s="3496"/>
      <c r="S204" s="3498"/>
      <c r="T204" s="3496"/>
      <c r="U204" s="3497"/>
      <c r="V204" s="3496"/>
      <c r="W204" s="3497"/>
      <c r="X204" s="3496"/>
      <c r="Y204" s="3498"/>
      <c r="Z204" s="3496"/>
      <c r="AA204" s="3498"/>
      <c r="AB204" s="3496"/>
      <c r="AC204" s="3499"/>
      <c r="AD204" s="3500"/>
      <c r="AE204" s="3498"/>
      <c r="AF204" s="3500"/>
      <c r="AG204" s="3498"/>
      <c r="AH204" s="3501"/>
      <c r="AI204" s="3498"/>
      <c r="AJ204" s="1755" t="str">
        <f>$CA204&amp;CB204&amp;CC204&amp;CE204&amp;CF204&amp;CD204</f>
        <v/>
      </c>
      <c r="CA204" s="2873" t="str">
        <f>IF(AND($D204&lt;&gt;0,AD204=""),"* No olvide ingresar la columna "&amp;AD$200&amp;""&amp;"  Hombres (Digite CERO si no tiene).  ",IF(AD204&gt;$D204,"* El Número de Niños, Niñas, Adolescentes y Jóvenes SENAME Hombres no puede superar el Total Hombres. ",""))</f>
        <v/>
      </c>
      <c r="CB204" s="2873" t="str">
        <f>IF(AND($E204&lt;&gt;0,AE204=""),"* No olvide ingresar la columna Niños, Niñas, Adolescentes y Jóvenes SENAME  Mujeres (Digite CERO si no tiene).  ",IF(AE204&gt;$E204,"* El Número de Niños, Niñas, Adolescentes y Jóvenes SENAME Mujeres no puede superar el Total Mujeres ",""))</f>
        <v/>
      </c>
      <c r="CC204" s="2873" t="str">
        <f>IF(AND($D204&lt;&gt;0,AF204=""),"* No olvide ingresar la columna "&amp;AF$200&amp;""&amp;" Hombres (Digite CERO si no tiene).  ",IF(AF204&gt;$D204,"* El Número de Niños, Niñas, Adolescentes y Jóvenes Mejor Niñez Hombres no puede superar el Total Hombres. ",""))</f>
        <v/>
      </c>
      <c r="CD204" s="2873" t="str">
        <f>IF(AND($E204&lt;&gt;0,AG204=""),"* No olvide ingresar la columna Niños, Niñas, Adolescentes y Jóvenes Mejor niñez Mujeres (Digite CERO si no tiene).  ",IF(AG204&gt;$E204,"* El Número de Niños, Niñas, Adolescentes y Jóvenes Mejor Niñez Mujeres no puede superar el Total Mujeres. ",""))</f>
        <v/>
      </c>
      <c r="CE204" s="2873" t="str">
        <f>IF(AND($C204&lt;&gt;0,AH204=""),"* No olvide ingresar la columna "&amp;AH$200&amp;""&amp;" (Digite CERO si no tiene).  ",IF(AH204&gt;$C204,"* El Número de Pueblos Originarios no puede superar el Total. ",""))</f>
        <v/>
      </c>
      <c r="CF204" s="2873" t="str">
        <f>IF(AND($C204&lt;&gt;0,AI204=""),"* No olvide ingresar la columna "&amp;AI$200&amp;""&amp;" (Digite CERO si no tiene).  ",IF(AI204&gt;$C204,"* El Número de Migrantes no puede superar el Total. ",""))</f>
        <v/>
      </c>
      <c r="CK204" s="1793">
        <f>IF(AND($D204&lt;&gt;0,AD204=""),1,IF(AD204&gt;$D204,1,0))</f>
        <v>0</v>
      </c>
      <c r="CL204" s="1793">
        <f>IF(AND($E204&lt;&gt;0,AE204=""),1,IF(AE204&gt;$E204,1,0))</f>
        <v>0</v>
      </c>
      <c r="CM204" s="1793">
        <f>IF(AND($D204&lt;&gt;0,AF204=""),1,IF(AF204&gt;$D204,1,0))</f>
        <v>0</v>
      </c>
      <c r="CN204" s="1793">
        <f>IF(AND($E204&lt;&gt;0,AG204=""),1,IF(AG204&gt;$E204,1,0))</f>
        <v>0</v>
      </c>
      <c r="CO204" s="1793">
        <f>IF(AND($C204&lt;&gt;0,AH204=""),1,IF(AH204&gt;$C204,1,0))</f>
        <v>0</v>
      </c>
      <c r="CP204" s="1793">
        <f>IF(AND($C204&lt;&gt;0,AI204=""),1,IF(AI204&gt;$C204,1,0))</f>
        <v>0</v>
      </c>
    </row>
    <row r="205" spans="1:94" ht="15" customHeight="1" x14ac:dyDescent="0.25">
      <c r="A205" s="6661" t="s">
        <v>24</v>
      </c>
      <c r="B205" s="6662"/>
      <c r="C205" s="4815">
        <f>SUM(D205+E205)</f>
        <v>0</v>
      </c>
      <c r="D205" s="3503">
        <f t="shared" ref="D205:AI205" si="48">SUM(D203+D204)</f>
        <v>0</v>
      </c>
      <c r="E205" s="3504">
        <f t="shared" si="48"/>
        <v>0</v>
      </c>
      <c r="F205" s="3505">
        <f t="shared" si="48"/>
        <v>0</v>
      </c>
      <c r="G205" s="3506">
        <f t="shared" si="48"/>
        <v>0</v>
      </c>
      <c r="H205" s="3505">
        <f t="shared" si="48"/>
        <v>0</v>
      </c>
      <c r="I205" s="3506">
        <f t="shared" si="48"/>
        <v>0</v>
      </c>
      <c r="J205" s="3505">
        <f t="shared" si="48"/>
        <v>0</v>
      </c>
      <c r="K205" s="3506">
        <f t="shared" si="48"/>
        <v>0</v>
      </c>
      <c r="L205" s="3505">
        <f t="shared" si="48"/>
        <v>0</v>
      </c>
      <c r="M205" s="3506">
        <f t="shared" si="48"/>
        <v>0</v>
      </c>
      <c r="N205" s="3505">
        <f t="shared" si="48"/>
        <v>0</v>
      </c>
      <c r="O205" s="3506">
        <f t="shared" si="48"/>
        <v>0</v>
      </c>
      <c r="P205" s="3505">
        <f t="shared" si="48"/>
        <v>0</v>
      </c>
      <c r="Q205" s="3506">
        <f t="shared" si="48"/>
        <v>0</v>
      </c>
      <c r="R205" s="3505">
        <f t="shared" si="48"/>
        <v>0</v>
      </c>
      <c r="S205" s="3506">
        <f t="shared" si="48"/>
        <v>0</v>
      </c>
      <c r="T205" s="3505">
        <f t="shared" si="48"/>
        <v>0</v>
      </c>
      <c r="U205" s="3506">
        <f t="shared" si="48"/>
        <v>0</v>
      </c>
      <c r="V205" s="3505">
        <f t="shared" si="48"/>
        <v>0</v>
      </c>
      <c r="W205" s="3506">
        <f t="shared" si="48"/>
        <v>0</v>
      </c>
      <c r="X205" s="3505">
        <f t="shared" si="48"/>
        <v>0</v>
      </c>
      <c r="Y205" s="3506">
        <f t="shared" si="48"/>
        <v>0</v>
      </c>
      <c r="Z205" s="3505">
        <f t="shared" si="48"/>
        <v>0</v>
      </c>
      <c r="AA205" s="3506">
        <f t="shared" si="48"/>
        <v>0</v>
      </c>
      <c r="AB205" s="3505">
        <f t="shared" si="48"/>
        <v>0</v>
      </c>
      <c r="AC205" s="3507">
        <f t="shared" si="48"/>
        <v>0</v>
      </c>
      <c r="AD205" s="3503">
        <f t="shared" si="48"/>
        <v>0</v>
      </c>
      <c r="AE205" s="3506">
        <f t="shared" si="48"/>
        <v>0</v>
      </c>
      <c r="AF205" s="3503">
        <f t="shared" si="48"/>
        <v>0</v>
      </c>
      <c r="AG205" s="3506">
        <f t="shared" si="48"/>
        <v>0</v>
      </c>
      <c r="AH205" s="3502">
        <f t="shared" si="48"/>
        <v>0</v>
      </c>
      <c r="AI205" s="3504">
        <f t="shared" si="48"/>
        <v>0</v>
      </c>
    </row>
    <row r="206" spans="1:94" ht="18" customHeight="1" x14ac:dyDescent="0.25">
      <c r="A206" s="122" t="s">
        <v>2587</v>
      </c>
      <c r="B206" s="1069"/>
      <c r="C206" s="1069"/>
      <c r="D206" s="1069"/>
      <c r="E206" s="1069"/>
      <c r="F206" s="1069"/>
      <c r="G206" s="602"/>
      <c r="H206" s="602"/>
      <c r="I206" s="3463"/>
      <c r="J206" s="3463"/>
      <c r="K206" s="3463"/>
      <c r="L206" s="3463"/>
      <c r="M206" s="3463"/>
      <c r="N206" s="3463"/>
      <c r="O206" s="3463"/>
      <c r="P206" s="3463"/>
      <c r="Q206" s="3463"/>
      <c r="R206" s="602"/>
      <c r="S206" s="602"/>
      <c r="T206" s="602"/>
      <c r="U206" s="602"/>
      <c r="V206" s="602"/>
      <c r="W206" s="602"/>
    </row>
    <row r="207" spans="1:94" ht="15" customHeight="1" x14ac:dyDescent="0.25">
      <c r="A207" s="6631" t="s">
        <v>2588</v>
      </c>
      <c r="B207" s="6663"/>
      <c r="C207" s="6666" t="s">
        <v>24</v>
      </c>
      <c r="D207" s="6638"/>
      <c r="E207" s="6639"/>
      <c r="F207" s="6668" t="s">
        <v>30</v>
      </c>
      <c r="G207" s="6669"/>
      <c r="H207" s="6669"/>
      <c r="I207" s="6669"/>
      <c r="J207" s="6669"/>
      <c r="K207" s="6669"/>
      <c r="L207" s="6669"/>
      <c r="M207" s="6669"/>
      <c r="N207" s="6669"/>
      <c r="O207" s="6670"/>
      <c r="P207" s="6671" t="s">
        <v>2589</v>
      </c>
      <c r="Q207" s="6670"/>
      <c r="R207" s="6670"/>
      <c r="S207" s="6672" t="s">
        <v>2</v>
      </c>
      <c r="T207" s="6674" t="s">
        <v>3</v>
      </c>
    </row>
    <row r="208" spans="1:94" ht="15" customHeight="1" x14ac:dyDescent="0.25">
      <c r="A208" s="6633"/>
      <c r="B208" s="6634"/>
      <c r="C208" s="6667"/>
      <c r="D208" s="6641"/>
      <c r="E208" s="6642"/>
      <c r="F208" s="6550" t="s">
        <v>2452</v>
      </c>
      <c r="G208" s="6550"/>
      <c r="H208" s="6550" t="s">
        <v>2453</v>
      </c>
      <c r="I208" s="6550"/>
      <c r="J208" s="6550" t="s">
        <v>2538</v>
      </c>
      <c r="K208" s="6550"/>
      <c r="L208" s="6550" t="s">
        <v>2590</v>
      </c>
      <c r="M208" s="6550"/>
      <c r="N208" s="6550" t="s">
        <v>3723</v>
      </c>
      <c r="O208" s="6680"/>
      <c r="P208" s="6681" t="s">
        <v>2591</v>
      </c>
      <c r="Q208" s="6677" t="s">
        <v>2592</v>
      </c>
      <c r="R208" s="6679" t="s">
        <v>2593</v>
      </c>
      <c r="S208" s="6673"/>
      <c r="T208" s="6675"/>
    </row>
    <row r="209" spans="1:93" ht="18.75" customHeight="1" x14ac:dyDescent="0.25">
      <c r="A209" s="6664"/>
      <c r="B209" s="6665"/>
      <c r="C209" s="4826" t="s">
        <v>2584</v>
      </c>
      <c r="D209" s="3479" t="s">
        <v>22</v>
      </c>
      <c r="E209" s="3480" t="s">
        <v>27</v>
      </c>
      <c r="F209" s="3481" t="s">
        <v>22</v>
      </c>
      <c r="G209" s="3482" t="s">
        <v>27</v>
      </c>
      <c r="H209" s="3481" t="s">
        <v>22</v>
      </c>
      <c r="I209" s="3482" t="s">
        <v>27</v>
      </c>
      <c r="J209" s="3481" t="s">
        <v>22</v>
      </c>
      <c r="K209" s="3482" t="s">
        <v>27</v>
      </c>
      <c r="L209" s="3481" t="s">
        <v>22</v>
      </c>
      <c r="M209" s="3482" t="s">
        <v>27</v>
      </c>
      <c r="N209" s="3481" t="s">
        <v>22</v>
      </c>
      <c r="O209" s="4436" t="s">
        <v>27</v>
      </c>
      <c r="P209" s="6682"/>
      <c r="Q209" s="6678"/>
      <c r="R209" s="6664"/>
      <c r="S209" s="6648"/>
      <c r="T209" s="6676" t="s">
        <v>27</v>
      </c>
    </row>
    <row r="210" spans="1:93" ht="21.75" customHeight="1" x14ac:dyDescent="0.25">
      <c r="A210" s="6683" t="s">
        <v>2594</v>
      </c>
      <c r="B210" s="6684"/>
      <c r="C210" s="4827">
        <f>SUM(D210+E210)</f>
        <v>0</v>
      </c>
      <c r="D210" s="4820">
        <f t="shared" ref="D210:E212" si="49">SUM(F210+H210+J210+L210+N210)</f>
        <v>0</v>
      </c>
      <c r="E210" s="4821">
        <f t="shared" si="49"/>
        <v>0</v>
      </c>
      <c r="F210" s="3488"/>
      <c r="G210" s="3490"/>
      <c r="H210" s="3488"/>
      <c r="I210" s="3490"/>
      <c r="J210" s="3488"/>
      <c r="K210" s="3490"/>
      <c r="L210" s="3488"/>
      <c r="M210" s="3490"/>
      <c r="N210" s="3488"/>
      <c r="O210" s="4437"/>
      <c r="P210" s="4440"/>
      <c r="Q210" s="3508"/>
      <c r="R210" s="4444"/>
      <c r="S210" s="4440"/>
      <c r="T210" s="4441"/>
      <c r="U210" s="3324" t="str">
        <f>$CA210&amp;CB210</f>
        <v/>
      </c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3325"/>
      <c r="BA210" s="3325"/>
      <c r="BB210" s="3325"/>
      <c r="BC210" s="3325"/>
      <c r="BD210" s="3325"/>
      <c r="BE210" s="3325"/>
      <c r="BF210" s="3325"/>
      <c r="BG210" s="3325"/>
      <c r="BH210" s="3325"/>
      <c r="BI210" s="3325"/>
      <c r="BJ210" s="3325"/>
      <c r="BK210" s="3325"/>
      <c r="BL210" s="3325"/>
      <c r="BM210" s="3325"/>
      <c r="BN210" s="3325"/>
      <c r="BO210" s="3325"/>
      <c r="BP210" s="3325"/>
      <c r="BQ210" s="3325"/>
      <c r="BR210" s="3325"/>
      <c r="BS210" s="3325"/>
      <c r="BT210" s="3325"/>
      <c r="BU210" s="3325"/>
      <c r="BV210" s="3325"/>
      <c r="BW210" s="3325"/>
      <c r="BX210" s="3325"/>
      <c r="BY210" s="3325"/>
      <c r="BZ210" s="3325"/>
      <c r="CA210" s="3326" t="str">
        <f>IF(AND($C210&lt;&gt;0,S210=""),"* No olvide ingresar la columna "&amp;S$207&amp;""&amp;" (Digite CERO si no tiene). ",IF(S210&gt;$C210,"* El Número de Pueblos Originarios no puede superar el Total. ",""))</f>
        <v/>
      </c>
      <c r="CB210" s="3326" t="str">
        <f>IF(AND($C210&lt;&gt;0,T210=""),"* No olvide ingresar la columna "&amp;T$207&amp;""&amp;" (Digite CERO si no tiene). ",IF(T210&gt;$C210,"* El Número de Migrantes no puede superar el Total. ",""))</f>
        <v/>
      </c>
      <c r="CD210" s="3325"/>
      <c r="CE210" s="3325"/>
      <c r="CF210" s="3327"/>
      <c r="CG210" s="3327"/>
      <c r="CH210" s="3327"/>
      <c r="CI210" s="3327"/>
      <c r="CJ210" s="3327"/>
      <c r="CK210" s="1792">
        <f>IF(AND($C210&lt;&gt;0,S210=""),1,IF(S210&gt;$C210,1,0))</f>
        <v>0</v>
      </c>
      <c r="CL210" s="1792">
        <f>IF(AND($C210&lt;&gt;0,T210=""),1,IF(T210&gt;$C210,1,0))</f>
        <v>0</v>
      </c>
    </row>
    <row r="211" spans="1:93" ht="15" customHeight="1" x14ac:dyDescent="0.25">
      <c r="A211" s="6685" t="s">
        <v>2595</v>
      </c>
      <c r="B211" s="6686"/>
      <c r="C211" s="4828">
        <f>SUM(D211+E211)</f>
        <v>0</v>
      </c>
      <c r="D211" s="4822">
        <f t="shared" si="49"/>
        <v>0</v>
      </c>
      <c r="E211" s="4823">
        <f t="shared" si="49"/>
        <v>0</v>
      </c>
      <c r="F211" s="3509"/>
      <c r="G211" s="3510"/>
      <c r="H211" s="3509"/>
      <c r="I211" s="3510"/>
      <c r="J211" s="3509"/>
      <c r="K211" s="3510"/>
      <c r="L211" s="3509"/>
      <c r="M211" s="3510"/>
      <c r="N211" s="3509"/>
      <c r="O211" s="4438"/>
      <c r="P211" s="4442"/>
      <c r="Q211" s="3511"/>
      <c r="R211" s="4445"/>
      <c r="S211" s="4442"/>
      <c r="T211" s="3512"/>
      <c r="U211" s="3324" t="str">
        <f t="shared" ref="U211:U212" si="50">$CA211&amp;CB211</f>
        <v/>
      </c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3325"/>
      <c r="BA211" s="3325"/>
      <c r="BB211" s="3325"/>
      <c r="BC211" s="3325"/>
      <c r="BD211" s="3325"/>
      <c r="BE211" s="3325"/>
      <c r="BF211" s="3325"/>
      <c r="BG211" s="3325"/>
      <c r="BH211" s="3325"/>
      <c r="BI211" s="3325"/>
      <c r="BJ211" s="3325"/>
      <c r="BK211" s="3325"/>
      <c r="BL211" s="3325"/>
      <c r="BM211" s="3325"/>
      <c r="BN211" s="3325"/>
      <c r="BO211" s="3325"/>
      <c r="BP211" s="3325"/>
      <c r="BQ211" s="3325"/>
      <c r="BR211" s="3325"/>
      <c r="BS211" s="3325"/>
      <c r="BT211" s="3325"/>
      <c r="BU211" s="3325"/>
      <c r="BV211" s="3325"/>
      <c r="BW211" s="3325"/>
      <c r="BX211" s="3325"/>
      <c r="BY211" s="3325"/>
      <c r="BZ211" s="3325"/>
      <c r="CA211" s="3326" t="str">
        <f t="shared" ref="CA211:CA212" si="51">IF(AND($C211&lt;&gt;0,S211=""),"* No olvide ingresar la columna "&amp;S$207&amp;""&amp;" (Digite CERO si no tiene). ",IF(S211&gt;$C211,"* El Número de Pueblos Originarios no puede superar el Total. ",""))</f>
        <v/>
      </c>
      <c r="CB211" s="3326" t="str">
        <f t="shared" ref="CB211:CB212" si="52">IF(AND($C211&lt;&gt;0,T211=""),"* No olvide ingresar la columna "&amp;T$207&amp;""&amp;" (Digite CERO si no tiene). ",IF(T211&gt;$C211,"* El Número de Migrantes no puede superar el Total. ",""))</f>
        <v/>
      </c>
      <c r="CD211" s="3325"/>
      <c r="CE211" s="3325"/>
      <c r="CF211" s="3327"/>
      <c r="CG211" s="3327"/>
      <c r="CH211" s="3327"/>
      <c r="CI211" s="3327"/>
      <c r="CJ211" s="3327"/>
      <c r="CK211" s="1792">
        <f t="shared" ref="CK211:CL212" si="53">IF(AND($C211&lt;&gt;0,S211=""),1,IF(S211&gt;$C211,1,0))</f>
        <v>0</v>
      </c>
      <c r="CL211" s="1792">
        <f t="shared" si="53"/>
        <v>0</v>
      </c>
    </row>
    <row r="212" spans="1:93" ht="15" customHeight="1" x14ac:dyDescent="0.25">
      <c r="A212" s="6687" t="s">
        <v>2596</v>
      </c>
      <c r="B212" s="6688"/>
      <c r="C212" s="4829">
        <f>SUM(D212+E212)</f>
        <v>0</v>
      </c>
      <c r="D212" s="4824">
        <f t="shared" si="49"/>
        <v>0</v>
      </c>
      <c r="E212" s="4825">
        <f t="shared" si="49"/>
        <v>0</v>
      </c>
      <c r="F212" s="3496"/>
      <c r="G212" s="3498"/>
      <c r="H212" s="3496"/>
      <c r="I212" s="3498"/>
      <c r="J212" s="3496"/>
      <c r="K212" s="3498"/>
      <c r="L212" s="3496"/>
      <c r="M212" s="3498"/>
      <c r="N212" s="3496"/>
      <c r="O212" s="4439"/>
      <c r="P212" s="4443"/>
      <c r="Q212" s="3513"/>
      <c r="R212" s="4446"/>
      <c r="S212" s="4443"/>
      <c r="T212" s="3514"/>
      <c r="U212" s="3324" t="str">
        <f t="shared" si="50"/>
        <v/>
      </c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3325"/>
      <c r="BA212" s="3325"/>
      <c r="BB212" s="3325"/>
      <c r="BC212" s="3325"/>
      <c r="BD212" s="3325"/>
      <c r="BE212" s="3325"/>
      <c r="BF212" s="3325"/>
      <c r="BG212" s="3325"/>
      <c r="BH212" s="3325"/>
      <c r="BI212" s="3325"/>
      <c r="BJ212" s="3325"/>
      <c r="BK212" s="3325"/>
      <c r="BL212" s="3325"/>
      <c r="BM212" s="3325"/>
      <c r="BN212" s="3325"/>
      <c r="BO212" s="3325"/>
      <c r="BP212" s="3325"/>
      <c r="BQ212" s="3325"/>
      <c r="BR212" s="3325"/>
      <c r="BS212" s="3325"/>
      <c r="BT212" s="3325"/>
      <c r="BU212" s="3325"/>
      <c r="BV212" s="3325"/>
      <c r="BW212" s="3325"/>
      <c r="BX212" s="3325"/>
      <c r="BY212" s="3325"/>
      <c r="BZ212" s="3325"/>
      <c r="CA212" s="3326" t="str">
        <f t="shared" si="51"/>
        <v/>
      </c>
      <c r="CB212" s="3326" t="str">
        <f t="shared" si="52"/>
        <v/>
      </c>
      <c r="CD212" s="3325"/>
      <c r="CE212" s="3325"/>
      <c r="CF212" s="3327"/>
      <c r="CG212" s="3327"/>
      <c r="CH212" s="3327"/>
      <c r="CI212" s="3327"/>
      <c r="CJ212" s="3327"/>
      <c r="CK212" s="1792">
        <f t="shared" si="53"/>
        <v>0</v>
      </c>
      <c r="CL212" s="1792">
        <f>IF(AND($C212&lt;&gt;0,T212=""),1,IF(T212&gt;$C212,1,0))</f>
        <v>0</v>
      </c>
    </row>
    <row r="213" spans="1:93" ht="18" customHeight="1" x14ac:dyDescent="0.25">
      <c r="A213" s="122" t="s">
        <v>2597</v>
      </c>
      <c r="B213" s="1069"/>
      <c r="C213" s="1069"/>
      <c r="D213" s="602"/>
      <c r="E213" s="602"/>
      <c r="F213" s="602"/>
    </row>
    <row r="214" spans="1:93" ht="15" customHeight="1" x14ac:dyDescent="0.25">
      <c r="A214" s="6631" t="s">
        <v>2588</v>
      </c>
      <c r="B214" s="6632"/>
      <c r="C214" s="6494" t="s">
        <v>2598</v>
      </c>
      <c r="D214" s="6495"/>
      <c r="E214" s="6689" t="s">
        <v>2</v>
      </c>
      <c r="F214" s="6691" t="s">
        <v>3</v>
      </c>
    </row>
    <row r="215" spans="1:93" ht="15" customHeight="1" x14ac:dyDescent="0.25">
      <c r="A215" s="6635"/>
      <c r="B215" s="6636"/>
      <c r="C215" s="3481" t="s">
        <v>22</v>
      </c>
      <c r="D215" s="3483" t="s">
        <v>27</v>
      </c>
      <c r="E215" s="6690"/>
      <c r="F215" s="6692"/>
    </row>
    <row r="216" spans="1:93" ht="15" customHeight="1" x14ac:dyDescent="0.25">
      <c r="A216" s="6699" t="s">
        <v>24</v>
      </c>
      <c r="B216" s="6700"/>
      <c r="C216" s="4921">
        <f>SUM(C217:C219)</f>
        <v>0</v>
      </c>
      <c r="D216" s="4920">
        <f>SUM(D217:D219)</f>
        <v>0</v>
      </c>
      <c r="E216" s="5953">
        <f>SUM(E217:E219)</f>
        <v>0</v>
      </c>
      <c r="F216" s="5957">
        <f>SUM(F217:F219)</f>
        <v>0</v>
      </c>
    </row>
    <row r="217" spans="1:93" ht="15" customHeight="1" x14ac:dyDescent="0.25">
      <c r="A217" s="6695" t="s">
        <v>2599</v>
      </c>
      <c r="B217" s="6696"/>
      <c r="C217" s="3488"/>
      <c r="D217" s="3491"/>
      <c r="E217" s="5954"/>
      <c r="F217" s="5958"/>
      <c r="G217" s="3324" t="str">
        <f>CA217&amp;CB217&amp;CC217&amp;CD217</f>
        <v/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3325"/>
      <c r="AM217" s="3325"/>
      <c r="AN217" s="3325"/>
      <c r="AO217" s="3325"/>
      <c r="AP217" s="3325"/>
      <c r="AQ217" s="3325"/>
      <c r="AR217" s="3325"/>
      <c r="AS217" s="3325"/>
      <c r="AT217" s="3325"/>
      <c r="AU217" s="3325"/>
      <c r="AV217" s="3325"/>
      <c r="AW217" s="3325"/>
      <c r="AX217" s="3325"/>
      <c r="AY217" s="3325"/>
      <c r="AZ217" s="3325"/>
      <c r="BA217" s="3325"/>
      <c r="BB217" s="3325"/>
      <c r="BC217" s="3325"/>
      <c r="BD217" s="3325"/>
      <c r="BE217" s="3325"/>
      <c r="BF217" s="3325"/>
      <c r="BG217" s="3325"/>
      <c r="BH217" s="3325"/>
      <c r="BI217" s="3325"/>
      <c r="BJ217" s="3325"/>
      <c r="BK217" s="3325"/>
      <c r="BL217" s="3325"/>
      <c r="BM217" s="3325"/>
      <c r="BN217" s="3325"/>
      <c r="BO217" s="3325"/>
      <c r="BP217" s="3325"/>
      <c r="BQ217" s="3325"/>
      <c r="BR217" s="3325"/>
      <c r="BS217" s="3325"/>
      <c r="BT217" s="3325"/>
      <c r="BU217" s="3325"/>
      <c r="BV217" s="3325"/>
      <c r="BW217" s="3325"/>
      <c r="BX217" s="3325"/>
      <c r="BY217" s="3325"/>
      <c r="BZ217" s="3325"/>
      <c r="CA217" s="3326" t="str">
        <f>IF(AND((C217+D217)&gt;0,OR(E217=""))," * No olvide digitar las columnas Pueblos Originarios. Digite CERO si no tiene.","")</f>
        <v/>
      </c>
      <c r="CB217" s="3326" t="str">
        <f>IF(AND((C217+D217)&gt;0,OR(F217=""))," * No olvide digitar las columnas Migrantes. Digite CERO si no tiene.","")</f>
        <v/>
      </c>
      <c r="CC217" s="3326" t="str">
        <f>IF(E217&gt;(C217+D217)," * El N° de Pueblos Originarios no puede ser mayor que la suma de Hombres+Mujeres.","")</f>
        <v/>
      </c>
      <c r="CD217" s="3326" t="str">
        <f>IF(F217&gt;(C217+D217)," * El N° de Migrantes no puede ser mayor que la suma de hombres+Mujeres.","")</f>
        <v/>
      </c>
      <c r="CE217" s="3325"/>
      <c r="CF217" s="3325"/>
      <c r="CG217" s="3327"/>
      <c r="CH217" s="3327"/>
      <c r="CI217" s="3327"/>
      <c r="CJ217" s="3327"/>
      <c r="CK217" s="1792">
        <f>IF(AND((C217+D217)&gt;0,OR(E217="")),1,0)</f>
        <v>0</v>
      </c>
      <c r="CL217" s="1792">
        <f>IF(AND((C217+D217)&gt;0,OR(F217="")),1,0)</f>
        <v>0</v>
      </c>
      <c r="CM217" s="1792">
        <f>IF(E217&gt;(C217+D217),1,0)</f>
        <v>0</v>
      </c>
      <c r="CN217" s="1792">
        <f>IF(F217&gt;(C217+D217),1,0)</f>
        <v>0</v>
      </c>
      <c r="CO217" s="17"/>
    </row>
    <row r="218" spans="1:93" ht="23.25" customHeight="1" x14ac:dyDescent="0.25">
      <c r="A218" s="6697" t="s">
        <v>2600</v>
      </c>
      <c r="B218" s="6698"/>
      <c r="C218" s="3509"/>
      <c r="D218" s="3516"/>
      <c r="E218" s="4438"/>
      <c r="F218" s="3512"/>
      <c r="G218" s="3324" t="str">
        <f t="shared" ref="G218:G225" si="54">CA218&amp;CB218&amp;CC218&amp;CD218</f>
        <v/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3325"/>
      <c r="AM218" s="3325"/>
      <c r="AN218" s="3325"/>
      <c r="AO218" s="3325"/>
      <c r="AP218" s="3325"/>
      <c r="AQ218" s="3325"/>
      <c r="AR218" s="3325"/>
      <c r="AS218" s="3325"/>
      <c r="AT218" s="3325"/>
      <c r="AU218" s="3325"/>
      <c r="AV218" s="3325"/>
      <c r="AW218" s="3325"/>
      <c r="AX218" s="3325"/>
      <c r="AY218" s="3325"/>
      <c r="AZ218" s="3325"/>
      <c r="BA218" s="3325"/>
      <c r="BB218" s="3325"/>
      <c r="BC218" s="3325"/>
      <c r="BD218" s="3325"/>
      <c r="BE218" s="3325"/>
      <c r="BF218" s="3325"/>
      <c r="BG218" s="3325"/>
      <c r="BH218" s="3325"/>
      <c r="BI218" s="3325"/>
      <c r="BJ218" s="3325"/>
      <c r="BK218" s="3325"/>
      <c r="BL218" s="3325"/>
      <c r="BM218" s="3325"/>
      <c r="BN218" s="3325"/>
      <c r="BO218" s="3325"/>
      <c r="BP218" s="3325"/>
      <c r="BQ218" s="3325"/>
      <c r="BR218" s="3325"/>
      <c r="BS218" s="3325"/>
      <c r="BT218" s="3325"/>
      <c r="BU218" s="3325"/>
      <c r="BV218" s="3325"/>
      <c r="BW218" s="3325"/>
      <c r="BX218" s="3325"/>
      <c r="BY218" s="3325"/>
      <c r="BZ218" s="3325"/>
      <c r="CA218" s="3326" t="str">
        <f t="shared" ref="CA218:CA225" si="55">IF(AND((C218+D218)&gt;0,OR(E218=""))," * No olvide digitar las columnas Pueblos Originarios. Digite CERO si no tiene.","")</f>
        <v/>
      </c>
      <c r="CB218" s="3326" t="str">
        <f t="shared" ref="CB218:CB225" si="56">IF(AND((C218+D218)&gt;0,OR(F218=""))," * No olvide digitar las columnas Migrantes. Digite CERO si no tiene.","")</f>
        <v/>
      </c>
      <c r="CC218" s="3326" t="str">
        <f t="shared" ref="CC218:CC225" si="57">IF(E218&gt;(C218+D218)," * El N° de Pueblos Originarios no puede ser mayor que la suma de Hombres+Mujeres.","")</f>
        <v/>
      </c>
      <c r="CD218" s="3326" t="str">
        <f t="shared" ref="CD218:CD225" si="58">IF(F218&gt;(C218+D218)," * El N° de Migrantes no puede ser mayor que la suma de hombres+Mujeres.","")</f>
        <v/>
      </c>
      <c r="CK218" s="1792">
        <f t="shared" ref="CK218:CK225" si="59">IF(AND((C218+D218)&gt;0,OR(E218="")),1,0)</f>
        <v>0</v>
      </c>
      <c r="CL218" s="1792">
        <f t="shared" ref="CL218:CL225" si="60">IF(AND((C218+D218)&gt;0,OR(F218="")),1,0)</f>
        <v>0</v>
      </c>
      <c r="CM218" s="1792">
        <f t="shared" ref="CM218:CM225" si="61">IF(E218&gt;(C218+D218),1,0)</f>
        <v>0</v>
      </c>
      <c r="CN218" s="1792">
        <f t="shared" ref="CN218:CN225" si="62">IF(F218&gt;(C218+D218),1,0)</f>
        <v>0</v>
      </c>
    </row>
    <row r="219" spans="1:93" ht="18.75" customHeight="1" x14ac:dyDescent="0.25">
      <c r="A219" s="6701" t="s">
        <v>2601</v>
      </c>
      <c r="B219" s="6702"/>
      <c r="C219" s="3496"/>
      <c r="D219" s="3499"/>
      <c r="E219" s="4439"/>
      <c r="F219" s="3514"/>
      <c r="G219" s="3324" t="str">
        <f t="shared" si="54"/>
        <v/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3325"/>
      <c r="AM219" s="3325"/>
      <c r="AN219" s="3325"/>
      <c r="AO219" s="3325"/>
      <c r="AP219" s="3325"/>
      <c r="AQ219" s="3325"/>
      <c r="AR219" s="3325"/>
      <c r="AS219" s="3325"/>
      <c r="AT219" s="3325"/>
      <c r="AU219" s="3325"/>
      <c r="AV219" s="3325"/>
      <c r="AW219" s="3325"/>
      <c r="AX219" s="3325"/>
      <c r="AY219" s="3325"/>
      <c r="AZ219" s="3325"/>
      <c r="BA219" s="3325"/>
      <c r="BB219" s="3325"/>
      <c r="BC219" s="3325"/>
      <c r="BD219" s="3325"/>
      <c r="BE219" s="3325"/>
      <c r="BF219" s="3325"/>
      <c r="BG219" s="3325"/>
      <c r="BH219" s="3325"/>
      <c r="BI219" s="3325"/>
      <c r="BJ219" s="3325"/>
      <c r="BK219" s="3325"/>
      <c r="BL219" s="3325"/>
      <c r="BM219" s="3325"/>
      <c r="BN219" s="3325"/>
      <c r="BO219" s="3325"/>
      <c r="BP219" s="3325"/>
      <c r="BQ219" s="3325"/>
      <c r="BR219" s="3325"/>
      <c r="BS219" s="3325"/>
      <c r="BT219" s="3325"/>
      <c r="BU219" s="3325"/>
      <c r="BV219" s="3325"/>
      <c r="BW219" s="3325"/>
      <c r="BX219" s="3325"/>
      <c r="BY219" s="3325"/>
      <c r="BZ219" s="3325"/>
      <c r="CA219" s="3326" t="str">
        <f t="shared" si="55"/>
        <v/>
      </c>
      <c r="CB219" s="3326" t="str">
        <f t="shared" si="56"/>
        <v/>
      </c>
      <c r="CC219" s="3326" t="str">
        <f t="shared" si="57"/>
        <v/>
      </c>
      <c r="CD219" s="3326" t="str">
        <f t="shared" si="58"/>
        <v/>
      </c>
      <c r="CK219" s="1792">
        <f t="shared" si="59"/>
        <v>0</v>
      </c>
      <c r="CL219" s="1792">
        <f t="shared" si="60"/>
        <v>0</v>
      </c>
      <c r="CM219" s="1792">
        <f t="shared" si="61"/>
        <v>0</v>
      </c>
      <c r="CN219" s="1792">
        <f t="shared" si="62"/>
        <v>0</v>
      </c>
    </row>
    <row r="220" spans="1:93" ht="15" customHeight="1" x14ac:dyDescent="0.25">
      <c r="A220" s="6703" t="s">
        <v>2602</v>
      </c>
      <c r="B220" s="3517" t="s">
        <v>2603</v>
      </c>
      <c r="C220" s="3518"/>
      <c r="D220" s="3519"/>
      <c r="E220" s="5955"/>
      <c r="F220" s="5959"/>
      <c r="G220" s="3324" t="str">
        <f t="shared" si="54"/>
        <v/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3325"/>
      <c r="AM220" s="3325"/>
      <c r="AN220" s="3325"/>
      <c r="AO220" s="3325"/>
      <c r="AP220" s="3325"/>
      <c r="AQ220" s="3325"/>
      <c r="AR220" s="3325"/>
      <c r="AS220" s="3325"/>
      <c r="AT220" s="3325"/>
      <c r="AU220" s="3325"/>
      <c r="AV220" s="3325"/>
      <c r="AW220" s="3325"/>
      <c r="AX220" s="3325"/>
      <c r="AY220" s="3325"/>
      <c r="AZ220" s="3325"/>
      <c r="BA220" s="3325"/>
      <c r="BB220" s="3325"/>
      <c r="BC220" s="3325"/>
      <c r="BD220" s="3325"/>
      <c r="BE220" s="3325"/>
      <c r="BF220" s="3325"/>
      <c r="BG220" s="3325"/>
      <c r="BH220" s="3325"/>
      <c r="BI220" s="3325"/>
      <c r="BJ220" s="3325"/>
      <c r="BK220" s="3325"/>
      <c r="BL220" s="3325"/>
      <c r="BM220" s="3325"/>
      <c r="BN220" s="3325"/>
      <c r="BO220" s="3325"/>
      <c r="BP220" s="3325"/>
      <c r="BQ220" s="3325"/>
      <c r="BR220" s="3325"/>
      <c r="BS220" s="3325"/>
      <c r="BT220" s="3325"/>
      <c r="BU220" s="3325"/>
      <c r="BV220" s="3325"/>
      <c r="BW220" s="3325"/>
      <c r="BX220" s="3325"/>
      <c r="BY220" s="3325"/>
      <c r="BZ220" s="3325"/>
      <c r="CA220" s="3326" t="str">
        <f t="shared" si="55"/>
        <v/>
      </c>
      <c r="CB220" s="3326" t="str">
        <f t="shared" si="56"/>
        <v/>
      </c>
      <c r="CC220" s="3326" t="str">
        <f t="shared" si="57"/>
        <v/>
      </c>
      <c r="CD220" s="3326" t="str">
        <f t="shared" si="58"/>
        <v/>
      </c>
      <c r="CK220" s="1792">
        <f t="shared" si="59"/>
        <v>0</v>
      </c>
      <c r="CL220" s="1792">
        <f t="shared" si="60"/>
        <v>0</v>
      </c>
      <c r="CM220" s="1792">
        <f t="shared" si="61"/>
        <v>0</v>
      </c>
      <c r="CN220" s="1792">
        <f t="shared" si="62"/>
        <v>0</v>
      </c>
    </row>
    <row r="221" spans="1:93" ht="15" customHeight="1" x14ac:dyDescent="0.25">
      <c r="A221" s="6703"/>
      <c r="B221" s="3520" t="s">
        <v>2604</v>
      </c>
      <c r="C221" s="3509"/>
      <c r="D221" s="3516"/>
      <c r="E221" s="4438"/>
      <c r="F221" s="3512"/>
      <c r="G221" s="3324" t="str">
        <f t="shared" si="54"/>
        <v/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3325"/>
      <c r="AM221" s="3325"/>
      <c r="AN221" s="3325"/>
      <c r="AO221" s="3325"/>
      <c r="AP221" s="3325"/>
      <c r="AQ221" s="3325"/>
      <c r="AR221" s="3325"/>
      <c r="AS221" s="3325"/>
      <c r="AT221" s="3325"/>
      <c r="AU221" s="3325"/>
      <c r="AV221" s="3325"/>
      <c r="AW221" s="3325"/>
      <c r="AX221" s="3325"/>
      <c r="AY221" s="3325"/>
      <c r="AZ221" s="3325"/>
      <c r="BA221" s="3325"/>
      <c r="BB221" s="3325"/>
      <c r="BC221" s="3325"/>
      <c r="BD221" s="3325"/>
      <c r="BE221" s="3325"/>
      <c r="BF221" s="3325"/>
      <c r="BG221" s="3325"/>
      <c r="BH221" s="3325"/>
      <c r="BI221" s="3325"/>
      <c r="BJ221" s="3325"/>
      <c r="BK221" s="3325"/>
      <c r="BL221" s="3325"/>
      <c r="BM221" s="3325"/>
      <c r="BN221" s="3325"/>
      <c r="BO221" s="3325"/>
      <c r="BP221" s="3325"/>
      <c r="BQ221" s="3325"/>
      <c r="BR221" s="3325"/>
      <c r="BS221" s="3325"/>
      <c r="BT221" s="3325"/>
      <c r="BU221" s="3325"/>
      <c r="BV221" s="3325"/>
      <c r="BW221" s="3325"/>
      <c r="BX221" s="3325"/>
      <c r="BY221" s="3325"/>
      <c r="BZ221" s="3325"/>
      <c r="CA221" s="3326" t="str">
        <f t="shared" si="55"/>
        <v/>
      </c>
      <c r="CB221" s="3326" t="str">
        <f t="shared" si="56"/>
        <v/>
      </c>
      <c r="CC221" s="3326" t="str">
        <f t="shared" si="57"/>
        <v/>
      </c>
      <c r="CD221" s="3326" t="str">
        <f t="shared" si="58"/>
        <v/>
      </c>
      <c r="CK221" s="1792">
        <f t="shared" si="59"/>
        <v>0</v>
      </c>
      <c r="CL221" s="1792">
        <f t="shared" si="60"/>
        <v>0</v>
      </c>
      <c r="CM221" s="1792">
        <f t="shared" si="61"/>
        <v>0</v>
      </c>
      <c r="CN221" s="1792">
        <f t="shared" si="62"/>
        <v>0</v>
      </c>
    </row>
    <row r="222" spans="1:93" ht="15" customHeight="1" x14ac:dyDescent="0.25">
      <c r="A222" s="6703"/>
      <c r="B222" s="3520" t="s">
        <v>2605</v>
      </c>
      <c r="C222" s="3509"/>
      <c r="D222" s="3516"/>
      <c r="E222" s="4438"/>
      <c r="F222" s="3512"/>
      <c r="G222" s="3324" t="str">
        <f t="shared" si="54"/>
        <v/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3325"/>
      <c r="AM222" s="3325"/>
      <c r="AN222" s="3325"/>
      <c r="AO222" s="3325"/>
      <c r="AP222" s="3325"/>
      <c r="AQ222" s="3325"/>
      <c r="AR222" s="3325"/>
      <c r="AS222" s="3325"/>
      <c r="AT222" s="3325"/>
      <c r="AU222" s="3325"/>
      <c r="AV222" s="3325"/>
      <c r="AW222" s="3325"/>
      <c r="AX222" s="3325"/>
      <c r="AY222" s="3325"/>
      <c r="AZ222" s="3325"/>
      <c r="BA222" s="3325"/>
      <c r="BB222" s="3325"/>
      <c r="BC222" s="3325"/>
      <c r="BD222" s="3325"/>
      <c r="BE222" s="3325"/>
      <c r="BF222" s="3325"/>
      <c r="BG222" s="3325"/>
      <c r="BH222" s="3325"/>
      <c r="BI222" s="3325"/>
      <c r="BJ222" s="3325"/>
      <c r="BK222" s="3325"/>
      <c r="BL222" s="3325"/>
      <c r="BM222" s="3325"/>
      <c r="BN222" s="3325"/>
      <c r="BO222" s="3325"/>
      <c r="BP222" s="3325"/>
      <c r="BQ222" s="3325"/>
      <c r="BR222" s="3325"/>
      <c r="BS222" s="3325"/>
      <c r="BT222" s="3325"/>
      <c r="BU222" s="3325"/>
      <c r="BV222" s="3325"/>
      <c r="BW222" s="3325"/>
      <c r="BX222" s="3325"/>
      <c r="BY222" s="3325"/>
      <c r="BZ222" s="3325"/>
      <c r="CA222" s="3326" t="str">
        <f t="shared" si="55"/>
        <v/>
      </c>
      <c r="CB222" s="3326" t="str">
        <f t="shared" si="56"/>
        <v/>
      </c>
      <c r="CC222" s="3326" t="str">
        <f t="shared" si="57"/>
        <v/>
      </c>
      <c r="CD222" s="3326" t="str">
        <f t="shared" si="58"/>
        <v/>
      </c>
      <c r="CK222" s="1792">
        <f t="shared" si="59"/>
        <v>0</v>
      </c>
      <c r="CL222" s="1792">
        <f t="shared" si="60"/>
        <v>0</v>
      </c>
      <c r="CM222" s="1792">
        <f t="shared" si="61"/>
        <v>0</v>
      </c>
      <c r="CN222" s="1792">
        <f t="shared" si="62"/>
        <v>0</v>
      </c>
    </row>
    <row r="223" spans="1:93" ht="23.25" customHeight="1" x14ac:dyDescent="0.25">
      <c r="A223" s="6704"/>
      <c r="B223" s="3521" t="s">
        <v>2606</v>
      </c>
      <c r="C223" s="3496"/>
      <c r="D223" s="3499"/>
      <c r="E223" s="4439"/>
      <c r="F223" s="3514"/>
      <c r="G223" s="3324" t="str">
        <f t="shared" si="54"/>
        <v/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3325"/>
      <c r="AM223" s="3325"/>
      <c r="AN223" s="3325"/>
      <c r="AO223" s="3325"/>
      <c r="AP223" s="3325"/>
      <c r="AQ223" s="3325"/>
      <c r="AR223" s="3325"/>
      <c r="AS223" s="3325"/>
      <c r="AT223" s="3325"/>
      <c r="AU223" s="3325"/>
      <c r="AV223" s="3325"/>
      <c r="AW223" s="3325"/>
      <c r="AX223" s="3325"/>
      <c r="AY223" s="3325"/>
      <c r="AZ223" s="3325"/>
      <c r="BA223" s="3325"/>
      <c r="BB223" s="3325"/>
      <c r="BC223" s="3325"/>
      <c r="BD223" s="3325"/>
      <c r="BE223" s="3325"/>
      <c r="BF223" s="3325"/>
      <c r="BG223" s="3325"/>
      <c r="BH223" s="3325"/>
      <c r="BI223" s="3325"/>
      <c r="BJ223" s="3325"/>
      <c r="BK223" s="3325"/>
      <c r="BL223" s="3325"/>
      <c r="BM223" s="3325"/>
      <c r="BN223" s="3325"/>
      <c r="BO223" s="3325"/>
      <c r="BP223" s="3325"/>
      <c r="BQ223" s="3325"/>
      <c r="BR223" s="3325"/>
      <c r="BS223" s="3325"/>
      <c r="BT223" s="3325"/>
      <c r="BU223" s="3325"/>
      <c r="BV223" s="3325"/>
      <c r="BW223" s="3325"/>
      <c r="BX223" s="3325"/>
      <c r="BY223" s="3325"/>
      <c r="BZ223" s="3325"/>
      <c r="CA223" s="3326" t="str">
        <f t="shared" si="55"/>
        <v/>
      </c>
      <c r="CB223" s="3326" t="str">
        <f t="shared" si="56"/>
        <v/>
      </c>
      <c r="CC223" s="3326" t="str">
        <f t="shared" si="57"/>
        <v/>
      </c>
      <c r="CD223" s="3326" t="str">
        <f t="shared" si="58"/>
        <v/>
      </c>
      <c r="CK223" s="1792">
        <f t="shared" si="59"/>
        <v>0</v>
      </c>
      <c r="CL223" s="1792">
        <f t="shared" si="60"/>
        <v>0</v>
      </c>
      <c r="CM223" s="1792">
        <f t="shared" si="61"/>
        <v>0</v>
      </c>
      <c r="CN223" s="1792">
        <f t="shared" si="62"/>
        <v>0</v>
      </c>
    </row>
    <row r="224" spans="1:93" ht="15" customHeight="1" x14ac:dyDescent="0.25">
      <c r="A224" s="6705" t="s">
        <v>2607</v>
      </c>
      <c r="B224" s="3520" t="s">
        <v>2608</v>
      </c>
      <c r="C224" s="3509"/>
      <c r="D224" s="3516"/>
      <c r="E224" s="4438"/>
      <c r="F224" s="3512"/>
      <c r="G224" s="3324" t="str">
        <f t="shared" si="54"/>
        <v/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3325"/>
      <c r="AM224" s="3325"/>
      <c r="AN224" s="3325"/>
      <c r="AO224" s="3325"/>
      <c r="AP224" s="3325"/>
      <c r="AQ224" s="3325"/>
      <c r="AR224" s="3325"/>
      <c r="AS224" s="3325"/>
      <c r="AT224" s="3325"/>
      <c r="AU224" s="3325"/>
      <c r="AV224" s="3325"/>
      <c r="AW224" s="3325"/>
      <c r="AX224" s="3325"/>
      <c r="AY224" s="3325"/>
      <c r="AZ224" s="3325"/>
      <c r="BA224" s="3325"/>
      <c r="BB224" s="3325"/>
      <c r="BC224" s="3325"/>
      <c r="BD224" s="3325"/>
      <c r="BE224" s="3325"/>
      <c r="BF224" s="3325"/>
      <c r="BG224" s="3325"/>
      <c r="BH224" s="3325"/>
      <c r="BI224" s="3325"/>
      <c r="BJ224" s="3325"/>
      <c r="BK224" s="3325"/>
      <c r="BL224" s="3325"/>
      <c r="BM224" s="3325"/>
      <c r="BN224" s="3325"/>
      <c r="BO224" s="3325"/>
      <c r="BP224" s="3325"/>
      <c r="BQ224" s="3325"/>
      <c r="BR224" s="3325"/>
      <c r="BS224" s="3325"/>
      <c r="BT224" s="3325"/>
      <c r="BU224" s="3325"/>
      <c r="BV224" s="3325"/>
      <c r="BW224" s="3325"/>
      <c r="BX224" s="3325"/>
      <c r="BY224" s="3325"/>
      <c r="BZ224" s="3325"/>
      <c r="CA224" s="3326" t="str">
        <f t="shared" si="55"/>
        <v/>
      </c>
      <c r="CB224" s="3326" t="str">
        <f t="shared" si="56"/>
        <v/>
      </c>
      <c r="CC224" s="3326" t="str">
        <f t="shared" si="57"/>
        <v/>
      </c>
      <c r="CD224" s="3326" t="str">
        <f t="shared" si="58"/>
        <v/>
      </c>
      <c r="CK224" s="1792">
        <f t="shared" si="59"/>
        <v>0</v>
      </c>
      <c r="CL224" s="1792">
        <f t="shared" si="60"/>
        <v>0</v>
      </c>
      <c r="CM224" s="1792">
        <f t="shared" si="61"/>
        <v>0</v>
      </c>
      <c r="CN224" s="1792">
        <f t="shared" si="62"/>
        <v>0</v>
      </c>
    </row>
    <row r="225" spans="1:92" ht="15" customHeight="1" x14ac:dyDescent="0.25">
      <c r="A225" s="6704"/>
      <c r="B225" s="3522" t="s">
        <v>2609</v>
      </c>
      <c r="C225" s="3523"/>
      <c r="D225" s="3524"/>
      <c r="E225" s="5956"/>
      <c r="F225" s="5960"/>
      <c r="G225" s="3324" t="str">
        <f t="shared" si="54"/>
        <v/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3325"/>
      <c r="AM225" s="3325"/>
      <c r="AN225" s="3325"/>
      <c r="AO225" s="3325"/>
      <c r="AP225" s="3325"/>
      <c r="AQ225" s="3325"/>
      <c r="AR225" s="3325"/>
      <c r="AS225" s="3325"/>
      <c r="AT225" s="3325"/>
      <c r="AU225" s="3325"/>
      <c r="AV225" s="3325"/>
      <c r="AW225" s="3325"/>
      <c r="AX225" s="3325"/>
      <c r="AY225" s="3325"/>
      <c r="AZ225" s="3325"/>
      <c r="BA225" s="3325"/>
      <c r="BB225" s="3325"/>
      <c r="BC225" s="3325"/>
      <c r="BD225" s="3325"/>
      <c r="BE225" s="3325"/>
      <c r="BF225" s="3325"/>
      <c r="BG225" s="3325"/>
      <c r="BH225" s="3325"/>
      <c r="BI225" s="3325"/>
      <c r="BJ225" s="3325"/>
      <c r="BK225" s="3325"/>
      <c r="BL225" s="3325"/>
      <c r="BM225" s="3325"/>
      <c r="BN225" s="3325"/>
      <c r="BO225" s="3325"/>
      <c r="BP225" s="3325"/>
      <c r="BQ225" s="3325"/>
      <c r="BR225" s="3325"/>
      <c r="BS225" s="3325"/>
      <c r="BT225" s="3325"/>
      <c r="BU225" s="3325"/>
      <c r="BV225" s="3325"/>
      <c r="BW225" s="3325"/>
      <c r="BX225" s="3325"/>
      <c r="BY225" s="3325"/>
      <c r="BZ225" s="3325"/>
      <c r="CA225" s="3326" t="str">
        <f t="shared" si="55"/>
        <v/>
      </c>
      <c r="CB225" s="3326" t="str">
        <f t="shared" si="56"/>
        <v/>
      </c>
      <c r="CC225" s="3326" t="str">
        <f t="shared" si="57"/>
        <v/>
      </c>
      <c r="CD225" s="3326" t="str">
        <f t="shared" si="58"/>
        <v/>
      </c>
      <c r="CK225" s="1792">
        <f t="shared" si="59"/>
        <v>0</v>
      </c>
      <c r="CL225" s="1792">
        <f t="shared" si="60"/>
        <v>0</v>
      </c>
      <c r="CM225" s="1792">
        <f t="shared" si="61"/>
        <v>0</v>
      </c>
      <c r="CN225" s="1792">
        <f t="shared" si="62"/>
        <v>0</v>
      </c>
    </row>
    <row r="226" spans="1:92" ht="15" customHeight="1" x14ac:dyDescent="0.25">
      <c r="A226" s="5581" t="s">
        <v>3869</v>
      </c>
      <c r="B226" s="5576"/>
      <c r="C226" s="5576"/>
      <c r="D226" s="5577"/>
      <c r="E226" s="5577"/>
      <c r="F226" s="5577"/>
      <c r="G226" s="1804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3325"/>
      <c r="AM226" s="3325"/>
      <c r="AN226" s="3325"/>
      <c r="AO226" s="3325"/>
      <c r="AP226" s="3325"/>
      <c r="AQ226" s="3325"/>
      <c r="AR226" s="3325"/>
      <c r="AS226" s="3325"/>
      <c r="AT226" s="3325"/>
      <c r="AU226" s="3325"/>
      <c r="AV226" s="3325"/>
      <c r="AW226" s="3325"/>
      <c r="AX226" s="3325"/>
      <c r="AY226" s="3325"/>
      <c r="AZ226" s="3325"/>
      <c r="BA226" s="3325"/>
      <c r="BB226" s="3325"/>
      <c r="BC226" s="3325"/>
      <c r="BD226" s="3325"/>
      <c r="BE226" s="3325"/>
      <c r="BF226" s="3325"/>
      <c r="BG226" s="3325"/>
      <c r="BH226" s="3325"/>
      <c r="BI226" s="3325"/>
      <c r="BJ226" s="3325"/>
      <c r="BK226" s="3325"/>
      <c r="BL226" s="3325"/>
      <c r="BM226" s="3325"/>
      <c r="BN226" s="3325"/>
      <c r="BO226" s="3325"/>
      <c r="BP226" s="3325"/>
      <c r="BQ226" s="3325"/>
      <c r="BR226" s="3325"/>
      <c r="BS226" s="3325"/>
      <c r="BT226" s="3325"/>
      <c r="BU226" s="3325"/>
      <c r="BV226" s="3325"/>
      <c r="BW226" s="3325"/>
      <c r="BX226" s="3325"/>
      <c r="BY226" s="3325"/>
      <c r="BZ226" s="3325"/>
      <c r="CA226" s="3325"/>
      <c r="CB226" s="3325"/>
      <c r="CC226" s="3325"/>
      <c r="CD226" s="3325"/>
      <c r="CK226" s="17"/>
      <c r="CL226" s="17"/>
      <c r="CM226" s="17"/>
      <c r="CN226" s="17"/>
    </row>
    <row r="227" spans="1:92" ht="15" customHeight="1" x14ac:dyDescent="0.25">
      <c r="A227" s="6706" t="s">
        <v>2588</v>
      </c>
      <c r="B227" s="6706"/>
      <c r="C227" s="6706" t="s">
        <v>3870</v>
      </c>
      <c r="D227" s="6707"/>
      <c r="E227" s="6708" t="s">
        <v>2</v>
      </c>
      <c r="F227" s="6530" t="s">
        <v>3</v>
      </c>
      <c r="G227" s="1804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3325"/>
      <c r="AM227" s="3325"/>
      <c r="AN227" s="3325"/>
      <c r="AO227" s="3325"/>
      <c r="AP227" s="3325"/>
      <c r="AQ227" s="3325"/>
      <c r="AR227" s="3325"/>
      <c r="AS227" s="3325"/>
      <c r="AT227" s="3325"/>
      <c r="AU227" s="3325"/>
      <c r="AV227" s="3325"/>
      <c r="AW227" s="3325"/>
      <c r="AX227" s="3325"/>
      <c r="AY227" s="3325"/>
      <c r="AZ227" s="3325"/>
      <c r="BA227" s="3325"/>
      <c r="BB227" s="3325"/>
      <c r="BC227" s="3325"/>
      <c r="BD227" s="3325"/>
      <c r="BE227" s="3325"/>
      <c r="BF227" s="3325"/>
      <c r="BG227" s="3325"/>
      <c r="BH227" s="3325"/>
      <c r="BI227" s="3325"/>
      <c r="BJ227" s="3325"/>
      <c r="BK227" s="3325"/>
      <c r="BL227" s="3325"/>
      <c r="BM227" s="3325"/>
      <c r="BN227" s="3325"/>
      <c r="BO227" s="3325"/>
      <c r="BP227" s="3325"/>
      <c r="BQ227" s="3325"/>
      <c r="BR227" s="3325"/>
      <c r="BS227" s="3325"/>
      <c r="BT227" s="3325"/>
      <c r="BU227" s="3325"/>
      <c r="BV227" s="3325"/>
      <c r="BW227" s="3325"/>
      <c r="BX227" s="3325"/>
      <c r="BY227" s="3325"/>
      <c r="BZ227" s="3325"/>
      <c r="CA227" s="3325"/>
      <c r="CB227" s="3325"/>
      <c r="CC227" s="3325"/>
      <c r="CD227" s="3325"/>
      <c r="CK227" s="17"/>
      <c r="CL227" s="17"/>
      <c r="CM227" s="17"/>
      <c r="CN227" s="17"/>
    </row>
    <row r="228" spans="1:92" ht="15" customHeight="1" x14ac:dyDescent="0.25">
      <c r="A228" s="6706"/>
      <c r="B228" s="6706"/>
      <c r="C228" s="5582" t="s">
        <v>22</v>
      </c>
      <c r="D228" s="5583" t="s">
        <v>27</v>
      </c>
      <c r="E228" s="6708"/>
      <c r="F228" s="6530"/>
      <c r="G228" s="1804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3325"/>
      <c r="AM228" s="3325"/>
      <c r="AN228" s="3325"/>
      <c r="AO228" s="3325"/>
      <c r="AP228" s="3325"/>
      <c r="AQ228" s="3325"/>
      <c r="AR228" s="3325"/>
      <c r="AS228" s="3325"/>
      <c r="AT228" s="3325"/>
      <c r="AU228" s="3325"/>
      <c r="AV228" s="3325"/>
      <c r="AW228" s="3325"/>
      <c r="AX228" s="3325"/>
      <c r="AY228" s="3325"/>
      <c r="AZ228" s="3325"/>
      <c r="BA228" s="3325"/>
      <c r="BB228" s="3325"/>
      <c r="BC228" s="3325"/>
      <c r="BD228" s="3325"/>
      <c r="BE228" s="3325"/>
      <c r="BF228" s="3325"/>
      <c r="BG228" s="3325"/>
      <c r="BH228" s="3325"/>
      <c r="BI228" s="3325"/>
      <c r="BJ228" s="3325"/>
      <c r="BK228" s="3325"/>
      <c r="BL228" s="3325"/>
      <c r="BM228" s="3325"/>
      <c r="BN228" s="3325"/>
      <c r="BO228" s="3325"/>
      <c r="BP228" s="3325"/>
      <c r="BQ228" s="3325"/>
      <c r="BR228" s="3325"/>
      <c r="BS228" s="3325"/>
      <c r="BT228" s="3325"/>
      <c r="BU228" s="3325"/>
      <c r="BV228" s="3325"/>
      <c r="BW228" s="3325"/>
      <c r="BX228" s="3325"/>
      <c r="BY228" s="3325"/>
      <c r="BZ228" s="3325"/>
      <c r="CA228" s="3325"/>
      <c r="CB228" s="3325"/>
      <c r="CC228" s="3325"/>
      <c r="CD228" s="3325"/>
      <c r="CK228" s="17"/>
      <c r="CL228" s="17"/>
      <c r="CM228" s="17"/>
      <c r="CN228" s="17"/>
    </row>
    <row r="229" spans="1:92" ht="15" customHeight="1" x14ac:dyDescent="0.25">
      <c r="A229" s="6531" t="s">
        <v>24</v>
      </c>
      <c r="B229" s="6531"/>
      <c r="C229" s="5586">
        <f>SUM(C230:C231)</f>
        <v>0</v>
      </c>
      <c r="D229" s="5587">
        <f>SUM(D230:D231)</f>
        <v>0</v>
      </c>
      <c r="E229" s="5588">
        <f>SUM(E230:E231)</f>
        <v>0</v>
      </c>
      <c r="F229" s="5589">
        <f>SUM(F230:F231)</f>
        <v>0</v>
      </c>
      <c r="G229" s="1804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3325"/>
      <c r="AM229" s="3325"/>
      <c r="AN229" s="3325"/>
      <c r="AO229" s="3325"/>
      <c r="AP229" s="3325"/>
      <c r="AQ229" s="3325"/>
      <c r="AR229" s="3325"/>
      <c r="AS229" s="3325"/>
      <c r="AT229" s="3325"/>
      <c r="AU229" s="3325"/>
      <c r="AV229" s="3325"/>
      <c r="AW229" s="3325"/>
      <c r="AX229" s="3325"/>
      <c r="AY229" s="3325"/>
      <c r="AZ229" s="3325"/>
      <c r="BA229" s="3325"/>
      <c r="BB229" s="3325"/>
      <c r="BC229" s="3325"/>
      <c r="BD229" s="3325"/>
      <c r="BE229" s="3325"/>
      <c r="BF229" s="3325"/>
      <c r="BG229" s="3325"/>
      <c r="BH229" s="3325"/>
      <c r="BI229" s="3325"/>
      <c r="BJ229" s="3325"/>
      <c r="BK229" s="3325"/>
      <c r="BL229" s="3325"/>
      <c r="BM229" s="3325"/>
      <c r="BN229" s="3325"/>
      <c r="BO229" s="3325"/>
      <c r="BP229" s="3325"/>
      <c r="BQ229" s="3325"/>
      <c r="BR229" s="3325"/>
      <c r="BS229" s="3325"/>
      <c r="BT229" s="3325"/>
      <c r="BU229" s="3325"/>
      <c r="BV229" s="3325"/>
      <c r="BW229" s="3325"/>
      <c r="BX229" s="3325"/>
      <c r="BY229" s="3325"/>
      <c r="BZ229" s="3325"/>
      <c r="CA229" s="3325"/>
      <c r="CB229" s="3325"/>
      <c r="CC229" s="3325"/>
      <c r="CD229" s="3325"/>
      <c r="CK229" s="17"/>
      <c r="CL229" s="17"/>
      <c r="CM229" s="17"/>
      <c r="CN229" s="17"/>
    </row>
    <row r="230" spans="1:92" ht="15" customHeight="1" x14ac:dyDescent="0.25">
      <c r="A230" s="6532" t="s">
        <v>3871</v>
      </c>
      <c r="B230" s="6532"/>
      <c r="C230" s="5590"/>
      <c r="D230" s="5591"/>
      <c r="E230" s="5592"/>
      <c r="F230" s="5593"/>
      <c r="G230" s="3324" t="str">
        <f t="shared" ref="G230:G235" si="63">CA230&amp;CB230&amp;CC230&amp;CD230</f>
        <v/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3325"/>
      <c r="AM230" s="3325"/>
      <c r="AN230" s="3325"/>
      <c r="AO230" s="3325"/>
      <c r="AP230" s="3325"/>
      <c r="AQ230" s="3325"/>
      <c r="AR230" s="3325"/>
      <c r="AS230" s="3325"/>
      <c r="AT230" s="3325"/>
      <c r="AU230" s="3325"/>
      <c r="AV230" s="3325"/>
      <c r="AW230" s="3325"/>
      <c r="AX230" s="3325"/>
      <c r="AY230" s="3325"/>
      <c r="AZ230" s="3325"/>
      <c r="BA230" s="3325"/>
      <c r="BB230" s="3325"/>
      <c r="BC230" s="3325"/>
      <c r="BD230" s="3325"/>
      <c r="BE230" s="3325"/>
      <c r="BF230" s="3325"/>
      <c r="BG230" s="3325"/>
      <c r="BH230" s="3325"/>
      <c r="BI230" s="3325"/>
      <c r="BJ230" s="3325"/>
      <c r="BK230" s="3325"/>
      <c r="BL230" s="3325"/>
      <c r="BM230" s="3325"/>
      <c r="BN230" s="3325"/>
      <c r="BO230" s="3325"/>
      <c r="BP230" s="3325"/>
      <c r="BQ230" s="3325"/>
      <c r="BR230" s="3325"/>
      <c r="BS230" s="3325"/>
      <c r="BT230" s="3325"/>
      <c r="BU230" s="3325"/>
      <c r="BV230" s="3325"/>
      <c r="BW230" s="3325"/>
      <c r="BX230" s="3325"/>
      <c r="BY230" s="3325"/>
      <c r="BZ230" s="3325"/>
      <c r="CA230" s="3326" t="str">
        <f>IF(AND((C230+D230)&gt;0,OR(E230=""))," * No olvide digitar las columnas Pueblos Originarios. Digite CERO si no tiene.","")</f>
        <v/>
      </c>
      <c r="CB230" s="3326" t="str">
        <f>IF(AND((C230+D230)&gt;0,OR(F230=""))," * No olvide digitar las columnas Migrantes. Digite CERO si no tiene.","")</f>
        <v/>
      </c>
      <c r="CC230" s="3326" t="str">
        <f>IF(E230&gt;(C230+D230)," * El N° de Pueblos Originarios no puede ser mayor que la suma de Hombres+Mujeres.","")</f>
        <v/>
      </c>
      <c r="CD230" s="3326" t="str">
        <f>IF(F230&gt;(C230+D230)," * El N° de Migrantes no puede ser mayor que la suma de hombres+Mujeres.","")</f>
        <v/>
      </c>
      <c r="CK230" s="1792">
        <f t="shared" ref="CK230:CK235" si="64">IF(AND((C230+D230)&gt;0,OR(E230="")),1,0)</f>
        <v>0</v>
      </c>
      <c r="CL230" s="1792">
        <f t="shared" ref="CL230:CL235" si="65">IF(AND((C230+D230)&gt;0,OR(F230="")),1,0)</f>
        <v>0</v>
      </c>
      <c r="CM230" s="1792">
        <f t="shared" ref="CM230:CM235" si="66">IF(E230&gt;(C230+D230),1,0)</f>
        <v>0</v>
      </c>
      <c r="CN230" s="1792">
        <f t="shared" ref="CN230:CN235" si="67">IF(F230&gt;(C230+D230),1,0)</f>
        <v>0</v>
      </c>
    </row>
    <row r="231" spans="1:92" ht="21.75" customHeight="1" x14ac:dyDescent="0.25">
      <c r="A231" s="6533" t="s">
        <v>3872</v>
      </c>
      <c r="B231" s="6533"/>
      <c r="C231" s="5594"/>
      <c r="D231" s="5595"/>
      <c r="E231" s="5596"/>
      <c r="F231" s="5597"/>
      <c r="G231" s="3324" t="str">
        <f t="shared" si="63"/>
        <v/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3325"/>
      <c r="AM231" s="3325"/>
      <c r="AN231" s="3325"/>
      <c r="AO231" s="3325"/>
      <c r="AP231" s="3325"/>
      <c r="AQ231" s="3325"/>
      <c r="AR231" s="3325"/>
      <c r="AS231" s="3325"/>
      <c r="AT231" s="3325"/>
      <c r="AU231" s="3325"/>
      <c r="AV231" s="3325"/>
      <c r="AW231" s="3325"/>
      <c r="AX231" s="3325"/>
      <c r="AY231" s="3325"/>
      <c r="AZ231" s="3325"/>
      <c r="BA231" s="3325"/>
      <c r="BB231" s="3325"/>
      <c r="BC231" s="3325"/>
      <c r="BD231" s="3325"/>
      <c r="BE231" s="3325"/>
      <c r="BF231" s="3325"/>
      <c r="BG231" s="3325"/>
      <c r="BH231" s="3325"/>
      <c r="BI231" s="3325"/>
      <c r="BJ231" s="3325"/>
      <c r="BK231" s="3325"/>
      <c r="BL231" s="3325"/>
      <c r="BM231" s="3325"/>
      <c r="BN231" s="3325"/>
      <c r="BO231" s="3325"/>
      <c r="BP231" s="3325"/>
      <c r="BQ231" s="3325"/>
      <c r="BR231" s="3325"/>
      <c r="BS231" s="3325"/>
      <c r="BT231" s="3325"/>
      <c r="BU231" s="3325"/>
      <c r="BV231" s="3325"/>
      <c r="BW231" s="3325"/>
      <c r="BX231" s="3325"/>
      <c r="BY231" s="3325"/>
      <c r="BZ231" s="3325"/>
      <c r="CA231" s="3326" t="str">
        <f t="shared" ref="CA231:CA235" si="68">IF(AND((C231+D231)&gt;0,OR(E231=""))," * No olvide digitar las columnas Pueblos Originarios. Digite CERO si no tiene.","")</f>
        <v/>
      </c>
      <c r="CB231" s="3326" t="str">
        <f t="shared" ref="CB231:CB235" si="69">IF(AND((C231+D231)&gt;0,OR(F231=""))," * No olvide digitar las columnas Migrantes. Digite CERO si no tiene.","")</f>
        <v/>
      </c>
      <c r="CC231" s="3326" t="str">
        <f t="shared" ref="CC231:CC235" si="70">IF(E231&gt;(C231+D231)," * El N° de Pueblos Originarios no puede ser mayor que la suma de Hombres+Mujeres.","")</f>
        <v/>
      </c>
      <c r="CD231" s="3326" t="str">
        <f t="shared" ref="CD231:CD235" si="71">IF(F231&gt;(C231+D231)," * El N° de Migrantes no puede ser mayor que la suma de hombres+Mujeres.","")</f>
        <v/>
      </c>
      <c r="CK231" s="1792">
        <f t="shared" si="64"/>
        <v>0</v>
      </c>
      <c r="CL231" s="1792">
        <f t="shared" si="65"/>
        <v>0</v>
      </c>
      <c r="CM231" s="1792">
        <f t="shared" si="66"/>
        <v>0</v>
      </c>
      <c r="CN231" s="1792">
        <f t="shared" si="67"/>
        <v>0</v>
      </c>
    </row>
    <row r="232" spans="1:92" ht="15" customHeight="1" x14ac:dyDescent="0.25">
      <c r="A232" s="6534" t="s">
        <v>3876</v>
      </c>
      <c r="B232" s="5578" t="s">
        <v>3877</v>
      </c>
      <c r="C232" s="5590"/>
      <c r="D232" s="5591"/>
      <c r="E232" s="5592"/>
      <c r="F232" s="5593"/>
      <c r="G232" s="3324" t="str">
        <f t="shared" si="63"/>
        <v/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3325"/>
      <c r="AM232" s="3325"/>
      <c r="AN232" s="3325"/>
      <c r="AO232" s="3325"/>
      <c r="AP232" s="3325"/>
      <c r="AQ232" s="3325"/>
      <c r="AR232" s="3325"/>
      <c r="AS232" s="3325"/>
      <c r="AT232" s="3325"/>
      <c r="AU232" s="3325"/>
      <c r="AV232" s="3325"/>
      <c r="AW232" s="3325"/>
      <c r="AX232" s="3325"/>
      <c r="AY232" s="3325"/>
      <c r="AZ232" s="3325"/>
      <c r="BA232" s="3325"/>
      <c r="BB232" s="3325"/>
      <c r="BC232" s="3325"/>
      <c r="BD232" s="3325"/>
      <c r="BE232" s="3325"/>
      <c r="BF232" s="3325"/>
      <c r="BG232" s="3325"/>
      <c r="BH232" s="3325"/>
      <c r="BI232" s="3325"/>
      <c r="BJ232" s="3325"/>
      <c r="BK232" s="3325"/>
      <c r="BL232" s="3325"/>
      <c r="BM232" s="3325"/>
      <c r="BN232" s="3325"/>
      <c r="BO232" s="3325"/>
      <c r="BP232" s="3325"/>
      <c r="BQ232" s="3325"/>
      <c r="BR232" s="3325"/>
      <c r="BS232" s="3325"/>
      <c r="BT232" s="3325"/>
      <c r="BU232" s="3325"/>
      <c r="BV232" s="3325"/>
      <c r="BW232" s="3325"/>
      <c r="BX232" s="3325"/>
      <c r="BY232" s="3325"/>
      <c r="BZ232" s="3325"/>
      <c r="CA232" s="3326" t="str">
        <f t="shared" si="68"/>
        <v/>
      </c>
      <c r="CB232" s="3326" t="str">
        <f t="shared" si="69"/>
        <v/>
      </c>
      <c r="CC232" s="3326" t="str">
        <f t="shared" si="70"/>
        <v/>
      </c>
      <c r="CD232" s="3326" t="str">
        <f t="shared" si="71"/>
        <v/>
      </c>
      <c r="CK232" s="1792">
        <f t="shared" si="64"/>
        <v>0</v>
      </c>
      <c r="CL232" s="1792">
        <f t="shared" si="65"/>
        <v>0</v>
      </c>
      <c r="CM232" s="1792">
        <f t="shared" si="66"/>
        <v>0</v>
      </c>
      <c r="CN232" s="1792">
        <f t="shared" si="67"/>
        <v>0</v>
      </c>
    </row>
    <row r="233" spans="1:92" ht="15" customHeight="1" x14ac:dyDescent="0.25">
      <c r="A233" s="6534"/>
      <c r="B233" s="5579" t="s">
        <v>3875</v>
      </c>
      <c r="C233" s="5594"/>
      <c r="D233" s="5595"/>
      <c r="E233" s="5596"/>
      <c r="F233" s="5597"/>
      <c r="G233" s="3324" t="str">
        <f t="shared" si="63"/>
        <v/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3325"/>
      <c r="AM233" s="3325"/>
      <c r="AN233" s="3325"/>
      <c r="AO233" s="3325"/>
      <c r="AP233" s="3325"/>
      <c r="AQ233" s="3325"/>
      <c r="AR233" s="3325"/>
      <c r="AS233" s="3325"/>
      <c r="AT233" s="3325"/>
      <c r="AU233" s="3325"/>
      <c r="AV233" s="3325"/>
      <c r="AW233" s="3325"/>
      <c r="AX233" s="3325"/>
      <c r="AY233" s="3325"/>
      <c r="AZ233" s="3325"/>
      <c r="BA233" s="3325"/>
      <c r="BB233" s="3325"/>
      <c r="BC233" s="3325"/>
      <c r="BD233" s="3325"/>
      <c r="BE233" s="3325"/>
      <c r="BF233" s="3325"/>
      <c r="BG233" s="3325"/>
      <c r="BH233" s="3325"/>
      <c r="BI233" s="3325"/>
      <c r="BJ233" s="3325"/>
      <c r="BK233" s="3325"/>
      <c r="BL233" s="3325"/>
      <c r="BM233" s="3325"/>
      <c r="BN233" s="3325"/>
      <c r="BO233" s="3325"/>
      <c r="BP233" s="3325"/>
      <c r="BQ233" s="3325"/>
      <c r="BR233" s="3325"/>
      <c r="BS233" s="3325"/>
      <c r="BT233" s="3325"/>
      <c r="BU233" s="3325"/>
      <c r="BV233" s="3325"/>
      <c r="BW233" s="3325"/>
      <c r="BX233" s="3325"/>
      <c r="BY233" s="3325"/>
      <c r="BZ233" s="3325"/>
      <c r="CA233" s="3326" t="str">
        <f t="shared" si="68"/>
        <v/>
      </c>
      <c r="CB233" s="3326" t="str">
        <f t="shared" si="69"/>
        <v/>
      </c>
      <c r="CC233" s="3326" t="str">
        <f t="shared" si="70"/>
        <v/>
      </c>
      <c r="CD233" s="3326" t="str">
        <f t="shared" si="71"/>
        <v/>
      </c>
      <c r="CK233" s="1792">
        <f t="shared" si="64"/>
        <v>0</v>
      </c>
      <c r="CL233" s="1792">
        <f t="shared" si="65"/>
        <v>0</v>
      </c>
      <c r="CM233" s="1792">
        <f t="shared" si="66"/>
        <v>0</v>
      </c>
      <c r="CN233" s="1792">
        <f t="shared" si="67"/>
        <v>0</v>
      </c>
    </row>
    <row r="234" spans="1:92" ht="15" customHeight="1" x14ac:dyDescent="0.25">
      <c r="A234" s="6534" t="s">
        <v>3873</v>
      </c>
      <c r="B234" s="5580" t="s">
        <v>3874</v>
      </c>
      <c r="C234" s="5598"/>
      <c r="D234" s="5599"/>
      <c r="E234" s="5600"/>
      <c r="F234" s="5601"/>
      <c r="G234" s="3324" t="str">
        <f t="shared" si="63"/>
        <v/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3325"/>
      <c r="AM234" s="3325"/>
      <c r="AN234" s="3325"/>
      <c r="AO234" s="3325"/>
      <c r="AP234" s="3325"/>
      <c r="AQ234" s="3325"/>
      <c r="AR234" s="3325"/>
      <c r="AS234" s="3325"/>
      <c r="AT234" s="3325"/>
      <c r="AU234" s="3325"/>
      <c r="AV234" s="3325"/>
      <c r="AW234" s="3325"/>
      <c r="AX234" s="3325"/>
      <c r="AY234" s="3325"/>
      <c r="AZ234" s="3325"/>
      <c r="BA234" s="3325"/>
      <c r="BB234" s="3325"/>
      <c r="BC234" s="3325"/>
      <c r="BD234" s="3325"/>
      <c r="BE234" s="3325"/>
      <c r="BF234" s="3325"/>
      <c r="BG234" s="3325"/>
      <c r="BH234" s="3325"/>
      <c r="BI234" s="3325"/>
      <c r="BJ234" s="3325"/>
      <c r="BK234" s="3325"/>
      <c r="BL234" s="3325"/>
      <c r="BM234" s="3325"/>
      <c r="BN234" s="3325"/>
      <c r="BO234" s="3325"/>
      <c r="BP234" s="3325"/>
      <c r="BQ234" s="3325"/>
      <c r="BR234" s="3325"/>
      <c r="BS234" s="3325"/>
      <c r="BT234" s="3325"/>
      <c r="BU234" s="3325"/>
      <c r="BV234" s="3325"/>
      <c r="BW234" s="3325"/>
      <c r="BX234" s="3325"/>
      <c r="BY234" s="3325"/>
      <c r="BZ234" s="3325"/>
      <c r="CA234" s="3326" t="str">
        <f t="shared" si="68"/>
        <v/>
      </c>
      <c r="CB234" s="3326" t="str">
        <f t="shared" si="69"/>
        <v/>
      </c>
      <c r="CC234" s="3326" t="str">
        <f t="shared" si="70"/>
        <v/>
      </c>
      <c r="CD234" s="3326" t="str">
        <f t="shared" si="71"/>
        <v/>
      </c>
      <c r="CK234" s="1792">
        <f t="shared" si="64"/>
        <v>0</v>
      </c>
      <c r="CL234" s="1792">
        <f t="shared" si="65"/>
        <v>0</v>
      </c>
      <c r="CM234" s="1792">
        <f t="shared" si="66"/>
        <v>0</v>
      </c>
      <c r="CN234" s="1792">
        <f t="shared" si="67"/>
        <v>0</v>
      </c>
    </row>
    <row r="235" spans="1:92" ht="15" customHeight="1" x14ac:dyDescent="0.25">
      <c r="A235" s="6534"/>
      <c r="B235" s="5579" t="s">
        <v>3875</v>
      </c>
      <c r="C235" s="5594"/>
      <c r="D235" s="5595"/>
      <c r="E235" s="5596"/>
      <c r="F235" s="5597"/>
      <c r="G235" s="3324" t="str">
        <f t="shared" si="63"/>
        <v/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3325"/>
      <c r="AM235" s="3325"/>
      <c r="AN235" s="3325"/>
      <c r="AO235" s="3325"/>
      <c r="AP235" s="3325"/>
      <c r="AQ235" s="3325"/>
      <c r="AR235" s="3325"/>
      <c r="AS235" s="3325"/>
      <c r="AT235" s="3325"/>
      <c r="AU235" s="3325"/>
      <c r="AV235" s="3325"/>
      <c r="AW235" s="3325"/>
      <c r="AX235" s="3325"/>
      <c r="AY235" s="3325"/>
      <c r="AZ235" s="3325"/>
      <c r="BA235" s="3325"/>
      <c r="BB235" s="3325"/>
      <c r="BC235" s="3325"/>
      <c r="BD235" s="3325"/>
      <c r="BE235" s="3325"/>
      <c r="BF235" s="3325"/>
      <c r="BG235" s="3325"/>
      <c r="BH235" s="3325"/>
      <c r="BI235" s="3325"/>
      <c r="BJ235" s="3325"/>
      <c r="BK235" s="3325"/>
      <c r="BL235" s="3325"/>
      <c r="BM235" s="3325"/>
      <c r="BN235" s="3325"/>
      <c r="BO235" s="3325"/>
      <c r="BP235" s="3325"/>
      <c r="BQ235" s="3325"/>
      <c r="BR235" s="3325"/>
      <c r="BS235" s="3325"/>
      <c r="BT235" s="3325"/>
      <c r="BU235" s="3325"/>
      <c r="BV235" s="3325"/>
      <c r="BW235" s="3325"/>
      <c r="BX235" s="3325"/>
      <c r="BY235" s="3325"/>
      <c r="BZ235" s="3325"/>
      <c r="CA235" s="3326" t="str">
        <f t="shared" si="68"/>
        <v/>
      </c>
      <c r="CB235" s="3326" t="str">
        <f t="shared" si="69"/>
        <v/>
      </c>
      <c r="CC235" s="3326" t="str">
        <f t="shared" si="70"/>
        <v/>
      </c>
      <c r="CD235" s="3326" t="str">
        <f t="shared" si="71"/>
        <v/>
      </c>
      <c r="CK235" s="1792">
        <f t="shared" si="64"/>
        <v>0</v>
      </c>
      <c r="CL235" s="1792">
        <f t="shared" si="65"/>
        <v>0</v>
      </c>
      <c r="CM235" s="1792">
        <f t="shared" si="66"/>
        <v>0</v>
      </c>
      <c r="CN235" s="1792">
        <f t="shared" si="67"/>
        <v>0</v>
      </c>
    </row>
    <row r="236" spans="1:92" ht="18" customHeight="1" x14ac:dyDescent="0.25">
      <c r="A236" s="122" t="s">
        <v>2610</v>
      </c>
      <c r="B236" s="1069"/>
      <c r="C236" s="1069"/>
      <c r="D236" s="602"/>
      <c r="E236" s="632"/>
    </row>
    <row r="237" spans="1:92" ht="15" customHeight="1" x14ac:dyDescent="0.25">
      <c r="A237" s="6631" t="s">
        <v>2611</v>
      </c>
      <c r="B237" s="6632"/>
      <c r="C237" s="6494" t="s">
        <v>2612</v>
      </c>
      <c r="D237" s="6474"/>
      <c r="E237" s="6535"/>
    </row>
    <row r="238" spans="1:92" ht="15" customHeight="1" x14ac:dyDescent="0.25">
      <c r="A238" s="6633"/>
      <c r="B238" s="6634"/>
      <c r="C238" s="6693" t="s">
        <v>2613</v>
      </c>
      <c r="D238" s="6494" t="s">
        <v>2614</v>
      </c>
      <c r="E238" s="6535"/>
    </row>
    <row r="239" spans="1:92" ht="22.15" customHeight="1" x14ac:dyDescent="0.25">
      <c r="A239" s="6635"/>
      <c r="B239" s="6636"/>
      <c r="C239" s="6694"/>
      <c r="D239" s="3525" t="s">
        <v>2615</v>
      </c>
      <c r="E239" s="3482" t="s">
        <v>2616</v>
      </c>
    </row>
    <row r="240" spans="1:92" ht="15" customHeight="1" x14ac:dyDescent="0.25">
      <c r="A240" s="6695" t="s">
        <v>2617</v>
      </c>
      <c r="B240" s="6696"/>
      <c r="C240" s="3526"/>
      <c r="D240" s="3488"/>
      <c r="E240" s="3490"/>
    </row>
    <row r="241" spans="1:25" ht="15" customHeight="1" x14ac:dyDescent="0.25">
      <c r="A241" s="6697" t="s">
        <v>2618</v>
      </c>
      <c r="B241" s="6698"/>
      <c r="C241" s="3527"/>
      <c r="D241" s="3528"/>
      <c r="E241" s="3512"/>
    </row>
    <row r="242" spans="1:25" ht="15" customHeight="1" x14ac:dyDescent="0.25">
      <c r="A242" s="6697" t="s">
        <v>2619</v>
      </c>
      <c r="B242" s="6698"/>
      <c r="C242" s="3528"/>
      <c r="D242" s="3528"/>
      <c r="E242" s="3512"/>
    </row>
    <row r="243" spans="1:25" ht="15" customHeight="1" x14ac:dyDescent="0.25">
      <c r="A243" s="6697" t="s">
        <v>2620</v>
      </c>
      <c r="B243" s="6698"/>
      <c r="C243" s="3528"/>
      <c r="D243" s="3528"/>
      <c r="E243" s="3512"/>
    </row>
    <row r="244" spans="1:25" ht="15" customHeight="1" x14ac:dyDescent="0.25">
      <c r="A244" s="6711" t="s">
        <v>2621</v>
      </c>
      <c r="B244" s="6704"/>
      <c r="C244" s="3529"/>
      <c r="D244" s="3530"/>
      <c r="E244" s="3514"/>
    </row>
    <row r="245" spans="1:25" ht="18" customHeight="1" x14ac:dyDescent="0.25">
      <c r="A245" s="6712" t="s">
        <v>2622</v>
      </c>
      <c r="B245" s="6712"/>
      <c r="C245" s="6712"/>
      <c r="D245" s="6712"/>
      <c r="E245" s="6712"/>
      <c r="F245" s="6712"/>
      <c r="G245" s="6712"/>
      <c r="H245" s="6712"/>
      <c r="I245" s="6712"/>
      <c r="J245" s="6712"/>
      <c r="K245" s="6712"/>
      <c r="L245" s="6712"/>
      <c r="M245" s="6712"/>
      <c r="N245" s="3531"/>
      <c r="O245" s="3531"/>
      <c r="P245" s="3531"/>
      <c r="Q245" s="3531"/>
      <c r="R245" s="3531"/>
      <c r="S245" s="3531"/>
      <c r="T245" s="3531"/>
      <c r="U245" s="3531"/>
      <c r="V245" s="3531"/>
      <c r="W245" s="3531"/>
      <c r="X245" s="3532"/>
      <c r="Y245" s="3532"/>
    </row>
    <row r="246" spans="1:25" ht="15" customHeight="1" x14ac:dyDescent="0.25">
      <c r="A246" s="6713" t="s">
        <v>453</v>
      </c>
      <c r="B246" s="6714"/>
      <c r="C246" s="6719" t="s">
        <v>2525</v>
      </c>
      <c r="D246" s="6720"/>
      <c r="E246" s="6721"/>
      <c r="F246" s="6725" t="s">
        <v>30</v>
      </c>
      <c r="G246" s="6726"/>
      <c r="H246" s="6726"/>
      <c r="I246" s="6726"/>
      <c r="J246" s="6726"/>
      <c r="K246" s="6726"/>
      <c r="L246" s="6726"/>
      <c r="M246" s="6726"/>
      <c r="N246" s="6726"/>
      <c r="O246" s="6726"/>
      <c r="P246" s="6726"/>
      <c r="Q246" s="6726"/>
      <c r="R246" s="6726"/>
      <c r="S246" s="6726"/>
      <c r="T246" s="6726"/>
      <c r="U246" s="6726"/>
      <c r="V246" s="6726"/>
      <c r="W246" s="6727"/>
    </row>
    <row r="247" spans="1:25" ht="15" customHeight="1" x14ac:dyDescent="0.25">
      <c r="A247" s="6715"/>
      <c r="B247" s="6716"/>
      <c r="C247" s="6722"/>
      <c r="D247" s="6723"/>
      <c r="E247" s="6724"/>
      <c r="F247" s="6709" t="s">
        <v>37</v>
      </c>
      <c r="G247" s="6710"/>
      <c r="H247" s="6709" t="s">
        <v>38</v>
      </c>
      <c r="I247" s="6710"/>
      <c r="J247" s="6709" t="s">
        <v>4</v>
      </c>
      <c r="K247" s="6710"/>
      <c r="L247" s="6709" t="s">
        <v>5</v>
      </c>
      <c r="M247" s="6710"/>
      <c r="N247" s="6709" t="s">
        <v>399</v>
      </c>
      <c r="O247" s="6710"/>
      <c r="P247" s="6709" t="s">
        <v>3527</v>
      </c>
      <c r="Q247" s="6710"/>
      <c r="R247" s="6709" t="s">
        <v>20</v>
      </c>
      <c r="S247" s="6710"/>
      <c r="T247" s="6709" t="s">
        <v>3720</v>
      </c>
      <c r="U247" s="6710"/>
      <c r="V247" s="6709" t="s">
        <v>32</v>
      </c>
      <c r="W247" s="6710"/>
    </row>
    <row r="248" spans="1:25" ht="15" customHeight="1" x14ac:dyDescent="0.25">
      <c r="A248" s="6717"/>
      <c r="B248" s="6718"/>
      <c r="C248" s="4837" t="s">
        <v>26</v>
      </c>
      <c r="D248" s="4838" t="s">
        <v>22</v>
      </c>
      <c r="E248" s="4839" t="s">
        <v>27</v>
      </c>
      <c r="F248" s="3018" t="s">
        <v>22</v>
      </c>
      <c r="G248" s="3533" t="s">
        <v>27</v>
      </c>
      <c r="H248" s="3018" t="s">
        <v>22</v>
      </c>
      <c r="I248" s="3534" t="s">
        <v>27</v>
      </c>
      <c r="J248" s="3018" t="s">
        <v>22</v>
      </c>
      <c r="K248" s="3534" t="s">
        <v>27</v>
      </c>
      <c r="L248" s="3018" t="s">
        <v>22</v>
      </c>
      <c r="M248" s="3534" t="s">
        <v>27</v>
      </c>
      <c r="N248" s="3018" t="s">
        <v>22</v>
      </c>
      <c r="O248" s="3534" t="s">
        <v>27</v>
      </c>
      <c r="P248" s="3018" t="s">
        <v>22</v>
      </c>
      <c r="Q248" s="3534" t="s">
        <v>27</v>
      </c>
      <c r="R248" s="3018" t="s">
        <v>22</v>
      </c>
      <c r="S248" s="3534" t="s">
        <v>27</v>
      </c>
      <c r="T248" s="3018" t="s">
        <v>22</v>
      </c>
      <c r="U248" s="3534" t="s">
        <v>27</v>
      </c>
      <c r="V248" s="3018" t="s">
        <v>22</v>
      </c>
      <c r="W248" s="3534" t="s">
        <v>27</v>
      </c>
    </row>
    <row r="249" spans="1:25" ht="15" customHeight="1" x14ac:dyDescent="0.25">
      <c r="A249" s="6728" t="s">
        <v>2623</v>
      </c>
      <c r="B249" s="6729"/>
      <c r="C249" s="4843">
        <f t="shared" ref="C249:C258" si="72">SUM(D249+E249)</f>
        <v>0</v>
      </c>
      <c r="D249" s="4844">
        <f>+F249</f>
        <v>0</v>
      </c>
      <c r="E249" s="4845">
        <f>+G249</f>
        <v>0</v>
      </c>
      <c r="F249" s="3035"/>
      <c r="G249" s="3051"/>
      <c r="H249" s="3537"/>
      <c r="I249" s="3538"/>
      <c r="J249" s="3537"/>
      <c r="K249" s="3538"/>
      <c r="L249" s="3537"/>
      <c r="M249" s="3538"/>
      <c r="N249" s="3537"/>
      <c r="O249" s="3538"/>
      <c r="P249" s="3537"/>
      <c r="Q249" s="3538"/>
      <c r="R249" s="3537"/>
      <c r="S249" s="3538"/>
      <c r="T249" s="3537"/>
      <c r="U249" s="3538"/>
      <c r="V249" s="3537"/>
      <c r="W249" s="3538"/>
    </row>
    <row r="250" spans="1:25" ht="15" customHeight="1" x14ac:dyDescent="0.25">
      <c r="A250" s="6730" t="s">
        <v>2624</v>
      </c>
      <c r="B250" s="6731"/>
      <c r="C250" s="4846">
        <f t="shared" si="72"/>
        <v>0</v>
      </c>
      <c r="D250" s="3535">
        <f>+H250</f>
        <v>0</v>
      </c>
      <c r="E250" s="4847">
        <f>+I250</f>
        <v>0</v>
      </c>
      <c r="F250" s="4603"/>
      <c r="G250" s="3539"/>
      <c r="H250" s="3536"/>
      <c r="I250" s="3036"/>
      <c r="J250" s="3031"/>
      <c r="K250" s="3539"/>
      <c r="L250" s="3031"/>
      <c r="M250" s="3539"/>
      <c r="N250" s="3031"/>
      <c r="O250" s="3539"/>
      <c r="P250" s="3031"/>
      <c r="Q250" s="3539"/>
      <c r="R250" s="3031"/>
      <c r="S250" s="3539"/>
      <c r="T250" s="3031"/>
      <c r="U250" s="3539"/>
      <c r="V250" s="3031"/>
      <c r="W250" s="3539"/>
    </row>
    <row r="251" spans="1:25" ht="15" customHeight="1" x14ac:dyDescent="0.25">
      <c r="A251" s="6730" t="s">
        <v>2625</v>
      </c>
      <c r="B251" s="6731"/>
      <c r="C251" s="4846">
        <f t="shared" si="72"/>
        <v>0</v>
      </c>
      <c r="D251" s="3535">
        <f>+J251</f>
        <v>0</v>
      </c>
      <c r="E251" s="4847">
        <f>+K251</f>
        <v>0</v>
      </c>
      <c r="F251" s="4603"/>
      <c r="G251" s="3539"/>
      <c r="H251" s="3031"/>
      <c r="I251" s="3539"/>
      <c r="J251" s="3536"/>
      <c r="K251" s="3036"/>
      <c r="L251" s="3031"/>
      <c r="M251" s="3539"/>
      <c r="N251" s="3031"/>
      <c r="O251" s="3539"/>
      <c r="P251" s="3031"/>
      <c r="Q251" s="3539"/>
      <c r="R251" s="3031"/>
      <c r="S251" s="3539"/>
      <c r="T251" s="3031"/>
      <c r="U251" s="3539"/>
      <c r="V251" s="3031"/>
      <c r="W251" s="3539"/>
    </row>
    <row r="252" spans="1:25" ht="15" customHeight="1" x14ac:dyDescent="0.25">
      <c r="A252" s="6730" t="s">
        <v>2626</v>
      </c>
      <c r="B252" s="6731"/>
      <c r="C252" s="4846">
        <f t="shared" si="72"/>
        <v>0</v>
      </c>
      <c r="D252" s="3535">
        <f>+L252+N252+P252</f>
        <v>0</v>
      </c>
      <c r="E252" s="4847">
        <f>+M252+O252+Q252</f>
        <v>0</v>
      </c>
      <c r="F252" s="4603"/>
      <c r="G252" s="3539"/>
      <c r="H252" s="3031"/>
      <c r="I252" s="3539"/>
      <c r="J252" s="3031"/>
      <c r="K252" s="3539"/>
      <c r="L252" s="3536"/>
      <c r="M252" s="3036"/>
      <c r="N252" s="3536"/>
      <c r="O252" s="3036"/>
      <c r="P252" s="3536"/>
      <c r="Q252" s="3036"/>
      <c r="R252" s="3031"/>
      <c r="S252" s="3539"/>
      <c r="T252" s="3031"/>
      <c r="U252" s="3539"/>
      <c r="V252" s="3031"/>
      <c r="W252" s="3539"/>
    </row>
    <row r="253" spans="1:25" ht="15" customHeight="1" x14ac:dyDescent="0.25">
      <c r="A253" s="6730" t="s">
        <v>2627</v>
      </c>
      <c r="B253" s="6731"/>
      <c r="C253" s="4846">
        <f>SUM(D253+E253)</f>
        <v>0</v>
      </c>
      <c r="D253" s="3535">
        <f>+H253+J253+L253</f>
        <v>0</v>
      </c>
      <c r="E253" s="4847">
        <f>+I253+K253+M253</f>
        <v>0</v>
      </c>
      <c r="F253" s="4603"/>
      <c r="G253" s="3539"/>
      <c r="H253" s="3536"/>
      <c r="I253" s="3036"/>
      <c r="J253" s="3536"/>
      <c r="K253" s="3036"/>
      <c r="L253" s="3536"/>
      <c r="M253" s="3036"/>
      <c r="N253" s="3031"/>
      <c r="O253" s="3539"/>
      <c r="P253" s="3031"/>
      <c r="Q253" s="3539"/>
      <c r="R253" s="3031"/>
      <c r="S253" s="3539"/>
      <c r="T253" s="3031"/>
      <c r="U253" s="3539"/>
      <c r="V253" s="3031"/>
      <c r="W253" s="3539"/>
    </row>
    <row r="254" spans="1:25" ht="15" customHeight="1" x14ac:dyDescent="0.25">
      <c r="A254" s="6730" t="s">
        <v>2628</v>
      </c>
      <c r="B254" s="6731"/>
      <c r="C254" s="4846">
        <f>SUM(D254+E254)</f>
        <v>0</v>
      </c>
      <c r="D254" s="3535">
        <f>+H254+J254+L254+N254+P254+R254+T254+V254</f>
        <v>0</v>
      </c>
      <c r="E254" s="4847">
        <f>+I254+K254+M254+O254+Q254+S254+U254+W254</f>
        <v>0</v>
      </c>
      <c r="F254" s="4603"/>
      <c r="G254" s="3539"/>
      <c r="H254" s="3536"/>
      <c r="I254" s="3035"/>
      <c r="J254" s="3536"/>
      <c r="K254" s="3036"/>
      <c r="L254" s="3536"/>
      <c r="M254" s="3036"/>
      <c r="N254" s="3536"/>
      <c r="O254" s="3036"/>
      <c r="P254" s="3536"/>
      <c r="Q254" s="3036"/>
      <c r="R254" s="3536"/>
      <c r="S254" s="3036"/>
      <c r="T254" s="3536"/>
      <c r="U254" s="3036"/>
      <c r="V254" s="3536"/>
      <c r="W254" s="3036"/>
    </row>
    <row r="255" spans="1:25" ht="15" customHeight="1" x14ac:dyDescent="0.25">
      <c r="A255" s="6734" t="s">
        <v>3864</v>
      </c>
      <c r="B255" s="6735"/>
      <c r="C255" s="4833">
        <f>SUM(D255+E255)</f>
        <v>0</v>
      </c>
      <c r="D255" s="3544">
        <f>+R255+T255+V255+P255</f>
        <v>0</v>
      </c>
      <c r="E255" s="4848">
        <f>+S255+U255+W255+Q255</f>
        <v>0</v>
      </c>
      <c r="F255" s="3541"/>
      <c r="G255" s="3540"/>
      <c r="H255" s="3041"/>
      <c r="I255" s="3541"/>
      <c r="J255" s="3041"/>
      <c r="K255" s="3540"/>
      <c r="L255" s="3041"/>
      <c r="M255" s="3540"/>
      <c r="N255" s="3041"/>
      <c r="O255" s="3540"/>
      <c r="P255" s="6408"/>
      <c r="Q255" s="3040"/>
      <c r="R255" s="3542"/>
      <c r="S255" s="3046"/>
      <c r="T255" s="3542"/>
      <c r="U255" s="3046"/>
      <c r="V255" s="3542"/>
      <c r="W255" s="3046"/>
    </row>
    <row r="256" spans="1:25" ht="15" customHeight="1" x14ac:dyDescent="0.25">
      <c r="A256" s="6736" t="s">
        <v>2532</v>
      </c>
      <c r="B256" s="3543" t="s">
        <v>2533</v>
      </c>
      <c r="C256" s="4840">
        <f t="shared" si="72"/>
        <v>0</v>
      </c>
      <c r="D256" s="4841">
        <f t="shared" ref="D256:D258" si="73">F256+H256+J256+L256+N256+P256+R256+T256+V256</f>
        <v>0</v>
      </c>
      <c r="E256" s="4842">
        <f>G256+I256+K256+M256+O256+Q256+S256+U256+W256</f>
        <v>0</v>
      </c>
      <c r="F256" s="3050"/>
      <c r="G256" s="3051"/>
      <c r="H256" s="3047"/>
      <c r="I256" s="3051"/>
      <c r="J256" s="3047"/>
      <c r="K256" s="3051"/>
      <c r="L256" s="3047"/>
      <c r="M256" s="3051"/>
      <c r="N256" s="3047"/>
      <c r="O256" s="6405"/>
      <c r="P256" s="6409"/>
      <c r="Q256" s="6410"/>
      <c r="R256" s="3050"/>
      <c r="S256" s="3051"/>
      <c r="T256" s="3047"/>
      <c r="U256" s="3051"/>
      <c r="V256" s="3047"/>
      <c r="W256" s="3051"/>
    </row>
    <row r="257" spans="1:49" ht="15" customHeight="1" x14ac:dyDescent="0.25">
      <c r="A257" s="6737"/>
      <c r="B257" s="3037" t="s">
        <v>2604</v>
      </c>
      <c r="C257" s="4831">
        <f t="shared" si="72"/>
        <v>0</v>
      </c>
      <c r="D257" s="4836">
        <f t="shared" si="73"/>
        <v>0</v>
      </c>
      <c r="E257" s="4832">
        <f>G257+I257+K257+M257+O257+Q257+S257+U257+W257</f>
        <v>0</v>
      </c>
      <c r="F257" s="3035"/>
      <c r="G257" s="3036"/>
      <c r="H257" s="3536"/>
      <c r="I257" s="3036"/>
      <c r="J257" s="3536"/>
      <c r="K257" s="3036"/>
      <c r="L257" s="3536"/>
      <c r="M257" s="3036"/>
      <c r="N257" s="3536"/>
      <c r="O257" s="6406"/>
      <c r="P257" s="6411"/>
      <c r="Q257" s="6412"/>
      <c r="R257" s="3035"/>
      <c r="S257" s="3036"/>
      <c r="T257" s="3536"/>
      <c r="U257" s="3036"/>
      <c r="V257" s="3536"/>
      <c r="W257" s="3036"/>
    </row>
    <row r="258" spans="1:49" ht="15" customHeight="1" x14ac:dyDescent="0.25">
      <c r="A258" s="6738"/>
      <c r="B258" s="4830" t="s">
        <v>2586</v>
      </c>
      <c r="C258" s="4833">
        <f t="shared" si="72"/>
        <v>0</v>
      </c>
      <c r="D258" s="4835">
        <f t="shared" si="73"/>
        <v>0</v>
      </c>
      <c r="E258" s="4834">
        <f>G258+I258+K258+M258+O258+Q258+S258+U258+W258</f>
        <v>0</v>
      </c>
      <c r="F258" s="3045"/>
      <c r="G258" s="3046"/>
      <c r="H258" s="3542"/>
      <c r="I258" s="3046"/>
      <c r="J258" s="3542"/>
      <c r="K258" s="3046"/>
      <c r="L258" s="3542"/>
      <c r="M258" s="3046"/>
      <c r="N258" s="3542"/>
      <c r="O258" s="6407"/>
      <c r="P258" s="6413"/>
      <c r="Q258" s="6414"/>
      <c r="R258" s="3045"/>
      <c r="S258" s="3046"/>
      <c r="T258" s="3542"/>
      <c r="U258" s="3046"/>
      <c r="V258" s="3542"/>
      <c r="W258" s="3046"/>
    </row>
    <row r="259" spans="1:49" ht="18" customHeight="1" x14ac:dyDescent="0.25">
      <c r="A259" s="1847" t="s">
        <v>2629</v>
      </c>
      <c r="B259" s="632"/>
      <c r="C259" s="632"/>
      <c r="D259" s="632"/>
      <c r="E259" s="632"/>
      <c r="F259" s="632"/>
      <c r="G259" s="632"/>
      <c r="H259" s="632"/>
      <c r="I259" s="632"/>
      <c r="J259" s="3379"/>
      <c r="K259" s="3545"/>
      <c r="L259" s="3545"/>
      <c r="M259" s="3545"/>
      <c r="N259" s="3545"/>
      <c r="O259" s="3545"/>
    </row>
    <row r="260" spans="1:49" ht="15" customHeight="1" x14ac:dyDescent="0.25">
      <c r="A260" s="6739" t="s">
        <v>2477</v>
      </c>
      <c r="B260" s="6739"/>
      <c r="C260" s="6493" t="s">
        <v>24</v>
      </c>
      <c r="D260" s="6468"/>
      <c r="E260" s="6469"/>
      <c r="F260" s="6550" t="s">
        <v>30</v>
      </c>
      <c r="G260" s="6550"/>
      <c r="H260" s="6550"/>
      <c r="I260" s="6550"/>
      <c r="J260" s="6550"/>
      <c r="K260" s="6550"/>
      <c r="L260" s="6550"/>
      <c r="M260" s="6550"/>
      <c r="N260" s="6550"/>
      <c r="O260" s="6550"/>
      <c r="P260" s="6741" t="s">
        <v>3929</v>
      </c>
      <c r="Q260" s="6419"/>
      <c r="R260" s="6419"/>
    </row>
    <row r="261" spans="1:49" ht="15" customHeight="1" x14ac:dyDescent="0.25">
      <c r="A261" s="6739"/>
      <c r="B261" s="6739"/>
      <c r="C261" s="6601"/>
      <c r="D261" s="6476"/>
      <c r="E261" s="6602"/>
      <c r="F261" s="6494" t="s">
        <v>36</v>
      </c>
      <c r="G261" s="6535"/>
      <c r="H261" s="6494" t="s">
        <v>37</v>
      </c>
      <c r="I261" s="6535"/>
      <c r="J261" s="6494" t="s">
        <v>38</v>
      </c>
      <c r="K261" s="6535"/>
      <c r="L261" s="6608" t="s">
        <v>4</v>
      </c>
      <c r="M261" s="6610"/>
      <c r="N261" s="6625" t="s">
        <v>5</v>
      </c>
      <c r="O261" s="6610"/>
      <c r="P261" s="6742"/>
      <c r="Q261" s="6424"/>
      <c r="R261" s="6740"/>
    </row>
    <row r="262" spans="1:49" ht="15" customHeight="1" x14ac:dyDescent="0.25">
      <c r="A262" s="6739"/>
      <c r="B262" s="6739"/>
      <c r="C262" s="4807" t="s">
        <v>26</v>
      </c>
      <c r="D262" s="3546" t="s">
        <v>22</v>
      </c>
      <c r="E262" s="1781" t="s">
        <v>27</v>
      </c>
      <c r="F262" s="2020" t="s">
        <v>22</v>
      </c>
      <c r="G262" s="1781" t="s">
        <v>27</v>
      </c>
      <c r="H262" s="2020" t="s">
        <v>22</v>
      </c>
      <c r="I262" s="1781" t="s">
        <v>27</v>
      </c>
      <c r="J262" s="2020" t="s">
        <v>22</v>
      </c>
      <c r="K262" s="1781" t="s">
        <v>27</v>
      </c>
      <c r="L262" s="3242" t="s">
        <v>22</v>
      </c>
      <c r="M262" s="3547" t="s">
        <v>27</v>
      </c>
      <c r="N262" s="3249" t="s">
        <v>22</v>
      </c>
      <c r="O262" s="3393" t="s">
        <v>27</v>
      </c>
      <c r="P262" s="6743"/>
      <c r="Q262" s="6424"/>
      <c r="R262" s="6740"/>
    </row>
    <row r="263" spans="1:49" ht="15" customHeight="1" x14ac:dyDescent="0.25">
      <c r="A263" s="6791" t="s">
        <v>2554</v>
      </c>
      <c r="B263" s="3548" t="s">
        <v>2630</v>
      </c>
      <c r="C263" s="4806">
        <f t="shared" ref="C263:C268" si="74">SUM(D263:E263)</f>
        <v>0</v>
      </c>
      <c r="D263" s="3395">
        <f t="shared" ref="D263:E268" si="75">+F263+H263+J263+L263+N263</f>
        <v>0</v>
      </c>
      <c r="E263" s="3284">
        <f t="shared" si="75"/>
        <v>0</v>
      </c>
      <c r="F263" s="3349"/>
      <c r="G263" s="3217"/>
      <c r="H263" s="3216"/>
      <c r="I263" s="3217"/>
      <c r="J263" s="3216"/>
      <c r="K263" s="3217"/>
      <c r="L263" s="3216"/>
      <c r="M263" s="3217"/>
      <c r="N263" s="3349"/>
      <c r="O263" s="3217"/>
      <c r="P263" s="6421"/>
      <c r="Q263" s="6420"/>
      <c r="R263" s="6420"/>
    </row>
    <row r="264" spans="1:49" ht="15" customHeight="1" x14ac:dyDescent="0.25">
      <c r="A264" s="6792"/>
      <c r="B264" s="3549" t="s">
        <v>2556</v>
      </c>
      <c r="C264" s="2190">
        <f t="shared" si="74"/>
        <v>0</v>
      </c>
      <c r="D264" s="3396">
        <f t="shared" si="75"/>
        <v>0</v>
      </c>
      <c r="E264" s="143">
        <f t="shared" si="75"/>
        <v>0</v>
      </c>
      <c r="F264" s="3232"/>
      <c r="G264" s="630"/>
      <c r="H264" s="620"/>
      <c r="I264" s="630"/>
      <c r="J264" s="620"/>
      <c r="K264" s="630"/>
      <c r="L264" s="620"/>
      <c r="M264" s="630"/>
      <c r="N264" s="3232"/>
      <c r="O264" s="630"/>
      <c r="P264" s="6422"/>
      <c r="Q264" s="6420"/>
      <c r="R264" s="6420"/>
    </row>
    <row r="265" spans="1:49" ht="15" customHeight="1" x14ac:dyDescent="0.25">
      <c r="A265" s="6793"/>
      <c r="B265" s="3550" t="s">
        <v>2557</v>
      </c>
      <c r="C265" s="4816">
        <f t="shared" si="74"/>
        <v>0</v>
      </c>
      <c r="D265" s="2483">
        <f t="shared" si="75"/>
        <v>0</v>
      </c>
      <c r="E265" s="3472">
        <f t="shared" si="75"/>
        <v>0</v>
      </c>
      <c r="F265" s="121"/>
      <c r="G265" s="3124"/>
      <c r="H265" s="3112"/>
      <c r="I265" s="3124"/>
      <c r="J265" s="3112"/>
      <c r="K265" s="3124"/>
      <c r="L265" s="3112"/>
      <c r="M265" s="3124"/>
      <c r="N265" s="121"/>
      <c r="O265" s="3124"/>
      <c r="P265" s="6425"/>
      <c r="Q265" s="6420"/>
      <c r="R265" s="6420"/>
    </row>
    <row r="266" spans="1:49" ht="15" customHeight="1" x14ac:dyDescent="0.25">
      <c r="A266" s="6791" t="s">
        <v>2558</v>
      </c>
      <c r="B266" s="3548" t="s">
        <v>2630</v>
      </c>
      <c r="C266" s="4806">
        <f t="shared" si="74"/>
        <v>0</v>
      </c>
      <c r="D266" s="3395">
        <f t="shared" si="75"/>
        <v>0</v>
      </c>
      <c r="E266" s="3284">
        <f t="shared" si="75"/>
        <v>0</v>
      </c>
      <c r="F266" s="3349"/>
      <c r="G266" s="3217"/>
      <c r="H266" s="3216"/>
      <c r="I266" s="3217"/>
      <c r="J266" s="3216"/>
      <c r="K266" s="3217"/>
      <c r="L266" s="3216"/>
      <c r="M266" s="3217"/>
      <c r="N266" s="3349"/>
      <c r="O266" s="5894"/>
      <c r="P266" s="6429"/>
    </row>
    <row r="267" spans="1:49" ht="15" customHeight="1" x14ac:dyDescent="0.25">
      <c r="A267" s="6792"/>
      <c r="B267" s="3549" t="s">
        <v>2556</v>
      </c>
      <c r="C267" s="2190">
        <f t="shared" si="74"/>
        <v>0</v>
      </c>
      <c r="D267" s="3396">
        <f t="shared" si="75"/>
        <v>0</v>
      </c>
      <c r="E267" s="143">
        <f t="shared" si="75"/>
        <v>0</v>
      </c>
      <c r="F267" s="3232"/>
      <c r="G267" s="630"/>
      <c r="H267" s="620"/>
      <c r="I267" s="630"/>
      <c r="J267" s="620"/>
      <c r="K267" s="630"/>
      <c r="L267" s="620"/>
      <c r="M267" s="630"/>
      <c r="N267" s="3232"/>
      <c r="O267" s="5613"/>
      <c r="P267" s="6250"/>
    </row>
    <row r="268" spans="1:49" ht="15" customHeight="1" x14ac:dyDescent="0.25">
      <c r="A268" s="6793"/>
      <c r="B268" s="3550" t="s">
        <v>2557</v>
      </c>
      <c r="C268" s="4816">
        <f t="shared" si="74"/>
        <v>0</v>
      </c>
      <c r="D268" s="2483">
        <f t="shared" si="75"/>
        <v>0</v>
      </c>
      <c r="E268" s="3472">
        <f t="shared" si="75"/>
        <v>0</v>
      </c>
      <c r="F268" s="121"/>
      <c r="G268" s="3124"/>
      <c r="H268" s="3112"/>
      <c r="I268" s="3124"/>
      <c r="J268" s="3112"/>
      <c r="K268" s="3124"/>
      <c r="L268" s="3112"/>
      <c r="M268" s="3124"/>
      <c r="N268" s="121"/>
      <c r="O268" s="3333"/>
      <c r="P268" s="6428"/>
    </row>
    <row r="269" spans="1:49" ht="18" customHeight="1" x14ac:dyDescent="0.25">
      <c r="A269" s="6105" t="s">
        <v>2631</v>
      </c>
      <c r="B269" s="6106"/>
      <c r="C269" s="6106"/>
      <c r="D269" s="6106"/>
      <c r="E269" s="6106"/>
      <c r="F269" s="6107"/>
      <c r="G269" s="6107"/>
      <c r="H269" s="6107"/>
      <c r="I269" s="6107"/>
      <c r="J269" s="6107"/>
      <c r="K269" s="6107"/>
      <c r="L269" s="6107"/>
      <c r="M269" s="6107"/>
      <c r="N269" s="6107"/>
      <c r="O269" s="6107"/>
      <c r="P269" s="6107"/>
      <c r="Q269" s="6107"/>
      <c r="R269" s="6107"/>
      <c r="S269" s="6107"/>
      <c r="T269" s="6107"/>
      <c r="U269" s="6107"/>
      <c r="V269" s="6107"/>
      <c r="W269" s="6107"/>
      <c r="X269" s="6107"/>
      <c r="Y269" s="6107"/>
      <c r="Z269" s="6107"/>
      <c r="AA269" s="6107"/>
      <c r="AB269" s="6107"/>
      <c r="AC269" s="6107"/>
      <c r="AD269" s="6107"/>
      <c r="AE269" s="6107"/>
      <c r="AF269" s="6107"/>
      <c r="AG269" s="6107"/>
      <c r="AH269" s="6107"/>
      <c r="AI269" s="6107"/>
      <c r="AJ269" s="6107"/>
      <c r="AK269" s="6107"/>
      <c r="AL269" s="6107"/>
      <c r="AM269" s="6107"/>
      <c r="AN269" s="6107"/>
      <c r="AO269" s="6107"/>
      <c r="AP269" s="6107"/>
      <c r="AQ269" s="6107"/>
      <c r="AR269" s="6107"/>
      <c r="AS269" s="6107"/>
      <c r="AT269" s="6107"/>
      <c r="AU269" s="6107"/>
      <c r="AV269" s="6107"/>
      <c r="AW269" s="6107"/>
    </row>
    <row r="270" spans="1:49" x14ac:dyDescent="0.25">
      <c r="A270" s="6744" t="s">
        <v>58</v>
      </c>
      <c r="B270" s="6744" t="s">
        <v>61</v>
      </c>
      <c r="C270" s="6747" t="s">
        <v>59</v>
      </c>
      <c r="D270" s="6748"/>
      <c r="E270" s="6749"/>
      <c r="F270" s="6760" t="s">
        <v>30</v>
      </c>
      <c r="G270" s="6754"/>
      <c r="H270" s="6754"/>
      <c r="I270" s="6754"/>
      <c r="J270" s="6754"/>
      <c r="K270" s="6754"/>
      <c r="L270" s="6754"/>
      <c r="M270" s="6754"/>
      <c r="N270" s="6754"/>
      <c r="O270" s="6754"/>
      <c r="P270" s="6754"/>
      <c r="Q270" s="6754"/>
      <c r="R270" s="6754"/>
      <c r="S270" s="6754"/>
      <c r="T270" s="6754"/>
      <c r="U270" s="6754"/>
      <c r="V270" s="6754"/>
      <c r="W270" s="6754"/>
      <c r="X270" s="6754"/>
      <c r="Y270" s="6754"/>
      <c r="Z270" s="6754"/>
      <c r="AA270" s="6754"/>
      <c r="AB270" s="6754"/>
      <c r="AC270" s="6754"/>
      <c r="AD270" s="6754"/>
      <c r="AE270" s="6754"/>
      <c r="AF270" s="6754"/>
      <c r="AG270" s="6754"/>
      <c r="AH270" s="6754"/>
      <c r="AI270" s="6754"/>
      <c r="AJ270" s="6754"/>
      <c r="AK270" s="6754"/>
      <c r="AL270" s="6754"/>
      <c r="AM270" s="6755"/>
      <c r="AN270" s="6753" t="s">
        <v>2632</v>
      </c>
      <c r="AO270" s="6754"/>
      <c r="AP270" s="6754"/>
      <c r="AQ270" s="6754"/>
      <c r="AR270" s="6754"/>
      <c r="AS270" s="6754"/>
      <c r="AT270" s="6754"/>
      <c r="AU270" s="6755"/>
      <c r="AV270" s="6749" t="s">
        <v>1388</v>
      </c>
      <c r="AW270" s="6757" t="s">
        <v>2</v>
      </c>
    </row>
    <row r="271" spans="1:49" ht="21.6" customHeight="1" x14ac:dyDescent="0.25">
      <c r="A271" s="6745"/>
      <c r="B271" s="6745"/>
      <c r="C271" s="6750"/>
      <c r="D271" s="6751"/>
      <c r="E271" s="6752"/>
      <c r="F271" s="6760" t="s">
        <v>36</v>
      </c>
      <c r="G271" s="6761"/>
      <c r="H271" s="6760" t="s">
        <v>37</v>
      </c>
      <c r="I271" s="6761"/>
      <c r="J271" s="6760" t="s">
        <v>38</v>
      </c>
      <c r="K271" s="6761"/>
      <c r="L271" s="6760" t="s">
        <v>4</v>
      </c>
      <c r="M271" s="6761"/>
      <c r="N271" s="6760" t="s">
        <v>5</v>
      </c>
      <c r="O271" s="6761"/>
      <c r="P271" s="6732" t="s">
        <v>6</v>
      </c>
      <c r="Q271" s="6733"/>
      <c r="R271" s="6732" t="s">
        <v>7</v>
      </c>
      <c r="S271" s="6733"/>
      <c r="T271" s="6732" t="s">
        <v>8</v>
      </c>
      <c r="U271" s="6733"/>
      <c r="V271" s="6732" t="s">
        <v>9</v>
      </c>
      <c r="W271" s="6733"/>
      <c r="X271" s="6732" t="s">
        <v>10</v>
      </c>
      <c r="Y271" s="6733"/>
      <c r="Z271" s="6732" t="s">
        <v>11</v>
      </c>
      <c r="AA271" s="6733"/>
      <c r="AB271" s="6732" t="s">
        <v>18</v>
      </c>
      <c r="AC271" s="6733"/>
      <c r="AD271" s="6732" t="s">
        <v>19</v>
      </c>
      <c r="AE271" s="6733"/>
      <c r="AF271" s="6732" t="s">
        <v>20</v>
      </c>
      <c r="AG271" s="6733"/>
      <c r="AH271" s="6732" t="s">
        <v>70</v>
      </c>
      <c r="AI271" s="6733"/>
      <c r="AJ271" s="6732" t="s">
        <v>71</v>
      </c>
      <c r="AK271" s="6733"/>
      <c r="AL271" s="6732" t="s">
        <v>32</v>
      </c>
      <c r="AM271" s="6762"/>
      <c r="AN271" s="6753" t="s">
        <v>50</v>
      </c>
      <c r="AO271" s="6761"/>
      <c r="AP271" s="6760" t="s">
        <v>2633</v>
      </c>
      <c r="AQ271" s="6761"/>
      <c r="AR271" s="6760" t="s">
        <v>2634</v>
      </c>
      <c r="AS271" s="6761"/>
      <c r="AT271" s="6760" t="s">
        <v>2635</v>
      </c>
      <c r="AU271" s="6755"/>
      <c r="AV271" s="6756"/>
      <c r="AW271" s="6758"/>
    </row>
    <row r="272" spans="1:49" x14ac:dyDescent="0.25">
      <c r="A272" s="6746"/>
      <c r="B272" s="6746"/>
      <c r="C272" s="6109" t="s">
        <v>26</v>
      </c>
      <c r="D272" s="6110" t="s">
        <v>22</v>
      </c>
      <c r="E272" s="6108" t="s">
        <v>27</v>
      </c>
      <c r="F272" s="6111" t="s">
        <v>22</v>
      </c>
      <c r="G272" s="6108" t="s">
        <v>27</v>
      </c>
      <c r="H272" s="6111" t="s">
        <v>22</v>
      </c>
      <c r="I272" s="6108" t="s">
        <v>27</v>
      </c>
      <c r="J272" s="6111" t="s">
        <v>22</v>
      </c>
      <c r="K272" s="6108" t="s">
        <v>27</v>
      </c>
      <c r="L272" s="6111" t="s">
        <v>22</v>
      </c>
      <c r="M272" s="6108" t="s">
        <v>27</v>
      </c>
      <c r="N272" s="6111" t="s">
        <v>22</v>
      </c>
      <c r="O272" s="6108" t="s">
        <v>27</v>
      </c>
      <c r="P272" s="6111" t="s">
        <v>22</v>
      </c>
      <c r="Q272" s="6108" t="s">
        <v>27</v>
      </c>
      <c r="R272" s="6111" t="s">
        <v>22</v>
      </c>
      <c r="S272" s="6108" t="s">
        <v>27</v>
      </c>
      <c r="T272" s="6111" t="s">
        <v>22</v>
      </c>
      <c r="U272" s="6108" t="s">
        <v>27</v>
      </c>
      <c r="V272" s="6111" t="s">
        <v>22</v>
      </c>
      <c r="W272" s="6108" t="s">
        <v>27</v>
      </c>
      <c r="X272" s="6111" t="s">
        <v>22</v>
      </c>
      <c r="Y272" s="6108" t="s">
        <v>27</v>
      </c>
      <c r="Z272" s="6111" t="s">
        <v>22</v>
      </c>
      <c r="AA272" s="6108" t="s">
        <v>27</v>
      </c>
      <c r="AB272" s="6111" t="s">
        <v>22</v>
      </c>
      <c r="AC272" s="6108" t="s">
        <v>27</v>
      </c>
      <c r="AD272" s="6111" t="s">
        <v>22</v>
      </c>
      <c r="AE272" s="6108" t="s">
        <v>27</v>
      </c>
      <c r="AF272" s="6111" t="s">
        <v>22</v>
      </c>
      <c r="AG272" s="6108" t="s">
        <v>27</v>
      </c>
      <c r="AH272" s="6111" t="s">
        <v>22</v>
      </c>
      <c r="AI272" s="6108" t="s">
        <v>27</v>
      </c>
      <c r="AJ272" s="6111" t="s">
        <v>22</v>
      </c>
      <c r="AK272" s="6108" t="s">
        <v>27</v>
      </c>
      <c r="AL272" s="6111" t="s">
        <v>22</v>
      </c>
      <c r="AM272" s="6112" t="s">
        <v>27</v>
      </c>
      <c r="AN272" s="6111" t="s">
        <v>22</v>
      </c>
      <c r="AO272" s="6108" t="s">
        <v>27</v>
      </c>
      <c r="AP272" s="6111" t="s">
        <v>22</v>
      </c>
      <c r="AQ272" s="6108" t="s">
        <v>27</v>
      </c>
      <c r="AR272" s="6111" t="s">
        <v>22</v>
      </c>
      <c r="AS272" s="6108" t="s">
        <v>27</v>
      </c>
      <c r="AT272" s="6111" t="s">
        <v>22</v>
      </c>
      <c r="AU272" s="6112" t="s">
        <v>27</v>
      </c>
      <c r="AV272" s="6752"/>
      <c r="AW272" s="6759"/>
    </row>
    <row r="273" spans="1:90" ht="15" customHeight="1" x14ac:dyDescent="0.25">
      <c r="A273" s="6788" t="s">
        <v>2636</v>
      </c>
      <c r="B273" s="6113" t="s">
        <v>62</v>
      </c>
      <c r="C273" s="6114">
        <f t="shared" ref="C273:C321" si="76">SUM(D273,E273)</f>
        <v>0</v>
      </c>
      <c r="D273" s="6115">
        <f t="shared" ref="D273:E304" si="77">SUM(F273,H273,J273,L273,N273,P273,R273,T273,V273,X273,Z273,AB273,AD273,AF273,AH273,AJ273,AL273)</f>
        <v>0</v>
      </c>
      <c r="E273" s="6116">
        <f t="shared" si="77"/>
        <v>0</v>
      </c>
      <c r="F273" s="6213"/>
      <c r="G273" s="6214"/>
      <c r="H273" s="6213"/>
      <c r="I273" s="6214"/>
      <c r="J273" s="6213"/>
      <c r="K273" s="6214"/>
      <c r="L273" s="6213"/>
      <c r="M273" s="6214"/>
      <c r="N273" s="6213"/>
      <c r="O273" s="6214"/>
      <c r="P273" s="6213"/>
      <c r="Q273" s="6214"/>
      <c r="R273" s="6213"/>
      <c r="S273" s="6214"/>
      <c r="T273" s="6213"/>
      <c r="U273" s="6214"/>
      <c r="V273" s="6213"/>
      <c r="W273" s="6214"/>
      <c r="X273" s="6213"/>
      <c r="Y273" s="6214"/>
      <c r="Z273" s="6213"/>
      <c r="AA273" s="6214"/>
      <c r="AB273" s="6213"/>
      <c r="AC273" s="6214"/>
      <c r="AD273" s="6213"/>
      <c r="AE273" s="6214"/>
      <c r="AF273" s="6213"/>
      <c r="AG273" s="6214"/>
      <c r="AH273" s="6213"/>
      <c r="AI273" s="6214"/>
      <c r="AJ273" s="6213"/>
      <c r="AK273" s="6214"/>
      <c r="AL273" s="6213"/>
      <c r="AM273" s="6215"/>
      <c r="AN273" s="6216"/>
      <c r="AO273" s="6216"/>
      <c r="AP273" s="6213"/>
      <c r="AQ273" s="6214"/>
      <c r="AR273" s="6213"/>
      <c r="AS273" s="6214"/>
      <c r="AT273" s="6213"/>
      <c r="AU273" s="6215"/>
      <c r="AV273" s="6217"/>
      <c r="AW273" s="6218"/>
      <c r="AX273" s="1755" t="str">
        <f>$CA273&amp;CB273</f>
        <v/>
      </c>
      <c r="CA273" s="2873" t="str">
        <f>IF(AND($C273&lt;&gt;0,AV273=""),"* No olvide ingresar la columna "&amp;AV$270&amp;""&amp;" (Digite CERO si no tiene).  ",IF(AV273&gt;$C273,"* El Número de Niños, Niñas, Adolescentes y Jóvenes SENAME no puede superar el Total. ",""))</f>
        <v/>
      </c>
      <c r="CB273" s="2873" t="str">
        <f>IF(AND($C273&lt;&gt;0,AW273=""),"* No olvide ingresar la columna "&amp;AW$270&amp;""&amp;" (Digite CERO si no tiene).  ",IF(AW273&gt;$C273,"* El Número de Pueblos Originarios no puede superar el Total. ",""))</f>
        <v/>
      </c>
      <c r="CC273" s="2718"/>
      <c r="CD273" s="2718"/>
      <c r="CK273" s="1793">
        <f>IF(AND($C273&lt;&gt;0,AV273=""),1,IF(AV273&gt;$C273,1,0))</f>
        <v>0</v>
      </c>
      <c r="CL273" s="1793">
        <f>IF(AND($C273&lt;&gt;0,AW273=""),1,IF(AW273&gt;$C273,1,0))</f>
        <v>0</v>
      </c>
    </row>
    <row r="274" spans="1:90" ht="15" customHeight="1" x14ac:dyDescent="0.25">
      <c r="A274" s="6789"/>
      <c r="B274" s="6117" t="s">
        <v>75</v>
      </c>
      <c r="C274" s="6118">
        <f t="shared" si="76"/>
        <v>0</v>
      </c>
      <c r="D274" s="6119">
        <f t="shared" si="77"/>
        <v>0</v>
      </c>
      <c r="E274" s="6120">
        <f t="shared" si="77"/>
        <v>0</v>
      </c>
      <c r="F274" s="6219"/>
      <c r="G274" s="6220"/>
      <c r="H274" s="6219"/>
      <c r="I274" s="6220"/>
      <c r="J274" s="6219"/>
      <c r="K274" s="6220"/>
      <c r="L274" s="6219"/>
      <c r="M274" s="6220"/>
      <c r="N274" s="6219"/>
      <c r="O274" s="6220"/>
      <c r="P274" s="6219"/>
      <c r="Q274" s="6220"/>
      <c r="R274" s="6219"/>
      <c r="S274" s="6220"/>
      <c r="T274" s="6219"/>
      <c r="U274" s="6220"/>
      <c r="V274" s="6219"/>
      <c r="W274" s="6220"/>
      <c r="X274" s="6219"/>
      <c r="Y274" s="6220"/>
      <c r="Z274" s="6219"/>
      <c r="AA274" s="6220"/>
      <c r="AB274" s="6219"/>
      <c r="AC274" s="6220"/>
      <c r="AD274" s="6219"/>
      <c r="AE274" s="6220"/>
      <c r="AF274" s="6219"/>
      <c r="AG274" s="6220"/>
      <c r="AH274" s="6219"/>
      <c r="AI274" s="6220"/>
      <c r="AJ274" s="6219"/>
      <c r="AK274" s="6220"/>
      <c r="AL274" s="6219"/>
      <c r="AM274" s="6221"/>
      <c r="AN274" s="6118"/>
      <c r="AO274" s="6118"/>
      <c r="AP274" s="6219"/>
      <c r="AQ274" s="6220"/>
      <c r="AR274" s="6219"/>
      <c r="AS274" s="6220"/>
      <c r="AT274" s="6219"/>
      <c r="AU274" s="6221"/>
      <c r="AV274" s="6222"/>
      <c r="AW274" s="6121"/>
      <c r="AX274" s="1755" t="str">
        <f>$CA274&amp;CB274</f>
        <v/>
      </c>
      <c r="CA274" s="2873" t="str">
        <f>IF(AND($C274&lt;&gt;0,AV274=""),"* No olvide ingresar la columna "&amp;AV$270&amp;""&amp;" (Digite CERO si no tiene).  ",IF(AV274&gt;$C274,"* El Número de Niños, Niñas, Adolescentes y Jóvenes SENAME no puede superar el Total. ",""))</f>
        <v/>
      </c>
      <c r="CB274" s="2873" t="str">
        <f>IF(AND($C274&lt;&gt;0,AW274=""),"* No olvide ingresar la columna "&amp;AW$270&amp;""&amp;" (Digite CERO si no tiene).  ",IF(AW274&gt;$C274,"* El Número de Pueblos Originarios no puede superar el Total. ",""))</f>
        <v/>
      </c>
      <c r="CC274" s="2718"/>
      <c r="CD274" s="2718"/>
      <c r="CK274" s="1793">
        <f>IF(AND($C274&lt;&gt;0,AV274=""),1,IF(AV274&gt;$C274,1,0))</f>
        <v>0</v>
      </c>
      <c r="CL274" s="1793">
        <f>IF(AND($C274&lt;&gt;0,AW274=""),1,IF(AW274&gt;$C274,1,0))</f>
        <v>0</v>
      </c>
    </row>
    <row r="275" spans="1:90" ht="15" customHeight="1" x14ac:dyDescent="0.25">
      <c r="A275" s="6790"/>
      <c r="B275" s="6122" t="s">
        <v>2637</v>
      </c>
      <c r="C275" s="6123">
        <f t="shared" si="76"/>
        <v>0</v>
      </c>
      <c r="D275" s="6124">
        <f t="shared" si="77"/>
        <v>0</v>
      </c>
      <c r="E275" s="6125">
        <f t="shared" si="77"/>
        <v>0</v>
      </c>
      <c r="F275" s="6223">
        <f t="shared" ref="F275:AW275" si="78">SUM(F273:F274)</f>
        <v>0</v>
      </c>
      <c r="G275" s="6224">
        <f t="shared" si="78"/>
        <v>0</v>
      </c>
      <c r="H275" s="6223">
        <f t="shared" si="78"/>
        <v>0</v>
      </c>
      <c r="I275" s="6224">
        <f t="shared" si="78"/>
        <v>0</v>
      </c>
      <c r="J275" s="6223">
        <f t="shared" si="78"/>
        <v>0</v>
      </c>
      <c r="K275" s="6225">
        <f t="shared" si="78"/>
        <v>0</v>
      </c>
      <c r="L275" s="6223">
        <f t="shared" si="78"/>
        <v>0</v>
      </c>
      <c r="M275" s="6225">
        <f t="shared" si="78"/>
        <v>0</v>
      </c>
      <c r="N275" s="6223">
        <f t="shared" si="78"/>
        <v>0</v>
      </c>
      <c r="O275" s="6225">
        <f t="shared" si="78"/>
        <v>0</v>
      </c>
      <c r="P275" s="6223">
        <f t="shared" si="78"/>
        <v>0</v>
      </c>
      <c r="Q275" s="6225">
        <f t="shared" si="78"/>
        <v>0</v>
      </c>
      <c r="R275" s="6223">
        <f t="shared" si="78"/>
        <v>0</v>
      </c>
      <c r="S275" s="6225">
        <f t="shared" si="78"/>
        <v>0</v>
      </c>
      <c r="T275" s="6223">
        <f t="shared" si="78"/>
        <v>0</v>
      </c>
      <c r="U275" s="6225">
        <f t="shared" si="78"/>
        <v>0</v>
      </c>
      <c r="V275" s="6223">
        <f t="shared" si="78"/>
        <v>0</v>
      </c>
      <c r="W275" s="6225">
        <f t="shared" si="78"/>
        <v>0</v>
      </c>
      <c r="X275" s="6223">
        <f t="shared" si="78"/>
        <v>0</v>
      </c>
      <c r="Y275" s="6225">
        <f t="shared" si="78"/>
        <v>0</v>
      </c>
      <c r="Z275" s="6223">
        <f t="shared" si="78"/>
        <v>0</v>
      </c>
      <c r="AA275" s="6225">
        <f t="shared" si="78"/>
        <v>0</v>
      </c>
      <c r="AB275" s="6223">
        <f t="shared" si="78"/>
        <v>0</v>
      </c>
      <c r="AC275" s="6225">
        <f t="shared" si="78"/>
        <v>0</v>
      </c>
      <c r="AD275" s="6223">
        <f t="shared" si="78"/>
        <v>0</v>
      </c>
      <c r="AE275" s="6225">
        <f t="shared" si="78"/>
        <v>0</v>
      </c>
      <c r="AF275" s="6223">
        <f t="shared" si="78"/>
        <v>0</v>
      </c>
      <c r="AG275" s="6225">
        <f t="shared" si="78"/>
        <v>0</v>
      </c>
      <c r="AH275" s="6223">
        <f t="shared" si="78"/>
        <v>0</v>
      </c>
      <c r="AI275" s="6225">
        <f t="shared" si="78"/>
        <v>0</v>
      </c>
      <c r="AJ275" s="6223">
        <f t="shared" si="78"/>
        <v>0</v>
      </c>
      <c r="AK275" s="6225">
        <f t="shared" si="78"/>
        <v>0</v>
      </c>
      <c r="AL275" s="6226">
        <f t="shared" si="78"/>
        <v>0</v>
      </c>
      <c r="AM275" s="6227">
        <f t="shared" si="78"/>
        <v>0</v>
      </c>
      <c r="AN275" s="6228">
        <f t="shared" si="78"/>
        <v>0</v>
      </c>
      <c r="AO275" s="6228">
        <f t="shared" si="78"/>
        <v>0</v>
      </c>
      <c r="AP275" s="6223">
        <f t="shared" si="78"/>
        <v>0</v>
      </c>
      <c r="AQ275" s="6225">
        <f t="shared" si="78"/>
        <v>0</v>
      </c>
      <c r="AR275" s="6223">
        <f t="shared" si="78"/>
        <v>0</v>
      </c>
      <c r="AS275" s="6225">
        <f t="shared" si="78"/>
        <v>0</v>
      </c>
      <c r="AT275" s="6226">
        <f t="shared" si="78"/>
        <v>0</v>
      </c>
      <c r="AU275" s="6227">
        <f t="shared" si="78"/>
        <v>0</v>
      </c>
      <c r="AV275" s="6224">
        <f t="shared" si="78"/>
        <v>0</v>
      </c>
      <c r="AW275" s="6229">
        <f t="shared" si="78"/>
        <v>0</v>
      </c>
    </row>
    <row r="276" spans="1:90" ht="15" customHeight="1" x14ac:dyDescent="0.25">
      <c r="A276" s="6788" t="s">
        <v>2638</v>
      </c>
      <c r="B276" s="6113" t="s">
        <v>62</v>
      </c>
      <c r="C276" s="6114">
        <f t="shared" si="76"/>
        <v>0</v>
      </c>
      <c r="D276" s="6115">
        <f t="shared" si="77"/>
        <v>0</v>
      </c>
      <c r="E276" s="6116">
        <f t="shared" si="77"/>
        <v>0</v>
      </c>
      <c r="F276" s="6213"/>
      <c r="G276" s="6214"/>
      <c r="H276" s="6213"/>
      <c r="I276" s="6214"/>
      <c r="J276" s="6213"/>
      <c r="K276" s="6214"/>
      <c r="L276" s="6213"/>
      <c r="M276" s="6214"/>
      <c r="N276" s="6213"/>
      <c r="O276" s="6214"/>
      <c r="P276" s="6213"/>
      <c r="Q276" s="6214"/>
      <c r="R276" s="6213"/>
      <c r="S276" s="6214"/>
      <c r="T276" s="6213"/>
      <c r="U276" s="6214"/>
      <c r="V276" s="6213"/>
      <c r="W276" s="6214"/>
      <c r="X276" s="6213"/>
      <c r="Y276" s="6214"/>
      <c r="Z276" s="6213"/>
      <c r="AA276" s="6214"/>
      <c r="AB276" s="6213"/>
      <c r="AC276" s="6214"/>
      <c r="AD276" s="6213"/>
      <c r="AE276" s="6214"/>
      <c r="AF276" s="6213"/>
      <c r="AG276" s="6214"/>
      <c r="AH276" s="6213"/>
      <c r="AI276" s="6214"/>
      <c r="AJ276" s="6213"/>
      <c r="AK276" s="6214"/>
      <c r="AL276" s="6213"/>
      <c r="AM276" s="6215"/>
      <c r="AN276" s="6230"/>
      <c r="AO276" s="6230"/>
      <c r="AP276" s="6231"/>
      <c r="AQ276" s="6232"/>
      <c r="AR276" s="6231"/>
      <c r="AS276" s="6232"/>
      <c r="AT276" s="6231"/>
      <c r="AU276" s="6233"/>
      <c r="AV276" s="6234"/>
      <c r="AW276" s="6235"/>
    </row>
    <row r="277" spans="1:90" ht="15" customHeight="1" x14ac:dyDescent="0.25">
      <c r="A277" s="6789"/>
      <c r="B277" s="6117" t="s">
        <v>75</v>
      </c>
      <c r="C277" s="6118">
        <f t="shared" si="76"/>
        <v>0</v>
      </c>
      <c r="D277" s="6119">
        <f t="shared" si="77"/>
        <v>0</v>
      </c>
      <c r="E277" s="6120">
        <f t="shared" si="77"/>
        <v>0</v>
      </c>
      <c r="F277" s="6219"/>
      <c r="G277" s="6220"/>
      <c r="H277" s="6219"/>
      <c r="I277" s="6220"/>
      <c r="J277" s="6219"/>
      <c r="K277" s="6220"/>
      <c r="L277" s="6219"/>
      <c r="M277" s="6220"/>
      <c r="N277" s="6219"/>
      <c r="O277" s="6220"/>
      <c r="P277" s="6219"/>
      <c r="Q277" s="6220"/>
      <c r="R277" s="6219"/>
      <c r="S277" s="6220"/>
      <c r="T277" s="6219"/>
      <c r="U277" s="6220"/>
      <c r="V277" s="6219"/>
      <c r="W277" s="6220"/>
      <c r="X277" s="6219"/>
      <c r="Y277" s="6220"/>
      <c r="Z277" s="6219"/>
      <c r="AA277" s="6220"/>
      <c r="AB277" s="6219"/>
      <c r="AC277" s="6220"/>
      <c r="AD277" s="6219"/>
      <c r="AE277" s="6220"/>
      <c r="AF277" s="6219"/>
      <c r="AG277" s="6220"/>
      <c r="AH277" s="6219"/>
      <c r="AI277" s="6220"/>
      <c r="AJ277" s="6219"/>
      <c r="AK277" s="6220"/>
      <c r="AL277" s="6219"/>
      <c r="AM277" s="6221"/>
      <c r="AN277" s="6236"/>
      <c r="AO277" s="6236"/>
      <c r="AP277" s="6237"/>
      <c r="AQ277" s="6238"/>
      <c r="AR277" s="6237"/>
      <c r="AS277" s="6238"/>
      <c r="AT277" s="6237"/>
      <c r="AU277" s="6239"/>
      <c r="AV277" s="6240"/>
      <c r="AW277" s="6241"/>
    </row>
    <row r="278" spans="1:90" ht="15" customHeight="1" x14ac:dyDescent="0.25">
      <c r="A278" s="6789"/>
      <c r="B278" s="6126" t="s">
        <v>2639</v>
      </c>
      <c r="C278" s="6127">
        <f t="shared" si="76"/>
        <v>0</v>
      </c>
      <c r="D278" s="6128">
        <f t="shared" si="77"/>
        <v>0</v>
      </c>
      <c r="E278" s="6129">
        <f t="shared" si="77"/>
        <v>0</v>
      </c>
      <c r="F278" s="6242"/>
      <c r="G278" s="6243"/>
      <c r="H278" s="6242"/>
      <c r="I278" s="6243"/>
      <c r="J278" s="6242"/>
      <c r="K278" s="6243"/>
      <c r="L278" s="6242"/>
      <c r="M278" s="6243"/>
      <c r="N278" s="6242"/>
      <c r="O278" s="6243"/>
      <c r="P278" s="6242"/>
      <c r="Q278" s="6243"/>
      <c r="R278" s="6242"/>
      <c r="S278" s="6243"/>
      <c r="T278" s="6242"/>
      <c r="U278" s="6243"/>
      <c r="V278" s="6242"/>
      <c r="W278" s="6243"/>
      <c r="X278" s="6242"/>
      <c r="Y278" s="6243"/>
      <c r="Z278" s="6242"/>
      <c r="AA278" s="6243"/>
      <c r="AB278" s="6242"/>
      <c r="AC278" s="6243"/>
      <c r="AD278" s="6242"/>
      <c r="AE278" s="6243"/>
      <c r="AF278" s="6242"/>
      <c r="AG278" s="6243"/>
      <c r="AH278" s="6242"/>
      <c r="AI278" s="6243"/>
      <c r="AJ278" s="6242"/>
      <c r="AK278" s="6243"/>
      <c r="AL278" s="6242"/>
      <c r="AM278" s="6244"/>
      <c r="AN278" s="6245"/>
      <c r="AO278" s="6245"/>
      <c r="AP278" s="6246"/>
      <c r="AQ278" s="6247"/>
      <c r="AR278" s="6246"/>
      <c r="AS278" s="6247"/>
      <c r="AT278" s="6246"/>
      <c r="AU278" s="6248"/>
      <c r="AV278" s="6249"/>
      <c r="AW278" s="6250"/>
    </row>
    <row r="279" spans="1:90" ht="15" customHeight="1" x14ac:dyDescent="0.25">
      <c r="A279" s="6789"/>
      <c r="B279" s="6126" t="s">
        <v>2640</v>
      </c>
      <c r="C279" s="6127">
        <f t="shared" si="76"/>
        <v>0</v>
      </c>
      <c r="D279" s="6128">
        <f t="shared" si="77"/>
        <v>0</v>
      </c>
      <c r="E279" s="6129">
        <f t="shared" si="77"/>
        <v>0</v>
      </c>
      <c r="F279" s="6242"/>
      <c r="G279" s="6243"/>
      <c r="H279" s="6242"/>
      <c r="I279" s="6243"/>
      <c r="J279" s="6242"/>
      <c r="K279" s="6243"/>
      <c r="L279" s="6242"/>
      <c r="M279" s="6243"/>
      <c r="N279" s="6242"/>
      <c r="O279" s="6243"/>
      <c r="P279" s="6242"/>
      <c r="Q279" s="6243"/>
      <c r="R279" s="6242"/>
      <c r="S279" s="6243"/>
      <c r="T279" s="6242"/>
      <c r="U279" s="6243"/>
      <c r="V279" s="6242"/>
      <c r="W279" s="6243"/>
      <c r="X279" s="6242"/>
      <c r="Y279" s="6243"/>
      <c r="Z279" s="6242"/>
      <c r="AA279" s="6243"/>
      <c r="AB279" s="6242"/>
      <c r="AC279" s="6243"/>
      <c r="AD279" s="6242"/>
      <c r="AE279" s="6243"/>
      <c r="AF279" s="6242"/>
      <c r="AG279" s="6243"/>
      <c r="AH279" s="6242"/>
      <c r="AI279" s="6243"/>
      <c r="AJ279" s="6242"/>
      <c r="AK279" s="6243"/>
      <c r="AL279" s="6242"/>
      <c r="AM279" s="6244"/>
      <c r="AN279" s="6245"/>
      <c r="AO279" s="6245"/>
      <c r="AP279" s="6246"/>
      <c r="AQ279" s="6247"/>
      <c r="AR279" s="6246"/>
      <c r="AS279" s="6247"/>
      <c r="AT279" s="6246"/>
      <c r="AU279" s="6248"/>
      <c r="AV279" s="6249"/>
      <c r="AW279" s="6250"/>
    </row>
    <row r="280" spans="1:90" ht="22.5" customHeight="1" x14ac:dyDescent="0.25">
      <c r="A280" s="6789"/>
      <c r="B280" s="6126" t="s">
        <v>2641</v>
      </c>
      <c r="C280" s="6127">
        <f t="shared" si="76"/>
        <v>0</v>
      </c>
      <c r="D280" s="6128">
        <f t="shared" si="77"/>
        <v>0</v>
      </c>
      <c r="E280" s="6129">
        <f t="shared" si="77"/>
        <v>0</v>
      </c>
      <c r="F280" s="6242"/>
      <c r="G280" s="6243"/>
      <c r="H280" s="6242"/>
      <c r="I280" s="6243"/>
      <c r="J280" s="6242"/>
      <c r="K280" s="6243"/>
      <c r="L280" s="6242"/>
      <c r="M280" s="6243"/>
      <c r="N280" s="6242"/>
      <c r="O280" s="6243"/>
      <c r="P280" s="6242"/>
      <c r="Q280" s="6243"/>
      <c r="R280" s="6242"/>
      <c r="S280" s="6243"/>
      <c r="T280" s="6242"/>
      <c r="U280" s="6243"/>
      <c r="V280" s="6242"/>
      <c r="W280" s="6243"/>
      <c r="X280" s="6242"/>
      <c r="Y280" s="6243"/>
      <c r="Z280" s="6242"/>
      <c r="AA280" s="6243"/>
      <c r="AB280" s="6242"/>
      <c r="AC280" s="6243"/>
      <c r="AD280" s="6242"/>
      <c r="AE280" s="6243"/>
      <c r="AF280" s="6242"/>
      <c r="AG280" s="6243"/>
      <c r="AH280" s="6242"/>
      <c r="AI280" s="6243"/>
      <c r="AJ280" s="6242"/>
      <c r="AK280" s="6243"/>
      <c r="AL280" s="6242"/>
      <c r="AM280" s="6244"/>
      <c r="AN280" s="6245"/>
      <c r="AO280" s="6245"/>
      <c r="AP280" s="6246"/>
      <c r="AQ280" s="6247"/>
      <c r="AR280" s="6246"/>
      <c r="AS280" s="6247"/>
      <c r="AT280" s="6246"/>
      <c r="AU280" s="6248"/>
      <c r="AV280" s="6249"/>
      <c r="AW280" s="6250"/>
    </row>
    <row r="281" spans="1:90" ht="15" customHeight="1" x14ac:dyDescent="0.25">
      <c r="A281" s="6789"/>
      <c r="B281" s="6126" t="s">
        <v>2642</v>
      </c>
      <c r="C281" s="6127">
        <f t="shared" si="76"/>
        <v>0</v>
      </c>
      <c r="D281" s="6128">
        <f t="shared" si="77"/>
        <v>0</v>
      </c>
      <c r="E281" s="6129">
        <f t="shared" si="77"/>
        <v>0</v>
      </c>
      <c r="F281" s="6242"/>
      <c r="G281" s="6243"/>
      <c r="H281" s="6242"/>
      <c r="I281" s="6243"/>
      <c r="J281" s="6242"/>
      <c r="K281" s="6243"/>
      <c r="L281" s="6242"/>
      <c r="M281" s="6243"/>
      <c r="N281" s="6242"/>
      <c r="O281" s="6243"/>
      <c r="P281" s="6242"/>
      <c r="Q281" s="6243"/>
      <c r="R281" s="6242"/>
      <c r="S281" s="6243"/>
      <c r="T281" s="6242"/>
      <c r="U281" s="6243"/>
      <c r="V281" s="6242"/>
      <c r="W281" s="6243"/>
      <c r="X281" s="6242"/>
      <c r="Y281" s="6243"/>
      <c r="Z281" s="6242"/>
      <c r="AA281" s="6243"/>
      <c r="AB281" s="6242"/>
      <c r="AC281" s="6243"/>
      <c r="AD281" s="6242"/>
      <c r="AE281" s="6243"/>
      <c r="AF281" s="6242"/>
      <c r="AG281" s="6243"/>
      <c r="AH281" s="6242"/>
      <c r="AI281" s="6243"/>
      <c r="AJ281" s="6242"/>
      <c r="AK281" s="6243"/>
      <c r="AL281" s="6242"/>
      <c r="AM281" s="6244"/>
      <c r="AN281" s="6245"/>
      <c r="AO281" s="6245"/>
      <c r="AP281" s="6246"/>
      <c r="AQ281" s="6247"/>
      <c r="AR281" s="6246"/>
      <c r="AS281" s="6247"/>
      <c r="AT281" s="6246"/>
      <c r="AU281" s="6248"/>
      <c r="AV281" s="6249"/>
      <c r="AW281" s="6250"/>
    </row>
    <row r="282" spans="1:90" ht="15" customHeight="1" x14ac:dyDescent="0.25">
      <c r="A282" s="6790"/>
      <c r="B282" s="6122" t="s">
        <v>2637</v>
      </c>
      <c r="C282" s="6123">
        <f t="shared" si="76"/>
        <v>0</v>
      </c>
      <c r="D282" s="6124">
        <f t="shared" si="77"/>
        <v>0</v>
      </c>
      <c r="E282" s="6125">
        <f t="shared" si="77"/>
        <v>0</v>
      </c>
      <c r="F282" s="6223">
        <f t="shared" ref="F282:AM282" si="79">SUM(F276:F281)</f>
        <v>0</v>
      </c>
      <c r="G282" s="6224">
        <f t="shared" si="79"/>
        <v>0</v>
      </c>
      <c r="H282" s="6223">
        <f t="shared" si="79"/>
        <v>0</v>
      </c>
      <c r="I282" s="6224">
        <f t="shared" si="79"/>
        <v>0</v>
      </c>
      <c r="J282" s="6223">
        <f t="shared" si="79"/>
        <v>0</v>
      </c>
      <c r="K282" s="6225">
        <f t="shared" si="79"/>
        <v>0</v>
      </c>
      <c r="L282" s="6223">
        <f t="shared" si="79"/>
        <v>0</v>
      </c>
      <c r="M282" s="6225">
        <f t="shared" si="79"/>
        <v>0</v>
      </c>
      <c r="N282" s="6223">
        <f t="shared" si="79"/>
        <v>0</v>
      </c>
      <c r="O282" s="6225">
        <f t="shared" si="79"/>
        <v>0</v>
      </c>
      <c r="P282" s="6223">
        <f t="shared" si="79"/>
        <v>0</v>
      </c>
      <c r="Q282" s="6225">
        <f t="shared" si="79"/>
        <v>0</v>
      </c>
      <c r="R282" s="6223">
        <f t="shared" si="79"/>
        <v>0</v>
      </c>
      <c r="S282" s="6225">
        <f t="shared" si="79"/>
        <v>0</v>
      </c>
      <c r="T282" s="6223">
        <f t="shared" si="79"/>
        <v>0</v>
      </c>
      <c r="U282" s="6225">
        <f t="shared" si="79"/>
        <v>0</v>
      </c>
      <c r="V282" s="6223">
        <f t="shared" si="79"/>
        <v>0</v>
      </c>
      <c r="W282" s="6225">
        <f t="shared" si="79"/>
        <v>0</v>
      </c>
      <c r="X282" s="6223">
        <f t="shared" si="79"/>
        <v>0</v>
      </c>
      <c r="Y282" s="6225">
        <f t="shared" si="79"/>
        <v>0</v>
      </c>
      <c r="Z282" s="6223">
        <f t="shared" si="79"/>
        <v>0</v>
      </c>
      <c r="AA282" s="6225">
        <f t="shared" si="79"/>
        <v>0</v>
      </c>
      <c r="AB282" s="6223">
        <f t="shared" si="79"/>
        <v>0</v>
      </c>
      <c r="AC282" s="6225">
        <f t="shared" si="79"/>
        <v>0</v>
      </c>
      <c r="AD282" s="6223">
        <f t="shared" si="79"/>
        <v>0</v>
      </c>
      <c r="AE282" s="6225">
        <f t="shared" si="79"/>
        <v>0</v>
      </c>
      <c r="AF282" s="6223">
        <f t="shared" si="79"/>
        <v>0</v>
      </c>
      <c r="AG282" s="6225">
        <f t="shared" si="79"/>
        <v>0</v>
      </c>
      <c r="AH282" s="6223">
        <f t="shared" si="79"/>
        <v>0</v>
      </c>
      <c r="AI282" s="6225">
        <f t="shared" si="79"/>
        <v>0</v>
      </c>
      <c r="AJ282" s="6223">
        <f t="shared" si="79"/>
        <v>0</v>
      </c>
      <c r="AK282" s="6225">
        <f t="shared" si="79"/>
        <v>0</v>
      </c>
      <c r="AL282" s="6226">
        <f t="shared" si="79"/>
        <v>0</v>
      </c>
      <c r="AM282" s="6227">
        <f t="shared" si="79"/>
        <v>0</v>
      </c>
      <c r="AN282" s="6251"/>
      <c r="AO282" s="6251"/>
      <c r="AP282" s="6252"/>
      <c r="AQ282" s="6253"/>
      <c r="AR282" s="6252"/>
      <c r="AS282" s="6253"/>
      <c r="AT282" s="6254"/>
      <c r="AU282" s="6255"/>
      <c r="AV282" s="6256"/>
      <c r="AW282" s="6257"/>
    </row>
    <row r="283" spans="1:90" ht="15" customHeight="1" x14ac:dyDescent="0.25">
      <c r="A283" s="6788" t="s">
        <v>2643</v>
      </c>
      <c r="B283" s="6113" t="s">
        <v>62</v>
      </c>
      <c r="C283" s="6114">
        <f t="shared" si="76"/>
        <v>0</v>
      </c>
      <c r="D283" s="6115">
        <f t="shared" si="77"/>
        <v>0</v>
      </c>
      <c r="E283" s="6116">
        <f t="shared" si="77"/>
        <v>0</v>
      </c>
      <c r="F283" s="6213"/>
      <c r="G283" s="6214"/>
      <c r="H283" s="6213"/>
      <c r="I283" s="6214"/>
      <c r="J283" s="6213"/>
      <c r="K283" s="6214"/>
      <c r="L283" s="6213"/>
      <c r="M283" s="6214"/>
      <c r="N283" s="6213"/>
      <c r="O283" s="6214"/>
      <c r="P283" s="6213"/>
      <c r="Q283" s="6214"/>
      <c r="R283" s="6213"/>
      <c r="S283" s="6214"/>
      <c r="T283" s="6213"/>
      <c r="U283" s="6214"/>
      <c r="V283" s="6213"/>
      <c r="W283" s="6214"/>
      <c r="X283" s="6213"/>
      <c r="Y283" s="6214"/>
      <c r="Z283" s="6213"/>
      <c r="AA283" s="6214"/>
      <c r="AB283" s="6213"/>
      <c r="AC283" s="6214"/>
      <c r="AD283" s="6213"/>
      <c r="AE283" s="6214"/>
      <c r="AF283" s="6213"/>
      <c r="AG283" s="6214"/>
      <c r="AH283" s="6213"/>
      <c r="AI283" s="6214"/>
      <c r="AJ283" s="6213"/>
      <c r="AK283" s="6214"/>
      <c r="AL283" s="6213"/>
      <c r="AM283" s="6215"/>
      <c r="AN283" s="6230"/>
      <c r="AO283" s="6230"/>
      <c r="AP283" s="6231"/>
      <c r="AQ283" s="6232"/>
      <c r="AR283" s="6231"/>
      <c r="AS283" s="6232"/>
      <c r="AT283" s="6231"/>
      <c r="AU283" s="6233"/>
      <c r="AV283" s="6234"/>
      <c r="AW283" s="6235"/>
    </row>
    <row r="284" spans="1:90" ht="15" customHeight="1" x14ac:dyDescent="0.25">
      <c r="A284" s="6789"/>
      <c r="B284" s="6117" t="s">
        <v>75</v>
      </c>
      <c r="C284" s="6118">
        <f t="shared" si="76"/>
        <v>0</v>
      </c>
      <c r="D284" s="6119">
        <f t="shared" si="77"/>
        <v>0</v>
      </c>
      <c r="E284" s="6120">
        <f t="shared" si="77"/>
        <v>0</v>
      </c>
      <c r="F284" s="6219"/>
      <c r="G284" s="6220"/>
      <c r="H284" s="6219"/>
      <c r="I284" s="6220"/>
      <c r="J284" s="6219"/>
      <c r="K284" s="6220"/>
      <c r="L284" s="6219"/>
      <c r="M284" s="6220"/>
      <c r="N284" s="6219"/>
      <c r="O284" s="6220"/>
      <c r="P284" s="6219"/>
      <c r="Q284" s="6220"/>
      <c r="R284" s="6219"/>
      <c r="S284" s="6220"/>
      <c r="T284" s="6219"/>
      <c r="U284" s="6220"/>
      <c r="V284" s="6219"/>
      <c r="W284" s="6220"/>
      <c r="X284" s="6219"/>
      <c r="Y284" s="6220"/>
      <c r="Z284" s="6219"/>
      <c r="AA284" s="6220"/>
      <c r="AB284" s="6219"/>
      <c r="AC284" s="6220"/>
      <c r="AD284" s="6219"/>
      <c r="AE284" s="6220"/>
      <c r="AF284" s="6219"/>
      <c r="AG284" s="6220"/>
      <c r="AH284" s="6219"/>
      <c r="AI284" s="6220"/>
      <c r="AJ284" s="6219"/>
      <c r="AK284" s="6220"/>
      <c r="AL284" s="6219"/>
      <c r="AM284" s="6221"/>
      <c r="AN284" s="6236"/>
      <c r="AO284" s="6236"/>
      <c r="AP284" s="6237"/>
      <c r="AQ284" s="6238"/>
      <c r="AR284" s="6237"/>
      <c r="AS284" s="6238"/>
      <c r="AT284" s="6237"/>
      <c r="AU284" s="6239"/>
      <c r="AV284" s="6240"/>
      <c r="AW284" s="6241"/>
    </row>
    <row r="285" spans="1:90" ht="15" customHeight="1" x14ac:dyDescent="0.25">
      <c r="A285" s="6789"/>
      <c r="B285" s="6126" t="s">
        <v>2639</v>
      </c>
      <c r="C285" s="6127">
        <f t="shared" si="76"/>
        <v>0</v>
      </c>
      <c r="D285" s="6128">
        <f t="shared" si="77"/>
        <v>0</v>
      </c>
      <c r="E285" s="6129">
        <f t="shared" si="77"/>
        <v>0</v>
      </c>
      <c r="F285" s="6242"/>
      <c r="G285" s="6243"/>
      <c r="H285" s="6242"/>
      <c r="I285" s="6243"/>
      <c r="J285" s="6242"/>
      <c r="K285" s="6243"/>
      <c r="L285" s="6242"/>
      <c r="M285" s="6243"/>
      <c r="N285" s="6242"/>
      <c r="O285" s="6243"/>
      <c r="P285" s="6242"/>
      <c r="Q285" s="6243"/>
      <c r="R285" s="6242"/>
      <c r="S285" s="6243"/>
      <c r="T285" s="6242"/>
      <c r="U285" s="6243"/>
      <c r="V285" s="6242"/>
      <c r="W285" s="6243"/>
      <c r="X285" s="6242"/>
      <c r="Y285" s="6243"/>
      <c r="Z285" s="6242"/>
      <c r="AA285" s="6243"/>
      <c r="AB285" s="6242"/>
      <c r="AC285" s="6243"/>
      <c r="AD285" s="6242"/>
      <c r="AE285" s="6243"/>
      <c r="AF285" s="6242"/>
      <c r="AG285" s="6243"/>
      <c r="AH285" s="6242"/>
      <c r="AI285" s="6243"/>
      <c r="AJ285" s="6242"/>
      <c r="AK285" s="6243"/>
      <c r="AL285" s="6242"/>
      <c r="AM285" s="6244"/>
      <c r="AN285" s="6245"/>
      <c r="AO285" s="6245"/>
      <c r="AP285" s="6246"/>
      <c r="AQ285" s="6247"/>
      <c r="AR285" s="6246"/>
      <c r="AS285" s="6247"/>
      <c r="AT285" s="6246"/>
      <c r="AU285" s="6248"/>
      <c r="AV285" s="6249"/>
      <c r="AW285" s="6250"/>
    </row>
    <row r="286" spans="1:90" ht="15" customHeight="1" x14ac:dyDescent="0.25">
      <c r="A286" s="6789"/>
      <c r="B286" s="6126" t="s">
        <v>2640</v>
      </c>
      <c r="C286" s="6127">
        <f t="shared" si="76"/>
        <v>0</v>
      </c>
      <c r="D286" s="6128">
        <f t="shared" si="77"/>
        <v>0</v>
      </c>
      <c r="E286" s="6129">
        <f t="shared" si="77"/>
        <v>0</v>
      </c>
      <c r="F286" s="6242"/>
      <c r="G286" s="6243"/>
      <c r="H286" s="6242"/>
      <c r="I286" s="6243"/>
      <c r="J286" s="6242"/>
      <c r="K286" s="6243"/>
      <c r="L286" s="6242"/>
      <c r="M286" s="6243"/>
      <c r="N286" s="6242"/>
      <c r="O286" s="6243"/>
      <c r="P286" s="6242"/>
      <c r="Q286" s="6243"/>
      <c r="R286" s="6242"/>
      <c r="S286" s="6243"/>
      <c r="T286" s="6242"/>
      <c r="U286" s="6243"/>
      <c r="V286" s="6242"/>
      <c r="W286" s="6243"/>
      <c r="X286" s="6242"/>
      <c r="Y286" s="6243"/>
      <c r="Z286" s="6242"/>
      <c r="AA286" s="6243"/>
      <c r="AB286" s="6242"/>
      <c r="AC286" s="6243"/>
      <c r="AD286" s="6242"/>
      <c r="AE286" s="6243"/>
      <c r="AF286" s="6242"/>
      <c r="AG286" s="6243"/>
      <c r="AH286" s="6242"/>
      <c r="AI286" s="6243"/>
      <c r="AJ286" s="6242"/>
      <c r="AK286" s="6243"/>
      <c r="AL286" s="6242"/>
      <c r="AM286" s="6244"/>
      <c r="AN286" s="6245"/>
      <c r="AO286" s="6245"/>
      <c r="AP286" s="6246"/>
      <c r="AQ286" s="6247"/>
      <c r="AR286" s="6246"/>
      <c r="AS286" s="6247"/>
      <c r="AT286" s="6246"/>
      <c r="AU286" s="6248"/>
      <c r="AV286" s="6249"/>
      <c r="AW286" s="6250"/>
    </row>
    <row r="287" spans="1:90" ht="24" customHeight="1" x14ac:dyDescent="0.25">
      <c r="A287" s="6789"/>
      <c r="B287" s="6126" t="s">
        <v>2641</v>
      </c>
      <c r="C287" s="6127">
        <f t="shared" si="76"/>
        <v>0</v>
      </c>
      <c r="D287" s="6128">
        <f t="shared" si="77"/>
        <v>0</v>
      </c>
      <c r="E287" s="6129">
        <f t="shared" si="77"/>
        <v>0</v>
      </c>
      <c r="F287" s="6242"/>
      <c r="G287" s="6243"/>
      <c r="H287" s="6242"/>
      <c r="I287" s="6243"/>
      <c r="J287" s="6242"/>
      <c r="K287" s="6243"/>
      <c r="L287" s="6242"/>
      <c r="M287" s="6243"/>
      <c r="N287" s="6242"/>
      <c r="O287" s="6243"/>
      <c r="P287" s="6242"/>
      <c r="Q287" s="6243"/>
      <c r="R287" s="6242"/>
      <c r="S287" s="6243"/>
      <c r="T287" s="6242"/>
      <c r="U287" s="6243"/>
      <c r="V287" s="6242"/>
      <c r="W287" s="6243"/>
      <c r="X287" s="6242"/>
      <c r="Y287" s="6243"/>
      <c r="Z287" s="6242"/>
      <c r="AA287" s="6243"/>
      <c r="AB287" s="6242"/>
      <c r="AC287" s="6243"/>
      <c r="AD287" s="6242"/>
      <c r="AE287" s="6243"/>
      <c r="AF287" s="6242"/>
      <c r="AG287" s="6243"/>
      <c r="AH287" s="6242"/>
      <c r="AI287" s="6243"/>
      <c r="AJ287" s="6242"/>
      <c r="AK287" s="6243"/>
      <c r="AL287" s="6242"/>
      <c r="AM287" s="6244"/>
      <c r="AN287" s="6245"/>
      <c r="AO287" s="6245"/>
      <c r="AP287" s="6246"/>
      <c r="AQ287" s="6247"/>
      <c r="AR287" s="6246"/>
      <c r="AS287" s="6247"/>
      <c r="AT287" s="6246"/>
      <c r="AU287" s="6248"/>
      <c r="AV287" s="6249"/>
      <c r="AW287" s="6250"/>
    </row>
    <row r="288" spans="1:90" ht="15" customHeight="1" x14ac:dyDescent="0.25">
      <c r="A288" s="6789"/>
      <c r="B288" s="6126" t="s">
        <v>2642</v>
      </c>
      <c r="C288" s="6127">
        <f t="shared" si="76"/>
        <v>0</v>
      </c>
      <c r="D288" s="6128">
        <f t="shared" si="77"/>
        <v>0</v>
      </c>
      <c r="E288" s="6129">
        <f t="shared" si="77"/>
        <v>0</v>
      </c>
      <c r="F288" s="6242"/>
      <c r="G288" s="6243"/>
      <c r="H288" s="6242"/>
      <c r="I288" s="6243"/>
      <c r="J288" s="6242"/>
      <c r="K288" s="6243"/>
      <c r="L288" s="6242"/>
      <c r="M288" s="6243"/>
      <c r="N288" s="6242"/>
      <c r="O288" s="6243"/>
      <c r="P288" s="6242"/>
      <c r="Q288" s="6243"/>
      <c r="R288" s="6242"/>
      <c r="S288" s="6243"/>
      <c r="T288" s="6242"/>
      <c r="U288" s="6243"/>
      <c r="V288" s="6242"/>
      <c r="W288" s="6243"/>
      <c r="X288" s="6242"/>
      <c r="Y288" s="6243"/>
      <c r="Z288" s="6242"/>
      <c r="AA288" s="6243"/>
      <c r="AB288" s="6242"/>
      <c r="AC288" s="6243"/>
      <c r="AD288" s="6242"/>
      <c r="AE288" s="6243"/>
      <c r="AF288" s="6242"/>
      <c r="AG288" s="6243"/>
      <c r="AH288" s="6242"/>
      <c r="AI288" s="6243"/>
      <c r="AJ288" s="6242"/>
      <c r="AK288" s="6243"/>
      <c r="AL288" s="6242"/>
      <c r="AM288" s="6244"/>
      <c r="AN288" s="6245"/>
      <c r="AO288" s="6245"/>
      <c r="AP288" s="6246"/>
      <c r="AQ288" s="6247"/>
      <c r="AR288" s="6246"/>
      <c r="AS288" s="6247"/>
      <c r="AT288" s="6246"/>
      <c r="AU288" s="6248"/>
      <c r="AV288" s="6249"/>
      <c r="AW288" s="6250"/>
    </row>
    <row r="289" spans="1:49" ht="15" customHeight="1" x14ac:dyDescent="0.25">
      <c r="A289" s="6790"/>
      <c r="B289" s="6122" t="s">
        <v>2637</v>
      </c>
      <c r="C289" s="6123">
        <f t="shared" si="76"/>
        <v>0</v>
      </c>
      <c r="D289" s="6124">
        <f t="shared" si="77"/>
        <v>0</v>
      </c>
      <c r="E289" s="6125">
        <f t="shared" si="77"/>
        <v>0</v>
      </c>
      <c r="F289" s="6223">
        <f t="shared" ref="F289:AM289" si="80">SUM(F283:F288)</f>
        <v>0</v>
      </c>
      <c r="G289" s="6224">
        <f t="shared" si="80"/>
        <v>0</v>
      </c>
      <c r="H289" s="6223">
        <f t="shared" si="80"/>
        <v>0</v>
      </c>
      <c r="I289" s="6224">
        <f t="shared" si="80"/>
        <v>0</v>
      </c>
      <c r="J289" s="6223">
        <f t="shared" si="80"/>
        <v>0</v>
      </c>
      <c r="K289" s="6225">
        <f t="shared" si="80"/>
        <v>0</v>
      </c>
      <c r="L289" s="6223">
        <f t="shared" si="80"/>
        <v>0</v>
      </c>
      <c r="M289" s="6225">
        <f t="shared" si="80"/>
        <v>0</v>
      </c>
      <c r="N289" s="6223">
        <f t="shared" si="80"/>
        <v>0</v>
      </c>
      <c r="O289" s="6225">
        <f t="shared" si="80"/>
        <v>0</v>
      </c>
      <c r="P289" s="6223">
        <f t="shared" si="80"/>
        <v>0</v>
      </c>
      <c r="Q289" s="6225">
        <f t="shared" si="80"/>
        <v>0</v>
      </c>
      <c r="R289" s="6223">
        <f t="shared" si="80"/>
        <v>0</v>
      </c>
      <c r="S289" s="6225">
        <f t="shared" si="80"/>
        <v>0</v>
      </c>
      <c r="T289" s="6223">
        <f t="shared" si="80"/>
        <v>0</v>
      </c>
      <c r="U289" s="6225">
        <f t="shared" si="80"/>
        <v>0</v>
      </c>
      <c r="V289" s="6223">
        <f t="shared" si="80"/>
        <v>0</v>
      </c>
      <c r="W289" s="6225">
        <f t="shared" si="80"/>
        <v>0</v>
      </c>
      <c r="X289" s="6223">
        <f t="shared" si="80"/>
        <v>0</v>
      </c>
      <c r="Y289" s="6225">
        <f t="shared" si="80"/>
        <v>0</v>
      </c>
      <c r="Z289" s="6223">
        <f t="shared" si="80"/>
        <v>0</v>
      </c>
      <c r="AA289" s="6225">
        <f t="shared" si="80"/>
        <v>0</v>
      </c>
      <c r="AB289" s="6223">
        <f t="shared" si="80"/>
        <v>0</v>
      </c>
      <c r="AC289" s="6225">
        <f t="shared" si="80"/>
        <v>0</v>
      </c>
      <c r="AD289" s="6223">
        <f t="shared" si="80"/>
        <v>0</v>
      </c>
      <c r="AE289" s="6225">
        <f t="shared" si="80"/>
        <v>0</v>
      </c>
      <c r="AF289" s="6223">
        <f t="shared" si="80"/>
        <v>0</v>
      </c>
      <c r="AG289" s="6225">
        <f t="shared" si="80"/>
        <v>0</v>
      </c>
      <c r="AH289" s="6223">
        <f t="shared" si="80"/>
        <v>0</v>
      </c>
      <c r="AI289" s="6225">
        <f t="shared" si="80"/>
        <v>0</v>
      </c>
      <c r="AJ289" s="6223">
        <f t="shared" si="80"/>
        <v>0</v>
      </c>
      <c r="AK289" s="6225">
        <f t="shared" si="80"/>
        <v>0</v>
      </c>
      <c r="AL289" s="6226">
        <f t="shared" si="80"/>
        <v>0</v>
      </c>
      <c r="AM289" s="6227">
        <f t="shared" si="80"/>
        <v>0</v>
      </c>
      <c r="AN289" s="6251"/>
      <c r="AO289" s="6251"/>
      <c r="AP289" s="6252"/>
      <c r="AQ289" s="6253"/>
      <c r="AR289" s="6252"/>
      <c r="AS289" s="6253"/>
      <c r="AT289" s="6254"/>
      <c r="AU289" s="6255"/>
      <c r="AV289" s="6256"/>
      <c r="AW289" s="6257"/>
    </row>
    <row r="290" spans="1:49" ht="15" customHeight="1" x14ac:dyDescent="0.25">
      <c r="A290" s="6788" t="s">
        <v>2644</v>
      </c>
      <c r="B290" s="6113" t="s">
        <v>62</v>
      </c>
      <c r="C290" s="6114">
        <f t="shared" si="76"/>
        <v>0</v>
      </c>
      <c r="D290" s="6115">
        <f t="shared" si="77"/>
        <v>0</v>
      </c>
      <c r="E290" s="6116">
        <f t="shared" si="77"/>
        <v>0</v>
      </c>
      <c r="F290" s="6213"/>
      <c r="G290" s="6214"/>
      <c r="H290" s="6213"/>
      <c r="I290" s="6214"/>
      <c r="J290" s="6213"/>
      <c r="K290" s="6214"/>
      <c r="L290" s="6213"/>
      <c r="M290" s="6214"/>
      <c r="N290" s="6213"/>
      <c r="O290" s="6214"/>
      <c r="P290" s="6213"/>
      <c r="Q290" s="6214"/>
      <c r="R290" s="6213"/>
      <c r="S290" s="6214"/>
      <c r="T290" s="6213"/>
      <c r="U290" s="6214"/>
      <c r="V290" s="6213"/>
      <c r="W290" s="6214"/>
      <c r="X290" s="6213"/>
      <c r="Y290" s="6214"/>
      <c r="Z290" s="6213"/>
      <c r="AA290" s="6214"/>
      <c r="AB290" s="6213"/>
      <c r="AC290" s="6214"/>
      <c r="AD290" s="6213"/>
      <c r="AE290" s="6214"/>
      <c r="AF290" s="6213"/>
      <c r="AG290" s="6214"/>
      <c r="AH290" s="6213"/>
      <c r="AI290" s="6214"/>
      <c r="AJ290" s="6213"/>
      <c r="AK290" s="6214"/>
      <c r="AL290" s="6213"/>
      <c r="AM290" s="6215"/>
      <c r="AN290" s="6230"/>
      <c r="AO290" s="6230"/>
      <c r="AP290" s="6231"/>
      <c r="AQ290" s="6232"/>
      <c r="AR290" s="6231"/>
      <c r="AS290" s="6232"/>
      <c r="AT290" s="6231"/>
      <c r="AU290" s="6233"/>
      <c r="AV290" s="6234"/>
      <c r="AW290" s="6235"/>
    </row>
    <row r="291" spans="1:49" ht="15" customHeight="1" x14ac:dyDescent="0.25">
      <c r="A291" s="6789"/>
      <c r="B291" s="6117" t="s">
        <v>75</v>
      </c>
      <c r="C291" s="6118">
        <f t="shared" si="76"/>
        <v>0</v>
      </c>
      <c r="D291" s="6119">
        <f t="shared" si="77"/>
        <v>0</v>
      </c>
      <c r="E291" s="6120">
        <f t="shared" si="77"/>
        <v>0</v>
      </c>
      <c r="F291" s="6219"/>
      <c r="G291" s="6220"/>
      <c r="H291" s="6219"/>
      <c r="I291" s="6220"/>
      <c r="J291" s="6219"/>
      <c r="K291" s="6220"/>
      <c r="L291" s="6219"/>
      <c r="M291" s="6220"/>
      <c r="N291" s="6219"/>
      <c r="O291" s="6220"/>
      <c r="P291" s="6219"/>
      <c r="Q291" s="6220"/>
      <c r="R291" s="6219"/>
      <c r="S291" s="6220"/>
      <c r="T291" s="6219"/>
      <c r="U291" s="6220"/>
      <c r="V291" s="6219"/>
      <c r="W291" s="6220"/>
      <c r="X291" s="6219"/>
      <c r="Y291" s="6220"/>
      <c r="Z291" s="6219"/>
      <c r="AA291" s="6220"/>
      <c r="AB291" s="6219"/>
      <c r="AC291" s="6220"/>
      <c r="AD291" s="6219"/>
      <c r="AE291" s="6220"/>
      <c r="AF291" s="6219"/>
      <c r="AG291" s="6220"/>
      <c r="AH291" s="6219"/>
      <c r="AI291" s="6220"/>
      <c r="AJ291" s="6219"/>
      <c r="AK291" s="6220"/>
      <c r="AL291" s="6219"/>
      <c r="AM291" s="6221"/>
      <c r="AN291" s="6236"/>
      <c r="AO291" s="6236"/>
      <c r="AP291" s="6237"/>
      <c r="AQ291" s="6238"/>
      <c r="AR291" s="6237"/>
      <c r="AS291" s="6238"/>
      <c r="AT291" s="6237"/>
      <c r="AU291" s="6239"/>
      <c r="AV291" s="6240"/>
      <c r="AW291" s="6241"/>
    </row>
    <row r="292" spans="1:49" ht="15" customHeight="1" x14ac:dyDescent="0.25">
      <c r="A292" s="6789"/>
      <c r="B292" s="6126" t="s">
        <v>2639</v>
      </c>
      <c r="C292" s="6127">
        <f t="shared" si="76"/>
        <v>0</v>
      </c>
      <c r="D292" s="6128">
        <f t="shared" si="77"/>
        <v>0</v>
      </c>
      <c r="E292" s="6129">
        <f t="shared" si="77"/>
        <v>0</v>
      </c>
      <c r="F292" s="6242"/>
      <c r="G292" s="6243"/>
      <c r="H292" s="6242"/>
      <c r="I292" s="6243"/>
      <c r="J292" s="6242"/>
      <c r="K292" s="6243"/>
      <c r="L292" s="6242"/>
      <c r="M292" s="6243"/>
      <c r="N292" s="6242"/>
      <c r="O292" s="6243"/>
      <c r="P292" s="6242"/>
      <c r="Q292" s="6243"/>
      <c r="R292" s="6242"/>
      <c r="S292" s="6243"/>
      <c r="T292" s="6242"/>
      <c r="U292" s="6243"/>
      <c r="V292" s="6242"/>
      <c r="W292" s="6243"/>
      <c r="X292" s="6242"/>
      <c r="Y292" s="6243"/>
      <c r="Z292" s="6242"/>
      <c r="AA292" s="6243"/>
      <c r="AB292" s="6242"/>
      <c r="AC292" s="6243"/>
      <c r="AD292" s="6242"/>
      <c r="AE292" s="6243"/>
      <c r="AF292" s="6242"/>
      <c r="AG292" s="6243"/>
      <c r="AH292" s="6242"/>
      <c r="AI292" s="6243"/>
      <c r="AJ292" s="6242"/>
      <c r="AK292" s="6243"/>
      <c r="AL292" s="6242"/>
      <c r="AM292" s="6244"/>
      <c r="AN292" s="6245"/>
      <c r="AO292" s="6245"/>
      <c r="AP292" s="6246"/>
      <c r="AQ292" s="6247"/>
      <c r="AR292" s="6246"/>
      <c r="AS292" s="6247"/>
      <c r="AT292" s="6246"/>
      <c r="AU292" s="6248"/>
      <c r="AV292" s="6249"/>
      <c r="AW292" s="6250"/>
    </row>
    <row r="293" spans="1:49" ht="15" customHeight="1" x14ac:dyDescent="0.25">
      <c r="A293" s="6789"/>
      <c r="B293" s="6126" t="s">
        <v>2640</v>
      </c>
      <c r="C293" s="6127">
        <f t="shared" si="76"/>
        <v>0</v>
      </c>
      <c r="D293" s="6128">
        <f t="shared" si="77"/>
        <v>0</v>
      </c>
      <c r="E293" s="6129">
        <f t="shared" si="77"/>
        <v>0</v>
      </c>
      <c r="F293" s="6242"/>
      <c r="G293" s="6243"/>
      <c r="H293" s="6242"/>
      <c r="I293" s="6243"/>
      <c r="J293" s="6242"/>
      <c r="K293" s="6243"/>
      <c r="L293" s="6242"/>
      <c r="M293" s="6243"/>
      <c r="N293" s="6242"/>
      <c r="O293" s="6243"/>
      <c r="P293" s="6242"/>
      <c r="Q293" s="6243"/>
      <c r="R293" s="6242"/>
      <c r="S293" s="6243"/>
      <c r="T293" s="6242"/>
      <c r="U293" s="6243"/>
      <c r="V293" s="6242"/>
      <c r="W293" s="6243"/>
      <c r="X293" s="6242"/>
      <c r="Y293" s="6243"/>
      <c r="Z293" s="6242"/>
      <c r="AA293" s="6243"/>
      <c r="AB293" s="6242"/>
      <c r="AC293" s="6243"/>
      <c r="AD293" s="6242"/>
      <c r="AE293" s="6243"/>
      <c r="AF293" s="6242"/>
      <c r="AG293" s="6243"/>
      <c r="AH293" s="6242"/>
      <c r="AI293" s="6243"/>
      <c r="AJ293" s="6242"/>
      <c r="AK293" s="6243"/>
      <c r="AL293" s="6242"/>
      <c r="AM293" s="6244"/>
      <c r="AN293" s="6245"/>
      <c r="AO293" s="6245"/>
      <c r="AP293" s="6246"/>
      <c r="AQ293" s="6247"/>
      <c r="AR293" s="6246"/>
      <c r="AS293" s="6247"/>
      <c r="AT293" s="6246"/>
      <c r="AU293" s="6248"/>
      <c r="AV293" s="6249"/>
      <c r="AW293" s="6250"/>
    </row>
    <row r="294" spans="1:49" ht="22.5" customHeight="1" x14ac:dyDescent="0.25">
      <c r="A294" s="6789"/>
      <c r="B294" s="6126" t="s">
        <v>2641</v>
      </c>
      <c r="C294" s="6127">
        <f t="shared" si="76"/>
        <v>0</v>
      </c>
      <c r="D294" s="6128">
        <f t="shared" si="77"/>
        <v>0</v>
      </c>
      <c r="E294" s="6129">
        <f t="shared" si="77"/>
        <v>0</v>
      </c>
      <c r="F294" s="6242"/>
      <c r="G294" s="6243"/>
      <c r="H294" s="6242"/>
      <c r="I294" s="6243"/>
      <c r="J294" s="6242"/>
      <c r="K294" s="6243"/>
      <c r="L294" s="6242"/>
      <c r="M294" s="6243"/>
      <c r="N294" s="6242"/>
      <c r="O294" s="6243"/>
      <c r="P294" s="6242"/>
      <c r="Q294" s="6243"/>
      <c r="R294" s="6242"/>
      <c r="S294" s="6243"/>
      <c r="T294" s="6242"/>
      <c r="U294" s="6243"/>
      <c r="V294" s="6242"/>
      <c r="W294" s="6243"/>
      <c r="X294" s="6242"/>
      <c r="Y294" s="6243"/>
      <c r="Z294" s="6242"/>
      <c r="AA294" s="6243"/>
      <c r="AB294" s="6242"/>
      <c r="AC294" s="6243"/>
      <c r="AD294" s="6242"/>
      <c r="AE294" s="6243"/>
      <c r="AF294" s="6242"/>
      <c r="AG294" s="6243"/>
      <c r="AH294" s="6242"/>
      <c r="AI294" s="6243"/>
      <c r="AJ294" s="6242"/>
      <c r="AK294" s="6243"/>
      <c r="AL294" s="6242"/>
      <c r="AM294" s="6244"/>
      <c r="AN294" s="6245"/>
      <c r="AO294" s="6245"/>
      <c r="AP294" s="6246"/>
      <c r="AQ294" s="6247"/>
      <c r="AR294" s="6246"/>
      <c r="AS294" s="6247"/>
      <c r="AT294" s="6246"/>
      <c r="AU294" s="6248"/>
      <c r="AV294" s="6249"/>
      <c r="AW294" s="6250"/>
    </row>
    <row r="295" spans="1:49" ht="15" customHeight="1" x14ac:dyDescent="0.25">
      <c r="A295" s="6789"/>
      <c r="B295" s="6126" t="s">
        <v>76</v>
      </c>
      <c r="C295" s="6127">
        <f t="shared" si="76"/>
        <v>0</v>
      </c>
      <c r="D295" s="6128">
        <f t="shared" si="77"/>
        <v>0</v>
      </c>
      <c r="E295" s="6129">
        <f t="shared" si="77"/>
        <v>0</v>
      </c>
      <c r="F295" s="6242"/>
      <c r="G295" s="6243"/>
      <c r="H295" s="6242"/>
      <c r="I295" s="6243"/>
      <c r="J295" s="6242"/>
      <c r="K295" s="6243"/>
      <c r="L295" s="6242"/>
      <c r="M295" s="6243"/>
      <c r="N295" s="6242"/>
      <c r="O295" s="6243"/>
      <c r="P295" s="6242"/>
      <c r="Q295" s="6243"/>
      <c r="R295" s="6242"/>
      <c r="S295" s="6243"/>
      <c r="T295" s="6242"/>
      <c r="U295" s="6243"/>
      <c r="V295" s="6242"/>
      <c r="W295" s="6243"/>
      <c r="X295" s="6242"/>
      <c r="Y295" s="6243"/>
      <c r="Z295" s="6242"/>
      <c r="AA295" s="6243"/>
      <c r="AB295" s="6242"/>
      <c r="AC295" s="6243"/>
      <c r="AD295" s="6242"/>
      <c r="AE295" s="6243"/>
      <c r="AF295" s="6242"/>
      <c r="AG295" s="6243"/>
      <c r="AH295" s="6242"/>
      <c r="AI295" s="6243"/>
      <c r="AJ295" s="6242"/>
      <c r="AK295" s="6243"/>
      <c r="AL295" s="6242"/>
      <c r="AM295" s="6244"/>
      <c r="AN295" s="6245"/>
      <c r="AO295" s="6245"/>
      <c r="AP295" s="6246"/>
      <c r="AQ295" s="6247"/>
      <c r="AR295" s="6246"/>
      <c r="AS295" s="6247"/>
      <c r="AT295" s="6246"/>
      <c r="AU295" s="6248"/>
      <c r="AV295" s="6249"/>
      <c r="AW295" s="6250"/>
    </row>
    <row r="296" spans="1:49" ht="15" customHeight="1" x14ac:dyDescent="0.25">
      <c r="A296" s="6789"/>
      <c r="B296" s="6126" t="s">
        <v>277</v>
      </c>
      <c r="C296" s="6127">
        <f t="shared" si="76"/>
        <v>0</v>
      </c>
      <c r="D296" s="6128">
        <f t="shared" si="77"/>
        <v>0</v>
      </c>
      <c r="E296" s="6129">
        <f t="shared" si="77"/>
        <v>0</v>
      </c>
      <c r="F296" s="6242"/>
      <c r="G296" s="6243"/>
      <c r="H296" s="6242"/>
      <c r="I296" s="6243"/>
      <c r="J296" s="6242"/>
      <c r="K296" s="6243"/>
      <c r="L296" s="6242"/>
      <c r="M296" s="6243"/>
      <c r="N296" s="6242"/>
      <c r="O296" s="6243"/>
      <c r="P296" s="6242"/>
      <c r="Q296" s="6243"/>
      <c r="R296" s="6242"/>
      <c r="S296" s="6243"/>
      <c r="T296" s="6242"/>
      <c r="U296" s="6243"/>
      <c r="V296" s="6242"/>
      <c r="W296" s="6243"/>
      <c r="X296" s="6242"/>
      <c r="Y296" s="6243"/>
      <c r="Z296" s="6242"/>
      <c r="AA296" s="6243"/>
      <c r="AB296" s="6242"/>
      <c r="AC296" s="6243"/>
      <c r="AD296" s="6242"/>
      <c r="AE296" s="6243"/>
      <c r="AF296" s="6242"/>
      <c r="AG296" s="6243"/>
      <c r="AH296" s="6242"/>
      <c r="AI296" s="6243"/>
      <c r="AJ296" s="6242"/>
      <c r="AK296" s="6243"/>
      <c r="AL296" s="6242"/>
      <c r="AM296" s="6244"/>
      <c r="AN296" s="6245"/>
      <c r="AO296" s="6245"/>
      <c r="AP296" s="6246"/>
      <c r="AQ296" s="6247"/>
      <c r="AR296" s="6246"/>
      <c r="AS296" s="6247"/>
      <c r="AT296" s="6246"/>
      <c r="AU296" s="6248"/>
      <c r="AV296" s="6249"/>
      <c r="AW296" s="6250"/>
    </row>
    <row r="297" spans="1:49" ht="15" customHeight="1" x14ac:dyDescent="0.25">
      <c r="A297" s="6789"/>
      <c r="B297" s="6126" t="s">
        <v>79</v>
      </c>
      <c r="C297" s="6127">
        <f t="shared" si="76"/>
        <v>0</v>
      </c>
      <c r="D297" s="6128">
        <f t="shared" si="77"/>
        <v>0</v>
      </c>
      <c r="E297" s="6129">
        <f t="shared" si="77"/>
        <v>0</v>
      </c>
      <c r="F297" s="6242"/>
      <c r="G297" s="6243"/>
      <c r="H297" s="6242"/>
      <c r="I297" s="6243"/>
      <c r="J297" s="6242"/>
      <c r="K297" s="6243"/>
      <c r="L297" s="6242"/>
      <c r="M297" s="6243"/>
      <c r="N297" s="6242"/>
      <c r="O297" s="6243"/>
      <c r="P297" s="6242"/>
      <c r="Q297" s="6243"/>
      <c r="R297" s="6242"/>
      <c r="S297" s="6243"/>
      <c r="T297" s="6242"/>
      <c r="U297" s="6243"/>
      <c r="V297" s="6242"/>
      <c r="W297" s="6243"/>
      <c r="X297" s="6242"/>
      <c r="Y297" s="6243"/>
      <c r="Z297" s="6242"/>
      <c r="AA297" s="6243"/>
      <c r="AB297" s="6242"/>
      <c r="AC297" s="6243"/>
      <c r="AD297" s="6242"/>
      <c r="AE297" s="6243"/>
      <c r="AF297" s="6242"/>
      <c r="AG297" s="6243"/>
      <c r="AH297" s="6242"/>
      <c r="AI297" s="6243"/>
      <c r="AJ297" s="6242"/>
      <c r="AK297" s="6243"/>
      <c r="AL297" s="6242"/>
      <c r="AM297" s="6244"/>
      <c r="AN297" s="6245"/>
      <c r="AO297" s="6245"/>
      <c r="AP297" s="6246"/>
      <c r="AQ297" s="6247"/>
      <c r="AR297" s="6246"/>
      <c r="AS297" s="6247"/>
      <c r="AT297" s="6246"/>
      <c r="AU297" s="6248"/>
      <c r="AV297" s="6249"/>
      <c r="AW297" s="6250"/>
    </row>
    <row r="298" spans="1:49" ht="15" customHeight="1" x14ac:dyDescent="0.25">
      <c r="A298" s="6789"/>
      <c r="B298" s="6126" t="s">
        <v>632</v>
      </c>
      <c r="C298" s="6127">
        <f t="shared" si="76"/>
        <v>0</v>
      </c>
      <c r="D298" s="6128">
        <f t="shared" si="77"/>
        <v>0</v>
      </c>
      <c r="E298" s="6129">
        <f t="shared" si="77"/>
        <v>0</v>
      </c>
      <c r="F298" s="6242"/>
      <c r="G298" s="6243"/>
      <c r="H298" s="6242"/>
      <c r="I298" s="6243"/>
      <c r="J298" s="6242"/>
      <c r="K298" s="6243"/>
      <c r="L298" s="6242"/>
      <c r="M298" s="6243"/>
      <c r="N298" s="6242"/>
      <c r="O298" s="6243"/>
      <c r="P298" s="6242"/>
      <c r="Q298" s="6243"/>
      <c r="R298" s="6242"/>
      <c r="S298" s="6243"/>
      <c r="T298" s="6242"/>
      <c r="U298" s="6243"/>
      <c r="V298" s="6242"/>
      <c r="W298" s="6243"/>
      <c r="X298" s="6242"/>
      <c r="Y298" s="6243"/>
      <c r="Z298" s="6242"/>
      <c r="AA298" s="6243"/>
      <c r="AB298" s="6242"/>
      <c r="AC298" s="6243"/>
      <c r="AD298" s="6242"/>
      <c r="AE298" s="6243"/>
      <c r="AF298" s="6242"/>
      <c r="AG298" s="6243"/>
      <c r="AH298" s="6242"/>
      <c r="AI298" s="6243"/>
      <c r="AJ298" s="6242"/>
      <c r="AK298" s="6243"/>
      <c r="AL298" s="6242"/>
      <c r="AM298" s="6244"/>
      <c r="AN298" s="6245"/>
      <c r="AO298" s="6245"/>
      <c r="AP298" s="6246"/>
      <c r="AQ298" s="6247"/>
      <c r="AR298" s="6246"/>
      <c r="AS298" s="6247"/>
      <c r="AT298" s="6246"/>
      <c r="AU298" s="6248"/>
      <c r="AV298" s="6249"/>
      <c r="AW298" s="6250"/>
    </row>
    <row r="299" spans="1:49" ht="15" customHeight="1" x14ac:dyDescent="0.25">
      <c r="A299" s="6789"/>
      <c r="B299" s="6126" t="s">
        <v>81</v>
      </c>
      <c r="C299" s="6127">
        <f t="shared" si="76"/>
        <v>0</v>
      </c>
      <c r="D299" s="6128">
        <f t="shared" si="77"/>
        <v>0</v>
      </c>
      <c r="E299" s="6129">
        <f t="shared" si="77"/>
        <v>0</v>
      </c>
      <c r="F299" s="6242"/>
      <c r="G299" s="6243"/>
      <c r="H299" s="6242"/>
      <c r="I299" s="6243"/>
      <c r="J299" s="6242"/>
      <c r="K299" s="6243"/>
      <c r="L299" s="6242"/>
      <c r="M299" s="6243"/>
      <c r="N299" s="6242"/>
      <c r="O299" s="6243"/>
      <c r="P299" s="6242"/>
      <c r="Q299" s="6243"/>
      <c r="R299" s="6242"/>
      <c r="S299" s="6243"/>
      <c r="T299" s="6242"/>
      <c r="U299" s="6243"/>
      <c r="V299" s="6242"/>
      <c r="W299" s="6243"/>
      <c r="X299" s="6242"/>
      <c r="Y299" s="6243"/>
      <c r="Z299" s="6242"/>
      <c r="AA299" s="6243"/>
      <c r="AB299" s="6242"/>
      <c r="AC299" s="6243"/>
      <c r="AD299" s="6242"/>
      <c r="AE299" s="6243"/>
      <c r="AF299" s="6242"/>
      <c r="AG299" s="6243"/>
      <c r="AH299" s="6242"/>
      <c r="AI299" s="6243"/>
      <c r="AJ299" s="6242"/>
      <c r="AK299" s="6243"/>
      <c r="AL299" s="6242"/>
      <c r="AM299" s="6244"/>
      <c r="AN299" s="6245"/>
      <c r="AO299" s="6245"/>
      <c r="AP299" s="6246"/>
      <c r="AQ299" s="6247"/>
      <c r="AR299" s="6246"/>
      <c r="AS299" s="6247"/>
      <c r="AT299" s="6246"/>
      <c r="AU299" s="6248"/>
      <c r="AV299" s="6249"/>
      <c r="AW299" s="6250"/>
    </row>
    <row r="300" spans="1:49" ht="15" customHeight="1" x14ac:dyDescent="0.25">
      <c r="A300" s="6789"/>
      <c r="B300" s="6126" t="s">
        <v>2642</v>
      </c>
      <c r="C300" s="6127">
        <f t="shared" si="76"/>
        <v>0</v>
      </c>
      <c r="D300" s="6128">
        <f t="shared" si="77"/>
        <v>0</v>
      </c>
      <c r="E300" s="6129">
        <f t="shared" si="77"/>
        <v>0</v>
      </c>
      <c r="F300" s="6242"/>
      <c r="G300" s="6243"/>
      <c r="H300" s="6242"/>
      <c r="I300" s="6243"/>
      <c r="J300" s="6242"/>
      <c r="K300" s="6243"/>
      <c r="L300" s="6242"/>
      <c r="M300" s="6243"/>
      <c r="N300" s="6242"/>
      <c r="O300" s="6243"/>
      <c r="P300" s="6242"/>
      <c r="Q300" s="6243"/>
      <c r="R300" s="6242"/>
      <c r="S300" s="6243"/>
      <c r="T300" s="6242"/>
      <c r="U300" s="6243"/>
      <c r="V300" s="6242"/>
      <c r="W300" s="6243"/>
      <c r="X300" s="6242"/>
      <c r="Y300" s="6243"/>
      <c r="Z300" s="6242"/>
      <c r="AA300" s="6243"/>
      <c r="AB300" s="6242"/>
      <c r="AC300" s="6243"/>
      <c r="AD300" s="6242"/>
      <c r="AE300" s="6243"/>
      <c r="AF300" s="6242"/>
      <c r="AG300" s="6243"/>
      <c r="AH300" s="6242"/>
      <c r="AI300" s="6243"/>
      <c r="AJ300" s="6242"/>
      <c r="AK300" s="6243"/>
      <c r="AL300" s="6242"/>
      <c r="AM300" s="6244"/>
      <c r="AN300" s="6245"/>
      <c r="AO300" s="6245"/>
      <c r="AP300" s="6246"/>
      <c r="AQ300" s="6247"/>
      <c r="AR300" s="6246"/>
      <c r="AS300" s="6247"/>
      <c r="AT300" s="6246"/>
      <c r="AU300" s="6248"/>
      <c r="AV300" s="6249"/>
      <c r="AW300" s="6250"/>
    </row>
    <row r="301" spans="1:49" ht="15" customHeight="1" x14ac:dyDescent="0.25">
      <c r="A301" s="6790"/>
      <c r="B301" s="6122" t="s">
        <v>2637</v>
      </c>
      <c r="C301" s="6123">
        <f t="shared" si="76"/>
        <v>0</v>
      </c>
      <c r="D301" s="6124">
        <f t="shared" si="77"/>
        <v>0</v>
      </c>
      <c r="E301" s="6125">
        <f t="shared" si="77"/>
        <v>0</v>
      </c>
      <c r="F301" s="6223">
        <f t="shared" ref="F301:AM301" si="81">SUM(F290:F300)</f>
        <v>0</v>
      </c>
      <c r="G301" s="6224">
        <f t="shared" si="81"/>
        <v>0</v>
      </c>
      <c r="H301" s="6223">
        <f t="shared" si="81"/>
        <v>0</v>
      </c>
      <c r="I301" s="6224">
        <f t="shared" si="81"/>
        <v>0</v>
      </c>
      <c r="J301" s="6223">
        <f t="shared" si="81"/>
        <v>0</v>
      </c>
      <c r="K301" s="6225">
        <f t="shared" si="81"/>
        <v>0</v>
      </c>
      <c r="L301" s="6223">
        <f t="shared" si="81"/>
        <v>0</v>
      </c>
      <c r="M301" s="6225">
        <f t="shared" si="81"/>
        <v>0</v>
      </c>
      <c r="N301" s="6223">
        <f t="shared" si="81"/>
        <v>0</v>
      </c>
      <c r="O301" s="6225">
        <f t="shared" si="81"/>
        <v>0</v>
      </c>
      <c r="P301" s="6223">
        <f t="shared" si="81"/>
        <v>0</v>
      </c>
      <c r="Q301" s="6225">
        <f t="shared" si="81"/>
        <v>0</v>
      </c>
      <c r="R301" s="6223">
        <f t="shared" si="81"/>
        <v>0</v>
      </c>
      <c r="S301" s="6225">
        <f t="shared" si="81"/>
        <v>0</v>
      </c>
      <c r="T301" s="6223">
        <f t="shared" si="81"/>
        <v>0</v>
      </c>
      <c r="U301" s="6225">
        <f t="shared" si="81"/>
        <v>0</v>
      </c>
      <c r="V301" s="6223">
        <f t="shared" si="81"/>
        <v>0</v>
      </c>
      <c r="W301" s="6225">
        <f t="shared" si="81"/>
        <v>0</v>
      </c>
      <c r="X301" s="6223">
        <f t="shared" si="81"/>
        <v>0</v>
      </c>
      <c r="Y301" s="6225">
        <f t="shared" si="81"/>
        <v>0</v>
      </c>
      <c r="Z301" s="6223">
        <f t="shared" si="81"/>
        <v>0</v>
      </c>
      <c r="AA301" s="6225">
        <f t="shared" si="81"/>
        <v>0</v>
      </c>
      <c r="AB301" s="6223">
        <f t="shared" si="81"/>
        <v>0</v>
      </c>
      <c r="AC301" s="6225">
        <f t="shared" si="81"/>
        <v>0</v>
      </c>
      <c r="AD301" s="6223">
        <f t="shared" si="81"/>
        <v>0</v>
      </c>
      <c r="AE301" s="6225">
        <f t="shared" si="81"/>
        <v>0</v>
      </c>
      <c r="AF301" s="6223">
        <f t="shared" si="81"/>
        <v>0</v>
      </c>
      <c r="AG301" s="6225">
        <f t="shared" si="81"/>
        <v>0</v>
      </c>
      <c r="AH301" s="6223">
        <f t="shared" si="81"/>
        <v>0</v>
      </c>
      <c r="AI301" s="6225">
        <f t="shared" si="81"/>
        <v>0</v>
      </c>
      <c r="AJ301" s="6223">
        <f t="shared" si="81"/>
        <v>0</v>
      </c>
      <c r="AK301" s="6225">
        <f t="shared" si="81"/>
        <v>0</v>
      </c>
      <c r="AL301" s="6226">
        <f t="shared" si="81"/>
        <v>0</v>
      </c>
      <c r="AM301" s="6227">
        <f t="shared" si="81"/>
        <v>0</v>
      </c>
      <c r="AN301" s="6251"/>
      <c r="AO301" s="6251"/>
      <c r="AP301" s="6252"/>
      <c r="AQ301" s="6253"/>
      <c r="AR301" s="6252"/>
      <c r="AS301" s="6253"/>
      <c r="AT301" s="6254"/>
      <c r="AU301" s="6255"/>
      <c r="AV301" s="6256"/>
      <c r="AW301" s="6257"/>
    </row>
    <row r="302" spans="1:49" ht="15" customHeight="1" x14ac:dyDescent="0.25">
      <c r="A302" s="6788" t="s">
        <v>2645</v>
      </c>
      <c r="B302" s="6113" t="s">
        <v>62</v>
      </c>
      <c r="C302" s="6114">
        <f t="shared" si="76"/>
        <v>0</v>
      </c>
      <c r="D302" s="6115">
        <f t="shared" si="77"/>
        <v>0</v>
      </c>
      <c r="E302" s="6116">
        <f t="shared" si="77"/>
        <v>0</v>
      </c>
      <c r="F302" s="6213"/>
      <c r="G302" s="6214"/>
      <c r="H302" s="6213"/>
      <c r="I302" s="6214"/>
      <c r="J302" s="6213"/>
      <c r="K302" s="6214"/>
      <c r="L302" s="6213"/>
      <c r="M302" s="6214"/>
      <c r="N302" s="6213"/>
      <c r="O302" s="6214"/>
      <c r="P302" s="6213"/>
      <c r="Q302" s="6214"/>
      <c r="R302" s="6213"/>
      <c r="S302" s="6214"/>
      <c r="T302" s="6213"/>
      <c r="U302" s="6214"/>
      <c r="V302" s="6213"/>
      <c r="W302" s="6214"/>
      <c r="X302" s="6213"/>
      <c r="Y302" s="6214"/>
      <c r="Z302" s="6213"/>
      <c r="AA302" s="6214"/>
      <c r="AB302" s="6213"/>
      <c r="AC302" s="6214"/>
      <c r="AD302" s="6213"/>
      <c r="AE302" s="6214"/>
      <c r="AF302" s="6213"/>
      <c r="AG302" s="6214"/>
      <c r="AH302" s="6213"/>
      <c r="AI302" s="6214"/>
      <c r="AJ302" s="6213"/>
      <c r="AK302" s="6214"/>
      <c r="AL302" s="6213"/>
      <c r="AM302" s="6215"/>
      <c r="AN302" s="6230"/>
      <c r="AO302" s="6230"/>
      <c r="AP302" s="6231"/>
      <c r="AQ302" s="6232"/>
      <c r="AR302" s="6231"/>
      <c r="AS302" s="6232"/>
      <c r="AT302" s="6231"/>
      <c r="AU302" s="6233"/>
      <c r="AV302" s="6234"/>
      <c r="AW302" s="6235"/>
    </row>
    <row r="303" spans="1:49" ht="15" customHeight="1" x14ac:dyDescent="0.25">
      <c r="A303" s="6789"/>
      <c r="B303" s="6117" t="s">
        <v>75</v>
      </c>
      <c r="C303" s="6118">
        <f t="shared" si="76"/>
        <v>0</v>
      </c>
      <c r="D303" s="6119">
        <f t="shared" si="77"/>
        <v>0</v>
      </c>
      <c r="E303" s="6120">
        <f t="shared" si="77"/>
        <v>0</v>
      </c>
      <c r="F303" s="6219"/>
      <c r="G303" s="6220"/>
      <c r="H303" s="6219"/>
      <c r="I303" s="6220"/>
      <c r="J303" s="6219"/>
      <c r="K303" s="6220"/>
      <c r="L303" s="6219"/>
      <c r="M303" s="6220"/>
      <c r="N303" s="6219"/>
      <c r="O303" s="6220"/>
      <c r="P303" s="6219"/>
      <c r="Q303" s="6220"/>
      <c r="R303" s="6219"/>
      <c r="S303" s="6220"/>
      <c r="T303" s="6219"/>
      <c r="U303" s="6220"/>
      <c r="V303" s="6219"/>
      <c r="W303" s="6220"/>
      <c r="X303" s="6219"/>
      <c r="Y303" s="6220"/>
      <c r="Z303" s="6219"/>
      <c r="AA303" s="6220"/>
      <c r="AB303" s="6219"/>
      <c r="AC303" s="6220"/>
      <c r="AD303" s="6219"/>
      <c r="AE303" s="6220"/>
      <c r="AF303" s="6219"/>
      <c r="AG303" s="6220"/>
      <c r="AH303" s="6219"/>
      <c r="AI303" s="6220"/>
      <c r="AJ303" s="6219"/>
      <c r="AK303" s="6220"/>
      <c r="AL303" s="6219"/>
      <c r="AM303" s="6221"/>
      <c r="AN303" s="6236"/>
      <c r="AO303" s="6236"/>
      <c r="AP303" s="6237"/>
      <c r="AQ303" s="6238"/>
      <c r="AR303" s="6237"/>
      <c r="AS303" s="6238"/>
      <c r="AT303" s="6237"/>
      <c r="AU303" s="6239"/>
      <c r="AV303" s="6240"/>
      <c r="AW303" s="6241"/>
    </row>
    <row r="304" spans="1:49" ht="15" customHeight="1" x14ac:dyDescent="0.25">
      <c r="A304" s="6789"/>
      <c r="B304" s="6126" t="s">
        <v>2639</v>
      </c>
      <c r="C304" s="6127">
        <f t="shared" si="76"/>
        <v>0</v>
      </c>
      <c r="D304" s="6128">
        <f t="shared" si="77"/>
        <v>0</v>
      </c>
      <c r="E304" s="6129">
        <f t="shared" si="77"/>
        <v>0</v>
      </c>
      <c r="F304" s="6242"/>
      <c r="G304" s="6243"/>
      <c r="H304" s="6242"/>
      <c r="I304" s="6243"/>
      <c r="J304" s="6242"/>
      <c r="K304" s="6243"/>
      <c r="L304" s="6242"/>
      <c r="M304" s="6243"/>
      <c r="N304" s="6242"/>
      <c r="O304" s="6243"/>
      <c r="P304" s="6242"/>
      <c r="Q304" s="6243"/>
      <c r="R304" s="6242"/>
      <c r="S304" s="6243"/>
      <c r="T304" s="6242"/>
      <c r="U304" s="6243"/>
      <c r="V304" s="6242"/>
      <c r="W304" s="6243"/>
      <c r="X304" s="6242"/>
      <c r="Y304" s="6243"/>
      <c r="Z304" s="6242"/>
      <c r="AA304" s="6243"/>
      <c r="AB304" s="6242"/>
      <c r="AC304" s="6243"/>
      <c r="AD304" s="6242"/>
      <c r="AE304" s="6243"/>
      <c r="AF304" s="6242"/>
      <c r="AG304" s="6243"/>
      <c r="AH304" s="6242"/>
      <c r="AI304" s="6243"/>
      <c r="AJ304" s="6242"/>
      <c r="AK304" s="6243"/>
      <c r="AL304" s="6242"/>
      <c r="AM304" s="6244"/>
      <c r="AN304" s="6245"/>
      <c r="AO304" s="6245"/>
      <c r="AP304" s="6246"/>
      <c r="AQ304" s="6247"/>
      <c r="AR304" s="6246"/>
      <c r="AS304" s="6247"/>
      <c r="AT304" s="6246"/>
      <c r="AU304" s="6248"/>
      <c r="AV304" s="6249"/>
      <c r="AW304" s="6250"/>
    </row>
    <row r="305" spans="1:49" ht="15" customHeight="1" x14ac:dyDescent="0.25">
      <c r="A305" s="6789"/>
      <c r="B305" s="6126" t="s">
        <v>2640</v>
      </c>
      <c r="C305" s="6127">
        <f t="shared" si="76"/>
        <v>0</v>
      </c>
      <c r="D305" s="6128">
        <f t="shared" ref="D305:E321" si="82">SUM(F305,H305,J305,L305,N305,P305,R305,T305,V305,X305,Z305,AB305,AD305,AF305,AH305,AJ305,AL305)</f>
        <v>0</v>
      </c>
      <c r="E305" s="6129">
        <f t="shared" si="82"/>
        <v>0</v>
      </c>
      <c r="F305" s="6242"/>
      <c r="G305" s="6243"/>
      <c r="H305" s="6242"/>
      <c r="I305" s="6243"/>
      <c r="J305" s="6242"/>
      <c r="K305" s="6243"/>
      <c r="L305" s="6242"/>
      <c r="M305" s="6243"/>
      <c r="N305" s="6242"/>
      <c r="O305" s="6243"/>
      <c r="P305" s="6242"/>
      <c r="Q305" s="6243"/>
      <c r="R305" s="6242"/>
      <c r="S305" s="6243"/>
      <c r="T305" s="6242"/>
      <c r="U305" s="6243"/>
      <c r="V305" s="6242"/>
      <c r="W305" s="6243"/>
      <c r="X305" s="6242"/>
      <c r="Y305" s="6243"/>
      <c r="Z305" s="6242"/>
      <c r="AA305" s="6243"/>
      <c r="AB305" s="6242"/>
      <c r="AC305" s="6243"/>
      <c r="AD305" s="6242"/>
      <c r="AE305" s="6243"/>
      <c r="AF305" s="6242"/>
      <c r="AG305" s="6243"/>
      <c r="AH305" s="6242"/>
      <c r="AI305" s="6243"/>
      <c r="AJ305" s="6242"/>
      <c r="AK305" s="6243"/>
      <c r="AL305" s="6242"/>
      <c r="AM305" s="6244"/>
      <c r="AN305" s="6245"/>
      <c r="AO305" s="6245"/>
      <c r="AP305" s="6246"/>
      <c r="AQ305" s="6247"/>
      <c r="AR305" s="6246"/>
      <c r="AS305" s="6247"/>
      <c r="AT305" s="6246"/>
      <c r="AU305" s="6248"/>
      <c r="AV305" s="6249"/>
      <c r="AW305" s="6250"/>
    </row>
    <row r="306" spans="1:49" ht="20.25" customHeight="1" x14ac:dyDescent="0.25">
      <c r="A306" s="6789"/>
      <c r="B306" s="6126" t="s">
        <v>2641</v>
      </c>
      <c r="C306" s="6127">
        <f t="shared" si="76"/>
        <v>0</v>
      </c>
      <c r="D306" s="6128">
        <f t="shared" si="82"/>
        <v>0</v>
      </c>
      <c r="E306" s="6129">
        <f t="shared" si="82"/>
        <v>0</v>
      </c>
      <c r="F306" s="6242"/>
      <c r="G306" s="6243"/>
      <c r="H306" s="6242"/>
      <c r="I306" s="6243"/>
      <c r="J306" s="6242"/>
      <c r="K306" s="6243"/>
      <c r="L306" s="6242"/>
      <c r="M306" s="6243"/>
      <c r="N306" s="6242"/>
      <c r="O306" s="6243"/>
      <c r="P306" s="6242"/>
      <c r="Q306" s="6243"/>
      <c r="R306" s="6242"/>
      <c r="S306" s="6243"/>
      <c r="T306" s="6242"/>
      <c r="U306" s="6243"/>
      <c r="V306" s="6242"/>
      <c r="W306" s="6243"/>
      <c r="X306" s="6242"/>
      <c r="Y306" s="6243"/>
      <c r="Z306" s="6242"/>
      <c r="AA306" s="6243"/>
      <c r="AB306" s="6242"/>
      <c r="AC306" s="6243"/>
      <c r="AD306" s="6242"/>
      <c r="AE306" s="6243"/>
      <c r="AF306" s="6242"/>
      <c r="AG306" s="6243"/>
      <c r="AH306" s="6242"/>
      <c r="AI306" s="6243"/>
      <c r="AJ306" s="6242"/>
      <c r="AK306" s="6243"/>
      <c r="AL306" s="6242"/>
      <c r="AM306" s="6244"/>
      <c r="AN306" s="6245"/>
      <c r="AO306" s="6245"/>
      <c r="AP306" s="6246"/>
      <c r="AQ306" s="6247"/>
      <c r="AR306" s="6246"/>
      <c r="AS306" s="6247"/>
      <c r="AT306" s="6246"/>
      <c r="AU306" s="6248"/>
      <c r="AV306" s="6249"/>
      <c r="AW306" s="6250"/>
    </row>
    <row r="307" spans="1:49" ht="15" customHeight="1" x14ac:dyDescent="0.25">
      <c r="A307" s="6789"/>
      <c r="B307" s="6126" t="s">
        <v>76</v>
      </c>
      <c r="C307" s="6127">
        <f t="shared" si="76"/>
        <v>0</v>
      </c>
      <c r="D307" s="6128">
        <f t="shared" si="82"/>
        <v>0</v>
      </c>
      <c r="E307" s="6129">
        <f t="shared" si="82"/>
        <v>0</v>
      </c>
      <c r="F307" s="6242"/>
      <c r="G307" s="6243"/>
      <c r="H307" s="6242"/>
      <c r="I307" s="6243"/>
      <c r="J307" s="6242"/>
      <c r="K307" s="6243"/>
      <c r="L307" s="6242"/>
      <c r="M307" s="6243"/>
      <c r="N307" s="6242"/>
      <c r="O307" s="6243"/>
      <c r="P307" s="6242"/>
      <c r="Q307" s="6243"/>
      <c r="R307" s="6242"/>
      <c r="S307" s="6243"/>
      <c r="T307" s="6242"/>
      <c r="U307" s="6243"/>
      <c r="V307" s="6242"/>
      <c r="W307" s="6243"/>
      <c r="X307" s="6242"/>
      <c r="Y307" s="6243"/>
      <c r="Z307" s="6242"/>
      <c r="AA307" s="6243"/>
      <c r="AB307" s="6242"/>
      <c r="AC307" s="6243"/>
      <c r="AD307" s="6242"/>
      <c r="AE307" s="6243"/>
      <c r="AF307" s="6242"/>
      <c r="AG307" s="6243"/>
      <c r="AH307" s="6242"/>
      <c r="AI307" s="6243"/>
      <c r="AJ307" s="6242"/>
      <c r="AK307" s="6243"/>
      <c r="AL307" s="6242"/>
      <c r="AM307" s="6244"/>
      <c r="AN307" s="6245"/>
      <c r="AO307" s="6245"/>
      <c r="AP307" s="6246"/>
      <c r="AQ307" s="6247"/>
      <c r="AR307" s="6246"/>
      <c r="AS307" s="6247"/>
      <c r="AT307" s="6246"/>
      <c r="AU307" s="6248"/>
      <c r="AV307" s="6249"/>
      <c r="AW307" s="6250"/>
    </row>
    <row r="308" spans="1:49" ht="15" customHeight="1" x14ac:dyDescent="0.25">
      <c r="A308" s="6789"/>
      <c r="B308" s="6126" t="s">
        <v>277</v>
      </c>
      <c r="C308" s="6127">
        <f t="shared" si="76"/>
        <v>0</v>
      </c>
      <c r="D308" s="6128">
        <f t="shared" si="82"/>
        <v>0</v>
      </c>
      <c r="E308" s="6129">
        <f t="shared" si="82"/>
        <v>0</v>
      </c>
      <c r="F308" s="6242"/>
      <c r="G308" s="6243"/>
      <c r="H308" s="6242"/>
      <c r="I308" s="6243"/>
      <c r="J308" s="6242"/>
      <c r="K308" s="6243"/>
      <c r="L308" s="6242"/>
      <c r="M308" s="6243"/>
      <c r="N308" s="6242"/>
      <c r="O308" s="6243"/>
      <c r="P308" s="6242"/>
      <c r="Q308" s="6243"/>
      <c r="R308" s="6242"/>
      <c r="S308" s="6243"/>
      <c r="T308" s="6242"/>
      <c r="U308" s="6243"/>
      <c r="V308" s="6242"/>
      <c r="W308" s="6243"/>
      <c r="X308" s="6242"/>
      <c r="Y308" s="6243"/>
      <c r="Z308" s="6242"/>
      <c r="AA308" s="6243"/>
      <c r="AB308" s="6242"/>
      <c r="AC308" s="6243"/>
      <c r="AD308" s="6242"/>
      <c r="AE308" s="6243"/>
      <c r="AF308" s="6242"/>
      <c r="AG308" s="6243"/>
      <c r="AH308" s="6242"/>
      <c r="AI308" s="6243"/>
      <c r="AJ308" s="6242"/>
      <c r="AK308" s="6243"/>
      <c r="AL308" s="6242"/>
      <c r="AM308" s="6244"/>
      <c r="AN308" s="6245"/>
      <c r="AO308" s="6245"/>
      <c r="AP308" s="6246"/>
      <c r="AQ308" s="6247"/>
      <c r="AR308" s="6246"/>
      <c r="AS308" s="6247"/>
      <c r="AT308" s="6246"/>
      <c r="AU308" s="6248"/>
      <c r="AV308" s="6249"/>
      <c r="AW308" s="6250"/>
    </row>
    <row r="309" spans="1:49" ht="15" customHeight="1" x14ac:dyDescent="0.25">
      <c r="A309" s="6789"/>
      <c r="B309" s="6126" t="s">
        <v>79</v>
      </c>
      <c r="C309" s="6127">
        <f t="shared" si="76"/>
        <v>0</v>
      </c>
      <c r="D309" s="6128">
        <f t="shared" si="82"/>
        <v>0</v>
      </c>
      <c r="E309" s="6129">
        <f t="shared" si="82"/>
        <v>0</v>
      </c>
      <c r="F309" s="6242"/>
      <c r="G309" s="6243"/>
      <c r="H309" s="6242"/>
      <c r="I309" s="6243"/>
      <c r="J309" s="6242"/>
      <c r="K309" s="6243"/>
      <c r="L309" s="6242"/>
      <c r="M309" s="6243"/>
      <c r="N309" s="6242"/>
      <c r="O309" s="6243"/>
      <c r="P309" s="6242"/>
      <c r="Q309" s="6243"/>
      <c r="R309" s="6242"/>
      <c r="S309" s="6243"/>
      <c r="T309" s="6242"/>
      <c r="U309" s="6243"/>
      <c r="V309" s="6242"/>
      <c r="W309" s="6243"/>
      <c r="X309" s="6242"/>
      <c r="Y309" s="6243"/>
      <c r="Z309" s="6242"/>
      <c r="AA309" s="6243"/>
      <c r="AB309" s="6242"/>
      <c r="AC309" s="6243"/>
      <c r="AD309" s="6242"/>
      <c r="AE309" s="6243"/>
      <c r="AF309" s="6242"/>
      <c r="AG309" s="6243"/>
      <c r="AH309" s="6242"/>
      <c r="AI309" s="6243"/>
      <c r="AJ309" s="6242"/>
      <c r="AK309" s="6243"/>
      <c r="AL309" s="6242"/>
      <c r="AM309" s="6244"/>
      <c r="AN309" s="6245"/>
      <c r="AO309" s="6245"/>
      <c r="AP309" s="6246"/>
      <c r="AQ309" s="6247"/>
      <c r="AR309" s="6246"/>
      <c r="AS309" s="6247"/>
      <c r="AT309" s="6246"/>
      <c r="AU309" s="6248"/>
      <c r="AV309" s="6249"/>
      <c r="AW309" s="6250"/>
    </row>
    <row r="310" spans="1:49" ht="15" customHeight="1" x14ac:dyDescent="0.25">
      <c r="A310" s="6789"/>
      <c r="B310" s="6126" t="s">
        <v>632</v>
      </c>
      <c r="C310" s="6127">
        <f t="shared" si="76"/>
        <v>0</v>
      </c>
      <c r="D310" s="6128">
        <f t="shared" si="82"/>
        <v>0</v>
      </c>
      <c r="E310" s="6129">
        <f t="shared" si="82"/>
        <v>0</v>
      </c>
      <c r="F310" s="6242"/>
      <c r="G310" s="6243"/>
      <c r="H310" s="6242"/>
      <c r="I310" s="6243"/>
      <c r="J310" s="6242"/>
      <c r="K310" s="6243"/>
      <c r="L310" s="6242"/>
      <c r="M310" s="6243"/>
      <c r="N310" s="6242"/>
      <c r="O310" s="6243"/>
      <c r="P310" s="6242"/>
      <c r="Q310" s="6243"/>
      <c r="R310" s="6242"/>
      <c r="S310" s="6243"/>
      <c r="T310" s="6242"/>
      <c r="U310" s="6243"/>
      <c r="V310" s="6242"/>
      <c r="W310" s="6243"/>
      <c r="X310" s="6242"/>
      <c r="Y310" s="6243"/>
      <c r="Z310" s="6242"/>
      <c r="AA310" s="6243"/>
      <c r="AB310" s="6242"/>
      <c r="AC310" s="6243"/>
      <c r="AD310" s="6242"/>
      <c r="AE310" s="6243"/>
      <c r="AF310" s="6242"/>
      <c r="AG310" s="6243"/>
      <c r="AH310" s="6242"/>
      <c r="AI310" s="6243"/>
      <c r="AJ310" s="6242"/>
      <c r="AK310" s="6243"/>
      <c r="AL310" s="6242"/>
      <c r="AM310" s="6244"/>
      <c r="AN310" s="6245"/>
      <c r="AO310" s="6245"/>
      <c r="AP310" s="6246"/>
      <c r="AQ310" s="6247"/>
      <c r="AR310" s="6246"/>
      <c r="AS310" s="6247"/>
      <c r="AT310" s="6246"/>
      <c r="AU310" s="6248"/>
      <c r="AV310" s="6249"/>
      <c r="AW310" s="6250"/>
    </row>
    <row r="311" spans="1:49" ht="15" customHeight="1" x14ac:dyDescent="0.25">
      <c r="A311" s="6789"/>
      <c r="B311" s="6126" t="s">
        <v>81</v>
      </c>
      <c r="C311" s="6127">
        <f t="shared" si="76"/>
        <v>0</v>
      </c>
      <c r="D311" s="6128">
        <f t="shared" si="82"/>
        <v>0</v>
      </c>
      <c r="E311" s="6129">
        <f t="shared" si="82"/>
        <v>0</v>
      </c>
      <c r="F311" s="6242"/>
      <c r="G311" s="6243"/>
      <c r="H311" s="6242"/>
      <c r="I311" s="6243"/>
      <c r="J311" s="6242"/>
      <c r="K311" s="6243"/>
      <c r="L311" s="6242"/>
      <c r="M311" s="6243"/>
      <c r="N311" s="6242"/>
      <c r="O311" s="6243"/>
      <c r="P311" s="6242"/>
      <c r="Q311" s="6243"/>
      <c r="R311" s="6242"/>
      <c r="S311" s="6243"/>
      <c r="T311" s="6242"/>
      <c r="U311" s="6243"/>
      <c r="V311" s="6242"/>
      <c r="W311" s="6243"/>
      <c r="X311" s="6242"/>
      <c r="Y311" s="6243"/>
      <c r="Z311" s="6242"/>
      <c r="AA311" s="6243"/>
      <c r="AB311" s="6242"/>
      <c r="AC311" s="6243"/>
      <c r="AD311" s="6242"/>
      <c r="AE311" s="6243"/>
      <c r="AF311" s="6242"/>
      <c r="AG311" s="6243"/>
      <c r="AH311" s="6242"/>
      <c r="AI311" s="6243"/>
      <c r="AJ311" s="6242"/>
      <c r="AK311" s="6243"/>
      <c r="AL311" s="6242"/>
      <c r="AM311" s="6244"/>
      <c r="AN311" s="6245"/>
      <c r="AO311" s="6245"/>
      <c r="AP311" s="6246"/>
      <c r="AQ311" s="6247"/>
      <c r="AR311" s="6246"/>
      <c r="AS311" s="6247"/>
      <c r="AT311" s="6246"/>
      <c r="AU311" s="6248"/>
      <c r="AV311" s="6249"/>
      <c r="AW311" s="6250"/>
    </row>
    <row r="312" spans="1:49" ht="15" customHeight="1" x14ac:dyDescent="0.25">
      <c r="A312" s="6789"/>
      <c r="B312" s="6126" t="s">
        <v>2642</v>
      </c>
      <c r="C312" s="6127">
        <f t="shared" si="76"/>
        <v>0</v>
      </c>
      <c r="D312" s="6128">
        <f t="shared" si="82"/>
        <v>0</v>
      </c>
      <c r="E312" s="6129">
        <f t="shared" si="82"/>
        <v>0</v>
      </c>
      <c r="F312" s="6242"/>
      <c r="G312" s="6243"/>
      <c r="H312" s="6242"/>
      <c r="I312" s="6243"/>
      <c r="J312" s="6242"/>
      <c r="K312" s="6243"/>
      <c r="L312" s="6242"/>
      <c r="M312" s="6243"/>
      <c r="N312" s="6242"/>
      <c r="O312" s="6243"/>
      <c r="P312" s="6242"/>
      <c r="Q312" s="6243"/>
      <c r="R312" s="6242"/>
      <c r="S312" s="6243"/>
      <c r="T312" s="6242"/>
      <c r="U312" s="6243"/>
      <c r="V312" s="6242"/>
      <c r="W312" s="6243"/>
      <c r="X312" s="6242"/>
      <c r="Y312" s="6243"/>
      <c r="Z312" s="6242"/>
      <c r="AA312" s="6243"/>
      <c r="AB312" s="6242"/>
      <c r="AC312" s="6243"/>
      <c r="AD312" s="6242"/>
      <c r="AE312" s="6243"/>
      <c r="AF312" s="6242"/>
      <c r="AG312" s="6243"/>
      <c r="AH312" s="6242"/>
      <c r="AI312" s="6243"/>
      <c r="AJ312" s="6242"/>
      <c r="AK312" s="6243"/>
      <c r="AL312" s="6242"/>
      <c r="AM312" s="6244"/>
      <c r="AN312" s="6245"/>
      <c r="AO312" s="6245"/>
      <c r="AP312" s="6246"/>
      <c r="AQ312" s="6247"/>
      <c r="AR312" s="6246"/>
      <c r="AS312" s="6247"/>
      <c r="AT312" s="6246"/>
      <c r="AU312" s="6248"/>
      <c r="AV312" s="6249"/>
      <c r="AW312" s="6250"/>
    </row>
    <row r="313" spans="1:49" ht="15" customHeight="1" x14ac:dyDescent="0.25">
      <c r="A313" s="6790"/>
      <c r="B313" s="6122" t="s">
        <v>2637</v>
      </c>
      <c r="C313" s="6123">
        <f t="shared" si="76"/>
        <v>0</v>
      </c>
      <c r="D313" s="6124">
        <f t="shared" si="82"/>
        <v>0</v>
      </c>
      <c r="E313" s="6125">
        <f t="shared" si="82"/>
        <v>0</v>
      </c>
      <c r="F313" s="6223">
        <f t="shared" ref="F313:AM313" si="83">SUM(F302:F312)</f>
        <v>0</v>
      </c>
      <c r="G313" s="6224">
        <f t="shared" si="83"/>
        <v>0</v>
      </c>
      <c r="H313" s="6223">
        <f t="shared" si="83"/>
        <v>0</v>
      </c>
      <c r="I313" s="6224">
        <f t="shared" si="83"/>
        <v>0</v>
      </c>
      <c r="J313" s="6223">
        <f t="shared" si="83"/>
        <v>0</v>
      </c>
      <c r="K313" s="6225">
        <f t="shared" si="83"/>
        <v>0</v>
      </c>
      <c r="L313" s="6223">
        <f t="shared" si="83"/>
        <v>0</v>
      </c>
      <c r="M313" s="6225">
        <f t="shared" si="83"/>
        <v>0</v>
      </c>
      <c r="N313" s="6223">
        <f t="shared" si="83"/>
        <v>0</v>
      </c>
      <c r="O313" s="6225">
        <f t="shared" si="83"/>
        <v>0</v>
      </c>
      <c r="P313" s="6223">
        <f t="shared" si="83"/>
        <v>0</v>
      </c>
      <c r="Q313" s="6225">
        <f t="shared" si="83"/>
        <v>0</v>
      </c>
      <c r="R313" s="6223">
        <f t="shared" si="83"/>
        <v>0</v>
      </c>
      <c r="S313" s="6225">
        <f t="shared" si="83"/>
        <v>0</v>
      </c>
      <c r="T313" s="6223">
        <f t="shared" si="83"/>
        <v>0</v>
      </c>
      <c r="U313" s="6225">
        <f t="shared" si="83"/>
        <v>0</v>
      </c>
      <c r="V313" s="6223">
        <f t="shared" si="83"/>
        <v>0</v>
      </c>
      <c r="W313" s="6225">
        <f t="shared" si="83"/>
        <v>0</v>
      </c>
      <c r="X313" s="6223">
        <f t="shared" si="83"/>
        <v>0</v>
      </c>
      <c r="Y313" s="6225">
        <f t="shared" si="83"/>
        <v>0</v>
      </c>
      <c r="Z313" s="6223">
        <f t="shared" si="83"/>
        <v>0</v>
      </c>
      <c r="AA313" s="6225">
        <f t="shared" si="83"/>
        <v>0</v>
      </c>
      <c r="AB313" s="6223">
        <f t="shared" si="83"/>
        <v>0</v>
      </c>
      <c r="AC313" s="6225">
        <f t="shared" si="83"/>
        <v>0</v>
      </c>
      <c r="AD313" s="6223">
        <f t="shared" si="83"/>
        <v>0</v>
      </c>
      <c r="AE313" s="6225">
        <f t="shared" si="83"/>
        <v>0</v>
      </c>
      <c r="AF313" s="6223">
        <f t="shared" si="83"/>
        <v>0</v>
      </c>
      <c r="AG313" s="6225">
        <f t="shared" si="83"/>
        <v>0</v>
      </c>
      <c r="AH313" s="6223">
        <f t="shared" si="83"/>
        <v>0</v>
      </c>
      <c r="AI313" s="6225">
        <f t="shared" si="83"/>
        <v>0</v>
      </c>
      <c r="AJ313" s="6223">
        <f t="shared" si="83"/>
        <v>0</v>
      </c>
      <c r="AK313" s="6225">
        <f t="shared" si="83"/>
        <v>0</v>
      </c>
      <c r="AL313" s="6226">
        <f t="shared" si="83"/>
        <v>0</v>
      </c>
      <c r="AM313" s="6227">
        <f t="shared" si="83"/>
        <v>0</v>
      </c>
      <c r="AN313" s="6251"/>
      <c r="AO313" s="6251"/>
      <c r="AP313" s="6252"/>
      <c r="AQ313" s="6253"/>
      <c r="AR313" s="6252"/>
      <c r="AS313" s="6253"/>
      <c r="AT313" s="6254"/>
      <c r="AU313" s="6255"/>
      <c r="AV313" s="6256"/>
      <c r="AW313" s="6257"/>
    </row>
    <row r="314" spans="1:49" ht="15" customHeight="1" x14ac:dyDescent="0.25">
      <c r="A314" s="6788" t="s">
        <v>2646</v>
      </c>
      <c r="B314" s="6113" t="s">
        <v>62</v>
      </c>
      <c r="C314" s="6114">
        <f t="shared" si="76"/>
        <v>0</v>
      </c>
      <c r="D314" s="6115">
        <f t="shared" si="82"/>
        <v>0</v>
      </c>
      <c r="E314" s="6116">
        <f t="shared" si="82"/>
        <v>0</v>
      </c>
      <c r="F314" s="6213"/>
      <c r="G314" s="6214"/>
      <c r="H314" s="6213"/>
      <c r="I314" s="6214"/>
      <c r="J314" s="6213"/>
      <c r="K314" s="6214"/>
      <c r="L314" s="6213"/>
      <c r="M314" s="6214"/>
      <c r="N314" s="6213"/>
      <c r="O314" s="6214"/>
      <c r="P314" s="6213"/>
      <c r="Q314" s="6214"/>
      <c r="R314" s="6213"/>
      <c r="S314" s="6214"/>
      <c r="T314" s="6213"/>
      <c r="U314" s="6214"/>
      <c r="V314" s="6213"/>
      <c r="W314" s="6214"/>
      <c r="X314" s="6213"/>
      <c r="Y314" s="6214"/>
      <c r="Z314" s="6213"/>
      <c r="AA314" s="6214"/>
      <c r="AB314" s="6213"/>
      <c r="AC314" s="6214"/>
      <c r="AD314" s="6213"/>
      <c r="AE314" s="6214"/>
      <c r="AF314" s="6213"/>
      <c r="AG314" s="6214"/>
      <c r="AH314" s="6213"/>
      <c r="AI314" s="6214"/>
      <c r="AJ314" s="6213"/>
      <c r="AK314" s="6214"/>
      <c r="AL314" s="6213"/>
      <c r="AM314" s="6215"/>
      <c r="AN314" s="6230"/>
      <c r="AO314" s="6230"/>
      <c r="AP314" s="6231"/>
      <c r="AQ314" s="6232"/>
      <c r="AR314" s="6231"/>
      <c r="AS314" s="6232"/>
      <c r="AT314" s="6231"/>
      <c r="AU314" s="6233"/>
      <c r="AV314" s="6234"/>
      <c r="AW314" s="6235"/>
    </row>
    <row r="315" spans="1:49" ht="15" customHeight="1" x14ac:dyDescent="0.25">
      <c r="A315" s="6789"/>
      <c r="B315" s="6117" t="s">
        <v>75</v>
      </c>
      <c r="C315" s="6118">
        <f t="shared" si="76"/>
        <v>0</v>
      </c>
      <c r="D315" s="6119">
        <f t="shared" si="82"/>
        <v>0</v>
      </c>
      <c r="E315" s="6120">
        <f t="shared" si="82"/>
        <v>0</v>
      </c>
      <c r="F315" s="6219"/>
      <c r="G315" s="6220"/>
      <c r="H315" s="6219"/>
      <c r="I315" s="6220"/>
      <c r="J315" s="6219"/>
      <c r="K315" s="6220"/>
      <c r="L315" s="6219"/>
      <c r="M315" s="6220"/>
      <c r="N315" s="6219"/>
      <c r="O315" s="6220"/>
      <c r="P315" s="6219"/>
      <c r="Q315" s="6220"/>
      <c r="R315" s="6219"/>
      <c r="S315" s="6220"/>
      <c r="T315" s="6219"/>
      <c r="U315" s="6220"/>
      <c r="V315" s="6219"/>
      <c r="W315" s="6220"/>
      <c r="X315" s="6219"/>
      <c r="Y315" s="6220"/>
      <c r="Z315" s="6219"/>
      <c r="AA315" s="6220"/>
      <c r="AB315" s="6219"/>
      <c r="AC315" s="6220"/>
      <c r="AD315" s="6219"/>
      <c r="AE315" s="6220"/>
      <c r="AF315" s="6219"/>
      <c r="AG315" s="6220"/>
      <c r="AH315" s="6219"/>
      <c r="AI315" s="6220"/>
      <c r="AJ315" s="6219"/>
      <c r="AK315" s="6220"/>
      <c r="AL315" s="6219"/>
      <c r="AM315" s="6221"/>
      <c r="AN315" s="6236"/>
      <c r="AO315" s="6236"/>
      <c r="AP315" s="6237"/>
      <c r="AQ315" s="6238"/>
      <c r="AR315" s="6237"/>
      <c r="AS315" s="6238"/>
      <c r="AT315" s="6237"/>
      <c r="AU315" s="6239"/>
      <c r="AV315" s="6240"/>
      <c r="AW315" s="6241"/>
    </row>
    <row r="316" spans="1:49" ht="15" customHeight="1" x14ac:dyDescent="0.25">
      <c r="A316" s="6789"/>
      <c r="B316" s="6126" t="s">
        <v>2639</v>
      </c>
      <c r="C316" s="6127">
        <f t="shared" si="76"/>
        <v>0</v>
      </c>
      <c r="D316" s="6128">
        <f t="shared" si="82"/>
        <v>0</v>
      </c>
      <c r="E316" s="6129">
        <f t="shared" si="82"/>
        <v>0</v>
      </c>
      <c r="F316" s="6242"/>
      <c r="G316" s="6243"/>
      <c r="H316" s="6242"/>
      <c r="I316" s="6243"/>
      <c r="J316" s="6242"/>
      <c r="K316" s="6243"/>
      <c r="L316" s="6242"/>
      <c r="M316" s="6243"/>
      <c r="N316" s="6242"/>
      <c r="O316" s="6243"/>
      <c r="P316" s="6242"/>
      <c r="Q316" s="6243"/>
      <c r="R316" s="6242"/>
      <c r="S316" s="6243"/>
      <c r="T316" s="6242"/>
      <c r="U316" s="6243"/>
      <c r="V316" s="6242"/>
      <c r="W316" s="6243"/>
      <c r="X316" s="6242"/>
      <c r="Y316" s="6243"/>
      <c r="Z316" s="6242"/>
      <c r="AA316" s="6243"/>
      <c r="AB316" s="6242"/>
      <c r="AC316" s="6243"/>
      <c r="AD316" s="6242"/>
      <c r="AE316" s="6243"/>
      <c r="AF316" s="6242"/>
      <c r="AG316" s="6243"/>
      <c r="AH316" s="6242"/>
      <c r="AI316" s="6243"/>
      <c r="AJ316" s="6242"/>
      <c r="AK316" s="6243"/>
      <c r="AL316" s="6242"/>
      <c r="AM316" s="6244"/>
      <c r="AN316" s="6245"/>
      <c r="AO316" s="6245"/>
      <c r="AP316" s="6246"/>
      <c r="AQ316" s="6247"/>
      <c r="AR316" s="6246"/>
      <c r="AS316" s="6247"/>
      <c r="AT316" s="6246"/>
      <c r="AU316" s="6248"/>
      <c r="AV316" s="6249"/>
      <c r="AW316" s="6250"/>
    </row>
    <row r="317" spans="1:49" ht="15" customHeight="1" x14ac:dyDescent="0.25">
      <c r="A317" s="6789"/>
      <c r="B317" s="6126" t="s">
        <v>2640</v>
      </c>
      <c r="C317" s="6127">
        <f t="shared" si="76"/>
        <v>0</v>
      </c>
      <c r="D317" s="6128">
        <f t="shared" si="82"/>
        <v>0</v>
      </c>
      <c r="E317" s="6129">
        <f t="shared" si="82"/>
        <v>0</v>
      </c>
      <c r="F317" s="6242"/>
      <c r="G317" s="6243"/>
      <c r="H317" s="6242"/>
      <c r="I317" s="6243"/>
      <c r="J317" s="6242"/>
      <c r="K317" s="6243"/>
      <c r="L317" s="6242"/>
      <c r="M317" s="6243"/>
      <c r="N317" s="6242"/>
      <c r="O317" s="6243"/>
      <c r="P317" s="6242"/>
      <c r="Q317" s="6243"/>
      <c r="R317" s="6242"/>
      <c r="S317" s="6243"/>
      <c r="T317" s="6242"/>
      <c r="U317" s="6243"/>
      <c r="V317" s="6242"/>
      <c r="W317" s="6243"/>
      <c r="X317" s="6242"/>
      <c r="Y317" s="6243"/>
      <c r="Z317" s="6242"/>
      <c r="AA317" s="6243"/>
      <c r="AB317" s="6242"/>
      <c r="AC317" s="6243"/>
      <c r="AD317" s="6242"/>
      <c r="AE317" s="6243"/>
      <c r="AF317" s="6242"/>
      <c r="AG317" s="6243"/>
      <c r="AH317" s="6242"/>
      <c r="AI317" s="6243"/>
      <c r="AJ317" s="6242"/>
      <c r="AK317" s="6243"/>
      <c r="AL317" s="6242"/>
      <c r="AM317" s="6244"/>
      <c r="AN317" s="6245"/>
      <c r="AO317" s="6245"/>
      <c r="AP317" s="6246"/>
      <c r="AQ317" s="6247"/>
      <c r="AR317" s="6246"/>
      <c r="AS317" s="6247"/>
      <c r="AT317" s="6246"/>
      <c r="AU317" s="6248"/>
      <c r="AV317" s="6249"/>
      <c r="AW317" s="6250"/>
    </row>
    <row r="318" spans="1:49" ht="22.5" customHeight="1" x14ac:dyDescent="0.25">
      <c r="A318" s="6789"/>
      <c r="B318" s="6126" t="s">
        <v>2641</v>
      </c>
      <c r="C318" s="6127">
        <f t="shared" si="76"/>
        <v>0</v>
      </c>
      <c r="D318" s="6128">
        <f t="shared" si="82"/>
        <v>0</v>
      </c>
      <c r="E318" s="6129">
        <f t="shared" si="82"/>
        <v>0</v>
      </c>
      <c r="F318" s="6242"/>
      <c r="G318" s="6243"/>
      <c r="H318" s="6242"/>
      <c r="I318" s="6243"/>
      <c r="J318" s="6242"/>
      <c r="K318" s="6243"/>
      <c r="L318" s="6242"/>
      <c r="M318" s="6243"/>
      <c r="N318" s="6242"/>
      <c r="O318" s="6243"/>
      <c r="P318" s="6242"/>
      <c r="Q318" s="6243"/>
      <c r="R318" s="6242"/>
      <c r="S318" s="6243"/>
      <c r="T318" s="6242"/>
      <c r="U318" s="6243"/>
      <c r="V318" s="6242"/>
      <c r="W318" s="6243"/>
      <c r="X318" s="6242"/>
      <c r="Y318" s="6243"/>
      <c r="Z318" s="6242"/>
      <c r="AA318" s="6243"/>
      <c r="AB318" s="6242"/>
      <c r="AC318" s="6243"/>
      <c r="AD318" s="6242"/>
      <c r="AE318" s="6243"/>
      <c r="AF318" s="6242"/>
      <c r="AG318" s="6243"/>
      <c r="AH318" s="6242"/>
      <c r="AI318" s="6243"/>
      <c r="AJ318" s="6242"/>
      <c r="AK318" s="6243"/>
      <c r="AL318" s="6242"/>
      <c r="AM318" s="6244"/>
      <c r="AN318" s="6245"/>
      <c r="AO318" s="6245"/>
      <c r="AP318" s="6246"/>
      <c r="AQ318" s="6247"/>
      <c r="AR318" s="6246"/>
      <c r="AS318" s="6247"/>
      <c r="AT318" s="6246"/>
      <c r="AU318" s="6248"/>
      <c r="AV318" s="6249"/>
      <c r="AW318" s="6250"/>
    </row>
    <row r="319" spans="1:49" ht="15" customHeight="1" x14ac:dyDescent="0.25">
      <c r="A319" s="6789"/>
      <c r="B319" s="6126" t="s">
        <v>2642</v>
      </c>
      <c r="C319" s="6127">
        <f t="shared" si="76"/>
        <v>0</v>
      </c>
      <c r="D319" s="6128">
        <f t="shared" si="82"/>
        <v>0</v>
      </c>
      <c r="E319" s="6129">
        <f t="shared" si="82"/>
        <v>0</v>
      </c>
      <c r="F319" s="6242"/>
      <c r="G319" s="6243"/>
      <c r="H319" s="6242"/>
      <c r="I319" s="6243"/>
      <c r="J319" s="6242"/>
      <c r="K319" s="6243"/>
      <c r="L319" s="6242"/>
      <c r="M319" s="6243"/>
      <c r="N319" s="6242"/>
      <c r="O319" s="6243"/>
      <c r="P319" s="6242"/>
      <c r="Q319" s="6243"/>
      <c r="R319" s="6242"/>
      <c r="S319" s="6243"/>
      <c r="T319" s="6242"/>
      <c r="U319" s="6243"/>
      <c r="V319" s="6242"/>
      <c r="W319" s="6243"/>
      <c r="X319" s="6242"/>
      <c r="Y319" s="6243"/>
      <c r="Z319" s="6242"/>
      <c r="AA319" s="6243"/>
      <c r="AB319" s="6242"/>
      <c r="AC319" s="6243"/>
      <c r="AD319" s="6242"/>
      <c r="AE319" s="6243"/>
      <c r="AF319" s="6242"/>
      <c r="AG319" s="6243"/>
      <c r="AH319" s="6242"/>
      <c r="AI319" s="6243"/>
      <c r="AJ319" s="6242"/>
      <c r="AK319" s="6243"/>
      <c r="AL319" s="6242"/>
      <c r="AM319" s="6244"/>
      <c r="AN319" s="6245"/>
      <c r="AO319" s="6245"/>
      <c r="AP319" s="6246"/>
      <c r="AQ319" s="6247"/>
      <c r="AR319" s="6246"/>
      <c r="AS319" s="6247"/>
      <c r="AT319" s="6246"/>
      <c r="AU319" s="6248"/>
      <c r="AV319" s="6249"/>
      <c r="AW319" s="6250"/>
    </row>
    <row r="320" spans="1:49" ht="15" customHeight="1" thickBot="1" x14ac:dyDescent="0.3">
      <c r="A320" s="6790"/>
      <c r="B320" s="6122" t="s">
        <v>2637</v>
      </c>
      <c r="C320" s="6123">
        <f t="shared" si="76"/>
        <v>0</v>
      </c>
      <c r="D320" s="6124">
        <f t="shared" si="82"/>
        <v>0</v>
      </c>
      <c r="E320" s="6130">
        <f t="shared" si="82"/>
        <v>0</v>
      </c>
      <c r="F320" s="6258">
        <f t="shared" ref="F320:AM320" si="84">SUM(F314:F319)</f>
        <v>0</v>
      </c>
      <c r="G320" s="6225">
        <f t="shared" si="84"/>
        <v>0</v>
      </c>
      <c r="H320" s="6258">
        <f t="shared" si="84"/>
        <v>0</v>
      </c>
      <c r="I320" s="6225">
        <f t="shared" si="84"/>
        <v>0</v>
      </c>
      <c r="J320" s="6258">
        <f t="shared" si="84"/>
        <v>0</v>
      </c>
      <c r="K320" s="6225">
        <f t="shared" si="84"/>
        <v>0</v>
      </c>
      <c r="L320" s="6258">
        <f t="shared" si="84"/>
        <v>0</v>
      </c>
      <c r="M320" s="6225">
        <f t="shared" si="84"/>
        <v>0</v>
      </c>
      <c r="N320" s="6258">
        <f t="shared" si="84"/>
        <v>0</v>
      </c>
      <c r="O320" s="6225">
        <f t="shared" si="84"/>
        <v>0</v>
      </c>
      <c r="P320" s="6258">
        <f t="shared" si="84"/>
        <v>0</v>
      </c>
      <c r="Q320" s="6225">
        <f t="shared" si="84"/>
        <v>0</v>
      </c>
      <c r="R320" s="6258">
        <f t="shared" si="84"/>
        <v>0</v>
      </c>
      <c r="S320" s="6225">
        <f t="shared" si="84"/>
        <v>0</v>
      </c>
      <c r="T320" s="6258">
        <f t="shared" si="84"/>
        <v>0</v>
      </c>
      <c r="U320" s="6225">
        <f t="shared" si="84"/>
        <v>0</v>
      </c>
      <c r="V320" s="6258">
        <f t="shared" si="84"/>
        <v>0</v>
      </c>
      <c r="W320" s="6225">
        <f t="shared" si="84"/>
        <v>0</v>
      </c>
      <c r="X320" s="6258">
        <f t="shared" si="84"/>
        <v>0</v>
      </c>
      <c r="Y320" s="6225">
        <f t="shared" si="84"/>
        <v>0</v>
      </c>
      <c r="Z320" s="6258">
        <f t="shared" si="84"/>
        <v>0</v>
      </c>
      <c r="AA320" s="6225">
        <f t="shared" si="84"/>
        <v>0</v>
      </c>
      <c r="AB320" s="6258">
        <f t="shared" si="84"/>
        <v>0</v>
      </c>
      <c r="AC320" s="6225">
        <f t="shared" si="84"/>
        <v>0</v>
      </c>
      <c r="AD320" s="6258">
        <f t="shared" si="84"/>
        <v>0</v>
      </c>
      <c r="AE320" s="6225">
        <f t="shared" si="84"/>
        <v>0</v>
      </c>
      <c r="AF320" s="6258">
        <f t="shared" si="84"/>
        <v>0</v>
      </c>
      <c r="AG320" s="6225">
        <f t="shared" si="84"/>
        <v>0</v>
      </c>
      <c r="AH320" s="6258">
        <f t="shared" si="84"/>
        <v>0</v>
      </c>
      <c r="AI320" s="6225">
        <f t="shared" si="84"/>
        <v>0</v>
      </c>
      <c r="AJ320" s="6258">
        <f t="shared" si="84"/>
        <v>0</v>
      </c>
      <c r="AK320" s="6225">
        <f t="shared" si="84"/>
        <v>0</v>
      </c>
      <c r="AL320" s="6259">
        <f t="shared" si="84"/>
        <v>0</v>
      </c>
      <c r="AM320" s="6227">
        <f t="shared" si="84"/>
        <v>0</v>
      </c>
      <c r="AN320" s="6260"/>
      <c r="AO320" s="6260"/>
      <c r="AP320" s="6261"/>
      <c r="AQ320" s="6262"/>
      <c r="AR320" s="6261"/>
      <c r="AS320" s="6262"/>
      <c r="AT320" s="6263"/>
      <c r="AU320" s="6264"/>
      <c r="AV320" s="6265"/>
      <c r="AW320" s="6266"/>
    </row>
    <row r="321" spans="1:90" ht="15" customHeight="1" thickTop="1" x14ac:dyDescent="0.25">
      <c r="A321" s="6763" t="s">
        <v>2647</v>
      </c>
      <c r="B321" s="6763"/>
      <c r="C321" s="6131">
        <f t="shared" si="76"/>
        <v>0</v>
      </c>
      <c r="D321" s="6132">
        <f t="shared" si="82"/>
        <v>0</v>
      </c>
      <c r="E321" s="6133">
        <f t="shared" si="82"/>
        <v>0</v>
      </c>
      <c r="F321" s="6132">
        <f t="shared" ref="F321:AM321" si="85">SUM(F275,F282,F289,F301,F313,F320)</f>
        <v>0</v>
      </c>
      <c r="G321" s="6133">
        <f t="shared" si="85"/>
        <v>0</v>
      </c>
      <c r="H321" s="6132">
        <f t="shared" si="85"/>
        <v>0</v>
      </c>
      <c r="I321" s="6133">
        <f t="shared" si="85"/>
        <v>0</v>
      </c>
      <c r="J321" s="6132">
        <f t="shared" si="85"/>
        <v>0</v>
      </c>
      <c r="K321" s="6133">
        <f t="shared" si="85"/>
        <v>0</v>
      </c>
      <c r="L321" s="6132">
        <f t="shared" si="85"/>
        <v>0</v>
      </c>
      <c r="M321" s="6133">
        <f t="shared" si="85"/>
        <v>0</v>
      </c>
      <c r="N321" s="6132">
        <f t="shared" si="85"/>
        <v>0</v>
      </c>
      <c r="O321" s="6133">
        <f t="shared" si="85"/>
        <v>0</v>
      </c>
      <c r="P321" s="6132">
        <f t="shared" si="85"/>
        <v>0</v>
      </c>
      <c r="Q321" s="6133">
        <f t="shared" si="85"/>
        <v>0</v>
      </c>
      <c r="R321" s="6132">
        <f t="shared" si="85"/>
        <v>0</v>
      </c>
      <c r="S321" s="6133">
        <f t="shared" si="85"/>
        <v>0</v>
      </c>
      <c r="T321" s="6132">
        <f t="shared" si="85"/>
        <v>0</v>
      </c>
      <c r="U321" s="6133">
        <f t="shared" si="85"/>
        <v>0</v>
      </c>
      <c r="V321" s="6132">
        <f t="shared" si="85"/>
        <v>0</v>
      </c>
      <c r="W321" s="6225">
        <f t="shared" si="85"/>
        <v>0</v>
      </c>
      <c r="X321" s="6132">
        <f t="shared" si="85"/>
        <v>0</v>
      </c>
      <c r="Y321" s="6133">
        <f t="shared" si="85"/>
        <v>0</v>
      </c>
      <c r="Z321" s="6132">
        <f t="shared" si="85"/>
        <v>0</v>
      </c>
      <c r="AA321" s="6133">
        <f t="shared" si="85"/>
        <v>0</v>
      </c>
      <c r="AB321" s="6132">
        <f t="shared" si="85"/>
        <v>0</v>
      </c>
      <c r="AC321" s="6133">
        <f t="shared" si="85"/>
        <v>0</v>
      </c>
      <c r="AD321" s="6132">
        <f t="shared" si="85"/>
        <v>0</v>
      </c>
      <c r="AE321" s="6133">
        <f t="shared" si="85"/>
        <v>0</v>
      </c>
      <c r="AF321" s="6132">
        <f t="shared" si="85"/>
        <v>0</v>
      </c>
      <c r="AG321" s="6133">
        <f t="shared" si="85"/>
        <v>0</v>
      </c>
      <c r="AH321" s="6132">
        <f t="shared" si="85"/>
        <v>0</v>
      </c>
      <c r="AI321" s="6133">
        <f t="shared" si="85"/>
        <v>0</v>
      </c>
      <c r="AJ321" s="6132">
        <f t="shared" si="85"/>
        <v>0</v>
      </c>
      <c r="AK321" s="6133">
        <f t="shared" si="85"/>
        <v>0</v>
      </c>
      <c r="AL321" s="6132">
        <f t="shared" si="85"/>
        <v>0</v>
      </c>
      <c r="AM321" s="6267">
        <f t="shared" si="85"/>
        <v>0</v>
      </c>
      <c r="AN321" s="6268">
        <f t="shared" ref="AN321:AW321" si="86">SUM(AN275)</f>
        <v>0</v>
      </c>
      <c r="AO321" s="6268">
        <f t="shared" si="86"/>
        <v>0</v>
      </c>
      <c r="AP321" s="6132">
        <f t="shared" si="86"/>
        <v>0</v>
      </c>
      <c r="AQ321" s="6133">
        <f t="shared" si="86"/>
        <v>0</v>
      </c>
      <c r="AR321" s="6132">
        <f t="shared" si="86"/>
        <v>0</v>
      </c>
      <c r="AS321" s="6133">
        <f t="shared" si="86"/>
        <v>0</v>
      </c>
      <c r="AT321" s="6132">
        <f t="shared" si="86"/>
        <v>0</v>
      </c>
      <c r="AU321" s="6267">
        <f t="shared" si="86"/>
        <v>0</v>
      </c>
      <c r="AV321" s="6269">
        <f t="shared" si="86"/>
        <v>0</v>
      </c>
      <c r="AW321" s="6268">
        <f t="shared" si="86"/>
        <v>0</v>
      </c>
    </row>
    <row r="322" spans="1:90" x14ac:dyDescent="0.25">
      <c r="A322" s="1847" t="s">
        <v>2648</v>
      </c>
      <c r="B322" s="3556"/>
      <c r="C322" s="3557"/>
      <c r="D322" s="3557"/>
      <c r="E322" s="3557"/>
      <c r="F322" s="3557"/>
      <c r="G322" s="3557"/>
      <c r="H322" s="3557"/>
      <c r="I322" s="3557"/>
      <c r="J322" s="3557"/>
      <c r="K322" s="3557"/>
      <c r="L322" s="3557"/>
    </row>
    <row r="323" spans="1:90" x14ac:dyDescent="0.25">
      <c r="A323" s="6764" t="s">
        <v>58</v>
      </c>
      <c r="B323" s="6766" t="s">
        <v>3933</v>
      </c>
      <c r="C323" s="6781" t="s">
        <v>3724</v>
      </c>
      <c r="D323" s="6782"/>
      <c r="E323" s="6782"/>
      <c r="F323" s="6782"/>
      <c r="G323" s="6782"/>
      <c r="H323" s="6782"/>
      <c r="I323" s="6782"/>
      <c r="J323" s="6782"/>
      <c r="K323" s="6783"/>
      <c r="L323" s="6784" t="s">
        <v>1924</v>
      </c>
      <c r="M323" s="6785"/>
      <c r="N323" s="6785"/>
      <c r="O323" s="6785"/>
      <c r="P323" s="6785"/>
      <c r="Q323" s="6785"/>
      <c r="R323" s="6785"/>
      <c r="S323" s="6785"/>
      <c r="T323" s="6786"/>
      <c r="U323" s="6784" t="s">
        <v>2238</v>
      </c>
      <c r="V323" s="6785"/>
      <c r="W323" s="6785"/>
      <c r="X323" s="6785"/>
      <c r="Y323" s="6785"/>
      <c r="Z323" s="6785"/>
      <c r="AA323" s="6785"/>
      <c r="AB323" s="6785"/>
      <c r="AC323" s="6787"/>
      <c r="AD323" s="6768" t="s">
        <v>2</v>
      </c>
      <c r="AE323" s="6769" t="s">
        <v>3</v>
      </c>
    </row>
    <row r="324" spans="1:90" x14ac:dyDescent="0.25">
      <c r="A324" s="6765"/>
      <c r="B324" s="6767"/>
      <c r="C324" s="6770" t="s">
        <v>24</v>
      </c>
      <c r="D324" s="6771"/>
      <c r="E324" s="6772"/>
      <c r="F324" s="6773" t="s">
        <v>2234</v>
      </c>
      <c r="G324" s="6773"/>
      <c r="H324" s="6773" t="s">
        <v>2235</v>
      </c>
      <c r="I324" s="6773"/>
      <c r="J324" s="6774" t="s">
        <v>2237</v>
      </c>
      <c r="K324" s="6774"/>
      <c r="L324" s="6775" t="s">
        <v>24</v>
      </c>
      <c r="M324" s="6776"/>
      <c r="N324" s="6777"/>
      <c r="O324" s="6780" t="s">
        <v>2234</v>
      </c>
      <c r="P324" s="6780"/>
      <c r="Q324" s="6780" t="s">
        <v>2235</v>
      </c>
      <c r="R324" s="6780"/>
      <c r="S324" s="6778" t="s">
        <v>2237</v>
      </c>
      <c r="T324" s="6778"/>
      <c r="U324" s="6775" t="s">
        <v>24</v>
      </c>
      <c r="V324" s="6776"/>
      <c r="W324" s="6777"/>
      <c r="X324" s="6780" t="s">
        <v>2234</v>
      </c>
      <c r="Y324" s="6780"/>
      <c r="Z324" s="6780" t="s">
        <v>2235</v>
      </c>
      <c r="AA324" s="6780"/>
      <c r="AB324" s="6778" t="s">
        <v>2237</v>
      </c>
      <c r="AC324" s="6779"/>
      <c r="AD324" s="6768"/>
      <c r="AE324" s="6769"/>
    </row>
    <row r="325" spans="1:90" ht="21" x14ac:dyDescent="0.25">
      <c r="A325" s="6765"/>
      <c r="B325" s="6767"/>
      <c r="C325" s="4818" t="s">
        <v>2650</v>
      </c>
      <c r="D325" s="4454" t="s">
        <v>22</v>
      </c>
      <c r="E325" s="4447" t="s">
        <v>27</v>
      </c>
      <c r="F325" s="4448" t="s">
        <v>22</v>
      </c>
      <c r="G325" s="4449" t="s">
        <v>27</v>
      </c>
      <c r="H325" s="4448" t="s">
        <v>22</v>
      </c>
      <c r="I325" s="4449" t="s">
        <v>27</v>
      </c>
      <c r="J325" s="4448" t="s">
        <v>22</v>
      </c>
      <c r="K325" s="4449" t="s">
        <v>27</v>
      </c>
      <c r="L325" s="4849" t="s">
        <v>2650</v>
      </c>
      <c r="M325" s="4852" t="s">
        <v>22</v>
      </c>
      <c r="N325" s="4854" t="s">
        <v>27</v>
      </c>
      <c r="O325" s="4849" t="s">
        <v>22</v>
      </c>
      <c r="P325" s="4854" t="s">
        <v>27</v>
      </c>
      <c r="Q325" s="4849" t="s">
        <v>22</v>
      </c>
      <c r="R325" s="4854" t="s">
        <v>27</v>
      </c>
      <c r="S325" s="4849" t="s">
        <v>22</v>
      </c>
      <c r="T325" s="4854" t="s">
        <v>27</v>
      </c>
      <c r="U325" s="4849" t="s">
        <v>2650</v>
      </c>
      <c r="V325" s="4850" t="s">
        <v>22</v>
      </c>
      <c r="W325" s="4851" t="s">
        <v>27</v>
      </c>
      <c r="X325" s="3558" t="s">
        <v>22</v>
      </c>
      <c r="Y325" s="3559" t="s">
        <v>27</v>
      </c>
      <c r="Z325" s="3558" t="s">
        <v>22</v>
      </c>
      <c r="AA325" s="3559" t="s">
        <v>27</v>
      </c>
      <c r="AB325" s="3558" t="s">
        <v>22</v>
      </c>
      <c r="AC325" s="3560" t="s">
        <v>27</v>
      </c>
      <c r="AD325" s="6768"/>
      <c r="AE325" s="6769"/>
    </row>
    <row r="326" spans="1:90" ht="42" x14ac:dyDescent="0.25">
      <c r="A326" s="6426" t="s">
        <v>3934</v>
      </c>
      <c r="B326" s="4450">
        <f>SUM(C326+L326+U326)</f>
        <v>0</v>
      </c>
      <c r="C326" s="4817">
        <f>SUM(D326:E326)</f>
        <v>0</v>
      </c>
      <c r="D326" s="4273">
        <f>SUM(F326+H326+J326)</f>
        <v>0</v>
      </c>
      <c r="E326" s="4274">
        <f>SUM(G326+I326+K326)</f>
        <v>0</v>
      </c>
      <c r="F326" s="4272"/>
      <c r="G326" s="3905"/>
      <c r="H326" s="4272"/>
      <c r="I326" s="3905"/>
      <c r="J326" s="4272"/>
      <c r="K326" s="3905"/>
      <c r="L326" s="4857">
        <f>SUM(M326:N326)</f>
        <v>0</v>
      </c>
      <c r="M326" s="4803">
        <f>SUM(O326+Q326+S326)</f>
        <v>0</v>
      </c>
      <c r="N326" s="4855">
        <f>SUM(P326+R326+T326)</f>
        <v>0</v>
      </c>
      <c r="O326" s="4862"/>
      <c r="P326" s="4861"/>
      <c r="Q326" s="4862"/>
      <c r="R326" s="4861"/>
      <c r="S326" s="4862"/>
      <c r="T326" s="4861"/>
      <c r="U326" s="4806">
        <f>SUM(V326:W326)</f>
        <v>0</v>
      </c>
      <c r="V326" s="4803">
        <f>SUM(X326+Z326+AB326)</f>
        <v>0</v>
      </c>
      <c r="W326" s="4274">
        <f>SUM(Y326+AA326+AC326)</f>
        <v>0</v>
      </c>
      <c r="X326" s="4272"/>
      <c r="Y326" s="3905"/>
      <c r="Z326" s="4272"/>
      <c r="AA326" s="3905"/>
      <c r="AB326" s="4272"/>
      <c r="AC326" s="3906"/>
      <c r="AD326" s="4278"/>
      <c r="AE326" s="5952"/>
      <c r="AF326" s="3324" t="str">
        <f>$CA326&amp;CB326</f>
        <v/>
      </c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3325"/>
      <c r="BL326" s="3325"/>
      <c r="BM326" s="3325"/>
      <c r="BN326" s="3325"/>
      <c r="BO326" s="3325"/>
      <c r="BP326" s="3325"/>
      <c r="BQ326" s="3325"/>
      <c r="BR326" s="3325"/>
      <c r="BS326" s="3325"/>
      <c r="BT326" s="3325"/>
      <c r="BU326" s="3325"/>
      <c r="BV326" s="3325"/>
      <c r="BW326" s="3325"/>
      <c r="BX326" s="3325"/>
      <c r="BY326" s="3325"/>
      <c r="BZ326" s="3325"/>
      <c r="CA326" s="3326" t="str">
        <f>IF(AND($B326&lt;&gt;0,AD326=""),"* No olvide ingresar la columna "&amp;AD$323&amp;""&amp;" (Digite CERO si no tiene). ",IF(AD326&gt;$B326,"* El Número de Pueblos Originarios no puede superar el Total. ",""))</f>
        <v/>
      </c>
      <c r="CB326" s="3326" t="str">
        <f>IF(AND($B326&lt;&gt;0,AE326=""),"* No olvide ingresar la columna "&amp;AE$323&amp;""&amp;" (Digite CERO si no tiene). ",IF(AE326&gt;$B326,"* El Número de Migrantes no puede superar el Total. ",""))</f>
        <v/>
      </c>
      <c r="CC326" s="3325"/>
      <c r="CD326" s="3325"/>
      <c r="CE326" s="3327"/>
      <c r="CF326" s="3327"/>
      <c r="CG326" s="3327"/>
      <c r="CH326" s="3327"/>
      <c r="CI326" s="3327"/>
      <c r="CJ326" s="17"/>
      <c r="CK326" s="1792">
        <f>IF(AND($B326&lt;&gt;0,AD326=""),1,IF(AD326&gt;$B326,1,0))</f>
        <v>0</v>
      </c>
      <c r="CL326" s="1792">
        <f>IF(AND($B326&lt;&gt;0,AE326=""),1,IF(AE326&gt;$B326,1,0))</f>
        <v>0</v>
      </c>
    </row>
    <row r="327" spans="1:90" ht="42.75" customHeight="1" x14ac:dyDescent="0.25">
      <c r="A327" s="6427" t="s">
        <v>3935</v>
      </c>
      <c r="B327" s="4451">
        <f>SUM(C327+U327)</f>
        <v>0</v>
      </c>
      <c r="C327" s="4819">
        <f t="shared" ref="C327:C333" si="87">SUM(D327:E327)</f>
        <v>0</v>
      </c>
      <c r="D327" s="4455">
        <f t="shared" ref="D327:E333" si="88">SUM(F327+H327+J327)</f>
        <v>0</v>
      </c>
      <c r="E327" s="3562">
        <f t="shared" si="88"/>
        <v>0</v>
      </c>
      <c r="F327" s="3112"/>
      <c r="G327" s="3124"/>
      <c r="H327" s="3112"/>
      <c r="I327" s="3124"/>
      <c r="J327" s="3112"/>
      <c r="K327" s="3124"/>
      <c r="L327" s="4858"/>
      <c r="M327" s="4860"/>
      <c r="N327" s="4853"/>
      <c r="O327" s="4858"/>
      <c r="P327" s="4853"/>
      <c r="Q327" s="4858"/>
      <c r="R327" s="4853"/>
      <c r="S327" s="4858"/>
      <c r="T327" s="4853"/>
      <c r="U327" s="3281">
        <f t="shared" ref="U327:U333" si="89">SUM(V327:W327)</f>
        <v>0</v>
      </c>
      <c r="V327" s="586">
        <f t="shared" ref="V327:W333" si="90">SUM(X327+Z327+AB327)</f>
        <v>0</v>
      </c>
      <c r="W327" s="3438">
        <f t="shared" si="90"/>
        <v>0</v>
      </c>
      <c r="X327" s="3112"/>
      <c r="Y327" s="3124"/>
      <c r="Z327" s="3112"/>
      <c r="AA327" s="3124"/>
      <c r="AB327" s="3112"/>
      <c r="AC327" s="3169"/>
      <c r="AD327" s="138"/>
      <c r="AE327" s="3124"/>
      <c r="AF327" s="3324" t="str">
        <f t="shared" ref="AF327:AF333" si="91">$CA327&amp;CB327</f>
        <v/>
      </c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3325"/>
      <c r="BL327" s="3325"/>
      <c r="BM327" s="3325"/>
      <c r="BN327" s="3325"/>
      <c r="BO327" s="3325"/>
      <c r="BP327" s="3325"/>
      <c r="BQ327" s="3325"/>
      <c r="BR327" s="3325"/>
      <c r="BS327" s="3325"/>
      <c r="BT327" s="3325"/>
      <c r="BU327" s="3325"/>
      <c r="BV327" s="3325"/>
      <c r="BW327" s="3325"/>
      <c r="BX327" s="3325"/>
      <c r="BY327" s="3325"/>
      <c r="BZ327" s="3325"/>
      <c r="CA327" s="3326" t="str">
        <f t="shared" ref="CA327:CA333" si="92">IF(AND($B327&lt;&gt;0,AD327=""),"* No olvide ingresar la columna "&amp;AD$323&amp;""&amp;" (Digite CERO si no tiene). ",IF(AD327&gt;$B327,"* El Número de Pueblos Originarios no puede superar el Total. ",""))</f>
        <v/>
      </c>
      <c r="CB327" s="3326" t="str">
        <f t="shared" ref="CB327:CB333" si="93">IF(AND($B327&lt;&gt;0,AE327=""),"* No olvide ingresar la columna "&amp;AE$323&amp;""&amp;" (Digite CERO si no tiene). ",IF(AE327&gt;$B327,"* El Número de Migrantes no puede superar el Total. ",""))</f>
        <v/>
      </c>
      <c r="CC327" s="3325"/>
      <c r="CD327" s="3325"/>
      <c r="CE327" s="3327"/>
      <c r="CF327" s="3327"/>
      <c r="CG327" s="3327"/>
      <c r="CH327" s="3327"/>
      <c r="CI327" s="3327"/>
      <c r="CJ327" s="17"/>
      <c r="CK327" s="1792">
        <f t="shared" ref="CK327:CL333" si="94">IF(AND($B327&lt;&gt;0,AD327=""),1,IF(AD327&gt;$B327,1,0))</f>
        <v>0</v>
      </c>
      <c r="CL327" s="1792">
        <f t="shared" si="94"/>
        <v>0</v>
      </c>
    </row>
    <row r="328" spans="1:90" ht="33" customHeight="1" x14ac:dyDescent="0.25">
      <c r="A328" s="6426" t="s">
        <v>3936</v>
      </c>
      <c r="B328" s="4450">
        <f t="shared" ref="B328:B332" si="95">SUM(C328+L328+U328)</f>
        <v>0</v>
      </c>
      <c r="C328" s="4817">
        <f t="shared" si="87"/>
        <v>0</v>
      </c>
      <c r="D328" s="4456">
        <f t="shared" si="88"/>
        <v>0</v>
      </c>
      <c r="E328" s="4453">
        <f t="shared" si="88"/>
        <v>0</v>
      </c>
      <c r="F328" s="4272"/>
      <c r="G328" s="3905"/>
      <c r="H328" s="4272"/>
      <c r="I328" s="3905"/>
      <c r="J328" s="4272"/>
      <c r="K328" s="3905"/>
      <c r="L328" s="4857">
        <f>SUM(M328:N328)</f>
        <v>0</v>
      </c>
      <c r="M328" s="4803">
        <f>SUM(O328+Q328+S328)</f>
        <v>0</v>
      </c>
      <c r="N328" s="4855">
        <f>SUM(P328+R328+T328)</f>
        <v>0</v>
      </c>
      <c r="O328" s="4862"/>
      <c r="P328" s="4861"/>
      <c r="Q328" s="4862"/>
      <c r="R328" s="4861"/>
      <c r="S328" s="4862"/>
      <c r="T328" s="4861"/>
      <c r="U328" s="4806">
        <f t="shared" si="89"/>
        <v>0</v>
      </c>
      <c r="V328" s="4803">
        <f t="shared" si="90"/>
        <v>0</v>
      </c>
      <c r="W328" s="4274">
        <f t="shared" si="90"/>
        <v>0</v>
      </c>
      <c r="X328" s="4272"/>
      <c r="Y328" s="3905"/>
      <c r="Z328" s="4272"/>
      <c r="AA328" s="3905"/>
      <c r="AB328" s="4272"/>
      <c r="AC328" s="3906"/>
      <c r="AD328" s="4278"/>
      <c r="AE328" s="5952"/>
      <c r="AF328" s="3324" t="str">
        <f t="shared" si="91"/>
        <v/>
      </c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3325"/>
      <c r="BL328" s="3325"/>
      <c r="BM328" s="3325"/>
      <c r="BN328" s="3325"/>
      <c r="BO328" s="3325"/>
      <c r="BP328" s="3325"/>
      <c r="BQ328" s="3325"/>
      <c r="BR328" s="3325"/>
      <c r="BS328" s="3325"/>
      <c r="BT328" s="3325"/>
      <c r="BU328" s="3325"/>
      <c r="BV328" s="3325"/>
      <c r="BW328" s="3325"/>
      <c r="BX328" s="3325"/>
      <c r="BY328" s="3325"/>
      <c r="BZ328" s="3325"/>
      <c r="CA328" s="3326" t="str">
        <f t="shared" si="92"/>
        <v/>
      </c>
      <c r="CB328" s="3326" t="str">
        <f t="shared" si="93"/>
        <v/>
      </c>
      <c r="CC328" s="3325"/>
      <c r="CD328" s="3325"/>
      <c r="CE328" s="3327"/>
      <c r="CF328" s="3327"/>
      <c r="CG328" s="3327"/>
      <c r="CH328" s="3327"/>
      <c r="CI328" s="3327"/>
      <c r="CJ328" s="17"/>
      <c r="CK328" s="1792">
        <f t="shared" si="94"/>
        <v>0</v>
      </c>
      <c r="CL328" s="1792">
        <f t="shared" si="94"/>
        <v>0</v>
      </c>
    </row>
    <row r="329" spans="1:90" ht="39.75" customHeight="1" x14ac:dyDescent="0.25">
      <c r="A329" s="6427" t="s">
        <v>3937</v>
      </c>
      <c r="B329" s="4451">
        <f>SUM(C329+U329)</f>
        <v>0</v>
      </c>
      <c r="C329" s="4819">
        <f t="shared" si="87"/>
        <v>0</v>
      </c>
      <c r="D329" s="4455">
        <f t="shared" si="88"/>
        <v>0</v>
      </c>
      <c r="E329" s="3562">
        <f t="shared" si="88"/>
        <v>0</v>
      </c>
      <c r="F329" s="3112"/>
      <c r="G329" s="3124"/>
      <c r="H329" s="3112"/>
      <c r="I329" s="3124"/>
      <c r="J329" s="3112"/>
      <c r="K329" s="3124"/>
      <c r="L329" s="4858"/>
      <c r="M329" s="4860"/>
      <c r="N329" s="4853"/>
      <c r="O329" s="4858"/>
      <c r="P329" s="4853"/>
      <c r="Q329" s="4858"/>
      <c r="R329" s="4853"/>
      <c r="S329" s="4858"/>
      <c r="T329" s="4853"/>
      <c r="U329" s="3281">
        <f t="shared" si="89"/>
        <v>0</v>
      </c>
      <c r="V329" s="586">
        <f t="shared" si="90"/>
        <v>0</v>
      </c>
      <c r="W329" s="3438">
        <f t="shared" si="90"/>
        <v>0</v>
      </c>
      <c r="X329" s="3112"/>
      <c r="Y329" s="3124"/>
      <c r="Z329" s="3112"/>
      <c r="AA329" s="3124"/>
      <c r="AB329" s="3112"/>
      <c r="AC329" s="3169"/>
      <c r="AD329" s="138"/>
      <c r="AE329" s="3124"/>
      <c r="AF329" s="3324" t="str">
        <f t="shared" si="91"/>
        <v/>
      </c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3325"/>
      <c r="BL329" s="3325"/>
      <c r="BM329" s="3325"/>
      <c r="BN329" s="3325"/>
      <c r="BO329" s="3325"/>
      <c r="BP329" s="3325"/>
      <c r="BQ329" s="3325"/>
      <c r="BR329" s="3325"/>
      <c r="BS329" s="3325"/>
      <c r="BT329" s="3325"/>
      <c r="BU329" s="3325"/>
      <c r="BV329" s="3325"/>
      <c r="BW329" s="3325"/>
      <c r="BX329" s="3325"/>
      <c r="BY329" s="3325"/>
      <c r="BZ329" s="3325"/>
      <c r="CA329" s="3326" t="str">
        <f t="shared" si="92"/>
        <v/>
      </c>
      <c r="CB329" s="3326" t="str">
        <f t="shared" si="93"/>
        <v/>
      </c>
      <c r="CC329" s="3325"/>
      <c r="CD329" s="3325"/>
      <c r="CE329" s="3327"/>
      <c r="CF329" s="3327"/>
      <c r="CG329" s="3327"/>
      <c r="CH329" s="3327"/>
      <c r="CI329" s="3327"/>
      <c r="CJ329" s="17"/>
      <c r="CK329" s="1792">
        <f t="shared" si="94"/>
        <v>0</v>
      </c>
      <c r="CL329" s="1792">
        <f t="shared" si="94"/>
        <v>0</v>
      </c>
    </row>
    <row r="330" spans="1:90" ht="31.5" customHeight="1" x14ac:dyDescent="0.25">
      <c r="A330" s="6426" t="s">
        <v>3938</v>
      </c>
      <c r="B330" s="4450">
        <f t="shared" si="95"/>
        <v>0</v>
      </c>
      <c r="C330" s="4817">
        <f t="shared" si="87"/>
        <v>0</v>
      </c>
      <c r="D330" s="4456">
        <f t="shared" si="88"/>
        <v>0</v>
      </c>
      <c r="E330" s="4453">
        <f t="shared" si="88"/>
        <v>0</v>
      </c>
      <c r="F330" s="4272"/>
      <c r="G330" s="3905"/>
      <c r="H330" s="4272"/>
      <c r="I330" s="3905"/>
      <c r="J330" s="4272"/>
      <c r="K330" s="3905"/>
      <c r="L330" s="4857">
        <f>SUM(M330:N330)</f>
        <v>0</v>
      </c>
      <c r="M330" s="4803">
        <f>SUM(O330+Q330+S330)</f>
        <v>0</v>
      </c>
      <c r="N330" s="4855">
        <f>SUM(P330+R330+T330)</f>
        <v>0</v>
      </c>
      <c r="O330" s="4862"/>
      <c r="P330" s="4861"/>
      <c r="Q330" s="4862"/>
      <c r="R330" s="4861"/>
      <c r="S330" s="4862"/>
      <c r="T330" s="4861"/>
      <c r="U330" s="4806">
        <f t="shared" si="89"/>
        <v>0</v>
      </c>
      <c r="V330" s="4803">
        <f t="shared" si="90"/>
        <v>0</v>
      </c>
      <c r="W330" s="4274">
        <f t="shared" si="90"/>
        <v>0</v>
      </c>
      <c r="X330" s="4272"/>
      <c r="Y330" s="3905"/>
      <c r="Z330" s="4272"/>
      <c r="AA330" s="3905"/>
      <c r="AB330" s="4272"/>
      <c r="AC330" s="3906"/>
      <c r="AD330" s="4278"/>
      <c r="AE330" s="5952"/>
      <c r="AF330" s="3324" t="str">
        <f t="shared" si="91"/>
        <v/>
      </c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3325"/>
      <c r="BL330" s="3325"/>
      <c r="BM330" s="3325"/>
      <c r="BN330" s="3325"/>
      <c r="BO330" s="3325"/>
      <c r="BP330" s="3325"/>
      <c r="BQ330" s="3325"/>
      <c r="BR330" s="3325"/>
      <c r="BS330" s="3325"/>
      <c r="BT330" s="3325"/>
      <c r="BU330" s="3325"/>
      <c r="BV330" s="3325"/>
      <c r="BW330" s="3325"/>
      <c r="BX330" s="3325"/>
      <c r="BY330" s="3325"/>
      <c r="BZ330" s="3325"/>
      <c r="CA330" s="3326" t="str">
        <f t="shared" si="92"/>
        <v/>
      </c>
      <c r="CB330" s="3326" t="str">
        <f t="shared" si="93"/>
        <v/>
      </c>
      <c r="CC330" s="3325"/>
      <c r="CD330" s="3325"/>
      <c r="CE330" s="3327"/>
      <c r="CF330" s="3327"/>
      <c r="CG330" s="3327"/>
      <c r="CH330" s="3327"/>
      <c r="CI330" s="3327"/>
      <c r="CJ330" s="17"/>
      <c r="CK330" s="1792">
        <f t="shared" si="94"/>
        <v>0</v>
      </c>
      <c r="CL330" s="1792">
        <f t="shared" si="94"/>
        <v>0</v>
      </c>
    </row>
    <row r="331" spans="1:90" ht="45" customHeight="1" x14ac:dyDescent="0.25">
      <c r="A331" s="6427" t="s">
        <v>3939</v>
      </c>
      <c r="B331" s="4451">
        <f>SUM(C331+U331)</f>
        <v>0</v>
      </c>
      <c r="C331" s="4819">
        <f t="shared" si="87"/>
        <v>0</v>
      </c>
      <c r="D331" s="4455">
        <f t="shared" si="88"/>
        <v>0</v>
      </c>
      <c r="E331" s="3562">
        <f t="shared" si="88"/>
        <v>0</v>
      </c>
      <c r="F331" s="3112"/>
      <c r="G331" s="3124"/>
      <c r="H331" s="3112"/>
      <c r="I331" s="3124"/>
      <c r="J331" s="3112"/>
      <c r="K331" s="3124"/>
      <c r="L331" s="4858"/>
      <c r="M331" s="4860"/>
      <c r="N331" s="4853"/>
      <c r="O331" s="4858"/>
      <c r="P331" s="4853"/>
      <c r="Q331" s="4858"/>
      <c r="R331" s="4853"/>
      <c r="S331" s="4858"/>
      <c r="T331" s="4853"/>
      <c r="U331" s="3281">
        <f t="shared" si="89"/>
        <v>0</v>
      </c>
      <c r="V331" s="586">
        <f t="shared" si="90"/>
        <v>0</v>
      </c>
      <c r="W331" s="3438">
        <f t="shared" si="90"/>
        <v>0</v>
      </c>
      <c r="X331" s="3112"/>
      <c r="Y331" s="3124"/>
      <c r="Z331" s="3112"/>
      <c r="AA331" s="3124"/>
      <c r="AB331" s="3112"/>
      <c r="AC331" s="3169"/>
      <c r="AD331" s="138"/>
      <c r="AE331" s="3124"/>
      <c r="AF331" s="3324" t="str">
        <f t="shared" si="91"/>
        <v/>
      </c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3325"/>
      <c r="BL331" s="3325"/>
      <c r="BM331" s="3325"/>
      <c r="BN331" s="3325"/>
      <c r="BO331" s="3325"/>
      <c r="BP331" s="3325"/>
      <c r="BQ331" s="3325"/>
      <c r="BR331" s="3325"/>
      <c r="BS331" s="3325"/>
      <c r="BT331" s="3325"/>
      <c r="BU331" s="3325"/>
      <c r="BV331" s="3325"/>
      <c r="BW331" s="3325"/>
      <c r="BX331" s="3325"/>
      <c r="BY331" s="3325"/>
      <c r="BZ331" s="3325"/>
      <c r="CA331" s="3326" t="str">
        <f t="shared" si="92"/>
        <v/>
      </c>
      <c r="CB331" s="3326" t="str">
        <f t="shared" si="93"/>
        <v/>
      </c>
      <c r="CC331" s="3325"/>
      <c r="CD331" s="3325"/>
      <c r="CE331" s="3327"/>
      <c r="CF331" s="3327"/>
      <c r="CG331" s="3327"/>
      <c r="CH331" s="3327"/>
      <c r="CI331" s="3327"/>
      <c r="CJ331" s="17"/>
      <c r="CK331" s="1792">
        <f t="shared" si="94"/>
        <v>0</v>
      </c>
      <c r="CL331" s="1792">
        <f t="shared" si="94"/>
        <v>0</v>
      </c>
    </row>
    <row r="332" spans="1:90" ht="42.75" customHeight="1" x14ac:dyDescent="0.25">
      <c r="A332" s="6418" t="s">
        <v>3940</v>
      </c>
      <c r="B332" s="3553">
        <f t="shared" si="95"/>
        <v>0</v>
      </c>
      <c r="C332" s="3337">
        <f t="shared" si="87"/>
        <v>0</v>
      </c>
      <c r="D332" s="3554">
        <f t="shared" si="88"/>
        <v>0</v>
      </c>
      <c r="E332" s="4452">
        <f t="shared" si="88"/>
        <v>0</v>
      </c>
      <c r="F332" s="106"/>
      <c r="G332" s="590"/>
      <c r="H332" s="106"/>
      <c r="I332" s="590"/>
      <c r="J332" s="106"/>
      <c r="K332" s="590"/>
      <c r="L332" s="4859">
        <f>SUM(M332:N332)</f>
        <v>0</v>
      </c>
      <c r="M332" s="3396">
        <f>SUM(O332+Q332+S332)</f>
        <v>0</v>
      </c>
      <c r="N332" s="4856">
        <f>SUM(P332+R332+T332)</f>
        <v>0</v>
      </c>
      <c r="O332" s="589"/>
      <c r="P332" s="4561"/>
      <c r="Q332" s="589"/>
      <c r="R332" s="4561"/>
      <c r="S332" s="589"/>
      <c r="T332" s="4561"/>
      <c r="U332" s="581">
        <f t="shared" si="89"/>
        <v>0</v>
      </c>
      <c r="V332" s="3396">
        <f t="shared" si="90"/>
        <v>0</v>
      </c>
      <c r="W332" s="3434">
        <f t="shared" si="90"/>
        <v>0</v>
      </c>
      <c r="X332" s="106"/>
      <c r="Y332" s="590"/>
      <c r="Z332" s="106"/>
      <c r="AA332" s="590"/>
      <c r="AB332" s="106"/>
      <c r="AC332" s="776"/>
      <c r="AD332" s="135"/>
      <c r="AE332" s="5238"/>
      <c r="AF332" s="3324" t="str">
        <f t="shared" si="91"/>
        <v/>
      </c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3325"/>
      <c r="BL332" s="3325"/>
      <c r="BM332" s="3325"/>
      <c r="BN332" s="3325"/>
      <c r="BO332" s="3325"/>
      <c r="BP332" s="3325"/>
      <c r="BQ332" s="3325"/>
      <c r="BR332" s="3325"/>
      <c r="BS332" s="3325"/>
      <c r="BT332" s="3325"/>
      <c r="BU332" s="3325"/>
      <c r="BV332" s="3325"/>
      <c r="BW332" s="3325"/>
      <c r="BX332" s="3325"/>
      <c r="BY332" s="3325"/>
      <c r="BZ332" s="3325"/>
      <c r="CA332" s="3326" t="str">
        <f t="shared" si="92"/>
        <v/>
      </c>
      <c r="CB332" s="3326" t="str">
        <f t="shared" si="93"/>
        <v/>
      </c>
      <c r="CC332" s="3325"/>
      <c r="CD332" s="3325"/>
      <c r="CE332" s="3327"/>
      <c r="CF332" s="3327"/>
      <c r="CG332" s="3327"/>
      <c r="CH332" s="3327"/>
      <c r="CI332" s="3327"/>
      <c r="CJ332" s="17"/>
      <c r="CK332" s="1792">
        <f t="shared" si="94"/>
        <v>0</v>
      </c>
      <c r="CL332" s="1792">
        <f t="shared" si="94"/>
        <v>0</v>
      </c>
    </row>
    <row r="333" spans="1:90" ht="36" customHeight="1" x14ac:dyDescent="0.25">
      <c r="A333" s="6427" t="s">
        <v>3941</v>
      </c>
      <c r="B333" s="4451">
        <f>SUM(C333+U333)</f>
        <v>0</v>
      </c>
      <c r="C333" s="4819">
        <f t="shared" si="87"/>
        <v>0</v>
      </c>
      <c r="D333" s="4455">
        <f t="shared" si="88"/>
        <v>0</v>
      </c>
      <c r="E333" s="3562">
        <f t="shared" si="88"/>
        <v>0</v>
      </c>
      <c r="F333" s="3112"/>
      <c r="G333" s="3124"/>
      <c r="H333" s="3112"/>
      <c r="I333" s="3124"/>
      <c r="J333" s="3112"/>
      <c r="K333" s="3124"/>
      <c r="L333" s="4863"/>
      <c r="M333" s="4864"/>
      <c r="N333" s="4865"/>
      <c r="O333" s="4863"/>
      <c r="P333" s="4865"/>
      <c r="Q333" s="4863"/>
      <c r="R333" s="4865"/>
      <c r="S333" s="4863"/>
      <c r="T333" s="4866"/>
      <c r="U333" s="3281">
        <f t="shared" si="89"/>
        <v>0</v>
      </c>
      <c r="V333" s="586">
        <f t="shared" si="90"/>
        <v>0</v>
      </c>
      <c r="W333" s="3438">
        <f t="shared" si="90"/>
        <v>0</v>
      </c>
      <c r="X333" s="3112"/>
      <c r="Y333" s="3124"/>
      <c r="Z333" s="3112"/>
      <c r="AA333" s="3124"/>
      <c r="AB333" s="3112"/>
      <c r="AC333" s="3169"/>
      <c r="AD333" s="138"/>
      <c r="AE333" s="3124"/>
      <c r="AF333" s="3324" t="str">
        <f t="shared" si="91"/>
        <v/>
      </c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3325"/>
      <c r="BL333" s="3325"/>
      <c r="BM333" s="3325"/>
      <c r="BN333" s="3325"/>
      <c r="BO333" s="3325"/>
      <c r="BP333" s="3325"/>
      <c r="BQ333" s="3325"/>
      <c r="BR333" s="3325"/>
      <c r="BS333" s="3325"/>
      <c r="BT333" s="3325"/>
      <c r="BU333" s="3325"/>
      <c r="BV333" s="3325"/>
      <c r="BW333" s="3325"/>
      <c r="BX333" s="3325"/>
      <c r="BY333" s="3325"/>
      <c r="BZ333" s="3325"/>
      <c r="CA333" s="3326" t="str">
        <f t="shared" si="92"/>
        <v/>
      </c>
      <c r="CB333" s="3326" t="str">
        <f t="shared" si="93"/>
        <v/>
      </c>
      <c r="CC333" s="3325"/>
      <c r="CD333" s="3325"/>
      <c r="CE333" s="3327"/>
      <c r="CF333" s="3327"/>
      <c r="CG333" s="3327"/>
      <c r="CH333" s="3327"/>
      <c r="CI333" s="3327"/>
      <c r="CJ333" s="17"/>
      <c r="CK333" s="1792">
        <f t="shared" si="94"/>
        <v>0</v>
      </c>
      <c r="CL333" s="1792">
        <f t="shared" si="94"/>
        <v>0</v>
      </c>
    </row>
    <row r="346" spans="1:2" hidden="1" x14ac:dyDescent="0.25">
      <c r="A346" s="3564">
        <f>SUM(C13:C15,C20:C41,B46:B49,B54:B57,C61:C67,B72:B74,B80:B83,B86:E87,C90:F93,C97:C102,C108:C116,C121:C162,C167:C172,C177:C182,C187:C190,C196:C198,C203:C205,C210:C212,C217:F225,C230:F235,C240:E244,C249:C258,C263:C268,C273:C321,B326:C333)</f>
        <v>0</v>
      </c>
      <c r="B346" s="3564">
        <f>SUM(CK20:CP333)</f>
        <v>0</v>
      </c>
    </row>
  </sheetData>
  <sheetProtection algorithmName="SHA-512" hashValue="ybJy0oQzsII41sUlR+lxavYOzhYDT6vZ1Kw5gUp2/dkcr9kDkgG4E58Jhdd5eMTRMG94acQV/HKQtaouzD3dVg==" saltValue="ta0NXAZk9D7MzQmYnlfAXw==" spinCount="100000" sheet="1" objects="1" scenarios="1"/>
  <mergeCells count="344">
    <mergeCell ref="A273:A275"/>
    <mergeCell ref="A276:A282"/>
    <mergeCell ref="A283:A289"/>
    <mergeCell ref="A290:A301"/>
    <mergeCell ref="A302:A313"/>
    <mergeCell ref="A314:A320"/>
    <mergeCell ref="A263:A265"/>
    <mergeCell ref="A266:A268"/>
    <mergeCell ref="A270:A272"/>
    <mergeCell ref="A321:B321"/>
    <mergeCell ref="A323:A325"/>
    <mergeCell ref="B323:B325"/>
    <mergeCell ref="AD323:AD325"/>
    <mergeCell ref="AE323:AE325"/>
    <mergeCell ref="C324:E324"/>
    <mergeCell ref="F324:G324"/>
    <mergeCell ref="H324:I324"/>
    <mergeCell ref="J324:K324"/>
    <mergeCell ref="L324:N324"/>
    <mergeCell ref="AB324:AC324"/>
    <mergeCell ref="O324:P324"/>
    <mergeCell ref="Q324:R324"/>
    <mergeCell ref="S324:T324"/>
    <mergeCell ref="U324:W324"/>
    <mergeCell ref="X324:Y324"/>
    <mergeCell ref="Z324:AA324"/>
    <mergeCell ref="C323:K323"/>
    <mergeCell ref="L323:T323"/>
    <mergeCell ref="U323:AC323"/>
    <mergeCell ref="AN270:AU270"/>
    <mergeCell ref="AV270:AV272"/>
    <mergeCell ref="AW270:AW272"/>
    <mergeCell ref="F271:G271"/>
    <mergeCell ref="H271:I271"/>
    <mergeCell ref="J271:K271"/>
    <mergeCell ref="L271:M271"/>
    <mergeCell ref="N271:O271"/>
    <mergeCell ref="P271:Q271"/>
    <mergeCell ref="R271:S271"/>
    <mergeCell ref="AN271:AO271"/>
    <mergeCell ref="AP271:AQ271"/>
    <mergeCell ref="AR271:AS271"/>
    <mergeCell ref="AT271:AU271"/>
    <mergeCell ref="AB271:AC271"/>
    <mergeCell ref="AD271:AE271"/>
    <mergeCell ref="AF271:AG271"/>
    <mergeCell ref="AH271:AI271"/>
    <mergeCell ref="AJ271:AK271"/>
    <mergeCell ref="AL271:AM271"/>
    <mergeCell ref="F270:AM270"/>
    <mergeCell ref="T271:U271"/>
    <mergeCell ref="V271:W271"/>
    <mergeCell ref="X271:Y271"/>
    <mergeCell ref="Z271:AA271"/>
    <mergeCell ref="A255:B255"/>
    <mergeCell ref="A256:A258"/>
    <mergeCell ref="A260:B262"/>
    <mergeCell ref="C260:E261"/>
    <mergeCell ref="F260:O260"/>
    <mergeCell ref="F261:G261"/>
    <mergeCell ref="H261:I261"/>
    <mergeCell ref="J261:K261"/>
    <mergeCell ref="L261:M261"/>
    <mergeCell ref="N261:O261"/>
    <mergeCell ref="R261:R262"/>
    <mergeCell ref="P260:P262"/>
    <mergeCell ref="B270:B272"/>
    <mergeCell ref="C270:E271"/>
    <mergeCell ref="A249:B249"/>
    <mergeCell ref="A250:B250"/>
    <mergeCell ref="A251:B251"/>
    <mergeCell ref="A252:B252"/>
    <mergeCell ref="A253:B253"/>
    <mergeCell ref="A254:B254"/>
    <mergeCell ref="L247:M247"/>
    <mergeCell ref="N247:O247"/>
    <mergeCell ref="P247:Q247"/>
    <mergeCell ref="R247:S247"/>
    <mergeCell ref="T247:U247"/>
    <mergeCell ref="V247:W247"/>
    <mergeCell ref="A242:B242"/>
    <mergeCell ref="A243:B243"/>
    <mergeCell ref="A244:B244"/>
    <mergeCell ref="A245:M245"/>
    <mergeCell ref="A246:B248"/>
    <mergeCell ref="C246:E247"/>
    <mergeCell ref="F246:W246"/>
    <mergeCell ref="F247:G247"/>
    <mergeCell ref="H247:I247"/>
    <mergeCell ref="J247:K247"/>
    <mergeCell ref="A237:B239"/>
    <mergeCell ref="C237:E237"/>
    <mergeCell ref="C238:C239"/>
    <mergeCell ref="D238:E238"/>
    <mergeCell ref="A240:B240"/>
    <mergeCell ref="A241:B241"/>
    <mergeCell ref="A216:B216"/>
    <mergeCell ref="A217:B217"/>
    <mergeCell ref="A218:B218"/>
    <mergeCell ref="A219:B219"/>
    <mergeCell ref="A220:A223"/>
    <mergeCell ref="A224:A225"/>
    <mergeCell ref="A227:B228"/>
    <mergeCell ref="C227:D227"/>
    <mergeCell ref="E227:E228"/>
    <mergeCell ref="A210:B210"/>
    <mergeCell ref="A211:B211"/>
    <mergeCell ref="A212:B212"/>
    <mergeCell ref="A214:B215"/>
    <mergeCell ref="C214:D214"/>
    <mergeCell ref="E214:E215"/>
    <mergeCell ref="F214:F215"/>
    <mergeCell ref="F208:G208"/>
    <mergeCell ref="H208:I208"/>
    <mergeCell ref="A203:A204"/>
    <mergeCell ref="A205:B205"/>
    <mergeCell ref="A207:B209"/>
    <mergeCell ref="C207:E208"/>
    <mergeCell ref="F207:O207"/>
    <mergeCell ref="P207:R207"/>
    <mergeCell ref="S207:S209"/>
    <mergeCell ref="T207:T209"/>
    <mergeCell ref="Q208:Q209"/>
    <mergeCell ref="R208:R209"/>
    <mergeCell ref="J208:K208"/>
    <mergeCell ref="L208:M208"/>
    <mergeCell ref="N208:O208"/>
    <mergeCell ref="P208:P209"/>
    <mergeCell ref="AD200:AE201"/>
    <mergeCell ref="AF200:AG201"/>
    <mergeCell ref="AH200:AH202"/>
    <mergeCell ref="AI200:AI202"/>
    <mergeCell ref="F201:G201"/>
    <mergeCell ref="H201:I201"/>
    <mergeCell ref="J201:K201"/>
    <mergeCell ref="L201:M201"/>
    <mergeCell ref="N201:O201"/>
    <mergeCell ref="P201:Q201"/>
    <mergeCell ref="Z201:AA201"/>
    <mergeCell ref="AB201:AC201"/>
    <mergeCell ref="A196:B196"/>
    <mergeCell ref="A197:B197"/>
    <mergeCell ref="A198:B198"/>
    <mergeCell ref="A200:B202"/>
    <mergeCell ref="C200:E201"/>
    <mergeCell ref="F200:AC200"/>
    <mergeCell ref="R201:S201"/>
    <mergeCell ref="T201:U201"/>
    <mergeCell ref="V201:W201"/>
    <mergeCell ref="X201:Y201"/>
    <mergeCell ref="A187:B187"/>
    <mergeCell ref="A188:B188"/>
    <mergeCell ref="A189:B189"/>
    <mergeCell ref="A190:B190"/>
    <mergeCell ref="A193:B195"/>
    <mergeCell ref="C193:E194"/>
    <mergeCell ref="A184:B186"/>
    <mergeCell ref="C184:E185"/>
    <mergeCell ref="F184:Q184"/>
    <mergeCell ref="F185:G185"/>
    <mergeCell ref="H185:I185"/>
    <mergeCell ref="J185:K185"/>
    <mergeCell ref="L185:M185"/>
    <mergeCell ref="N185:O185"/>
    <mergeCell ref="P185:Q185"/>
    <mergeCell ref="F193:U193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J175:K175"/>
    <mergeCell ref="L175:M175"/>
    <mergeCell ref="N175:O175"/>
    <mergeCell ref="A177:A179"/>
    <mergeCell ref="A180:A182"/>
    <mergeCell ref="A183:O183"/>
    <mergeCell ref="AJ165:AK165"/>
    <mergeCell ref="AL165:AM165"/>
    <mergeCell ref="A167:A169"/>
    <mergeCell ref="A170:A172"/>
    <mergeCell ref="A174:A176"/>
    <mergeCell ref="B174:B176"/>
    <mergeCell ref="C174:E175"/>
    <mergeCell ref="F174:O174"/>
    <mergeCell ref="F175:G175"/>
    <mergeCell ref="H175:I175"/>
    <mergeCell ref="X165:Y165"/>
    <mergeCell ref="Z165:AA165"/>
    <mergeCell ref="AB165:AC165"/>
    <mergeCell ref="AD165:AE165"/>
    <mergeCell ref="AF165:AG165"/>
    <mergeCell ref="AH165:AI165"/>
    <mergeCell ref="F164:AM164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A151:B151"/>
    <mergeCell ref="A152:A156"/>
    <mergeCell ref="A157:A161"/>
    <mergeCell ref="A162:B162"/>
    <mergeCell ref="A164:B166"/>
    <mergeCell ref="C164:E165"/>
    <mergeCell ref="A121:A125"/>
    <mergeCell ref="A126:A130"/>
    <mergeCell ref="A131:A135"/>
    <mergeCell ref="A136:A140"/>
    <mergeCell ref="A141:A145"/>
    <mergeCell ref="A146:A150"/>
    <mergeCell ref="P119:Q119"/>
    <mergeCell ref="R119:S119"/>
    <mergeCell ref="T119:U119"/>
    <mergeCell ref="V119:W119"/>
    <mergeCell ref="X119:Y119"/>
    <mergeCell ref="Z119:AA119"/>
    <mergeCell ref="A114:A116"/>
    <mergeCell ref="A118:A120"/>
    <mergeCell ref="B118:B120"/>
    <mergeCell ref="C118:E119"/>
    <mergeCell ref="F118:AA118"/>
    <mergeCell ref="F119:G119"/>
    <mergeCell ref="H119:I119"/>
    <mergeCell ref="J119:K119"/>
    <mergeCell ref="L119:M119"/>
    <mergeCell ref="N119:O119"/>
    <mergeCell ref="A108:B108"/>
    <mergeCell ref="A109:B109"/>
    <mergeCell ref="A110:B110"/>
    <mergeCell ref="A111:B111"/>
    <mergeCell ref="A112:B112"/>
    <mergeCell ref="A113:B113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F106:G106"/>
    <mergeCell ref="H106:I106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E44:F44"/>
    <mergeCell ref="G44:H44"/>
    <mergeCell ref="I44:J44"/>
    <mergeCell ref="K44:L44"/>
    <mergeCell ref="A20:B20"/>
    <mergeCell ref="A21:A24"/>
    <mergeCell ref="A25:A36"/>
    <mergeCell ref="A37:A38"/>
    <mergeCell ref="A59:B60"/>
    <mergeCell ref="C59:C60"/>
    <mergeCell ref="D59:J59"/>
    <mergeCell ref="K59:K60"/>
    <mergeCell ref="L59:L60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F227:F228"/>
    <mergeCell ref="A229:B229"/>
    <mergeCell ref="A230:B230"/>
    <mergeCell ref="A231:B231"/>
    <mergeCell ref="A232:A233"/>
    <mergeCell ref="A234:A235"/>
    <mergeCell ref="R11:S11"/>
    <mergeCell ref="T11:U11"/>
    <mergeCell ref="V11:W11"/>
    <mergeCell ref="N18:O18"/>
    <mergeCell ref="P18:Q18"/>
    <mergeCell ref="A17:A19"/>
    <mergeCell ref="B17:B19"/>
    <mergeCell ref="C17:E18"/>
    <mergeCell ref="F17:Q17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</mergeCells>
  <dataValidations count="9">
    <dataValidation type="whole" operator="greaterThanOrEqual" allowBlank="1" showInputMessage="1" showErrorMessage="1" sqref="F273:AM274 F276:AM281 F283:AM288 F290:AM300 F302:AM312 F314:AM319 F326:K333 O326:T326 O328:T328 O330:T330 O332:T332 X326:AE333" xr:uid="{00000000-0002-0000-0300-000000000000}">
      <formula1>0</formula1>
    </dataValidation>
    <dataValidation type="whole" operator="greaterThanOrEqual" allowBlank="1" showErrorMessage="1" error="Error - Favor ingresar Números." sqref="F256:W258 F249:G249 H250:I250 J251:K251 H253:K254 L252:M254 N252:Q252" xr:uid="{00000000-0002-0000-0300-000001000000}">
      <formula1>0</formula1>
    </dataValidation>
    <dataValidation type="whole" allowBlank="1" showInputMessage="1" showErrorMessage="1" sqref="AP273:AW274" xr:uid="{00000000-0002-0000-0300-000002000000}">
      <formula1>0</formula1>
      <formula2>9.99999999999999E+39</formula2>
    </dataValidation>
    <dataValidation type="decimal" allowBlank="1" showErrorMessage="1" error="Error - Favor ingresar Números." sqref="R255:W255" xr:uid="{00000000-0002-0000-0300-000003000000}">
      <formula1>0</formula1>
      <formula2>9.99999999999999E+40</formula2>
    </dataValidation>
    <dataValidation type="whole" allowBlank="1" showInputMessage="1" showErrorMessage="1" sqref="C270:E320 AP275:AW320 AP272:AU272 AV270:AW272 AN272:AO320 F275:AM275 F282:AM282 F272:AM272 F320:AM320 F313:AM313 F289:AM289 F301:AM301" xr:uid="{00000000-0002-0000-0300-000004000000}">
      <formula1>0</formula1>
      <formula2>1E+30</formula2>
    </dataValidation>
    <dataValidation type="decimal" allowBlank="1" showErrorMessage="1" error="Error - Favor ingresar Números." sqref="F250:G255 R249:W254 H251:I252 H255:M255 N253:Q255 L249:Q251 J252:K252 J249:K250 H249:I249" xr:uid="{00000000-0002-0000-0300-000005000000}">
      <formula1>0</formula1>
      <formula2>1E+29</formula2>
    </dataValidation>
    <dataValidation type="whole" operator="greaterThanOrEqual" allowBlank="1" showInputMessage="1" showErrorMessage="1" errorTitle="Error" error="Favor ingresar Números." sqref="F203:AI204 F13:Y15 D61:H63 H64:J67 K61:L67 D67:G67 E72:J74 B80:B83 B86:E87 C90:C93 D92:D93 E90:F91 F92:F93 F98:I102 F112:I116 H108:I108 J108:U111 J114:U116 F121:AA150 F152:AA161 F167:AM172 F177:O182 F187:Q189 C240:E244 F263:O268 F196:U197 E55:J57 E46:R49 F210:T212 F20:S41 C217:F235 P263:R265" xr:uid="{00000000-0002-0000-0300-000006000000}">
      <formula1>0</formula1>
    </dataValidation>
    <dataValidation type="whole" allowBlank="1" showInputMessage="1" showErrorMessage="1" sqref="F201:AC202 AD202:AG202 AI202 F205:AI205 C200:E205 T209" xr:uid="{00000000-0002-0000-0300-000007000000}">
      <formula1>0</formula1>
      <formula2>1E+29</formula2>
    </dataValidation>
    <dataValidation type="whole" allowBlank="1" showInputMessage="1" showErrorMessage="1" errorTitle="Error" error="Favor ingresar Números." sqref="E92:E93 C259:E268 J112:U113 F151:AA151 F108:G111 I61:J63 C72:D74 D64:G66 H109:I111 D90:D91" xr:uid="{00000000-0002-0000-0300-000008000000}">
      <formula1>0</formula1>
      <formula2>1E+29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EU297"/>
  <sheetViews>
    <sheetView showGridLines="0" workbookViewId="0"/>
  </sheetViews>
  <sheetFormatPr baseColWidth="10" defaultColWidth="11.42578125" defaultRowHeight="15" x14ac:dyDescent="0.25"/>
  <cols>
    <col min="1" max="1" width="45.7109375" customWidth="1"/>
    <col min="2" max="2" width="31.5703125" customWidth="1"/>
    <col min="3" max="4" width="16.28515625" customWidth="1"/>
    <col min="5" max="5" width="17.85546875" customWidth="1"/>
    <col min="6" max="6" width="15.28515625" customWidth="1"/>
    <col min="7" max="7" width="12.28515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66" width="11.42578125" customWidth="1"/>
    <col min="67" max="71" width="11.42578125" style="1791" hidden="1" customWidth="1"/>
    <col min="72" max="72" width="11.42578125" hidden="1" customWidth="1"/>
    <col min="73" max="75" width="11.42578125" style="1793" hidden="1" customWidth="1"/>
    <col min="76" max="77" width="11.42578125" hidden="1" customWidth="1"/>
    <col min="78" max="78" width="11.42578125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151" x14ac:dyDescent="0.25">
      <c r="A1" s="779" t="s">
        <v>3878</v>
      </c>
      <c r="BO1"/>
      <c r="BP1"/>
      <c r="BQ1"/>
      <c r="BR1"/>
      <c r="BS1"/>
      <c r="BU1"/>
      <c r="BV1"/>
      <c r="BW1"/>
    </row>
    <row r="2" spans="1:151" x14ac:dyDescent="0.25">
      <c r="A2" s="779" t="str">
        <f>CONCATENATE("COMUNA: ",NOMBRE!B2," - ","( ",NOMBRE!C2,NOMBRE!D2,NOMBRE!E2,NOMBRE!F2,NOMBRE!G2," )")</f>
        <v>COMUNA:  - (  )</v>
      </c>
      <c r="BO2"/>
      <c r="BP2"/>
      <c r="BQ2"/>
      <c r="BR2"/>
      <c r="BS2"/>
      <c r="BU2"/>
      <c r="BV2"/>
      <c r="BW2"/>
    </row>
    <row r="3" spans="1:151" x14ac:dyDescent="0.25">
      <c r="A3" s="779" t="str">
        <f>CONCATENATE("ESTABLECIMIENTO/ESTRATEGIA: ",NOMBRE!B3," - ","( ",NOMBRE!C3,NOMBRE!D3,NOMBRE!E3,NOMBRE!F3,NOMBRE!G3,NOMBRE!H3," )")</f>
        <v>ESTABLECIMIENTO/ESTRATEGIA:  - (  )</v>
      </c>
      <c r="BO3"/>
      <c r="BP3"/>
      <c r="BQ3"/>
      <c r="BR3"/>
      <c r="BS3"/>
      <c r="BU3"/>
      <c r="BV3"/>
      <c r="BW3"/>
    </row>
    <row r="4" spans="1:151" x14ac:dyDescent="0.25">
      <c r="A4" s="779" t="str">
        <f>CONCATENATE("MES: ",NOMBRE!B6," - ","( ",NOMBRE!C6,NOMBRE!D6," )")</f>
        <v>MES:  - (  )</v>
      </c>
      <c r="BO4"/>
      <c r="BP4"/>
      <c r="BQ4"/>
      <c r="BR4"/>
      <c r="BS4"/>
      <c r="BU4"/>
      <c r="BV4"/>
      <c r="BW4"/>
    </row>
    <row r="5" spans="1:151" x14ac:dyDescent="0.25">
      <c r="A5" s="779" t="str">
        <f>CONCATENATE("AÑO: ",NOMBRE!B7)</f>
        <v>AÑO: 2024</v>
      </c>
      <c r="BO5"/>
      <c r="BP5"/>
      <c r="BQ5"/>
      <c r="BR5"/>
      <c r="BS5"/>
      <c r="BU5"/>
      <c r="BV5"/>
      <c r="BW5"/>
    </row>
    <row r="6" spans="1:151" s="782" customFormat="1" ht="18" customHeight="1" x14ac:dyDescent="0.2">
      <c r="A6" s="6914" t="s">
        <v>1743</v>
      </c>
      <c r="B6" s="6914"/>
      <c r="C6" s="6914"/>
      <c r="D6" s="6914"/>
      <c r="E6" s="6914"/>
      <c r="F6" s="6914"/>
      <c r="G6" s="6914"/>
      <c r="H6" s="6914"/>
      <c r="I6" s="6914"/>
      <c r="J6" s="6914"/>
      <c r="K6" s="6914"/>
      <c r="L6" s="6914"/>
      <c r="M6" s="6914"/>
      <c r="N6" s="6914"/>
      <c r="O6" s="6914"/>
      <c r="P6" s="6914"/>
      <c r="Q6" s="6914"/>
      <c r="R6" s="6914"/>
      <c r="S6" s="6914"/>
      <c r="T6" s="6914"/>
      <c r="U6" s="6914"/>
      <c r="V6" s="6914"/>
      <c r="W6" s="6914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CV6" s="2660"/>
      <c r="CW6" s="2660"/>
      <c r="CX6" s="2660"/>
      <c r="CY6" s="2660"/>
      <c r="CZ6" s="2660"/>
      <c r="DA6" s="2660"/>
      <c r="DB6" s="2660"/>
      <c r="DC6" s="2660"/>
      <c r="DD6" s="2660"/>
      <c r="DE6" s="2660"/>
      <c r="DF6" s="2660"/>
      <c r="DG6" s="2660"/>
      <c r="DH6" s="2660"/>
      <c r="DI6" s="2660"/>
      <c r="DJ6" s="2660"/>
      <c r="DK6" s="2660"/>
      <c r="DL6" s="2660"/>
      <c r="DM6" s="2660"/>
      <c r="DN6" s="2660"/>
      <c r="DO6" s="2660"/>
      <c r="DP6" s="2660"/>
      <c r="DQ6" s="2660"/>
      <c r="DR6" s="2660"/>
      <c r="DS6" s="2660"/>
      <c r="DT6" s="2660"/>
      <c r="DU6" s="2660"/>
      <c r="DV6" s="2660"/>
      <c r="DW6" s="2660"/>
      <c r="DX6" s="2660"/>
      <c r="DY6" s="2660"/>
      <c r="DZ6" s="2660"/>
      <c r="EA6" s="2660"/>
      <c r="EB6" s="2660"/>
      <c r="EC6" s="2660"/>
      <c r="ED6" s="2660"/>
      <c r="EE6" s="2660"/>
      <c r="EF6" s="2660"/>
      <c r="EG6" s="2660"/>
      <c r="EH6" s="2660"/>
      <c r="EI6" s="2660"/>
      <c r="EJ6" s="2660"/>
      <c r="EK6" s="2660"/>
      <c r="EL6" s="2660"/>
      <c r="EM6" s="2660"/>
      <c r="EN6" s="2660"/>
      <c r="EO6" s="2660"/>
      <c r="EP6" s="2660"/>
      <c r="EQ6" s="2660"/>
      <c r="ER6" s="2660"/>
      <c r="ES6" s="2660"/>
      <c r="ET6" s="2660"/>
      <c r="EU6" s="2660"/>
    </row>
    <row r="7" spans="1:151" x14ac:dyDescent="0.25">
      <c r="BO7"/>
      <c r="BP7"/>
      <c r="BQ7"/>
      <c r="BR7"/>
      <c r="BS7"/>
      <c r="BU7"/>
      <c r="BV7"/>
      <c r="BW7"/>
    </row>
    <row r="8" spans="1:151" ht="18" customHeight="1" x14ac:dyDescent="0.25">
      <c r="A8" s="122" t="s">
        <v>1744</v>
      </c>
      <c r="B8" s="1069"/>
      <c r="C8" s="1069"/>
      <c r="D8" s="1069"/>
      <c r="E8" s="1069"/>
      <c r="F8" s="1069"/>
      <c r="G8" s="1069"/>
      <c r="H8" s="1069"/>
      <c r="I8" s="1069"/>
      <c r="J8" s="1069"/>
      <c r="K8" s="1069"/>
      <c r="L8" s="1069"/>
      <c r="M8" s="1069"/>
      <c r="N8" s="1069"/>
      <c r="O8" s="1069"/>
      <c r="P8" s="1069"/>
      <c r="Q8" s="1069"/>
      <c r="R8" s="1069"/>
      <c r="S8" s="1069"/>
      <c r="T8" s="1069"/>
      <c r="U8" s="1069"/>
      <c r="V8" s="1069"/>
      <c r="W8" s="1069"/>
      <c r="X8" s="1069"/>
      <c r="Y8" s="2661"/>
      <c r="Z8" s="2661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782"/>
      <c r="BO8"/>
      <c r="BP8"/>
      <c r="BQ8"/>
      <c r="BR8"/>
      <c r="BS8"/>
      <c r="BU8"/>
      <c r="BV8"/>
      <c r="BW8"/>
    </row>
    <row r="9" spans="1:151" x14ac:dyDescent="0.25">
      <c r="A9" s="6492" t="s">
        <v>1745</v>
      </c>
      <c r="B9" s="6493" t="s">
        <v>1</v>
      </c>
      <c r="C9" s="6468"/>
      <c r="D9" s="6903"/>
      <c r="E9" s="6907" t="s">
        <v>30</v>
      </c>
      <c r="F9" s="6908"/>
      <c r="G9" s="6908"/>
      <c r="H9" s="6908"/>
      <c r="I9" s="6908"/>
      <c r="J9" s="6908"/>
      <c r="K9" s="6908"/>
      <c r="L9" s="6908"/>
      <c r="M9" s="6908"/>
      <c r="N9" s="6908"/>
      <c r="O9" s="6908"/>
      <c r="P9" s="6908"/>
      <c r="Q9" s="6908"/>
      <c r="R9" s="6908"/>
      <c r="S9" s="6908"/>
      <c r="T9" s="6908"/>
      <c r="U9" s="6908"/>
      <c r="V9" s="6908"/>
      <c r="W9" s="6908"/>
      <c r="X9" s="6908"/>
      <c r="Y9" s="6908"/>
      <c r="Z9" s="6908"/>
      <c r="AA9" s="6908"/>
      <c r="AB9" s="6908"/>
      <c r="AC9" s="6908"/>
      <c r="AD9" s="6908"/>
      <c r="AE9" s="6908"/>
      <c r="AF9" s="6908"/>
      <c r="AG9" s="6908"/>
      <c r="AH9" s="6908"/>
      <c r="AI9" s="6908"/>
      <c r="AJ9" s="6908"/>
      <c r="AK9" s="6908"/>
      <c r="AL9" s="6908"/>
      <c r="AM9" s="6908"/>
      <c r="AN9" s="6487"/>
      <c r="AO9" s="6484" t="s">
        <v>2</v>
      </c>
      <c r="AP9" s="6484" t="s">
        <v>3</v>
      </c>
      <c r="AQ9" s="6903" t="s">
        <v>49</v>
      </c>
      <c r="AR9" s="6903" t="s">
        <v>45</v>
      </c>
      <c r="AS9" s="6903" t="s">
        <v>267</v>
      </c>
      <c r="BO9"/>
      <c r="BP9"/>
      <c r="BQ9"/>
      <c r="BR9"/>
      <c r="BS9"/>
      <c r="BU9"/>
      <c r="BV9"/>
      <c r="BW9"/>
    </row>
    <row r="10" spans="1:151" ht="24" customHeight="1" x14ac:dyDescent="0.25">
      <c r="A10" s="6466"/>
      <c r="B10" s="6856"/>
      <c r="C10" s="6857"/>
      <c r="D10" s="6844"/>
      <c r="E10" s="6901" t="s">
        <v>682</v>
      </c>
      <c r="F10" s="6913"/>
      <c r="G10" s="6901" t="s">
        <v>3726</v>
      </c>
      <c r="H10" s="6910"/>
      <c r="I10" s="6901" t="s">
        <v>37</v>
      </c>
      <c r="J10" s="6910"/>
      <c r="K10" s="6901" t="s">
        <v>38</v>
      </c>
      <c r="L10" s="6910"/>
      <c r="M10" s="6901" t="s">
        <v>4</v>
      </c>
      <c r="N10" s="6910"/>
      <c r="O10" s="6901" t="s">
        <v>5</v>
      </c>
      <c r="P10" s="6910"/>
      <c r="Q10" s="6901" t="s">
        <v>6</v>
      </c>
      <c r="R10" s="6910"/>
      <c r="S10" s="6901" t="s">
        <v>7</v>
      </c>
      <c r="T10" s="6910"/>
      <c r="U10" s="6901" t="s">
        <v>8</v>
      </c>
      <c r="V10" s="6910"/>
      <c r="W10" s="6901" t="s">
        <v>9</v>
      </c>
      <c r="X10" s="6910"/>
      <c r="Y10" s="6901" t="s">
        <v>10</v>
      </c>
      <c r="Z10" s="6910"/>
      <c r="AA10" s="6901" t="s">
        <v>11</v>
      </c>
      <c r="AB10" s="6910"/>
      <c r="AC10" s="6901" t="s">
        <v>18</v>
      </c>
      <c r="AD10" s="6910"/>
      <c r="AE10" s="6901" t="s">
        <v>19</v>
      </c>
      <c r="AF10" s="6910"/>
      <c r="AG10" s="6901" t="s">
        <v>20</v>
      </c>
      <c r="AH10" s="6910"/>
      <c r="AI10" s="6901" t="s">
        <v>70</v>
      </c>
      <c r="AJ10" s="6910"/>
      <c r="AK10" s="6901" t="s">
        <v>71</v>
      </c>
      <c r="AL10" s="6910"/>
      <c r="AM10" s="6907" t="s">
        <v>72</v>
      </c>
      <c r="AN10" s="6487"/>
      <c r="AO10" s="6485"/>
      <c r="AP10" s="6485"/>
      <c r="AQ10" s="6472"/>
      <c r="AR10" s="6472"/>
      <c r="AS10" s="6472"/>
      <c r="BO10"/>
      <c r="BP10"/>
      <c r="BQ10"/>
      <c r="BR10"/>
      <c r="BS10"/>
      <c r="BU10"/>
      <c r="BV10"/>
      <c r="BW10"/>
    </row>
    <row r="11" spans="1:151" x14ac:dyDescent="0.25">
      <c r="A11" s="6905"/>
      <c r="B11" s="2027" t="s">
        <v>26</v>
      </c>
      <c r="C11" s="2662" t="s">
        <v>22</v>
      </c>
      <c r="D11" s="1428" t="s">
        <v>27</v>
      </c>
      <c r="E11" s="2170" t="s">
        <v>22</v>
      </c>
      <c r="F11" s="1784" t="s">
        <v>27</v>
      </c>
      <c r="G11" s="2170" t="s">
        <v>22</v>
      </c>
      <c r="H11" s="1784" t="s">
        <v>27</v>
      </c>
      <c r="I11" s="2170" t="s">
        <v>22</v>
      </c>
      <c r="J11" s="1784" t="s">
        <v>27</v>
      </c>
      <c r="K11" s="2170" t="s">
        <v>22</v>
      </c>
      <c r="L11" s="1784" t="s">
        <v>27</v>
      </c>
      <c r="M11" s="2170" t="s">
        <v>22</v>
      </c>
      <c r="N11" s="1784" t="s">
        <v>27</v>
      </c>
      <c r="O11" s="2170" t="s">
        <v>22</v>
      </c>
      <c r="P11" s="1784" t="s">
        <v>27</v>
      </c>
      <c r="Q11" s="2170" t="s">
        <v>22</v>
      </c>
      <c r="R11" s="1784" t="s">
        <v>27</v>
      </c>
      <c r="S11" s="2170" t="s">
        <v>22</v>
      </c>
      <c r="T11" s="1784" t="s">
        <v>27</v>
      </c>
      <c r="U11" s="2170" t="s">
        <v>22</v>
      </c>
      <c r="V11" s="1784" t="s">
        <v>27</v>
      </c>
      <c r="W11" s="2170" t="s">
        <v>22</v>
      </c>
      <c r="X11" s="1784" t="s">
        <v>27</v>
      </c>
      <c r="Y11" s="2170" t="s">
        <v>22</v>
      </c>
      <c r="Z11" s="1784" t="s">
        <v>27</v>
      </c>
      <c r="AA11" s="2170" t="s">
        <v>22</v>
      </c>
      <c r="AB11" s="1784" t="s">
        <v>27</v>
      </c>
      <c r="AC11" s="2170" t="s">
        <v>22</v>
      </c>
      <c r="AD11" s="1784" t="s">
        <v>27</v>
      </c>
      <c r="AE11" s="2170" t="s">
        <v>22</v>
      </c>
      <c r="AF11" s="1784" t="s">
        <v>27</v>
      </c>
      <c r="AG11" s="2170" t="s">
        <v>22</v>
      </c>
      <c r="AH11" s="1784" t="s">
        <v>27</v>
      </c>
      <c r="AI11" s="2170" t="s">
        <v>22</v>
      </c>
      <c r="AJ11" s="1784" t="s">
        <v>27</v>
      </c>
      <c r="AK11" s="2170" t="s">
        <v>22</v>
      </c>
      <c r="AL11" s="1784" t="s">
        <v>27</v>
      </c>
      <c r="AM11" s="2170" t="s">
        <v>22</v>
      </c>
      <c r="AN11" s="2646" t="s">
        <v>27</v>
      </c>
      <c r="AO11" s="6909"/>
      <c r="AP11" s="6909"/>
      <c r="AQ11" s="6844"/>
      <c r="AR11" s="6844"/>
      <c r="AS11" s="6844"/>
      <c r="BO11"/>
      <c r="BP11"/>
      <c r="BQ11"/>
      <c r="BR11"/>
      <c r="BS11"/>
      <c r="BU11"/>
      <c r="BV11"/>
      <c r="BW11"/>
    </row>
    <row r="12" spans="1:151" x14ac:dyDescent="0.25">
      <c r="A12" s="2026" t="s">
        <v>24</v>
      </c>
      <c r="B12" s="2663">
        <f>SUM(B13:B26)</f>
        <v>0</v>
      </c>
      <c r="C12" s="2664">
        <f>SUM(C13:C26)</f>
        <v>0</v>
      </c>
      <c r="D12" s="2665">
        <f>SUM(D13:D26)</f>
        <v>0</v>
      </c>
      <c r="E12" s="2666">
        <f>SUM(E13:E26)</f>
        <v>0</v>
      </c>
      <c r="F12" s="2667">
        <f t="shared" ref="F12:AN12" si="0">SUM(F13:F26)</f>
        <v>0</v>
      </c>
      <c r="G12" s="2668">
        <f>SUM(G13:G26)</f>
        <v>0</v>
      </c>
      <c r="H12" s="2667">
        <f t="shared" si="0"/>
        <v>0</v>
      </c>
      <c r="I12" s="2666">
        <f t="shared" si="0"/>
        <v>0</v>
      </c>
      <c r="J12" s="2667">
        <f t="shared" si="0"/>
        <v>0</v>
      </c>
      <c r="K12" s="2666">
        <f t="shared" si="0"/>
        <v>0</v>
      </c>
      <c r="L12" s="2667">
        <f t="shared" si="0"/>
        <v>0</v>
      </c>
      <c r="M12" s="2666">
        <f t="shared" si="0"/>
        <v>0</v>
      </c>
      <c r="N12" s="2667">
        <f t="shared" si="0"/>
        <v>0</v>
      </c>
      <c r="O12" s="2666">
        <f t="shared" si="0"/>
        <v>0</v>
      </c>
      <c r="P12" s="2667">
        <f t="shared" si="0"/>
        <v>0</v>
      </c>
      <c r="Q12" s="2666">
        <f t="shared" si="0"/>
        <v>0</v>
      </c>
      <c r="R12" s="2667">
        <f t="shared" si="0"/>
        <v>0</v>
      </c>
      <c r="S12" s="2666">
        <f t="shared" si="0"/>
        <v>0</v>
      </c>
      <c r="T12" s="2667">
        <f t="shared" si="0"/>
        <v>0</v>
      </c>
      <c r="U12" s="2666">
        <f>SUM(U13:U26)</f>
        <v>0</v>
      </c>
      <c r="V12" s="2667">
        <f>SUM(V13:V26)</f>
        <v>0</v>
      </c>
      <c r="W12" s="2666">
        <f t="shared" si="0"/>
        <v>0</v>
      </c>
      <c r="X12" s="2667">
        <f t="shared" si="0"/>
        <v>0</v>
      </c>
      <c r="Y12" s="2666">
        <f t="shared" si="0"/>
        <v>0</v>
      </c>
      <c r="Z12" s="2667">
        <f t="shared" si="0"/>
        <v>0</v>
      </c>
      <c r="AA12" s="2666">
        <f t="shared" si="0"/>
        <v>0</v>
      </c>
      <c r="AB12" s="2667">
        <f t="shared" si="0"/>
        <v>0</v>
      </c>
      <c r="AC12" s="2666">
        <f t="shared" si="0"/>
        <v>0</v>
      </c>
      <c r="AD12" s="2667">
        <f t="shared" si="0"/>
        <v>0</v>
      </c>
      <c r="AE12" s="2666">
        <f t="shared" si="0"/>
        <v>0</v>
      </c>
      <c r="AF12" s="2667">
        <f t="shared" si="0"/>
        <v>0</v>
      </c>
      <c r="AG12" s="2666">
        <f t="shared" si="0"/>
        <v>0</v>
      </c>
      <c r="AH12" s="2667">
        <f t="shared" si="0"/>
        <v>0</v>
      </c>
      <c r="AI12" s="2666">
        <f t="shared" si="0"/>
        <v>0</v>
      </c>
      <c r="AJ12" s="2667">
        <f t="shared" si="0"/>
        <v>0</v>
      </c>
      <c r="AK12" s="2666">
        <f t="shared" si="0"/>
        <v>0</v>
      </c>
      <c r="AL12" s="2667">
        <f t="shared" si="0"/>
        <v>0</v>
      </c>
      <c r="AM12" s="2666">
        <f t="shared" si="0"/>
        <v>0</v>
      </c>
      <c r="AN12" s="2669">
        <f t="shared" si="0"/>
        <v>0</v>
      </c>
      <c r="AO12" s="1747">
        <f>SUM(AO13:AO26)</f>
        <v>0</v>
      </c>
      <c r="AP12" s="2670">
        <f>SUM(AP13:AP26)</f>
        <v>0</v>
      </c>
      <c r="AQ12" s="2671">
        <f>SUM(AQ13:AQ26)</f>
        <v>0</v>
      </c>
      <c r="AR12" s="2671">
        <f>SUM(AR13:AR26)</f>
        <v>0</v>
      </c>
      <c r="AS12" s="2671">
        <f>SUM(AS13:AS26)</f>
        <v>0</v>
      </c>
      <c r="BO12"/>
      <c r="BP12"/>
      <c r="BQ12"/>
      <c r="BR12"/>
      <c r="BS12"/>
      <c r="BU12"/>
      <c r="BV12"/>
      <c r="BW12"/>
    </row>
    <row r="13" spans="1:151" ht="15" customHeight="1" x14ac:dyDescent="0.25">
      <c r="A13" s="2028" t="s">
        <v>1746</v>
      </c>
      <c r="B13" s="1750">
        <f>SUM(C13:D13)</f>
        <v>0</v>
      </c>
      <c r="C13" s="2029">
        <f>SUM(E13+G13+I13+K13+M13+O13+Q13+S13+U13+W13+Y13+AA13+AC13+AE13+AG13+AI13+AK13+AM13)</f>
        <v>0</v>
      </c>
      <c r="D13" s="2030">
        <f>SUM(F13+H13+J13+L13+N13+P13+R13+T13+V13+X13+Z13+AB13+AD13+AF13+AH13+AJ13+AL13+AN13)</f>
        <v>0</v>
      </c>
      <c r="E13" s="1904"/>
      <c r="F13" s="2003"/>
      <c r="G13" s="1904"/>
      <c r="H13" s="2003"/>
      <c r="I13" s="1904"/>
      <c r="J13" s="2001"/>
      <c r="K13" s="1904"/>
      <c r="L13" s="2001"/>
      <c r="M13" s="1904"/>
      <c r="N13" s="2001"/>
      <c r="O13" s="1904"/>
      <c r="P13" s="2001"/>
      <c r="Q13" s="1904"/>
      <c r="R13" s="2001"/>
      <c r="S13" s="1904"/>
      <c r="T13" s="2001"/>
      <c r="U13" s="1904"/>
      <c r="V13" s="2001"/>
      <c r="W13" s="1904"/>
      <c r="X13" s="2001"/>
      <c r="Y13" s="1904"/>
      <c r="Z13" s="2001"/>
      <c r="AA13" s="1904"/>
      <c r="AB13" s="2001"/>
      <c r="AC13" s="1904"/>
      <c r="AD13" s="2001"/>
      <c r="AE13" s="1904"/>
      <c r="AF13" s="2001"/>
      <c r="AG13" s="1904"/>
      <c r="AH13" s="2001"/>
      <c r="AI13" s="1904"/>
      <c r="AJ13" s="2001"/>
      <c r="AK13" s="1904"/>
      <c r="AL13" s="2001"/>
      <c r="AM13" s="2002"/>
      <c r="AN13" s="1754"/>
      <c r="AO13" s="1864"/>
      <c r="AP13" s="1864"/>
      <c r="AQ13" s="1906"/>
      <c r="AR13" s="1906"/>
      <c r="AS13" s="1906"/>
      <c r="AT13" t="str">
        <f>BO13&amp;BP13&amp;BQ13&amp;BR13&amp;BS13</f>
        <v/>
      </c>
      <c r="BO13" s="2553" t="str">
        <f>IF(AND(B13&gt;0,AO13="")," * No olvide digitar la variable Pueblos originarios. Digite Cero si no tiene.",IF(AO13&gt;B13," *  La variable Pueblos originarios No puede ser mayor al Total.",""))</f>
        <v/>
      </c>
      <c r="BP13" s="2553" t="str">
        <f>IF(AND(B13&gt;0,AP13="")," * No olvide digitar la variable Migrantes. Digite Cero si no tiene.",IF(AP13&gt;B13," *  La variable Migrantes No puede ser mayor al Total.",""))</f>
        <v/>
      </c>
      <c r="BQ13" s="2553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2553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2553" t="str">
        <f>IF(AND(B13&gt;0,AS13="")," * No olvide digitar la variable Por campaña de invierno. Digite Cero si no tiene.",IF(AS13&gt;B13," *  La variable Por campaña de invierno No puede ser mayor al Total.",""))</f>
        <v/>
      </c>
      <c r="BU13" s="1793">
        <f>IF(AND(B13&gt;0,AO13=""),1,IF(AO13&gt;B13,1,0))</f>
        <v>0</v>
      </c>
      <c r="BV13" s="1793">
        <f>IF(AND(B13&gt;0,AP13=""),1,IF(AP13&gt;B13,1,0))</f>
        <v>0</v>
      </c>
      <c r="BW13" s="1793">
        <f>IF(AND(B13&gt;0,AQ13=""),1,IF(AQ13&gt;B13,1,0))</f>
        <v>0</v>
      </c>
      <c r="BX13" s="1793">
        <f>IF(AND(B13&gt;0,AR13=""),1,IF(AR13&gt;B13,1,0))</f>
        <v>0</v>
      </c>
      <c r="BY13" s="1793">
        <f>IF(AND(B13&gt;0,AS13=""),1,IF(AS13&gt;B13,1,0))</f>
        <v>0</v>
      </c>
    </row>
    <row r="14" spans="1:151" ht="15" customHeight="1" x14ac:dyDescent="0.25">
      <c r="A14" s="2031" t="s">
        <v>1747</v>
      </c>
      <c r="B14" s="2032">
        <f t="shared" ref="B14:B26" si="1">SUM(C14:D14)</f>
        <v>0</v>
      </c>
      <c r="C14" s="2033">
        <f>SUM(E14+G14+I14)</f>
        <v>0</v>
      </c>
      <c r="D14" s="352">
        <f>SUM(F14+H14+J14)</f>
        <v>0</v>
      </c>
      <c r="E14" s="1089"/>
      <c r="F14" s="83"/>
      <c r="G14" s="1089"/>
      <c r="H14" s="83"/>
      <c r="I14" s="1089"/>
      <c r="J14" s="1077"/>
      <c r="K14" s="1087"/>
      <c r="L14" s="1088"/>
      <c r="M14" s="1087"/>
      <c r="N14" s="1088"/>
      <c r="O14" s="1087"/>
      <c r="P14" s="1088"/>
      <c r="Q14" s="1087"/>
      <c r="R14" s="1088"/>
      <c r="S14" s="1087"/>
      <c r="T14" s="1088"/>
      <c r="U14" s="1087"/>
      <c r="V14" s="1088"/>
      <c r="W14" s="1087"/>
      <c r="X14" s="1088"/>
      <c r="Y14" s="1087"/>
      <c r="Z14" s="1088"/>
      <c r="AA14" s="1087"/>
      <c r="AB14" s="1088"/>
      <c r="AC14" s="1087"/>
      <c r="AD14" s="1088"/>
      <c r="AE14" s="1087"/>
      <c r="AF14" s="1088"/>
      <c r="AG14" s="1087"/>
      <c r="AH14" s="1088"/>
      <c r="AI14" s="1087"/>
      <c r="AJ14" s="1088"/>
      <c r="AK14" s="1087"/>
      <c r="AL14" s="1088"/>
      <c r="AM14" s="1087"/>
      <c r="AN14" s="2034"/>
      <c r="AO14" s="1093"/>
      <c r="AP14" s="1093"/>
      <c r="AQ14" s="977"/>
      <c r="AR14" s="977"/>
      <c r="AS14" s="977"/>
      <c r="AT14" t="str">
        <f t="shared" ref="AT14:AT26" si="2">BO14&amp;BP14&amp;BQ14&amp;BR14&amp;BS14</f>
        <v/>
      </c>
      <c r="BO14" s="2553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2553" t="str">
        <f t="shared" ref="BP14:BP26" si="4">IF(AND(B14&gt;0,AP14="")," * No olvide digitar la variable Migrantes. Digite Cero si no tiene.",IF(AP14&gt;B14," *  La variable Migrantes No puede ser mayor al Total.",""))</f>
        <v/>
      </c>
      <c r="BQ14" s="2553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2553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2553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1793">
        <f t="shared" ref="BU14:BU26" si="8">IF(AND(B14&gt;0,AO14=""),1,IF(AO14&gt;B14,1,0))</f>
        <v>0</v>
      </c>
      <c r="BV14" s="1793">
        <f t="shared" ref="BV14:BV26" si="9">IF(AND(B14&gt;0,AP14=""),1,IF(AP14&gt;B14,1,0))</f>
        <v>0</v>
      </c>
      <c r="BW14" s="1793">
        <f t="shared" ref="BW14:BW26" si="10">IF(AND(B14&gt;0,AQ14=""),1,IF(AQ14&gt;B14,1,0))</f>
        <v>0</v>
      </c>
      <c r="BX14" s="1793">
        <f t="shared" ref="BX14:BX26" si="11">IF(AND(B14&gt;0,AR14=""),1,IF(AR14&gt;B14,1,0))</f>
        <v>0</v>
      </c>
      <c r="BY14" s="1793">
        <f t="shared" ref="BY14:BY26" si="12">IF(AND(B14&gt;0,AS14=""),1,IF(AS14&gt;B14,1,0))</f>
        <v>0</v>
      </c>
    </row>
    <row r="15" spans="1:151" ht="15" customHeight="1" x14ac:dyDescent="0.25">
      <c r="A15" s="2022" t="s">
        <v>1006</v>
      </c>
      <c r="B15" s="2032">
        <f t="shared" si="1"/>
        <v>0</v>
      </c>
      <c r="C15" s="2033">
        <f>SUM(E15+G15+I15+K15+M15+O15+Q15+S15+U15+W15+Y15+AA15+AC15+AE15+AG15+AI15+AK15+AM15)</f>
        <v>0</v>
      </c>
      <c r="D15" s="352">
        <f>SUM(F15+H15+J15+L15+N15+P15+R15+T15+V15+X15+Z15+AB15+AD15+AF15+AH15+AJ15+AL15+AN15)</f>
        <v>0</v>
      </c>
      <c r="E15" s="1089"/>
      <c r="F15" s="83"/>
      <c r="G15" s="1089"/>
      <c r="H15" s="83"/>
      <c r="I15" s="1089"/>
      <c r="J15" s="1077"/>
      <c r="K15" s="1089"/>
      <c r="L15" s="1077"/>
      <c r="M15" s="1089"/>
      <c r="N15" s="1077"/>
      <c r="O15" s="1089"/>
      <c r="P15" s="1077"/>
      <c r="Q15" s="1089"/>
      <c r="R15" s="1077"/>
      <c r="S15" s="1089"/>
      <c r="T15" s="1077"/>
      <c r="U15" s="1089"/>
      <c r="V15" s="1077"/>
      <c r="W15" s="1089"/>
      <c r="X15" s="1077"/>
      <c r="Y15" s="1089"/>
      <c r="Z15" s="1077"/>
      <c r="AA15" s="1089"/>
      <c r="AB15" s="1077"/>
      <c r="AC15" s="1089"/>
      <c r="AD15" s="1077"/>
      <c r="AE15" s="1089"/>
      <c r="AF15" s="1077"/>
      <c r="AG15" s="1089"/>
      <c r="AH15" s="1077"/>
      <c r="AI15" s="1089"/>
      <c r="AJ15" s="1077"/>
      <c r="AK15" s="1089"/>
      <c r="AL15" s="1077"/>
      <c r="AM15" s="1440"/>
      <c r="AN15" s="1078"/>
      <c r="AO15" s="1093"/>
      <c r="AP15" s="1093"/>
      <c r="AQ15" s="977"/>
      <c r="AR15" s="977"/>
      <c r="AS15" s="977"/>
      <c r="AT15" t="str">
        <f t="shared" si="2"/>
        <v/>
      </c>
      <c r="BO15" s="2553" t="str">
        <f t="shared" si="3"/>
        <v/>
      </c>
      <c r="BP15" s="2553" t="str">
        <f t="shared" si="4"/>
        <v/>
      </c>
      <c r="BQ15" s="2553" t="str">
        <f t="shared" si="5"/>
        <v/>
      </c>
      <c r="BR15" s="2553" t="str">
        <f t="shared" si="6"/>
        <v/>
      </c>
      <c r="BS15" s="2553" t="str">
        <f t="shared" si="7"/>
        <v/>
      </c>
      <c r="BU15" s="1793">
        <f t="shared" si="8"/>
        <v>0</v>
      </c>
      <c r="BV15" s="1793">
        <f t="shared" si="9"/>
        <v>0</v>
      </c>
      <c r="BW15" s="1793">
        <f t="shared" si="10"/>
        <v>0</v>
      </c>
      <c r="BX15" s="1793">
        <f t="shared" si="11"/>
        <v>0</v>
      </c>
      <c r="BY15" s="1793">
        <f t="shared" si="12"/>
        <v>0</v>
      </c>
    </row>
    <row r="16" spans="1:151" ht="15" customHeight="1" x14ac:dyDescent="0.25">
      <c r="A16" s="1743" t="s">
        <v>1748</v>
      </c>
      <c r="B16" s="2035">
        <f t="shared" si="1"/>
        <v>0</v>
      </c>
      <c r="C16" s="963">
        <f>SUM(I16+K16+M16+O16+Q16+S16+U16+W16+Y16+AA16+AC16+AE16+AG16+AI16+AK16+AM16)</f>
        <v>0</v>
      </c>
      <c r="D16" s="911">
        <f>SUM(J16+L16+N16+P16+R16+T16+V16+X16+Z16+AB16+AD16+AF16+AH16+AJ16+AL16+AN16)</f>
        <v>0</v>
      </c>
      <c r="E16" s="1087"/>
      <c r="F16" s="1088"/>
      <c r="G16" s="813"/>
      <c r="H16" s="814"/>
      <c r="I16" s="1089"/>
      <c r="J16" s="1077"/>
      <c r="K16" s="1089"/>
      <c r="L16" s="1077"/>
      <c r="M16" s="1089"/>
      <c r="N16" s="1077"/>
      <c r="O16" s="1089"/>
      <c r="P16" s="1077"/>
      <c r="Q16" s="1089"/>
      <c r="R16" s="1077"/>
      <c r="S16" s="1089"/>
      <c r="T16" s="1077"/>
      <c r="U16" s="1089"/>
      <c r="V16" s="1077"/>
      <c r="W16" s="1089"/>
      <c r="X16" s="1077"/>
      <c r="Y16" s="1089"/>
      <c r="Z16" s="1077"/>
      <c r="AA16" s="1089"/>
      <c r="AB16" s="1077"/>
      <c r="AC16" s="1089"/>
      <c r="AD16" s="1077"/>
      <c r="AE16" s="1089"/>
      <c r="AF16" s="1077"/>
      <c r="AG16" s="1089"/>
      <c r="AH16" s="1077"/>
      <c r="AI16" s="1089"/>
      <c r="AJ16" s="1077"/>
      <c r="AK16" s="1089"/>
      <c r="AL16" s="1077"/>
      <c r="AM16" s="1440"/>
      <c r="AN16" s="1078"/>
      <c r="AO16" s="1093"/>
      <c r="AP16" s="1093"/>
      <c r="AQ16" s="977"/>
      <c r="AR16" s="977"/>
      <c r="AS16" s="977"/>
      <c r="AT16" t="str">
        <f t="shared" si="2"/>
        <v/>
      </c>
      <c r="BO16" s="2553" t="str">
        <f t="shared" si="3"/>
        <v/>
      </c>
      <c r="BP16" s="2553" t="str">
        <f t="shared" si="4"/>
        <v/>
      </c>
      <c r="BQ16" s="2553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2553" t="str">
        <f t="shared" si="6"/>
        <v/>
      </c>
      <c r="BS16" s="2553" t="str">
        <f t="shared" si="7"/>
        <v/>
      </c>
      <c r="BU16" s="1793">
        <f t="shared" si="8"/>
        <v>0</v>
      </c>
      <c r="BV16" s="1793">
        <f t="shared" si="9"/>
        <v>0</v>
      </c>
      <c r="BW16" s="1793">
        <f t="shared" si="10"/>
        <v>0</v>
      </c>
      <c r="BX16" s="1793">
        <f t="shared" si="11"/>
        <v>0</v>
      </c>
      <c r="BY16" s="1793">
        <f t="shared" si="12"/>
        <v>0</v>
      </c>
    </row>
    <row r="17" spans="1:77" ht="15" customHeight="1" x14ac:dyDescent="0.25">
      <c r="A17" s="1748" t="s">
        <v>1749</v>
      </c>
      <c r="B17" s="2032">
        <f t="shared" si="1"/>
        <v>0</v>
      </c>
      <c r="C17" s="2033">
        <f>SUM(U17+W17+Y17+AA17+AC17+AE17+AG17+AI17+AK17+AM17)</f>
        <v>0</v>
      </c>
      <c r="D17" s="352">
        <f>SUM(V17+X17+Z17+AB17+AD17+AF17+AH17+AJ17+AL17+AN17)</f>
        <v>0</v>
      </c>
      <c r="E17" s="1087"/>
      <c r="F17" s="194"/>
      <c r="G17" s="1087"/>
      <c r="H17" s="194"/>
      <c r="I17" s="1087"/>
      <c r="J17" s="1088"/>
      <c r="K17" s="1087"/>
      <c r="L17" s="1088"/>
      <c r="M17" s="1087"/>
      <c r="N17" s="1088"/>
      <c r="O17" s="1087"/>
      <c r="P17" s="1088"/>
      <c r="Q17" s="1087"/>
      <c r="R17" s="1088"/>
      <c r="S17" s="1087"/>
      <c r="T17" s="1088"/>
      <c r="U17" s="1089"/>
      <c r="V17" s="1077"/>
      <c r="W17" s="1089"/>
      <c r="X17" s="1077"/>
      <c r="Y17" s="1089"/>
      <c r="Z17" s="1077"/>
      <c r="AA17" s="1089"/>
      <c r="AB17" s="1077"/>
      <c r="AC17" s="1089"/>
      <c r="AD17" s="1077"/>
      <c r="AE17" s="1089"/>
      <c r="AF17" s="1077"/>
      <c r="AG17" s="1089"/>
      <c r="AH17" s="1077"/>
      <c r="AI17" s="1089"/>
      <c r="AJ17" s="1077"/>
      <c r="AK17" s="1089"/>
      <c r="AL17" s="1077"/>
      <c r="AM17" s="1440"/>
      <c r="AN17" s="1078"/>
      <c r="AO17" s="1093"/>
      <c r="AP17" s="1093"/>
      <c r="AQ17" s="977"/>
      <c r="AR17" s="977"/>
      <c r="AS17" s="977"/>
      <c r="AT17" t="str">
        <f t="shared" si="2"/>
        <v/>
      </c>
      <c r="BO17" s="2553" t="str">
        <f t="shared" si="3"/>
        <v/>
      </c>
      <c r="BP17" s="2553" t="str">
        <f t="shared" si="4"/>
        <v/>
      </c>
      <c r="BQ17" s="2553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2553" t="str">
        <f t="shared" si="6"/>
        <v/>
      </c>
      <c r="BS17" s="2553" t="str">
        <f t="shared" si="7"/>
        <v/>
      </c>
      <c r="BU17" s="1793">
        <f t="shared" si="8"/>
        <v>0</v>
      </c>
      <c r="BV17" s="1793">
        <f t="shared" si="9"/>
        <v>0</v>
      </c>
      <c r="BW17" s="1793">
        <f t="shared" ref="BW17:BW21" si="14">IF(AND(B17&gt;0,AQ17=""),1,IF(AQ17&gt;B17,1,0))</f>
        <v>0</v>
      </c>
      <c r="BX17" s="1793">
        <f t="shared" ref="BX17:BX21" si="15">IF(AND(B17&gt;0,AR17=""),1,IF(AR17&gt;B17,1,0))</f>
        <v>0</v>
      </c>
      <c r="BY17" s="1793">
        <f t="shared" si="12"/>
        <v>0</v>
      </c>
    </row>
    <row r="18" spans="1:77" ht="15" customHeight="1" x14ac:dyDescent="0.25">
      <c r="A18" s="2036" t="s">
        <v>1750</v>
      </c>
      <c r="B18" s="2032">
        <f t="shared" si="1"/>
        <v>0</v>
      </c>
      <c r="C18" s="2033">
        <f>SUM(E18+G18+I18+K18+M18+O18+Q18+S18+U18+W18+Y18+AA18+AC18+AE18+AG18+AI18+AK18+AM18)</f>
        <v>0</v>
      </c>
      <c r="D18" s="352">
        <f>SUM(F18+H18+J18+L18+N18+P18+R18+T18+V18+X18+Z18+AB18+AD18+AF18+AH18+AJ18+AL18+AN18)</f>
        <v>0</v>
      </c>
      <c r="E18" s="1089"/>
      <c r="F18" s="83"/>
      <c r="G18" s="1089"/>
      <c r="H18" s="83"/>
      <c r="I18" s="1089"/>
      <c r="J18" s="1077"/>
      <c r="K18" s="106"/>
      <c r="L18" s="1077"/>
      <c r="M18" s="1089"/>
      <c r="N18" s="1077"/>
      <c r="O18" s="1089"/>
      <c r="P18" s="1077"/>
      <c r="Q18" s="1089"/>
      <c r="R18" s="1077"/>
      <c r="S18" s="1089"/>
      <c r="T18" s="1077"/>
      <c r="U18" s="1089"/>
      <c r="V18" s="1077"/>
      <c r="W18" s="1089"/>
      <c r="X18" s="1077"/>
      <c r="Y18" s="1089"/>
      <c r="Z18" s="1077"/>
      <c r="AA18" s="1089"/>
      <c r="AB18" s="1077"/>
      <c r="AC18" s="1089"/>
      <c r="AD18" s="1077"/>
      <c r="AE18" s="1089"/>
      <c r="AF18" s="1077"/>
      <c r="AG18" s="1089"/>
      <c r="AH18" s="1077"/>
      <c r="AI18" s="1089"/>
      <c r="AJ18" s="1077"/>
      <c r="AK18" s="1089"/>
      <c r="AL18" s="1077"/>
      <c r="AM18" s="1440"/>
      <c r="AN18" s="1078"/>
      <c r="AO18" s="1093"/>
      <c r="AP18" s="1093"/>
      <c r="AQ18" s="977"/>
      <c r="AR18" s="977"/>
      <c r="AS18" s="977"/>
      <c r="AT18" t="str">
        <f t="shared" si="2"/>
        <v/>
      </c>
      <c r="BO18" s="2553" t="str">
        <f t="shared" si="3"/>
        <v/>
      </c>
      <c r="BP18" s="2553" t="str">
        <f t="shared" si="4"/>
        <v/>
      </c>
      <c r="BQ18" s="2553" t="str">
        <f t="shared" si="13"/>
        <v/>
      </c>
      <c r="BR18" s="2553" t="str">
        <f t="shared" si="6"/>
        <v/>
      </c>
      <c r="BS18" s="2553" t="str">
        <f t="shared" si="7"/>
        <v/>
      </c>
      <c r="BU18" s="1793">
        <f t="shared" si="8"/>
        <v>0</v>
      </c>
      <c r="BV18" s="1793">
        <f t="shared" si="9"/>
        <v>0</v>
      </c>
      <c r="BW18" s="1793">
        <f t="shared" si="14"/>
        <v>0</v>
      </c>
      <c r="BX18" s="1793">
        <f t="shared" si="15"/>
        <v>0</v>
      </c>
      <c r="BY18" s="1793">
        <f t="shared" si="12"/>
        <v>0</v>
      </c>
    </row>
    <row r="19" spans="1:77" ht="15" customHeight="1" x14ac:dyDescent="0.25">
      <c r="A19" s="2037" t="s">
        <v>1751</v>
      </c>
      <c r="B19" s="2032">
        <f>SUM(C19:D19)</f>
        <v>0</v>
      </c>
      <c r="C19" s="642"/>
      <c r="D19" s="2038">
        <f>SUM(L19+N19+P19+R19+T19+V19+X19+Z19+AB19+AD19+AF19)</f>
        <v>0</v>
      </c>
      <c r="E19" s="813"/>
      <c r="F19" s="814"/>
      <c r="G19" s="813"/>
      <c r="H19" s="814"/>
      <c r="I19" s="813"/>
      <c r="J19" s="876"/>
      <c r="K19" s="1087"/>
      <c r="L19" s="92"/>
      <c r="M19" s="2039"/>
      <c r="N19" s="92"/>
      <c r="O19" s="2039"/>
      <c r="P19" s="92"/>
      <c r="Q19" s="2039"/>
      <c r="R19" s="92"/>
      <c r="S19" s="2039"/>
      <c r="T19" s="92"/>
      <c r="U19" s="2039"/>
      <c r="V19" s="92"/>
      <c r="W19" s="2039"/>
      <c r="X19" s="92"/>
      <c r="Y19" s="2039"/>
      <c r="Z19" s="92"/>
      <c r="AA19" s="2039"/>
      <c r="AB19" s="92"/>
      <c r="AC19" s="2039"/>
      <c r="AD19" s="92"/>
      <c r="AE19" s="2039"/>
      <c r="AF19" s="92"/>
      <c r="AG19" s="813"/>
      <c r="AH19" s="876"/>
      <c r="AI19" s="813"/>
      <c r="AJ19" s="876"/>
      <c r="AK19" s="813"/>
      <c r="AL19" s="876"/>
      <c r="AM19" s="2040"/>
      <c r="AN19" s="2034"/>
      <c r="AO19" s="2041"/>
      <c r="AP19" s="2041"/>
      <c r="AQ19" s="984"/>
      <c r="AR19" s="984"/>
      <c r="AS19" s="984"/>
      <c r="AT19" t="str">
        <f t="shared" si="2"/>
        <v/>
      </c>
      <c r="BO19" s="2553" t="str">
        <f t="shared" si="3"/>
        <v/>
      </c>
      <c r="BP19" s="2553" t="str">
        <f t="shared" si="4"/>
        <v/>
      </c>
      <c r="BQ19" s="2553" t="str">
        <f t="shared" si="13"/>
        <v/>
      </c>
      <c r="BR19" s="2553" t="str">
        <f t="shared" si="6"/>
        <v/>
      </c>
      <c r="BS19" s="2553" t="str">
        <f t="shared" si="7"/>
        <v/>
      </c>
      <c r="BU19" s="1793">
        <f t="shared" si="8"/>
        <v>0</v>
      </c>
      <c r="BV19" s="1793">
        <f t="shared" si="9"/>
        <v>0</v>
      </c>
      <c r="BW19" s="1793">
        <f t="shared" si="14"/>
        <v>0</v>
      </c>
      <c r="BX19" s="1793">
        <f t="shared" si="15"/>
        <v>0</v>
      </c>
      <c r="BY19" s="1793">
        <f t="shared" si="12"/>
        <v>0</v>
      </c>
    </row>
    <row r="20" spans="1:77" ht="15" customHeight="1" x14ac:dyDescent="0.25">
      <c r="A20" s="2037" t="s">
        <v>1752</v>
      </c>
      <c r="B20" s="2032">
        <f>SUM(C20:D20)</f>
        <v>0</v>
      </c>
      <c r="C20" s="642"/>
      <c r="D20" s="352">
        <f>SUM(F20+H20+J20+L20+N20+P20+R20+T20+V20+X20+Z20+AB20+AD20+AF20+AH20+AJ20+AL20+AN20)</f>
        <v>0</v>
      </c>
      <c r="E20" s="813"/>
      <c r="F20" s="83"/>
      <c r="G20" s="813"/>
      <c r="H20" s="83"/>
      <c r="I20" s="813"/>
      <c r="J20" s="92"/>
      <c r="K20" s="813"/>
      <c r="L20" s="92"/>
      <c r="M20" s="2039"/>
      <c r="N20" s="92"/>
      <c r="O20" s="2039"/>
      <c r="P20" s="92"/>
      <c r="Q20" s="2039"/>
      <c r="R20" s="92"/>
      <c r="S20" s="2039"/>
      <c r="T20" s="92"/>
      <c r="U20" s="2039"/>
      <c r="V20" s="92"/>
      <c r="W20" s="2039"/>
      <c r="X20" s="92"/>
      <c r="Y20" s="2039"/>
      <c r="Z20" s="92"/>
      <c r="AA20" s="2039"/>
      <c r="AB20" s="92"/>
      <c r="AC20" s="2039"/>
      <c r="AD20" s="92"/>
      <c r="AE20" s="2039"/>
      <c r="AF20" s="92"/>
      <c r="AG20" s="2039"/>
      <c r="AH20" s="92"/>
      <c r="AI20" s="2039"/>
      <c r="AJ20" s="92"/>
      <c r="AK20" s="2039"/>
      <c r="AL20" s="92"/>
      <c r="AM20" s="2039"/>
      <c r="AN20" s="94"/>
      <c r="AO20" s="2041"/>
      <c r="AP20" s="2041"/>
      <c r="AQ20" s="984"/>
      <c r="AR20" s="984"/>
      <c r="AS20" s="984"/>
      <c r="AT20" t="str">
        <f t="shared" si="2"/>
        <v/>
      </c>
      <c r="BO20" s="2553" t="str">
        <f t="shared" si="3"/>
        <v/>
      </c>
      <c r="BP20" s="2553" t="str">
        <f t="shared" si="4"/>
        <v/>
      </c>
      <c r="BQ20" s="2553" t="str">
        <f t="shared" si="13"/>
        <v/>
      </c>
      <c r="BR20" s="2553" t="str">
        <f t="shared" si="6"/>
        <v/>
      </c>
      <c r="BS20" s="2553" t="str">
        <f t="shared" si="7"/>
        <v/>
      </c>
      <c r="BU20" s="1793">
        <f t="shared" si="8"/>
        <v>0</v>
      </c>
      <c r="BV20" s="1793">
        <f t="shared" si="9"/>
        <v>0</v>
      </c>
      <c r="BW20" s="1793">
        <f t="shared" si="14"/>
        <v>0</v>
      </c>
      <c r="BX20" s="1793">
        <f t="shared" si="15"/>
        <v>0</v>
      </c>
      <c r="BY20" s="1793">
        <f t="shared" si="12"/>
        <v>0</v>
      </c>
    </row>
    <row r="21" spans="1:77" ht="15" customHeight="1" x14ac:dyDescent="0.25">
      <c r="A21" s="2037" t="s">
        <v>1753</v>
      </c>
      <c r="B21" s="646">
        <f t="shared" si="1"/>
        <v>0</v>
      </c>
      <c r="C21" s="2042">
        <f>SUM(O21+Q21+S21+U21+W21+Y21+AA21)</f>
        <v>0</v>
      </c>
      <c r="D21" s="352">
        <f>SUM(P21+R21+T21+V21+X21+Z21+AB21)</f>
        <v>0</v>
      </c>
      <c r="E21" s="813"/>
      <c r="F21" s="814"/>
      <c r="G21" s="813"/>
      <c r="H21" s="814"/>
      <c r="I21" s="813"/>
      <c r="J21" s="876"/>
      <c r="K21" s="1087"/>
      <c r="L21" s="876"/>
      <c r="M21" s="813"/>
      <c r="N21" s="876"/>
      <c r="O21" s="90"/>
      <c r="P21" s="92"/>
      <c r="Q21" s="90"/>
      <c r="R21" s="92"/>
      <c r="S21" s="90"/>
      <c r="T21" s="92"/>
      <c r="U21" s="90"/>
      <c r="V21" s="92"/>
      <c r="W21" s="90"/>
      <c r="X21" s="92"/>
      <c r="Y21" s="90"/>
      <c r="Z21" s="92"/>
      <c r="AA21" s="90"/>
      <c r="AB21" s="92"/>
      <c r="AC21" s="813"/>
      <c r="AD21" s="876"/>
      <c r="AE21" s="813"/>
      <c r="AF21" s="876"/>
      <c r="AG21" s="2039"/>
      <c r="AH21" s="876"/>
      <c r="AI21" s="813"/>
      <c r="AJ21" s="876"/>
      <c r="AK21" s="813"/>
      <c r="AL21" s="876"/>
      <c r="AM21" s="2040"/>
      <c r="AN21" s="2034"/>
      <c r="AO21" s="2041"/>
      <c r="AP21" s="2041"/>
      <c r="AQ21" s="984"/>
      <c r="AR21" s="984"/>
      <c r="AS21" s="984"/>
      <c r="AT21" t="str">
        <f t="shared" si="2"/>
        <v/>
      </c>
      <c r="BO21" s="2553" t="str">
        <f t="shared" si="3"/>
        <v/>
      </c>
      <c r="BP21" s="2553" t="str">
        <f t="shared" si="4"/>
        <v/>
      </c>
      <c r="BQ21" s="2553" t="str">
        <f t="shared" si="13"/>
        <v/>
      </c>
      <c r="BR21" s="2553" t="str">
        <f t="shared" si="6"/>
        <v/>
      </c>
      <c r="BS21" s="2553" t="str">
        <f t="shared" si="7"/>
        <v/>
      </c>
      <c r="BU21" s="1793">
        <f t="shared" si="8"/>
        <v>0</v>
      </c>
      <c r="BV21" s="1793">
        <f t="shared" si="9"/>
        <v>0</v>
      </c>
      <c r="BW21" s="1793">
        <f t="shared" si="14"/>
        <v>0</v>
      </c>
      <c r="BX21" s="1793">
        <f t="shared" si="15"/>
        <v>0</v>
      </c>
      <c r="BY21" s="1793">
        <f t="shared" si="12"/>
        <v>0</v>
      </c>
    </row>
    <row r="22" spans="1:77" ht="15" customHeight="1" x14ac:dyDescent="0.25">
      <c r="A22" s="2037" t="s">
        <v>1754</v>
      </c>
      <c r="B22" s="646">
        <f t="shared" si="1"/>
        <v>0</v>
      </c>
      <c r="C22" s="2042">
        <f>SUM(E22+G22+I22+K22+M22+O22+Q22+S22+U22+W22+Y22+AA22+AC22+AE22+AG22+AI22+AK22+AM22)</f>
        <v>0</v>
      </c>
      <c r="D22" s="2038">
        <f>SUM(F22+H22+J22+L22+N22+P22+R22+T22+V22+X22+Z22+AB22+AD22+AF22+AH22+AJ22+AL22+AN22)</f>
        <v>0</v>
      </c>
      <c r="E22" s="90"/>
      <c r="F22" s="91"/>
      <c r="G22" s="90"/>
      <c r="H22" s="91"/>
      <c r="I22" s="90"/>
      <c r="J22" s="92"/>
      <c r="K22" s="106"/>
      <c r="L22" s="92"/>
      <c r="M22" s="90"/>
      <c r="N22" s="92"/>
      <c r="O22" s="90"/>
      <c r="P22" s="92"/>
      <c r="Q22" s="90"/>
      <c r="R22" s="92"/>
      <c r="S22" s="90"/>
      <c r="T22" s="92"/>
      <c r="U22" s="90"/>
      <c r="V22" s="92"/>
      <c r="W22" s="90"/>
      <c r="X22" s="92"/>
      <c r="Y22" s="90"/>
      <c r="Z22" s="92"/>
      <c r="AA22" s="90"/>
      <c r="AB22" s="92"/>
      <c r="AC22" s="90"/>
      <c r="AD22" s="92"/>
      <c r="AE22" s="90"/>
      <c r="AF22" s="92"/>
      <c r="AG22" s="90"/>
      <c r="AH22" s="92"/>
      <c r="AI22" s="90"/>
      <c r="AJ22" s="92"/>
      <c r="AK22" s="90"/>
      <c r="AL22" s="92"/>
      <c r="AM22" s="93"/>
      <c r="AN22" s="94"/>
      <c r="AO22" s="2041"/>
      <c r="AP22" s="2041"/>
      <c r="AQ22" s="984"/>
      <c r="AR22" s="984"/>
      <c r="AS22" s="984"/>
      <c r="AT22" t="str">
        <f t="shared" si="2"/>
        <v/>
      </c>
      <c r="BO22" s="2553" t="str">
        <f t="shared" si="3"/>
        <v/>
      </c>
      <c r="BP22" s="2553" t="str">
        <f t="shared" si="4"/>
        <v/>
      </c>
      <c r="BQ22" s="2553" t="str">
        <f t="shared" si="5"/>
        <v/>
      </c>
      <c r="BR22" s="2553" t="str">
        <f t="shared" si="6"/>
        <v/>
      </c>
      <c r="BS22" s="2553" t="str">
        <f t="shared" si="7"/>
        <v/>
      </c>
      <c r="BU22" s="1793">
        <f t="shared" si="8"/>
        <v>0</v>
      </c>
      <c r="BV22" s="1793">
        <f t="shared" si="9"/>
        <v>0</v>
      </c>
      <c r="BW22" s="1793">
        <f t="shared" si="10"/>
        <v>0</v>
      </c>
      <c r="BX22" s="1793">
        <f t="shared" si="11"/>
        <v>0</v>
      </c>
      <c r="BY22" s="1793">
        <f t="shared" si="12"/>
        <v>0</v>
      </c>
    </row>
    <row r="23" spans="1:77" ht="15" customHeight="1" x14ac:dyDescent="0.25">
      <c r="A23" s="1748" t="s">
        <v>1755</v>
      </c>
      <c r="B23" s="646">
        <f t="shared" si="1"/>
        <v>0</v>
      </c>
      <c r="C23" s="2042">
        <f>SUM(E23+G23+I23+K23+M23+O23+Q23+S23+U23+W23+Y23+AA23+AC23+AE23+AG23+AI23+AK23+AM23)</f>
        <v>0</v>
      </c>
      <c r="D23" s="2038">
        <f>SUM(F23+H23+J23+L23+N23+P23+R23+T23+V23+X23+Z23+AB23+AD23+AF23+AH23+AJ23+AL23+AN23)</f>
        <v>0</v>
      </c>
      <c r="E23" s="90"/>
      <c r="F23" s="91"/>
      <c r="G23" s="90"/>
      <c r="H23" s="91"/>
      <c r="I23" s="90"/>
      <c r="J23" s="92"/>
      <c r="K23" s="106"/>
      <c r="L23" s="92"/>
      <c r="M23" s="90"/>
      <c r="N23" s="92"/>
      <c r="O23" s="90"/>
      <c r="P23" s="92"/>
      <c r="Q23" s="90"/>
      <c r="R23" s="92"/>
      <c r="S23" s="90"/>
      <c r="T23" s="92"/>
      <c r="U23" s="90"/>
      <c r="V23" s="92"/>
      <c r="W23" s="90"/>
      <c r="X23" s="92"/>
      <c r="Y23" s="90"/>
      <c r="Z23" s="92"/>
      <c r="AA23" s="90"/>
      <c r="AB23" s="92"/>
      <c r="AC23" s="90"/>
      <c r="AD23" s="92"/>
      <c r="AE23" s="90"/>
      <c r="AF23" s="92"/>
      <c r="AG23" s="90"/>
      <c r="AH23" s="92"/>
      <c r="AI23" s="90"/>
      <c r="AJ23" s="92"/>
      <c r="AK23" s="90"/>
      <c r="AL23" s="92"/>
      <c r="AM23" s="93"/>
      <c r="AN23" s="94"/>
      <c r="AO23" s="2041"/>
      <c r="AP23" s="2041"/>
      <c r="AQ23" s="984"/>
      <c r="AR23" s="984"/>
      <c r="AS23" s="984"/>
      <c r="AT23" t="str">
        <f t="shared" si="2"/>
        <v/>
      </c>
      <c r="BO23" s="2553" t="str">
        <f t="shared" si="3"/>
        <v/>
      </c>
      <c r="BP23" s="2553" t="str">
        <f t="shared" si="4"/>
        <v/>
      </c>
      <c r="BQ23" s="2553" t="str">
        <f t="shared" si="5"/>
        <v/>
      </c>
      <c r="BR23" s="2553" t="str">
        <f t="shared" si="6"/>
        <v/>
      </c>
      <c r="BS23" s="2553" t="str">
        <f t="shared" si="7"/>
        <v/>
      </c>
      <c r="BU23" s="1793">
        <f t="shared" si="8"/>
        <v>0</v>
      </c>
      <c r="BV23" s="1793">
        <f t="shared" si="9"/>
        <v>0</v>
      </c>
      <c r="BW23" s="1793">
        <f t="shared" si="10"/>
        <v>0</v>
      </c>
      <c r="BX23" s="1793">
        <f t="shared" si="11"/>
        <v>0</v>
      </c>
      <c r="BY23" s="1793">
        <f t="shared" si="12"/>
        <v>0</v>
      </c>
    </row>
    <row r="24" spans="1:77" ht="15" customHeight="1" x14ac:dyDescent="0.25">
      <c r="A24" s="1748" t="s">
        <v>1756</v>
      </c>
      <c r="B24" s="2032">
        <f t="shared" si="1"/>
        <v>0</v>
      </c>
      <c r="C24" s="2033">
        <f>SUM(G24+I24+K24+M24+O24+Q24+S24+U24+W24+Y24+AA24+AC24+AE24+AG24+AI24+AK24+AM24)</f>
        <v>0</v>
      </c>
      <c r="D24" s="352">
        <f>SUM(H24+J24+L24+N24+P24+R24+T24+V24+X24+Z24+AB24+AD24+AF24+AH24+AJ24+AL24+AN24)</f>
        <v>0</v>
      </c>
      <c r="E24" s="1087"/>
      <c r="F24" s="1088"/>
      <c r="G24" s="90"/>
      <c r="H24" s="91"/>
      <c r="I24" s="90"/>
      <c r="J24" s="92"/>
      <c r="K24" s="106"/>
      <c r="L24" s="92"/>
      <c r="M24" s="90"/>
      <c r="N24" s="92"/>
      <c r="O24" s="90"/>
      <c r="P24" s="92"/>
      <c r="Q24" s="90"/>
      <c r="R24" s="92"/>
      <c r="S24" s="90"/>
      <c r="T24" s="92"/>
      <c r="U24" s="90"/>
      <c r="V24" s="92"/>
      <c r="W24" s="90"/>
      <c r="X24" s="92"/>
      <c r="Y24" s="90"/>
      <c r="Z24" s="92"/>
      <c r="AA24" s="90"/>
      <c r="AB24" s="92"/>
      <c r="AC24" s="90"/>
      <c r="AD24" s="92"/>
      <c r="AE24" s="90"/>
      <c r="AF24" s="92"/>
      <c r="AG24" s="90"/>
      <c r="AH24" s="92"/>
      <c r="AI24" s="90"/>
      <c r="AJ24" s="92"/>
      <c r="AK24" s="90"/>
      <c r="AL24" s="92"/>
      <c r="AM24" s="93"/>
      <c r="AN24" s="94"/>
      <c r="AO24" s="2041"/>
      <c r="AP24" s="2041"/>
      <c r="AQ24" s="984"/>
      <c r="AR24" s="984"/>
      <c r="AS24" s="984"/>
      <c r="AT24" t="str">
        <f t="shared" si="2"/>
        <v/>
      </c>
      <c r="BO24" s="2553" t="str">
        <f t="shared" si="3"/>
        <v/>
      </c>
      <c r="BP24" s="2553" t="str">
        <f t="shared" si="4"/>
        <v/>
      </c>
      <c r="BQ24" s="2553" t="str">
        <f t="shared" si="5"/>
        <v/>
      </c>
      <c r="BR24" s="2553" t="str">
        <f t="shared" si="6"/>
        <v/>
      </c>
      <c r="BS24" s="2553" t="str">
        <f t="shared" si="7"/>
        <v/>
      </c>
      <c r="BU24" s="1793">
        <f t="shared" si="8"/>
        <v>0</v>
      </c>
      <c r="BV24" s="1793">
        <f t="shared" si="9"/>
        <v>0</v>
      </c>
      <c r="BW24" s="1793">
        <f t="shared" si="10"/>
        <v>0</v>
      </c>
      <c r="BX24" s="1793">
        <f t="shared" si="11"/>
        <v>0</v>
      </c>
      <c r="BY24" s="1793">
        <f t="shared" si="12"/>
        <v>0</v>
      </c>
    </row>
    <row r="25" spans="1:77" ht="15" customHeight="1" x14ac:dyDescent="0.25">
      <c r="A25" s="1748" t="s">
        <v>1757</v>
      </c>
      <c r="B25" s="2032">
        <f t="shared" si="1"/>
        <v>0</v>
      </c>
      <c r="C25" s="2033">
        <f>SUM(M25+O25+Q25+S25+U25+W25+Y25+AA25+AC25+AE25+AG25+AI25+AK25+AM25)</f>
        <v>0</v>
      </c>
      <c r="D25" s="352">
        <f>SUM(N25+P25+R25+T25+V25+X25+Z25+AB25+AD25+AF25+AH25+AJ25+AL25+AN25)</f>
        <v>0</v>
      </c>
      <c r="E25" s="2043"/>
      <c r="F25" s="876"/>
      <c r="G25" s="813"/>
      <c r="H25" s="814"/>
      <c r="I25" s="813"/>
      <c r="J25" s="814"/>
      <c r="K25" s="813"/>
      <c r="L25" s="814"/>
      <c r="M25" s="90"/>
      <c r="N25" s="92"/>
      <c r="O25" s="90"/>
      <c r="P25" s="92"/>
      <c r="Q25" s="90"/>
      <c r="R25" s="92"/>
      <c r="S25" s="90"/>
      <c r="T25" s="92"/>
      <c r="U25" s="90"/>
      <c r="V25" s="92"/>
      <c r="W25" s="90"/>
      <c r="X25" s="92"/>
      <c r="Y25" s="90"/>
      <c r="Z25" s="92"/>
      <c r="AA25" s="90"/>
      <c r="AB25" s="92"/>
      <c r="AC25" s="90"/>
      <c r="AD25" s="92"/>
      <c r="AE25" s="90"/>
      <c r="AF25" s="92"/>
      <c r="AG25" s="90"/>
      <c r="AH25" s="92"/>
      <c r="AI25" s="90"/>
      <c r="AJ25" s="92"/>
      <c r="AK25" s="90"/>
      <c r="AL25" s="92"/>
      <c r="AM25" s="93"/>
      <c r="AN25" s="94"/>
      <c r="AO25" s="2041"/>
      <c r="AP25" s="2041"/>
      <c r="AQ25" s="984"/>
      <c r="AR25" s="984"/>
      <c r="AS25" s="984"/>
      <c r="AT25" t="str">
        <f t="shared" si="2"/>
        <v/>
      </c>
      <c r="BO25" s="2553" t="str">
        <f t="shared" si="3"/>
        <v/>
      </c>
      <c r="BP25" s="2553" t="str">
        <f t="shared" si="4"/>
        <v/>
      </c>
      <c r="BQ25" s="2553" t="str">
        <f t="shared" si="5"/>
        <v/>
      </c>
      <c r="BR25" s="2553" t="str">
        <f t="shared" si="6"/>
        <v/>
      </c>
      <c r="BS25" s="2553" t="str">
        <f t="shared" si="7"/>
        <v/>
      </c>
      <c r="BU25" s="1793">
        <f t="shared" si="8"/>
        <v>0</v>
      </c>
      <c r="BV25" s="1793">
        <f t="shared" si="9"/>
        <v>0</v>
      </c>
      <c r="BW25" s="1793">
        <f t="shared" si="10"/>
        <v>0</v>
      </c>
      <c r="BX25" s="1793">
        <f t="shared" si="11"/>
        <v>0</v>
      </c>
      <c r="BY25" s="1793">
        <f t="shared" si="12"/>
        <v>0</v>
      </c>
    </row>
    <row r="26" spans="1:77" ht="15" customHeight="1" x14ac:dyDescent="0.25">
      <c r="A26" s="587" t="s">
        <v>1758</v>
      </c>
      <c r="B26" s="2044">
        <f t="shared" si="1"/>
        <v>0</v>
      </c>
      <c r="C26" s="2045">
        <f>SUM(E26+G26+I26+K26+M26+O26+Q26+S26+U26+W26+Y26+AA26+AC26+AE26+AG26+AI26+AK26+AM26)</f>
        <v>0</v>
      </c>
      <c r="D26" s="2046">
        <f>SUM(F26+H26+J26+L26+N26+P26+R26+T26+V26+X26+Z26+AB26+AD26+AF26+AH26+AJ26+AL26+AN26)</f>
        <v>0</v>
      </c>
      <c r="E26" s="1999"/>
      <c r="F26" s="116"/>
      <c r="G26" s="114"/>
      <c r="H26" s="117"/>
      <c r="I26" s="114"/>
      <c r="J26" s="116"/>
      <c r="K26" s="1901"/>
      <c r="L26" s="116"/>
      <c r="M26" s="114"/>
      <c r="N26" s="116"/>
      <c r="O26" s="114"/>
      <c r="P26" s="116"/>
      <c r="Q26" s="114"/>
      <c r="R26" s="116"/>
      <c r="S26" s="114"/>
      <c r="T26" s="116"/>
      <c r="U26" s="114"/>
      <c r="V26" s="116"/>
      <c r="W26" s="114"/>
      <c r="X26" s="116"/>
      <c r="Y26" s="114"/>
      <c r="Z26" s="116"/>
      <c r="AA26" s="114"/>
      <c r="AB26" s="116"/>
      <c r="AC26" s="114"/>
      <c r="AD26" s="116"/>
      <c r="AE26" s="114"/>
      <c r="AF26" s="116"/>
      <c r="AG26" s="114"/>
      <c r="AH26" s="116"/>
      <c r="AI26" s="114"/>
      <c r="AJ26" s="116"/>
      <c r="AK26" s="114"/>
      <c r="AL26" s="116"/>
      <c r="AM26" s="118"/>
      <c r="AN26" s="162"/>
      <c r="AO26" s="1857"/>
      <c r="AP26" s="1857"/>
      <c r="AQ26" s="958"/>
      <c r="AR26" s="958"/>
      <c r="AS26" s="958"/>
      <c r="AT26" t="str">
        <f t="shared" si="2"/>
        <v/>
      </c>
      <c r="BO26" s="2553" t="str">
        <f t="shared" si="3"/>
        <v/>
      </c>
      <c r="BP26" s="2553" t="str">
        <f t="shared" si="4"/>
        <v/>
      </c>
      <c r="BQ26" s="2553" t="str">
        <f t="shared" si="5"/>
        <v/>
      </c>
      <c r="BR26" s="2553" t="str">
        <f t="shared" si="6"/>
        <v/>
      </c>
      <c r="BS26" s="2553" t="str">
        <f t="shared" si="7"/>
        <v/>
      </c>
      <c r="BU26" s="1793">
        <f t="shared" si="8"/>
        <v>0</v>
      </c>
      <c r="BV26" s="1793">
        <f t="shared" si="9"/>
        <v>0</v>
      </c>
      <c r="BW26" s="1793">
        <f t="shared" si="10"/>
        <v>0</v>
      </c>
      <c r="BX26" s="1793">
        <f t="shared" si="11"/>
        <v>0</v>
      </c>
      <c r="BY26" s="1793">
        <f t="shared" si="12"/>
        <v>0</v>
      </c>
    </row>
    <row r="27" spans="1:77" ht="18" customHeight="1" x14ac:dyDescent="0.25">
      <c r="A27" s="122" t="s">
        <v>1759</v>
      </c>
      <c r="B27" s="1069"/>
      <c r="C27" s="1069"/>
      <c r="D27" s="1069"/>
      <c r="E27" s="1069"/>
      <c r="F27" s="2672"/>
      <c r="G27" s="2672" t="s">
        <v>1760</v>
      </c>
      <c r="H27" s="2673"/>
      <c r="I27" s="2673"/>
      <c r="J27" s="2672"/>
      <c r="K27" s="2672"/>
      <c r="L27" s="2672"/>
      <c r="M27" s="2672"/>
      <c r="N27" s="2672"/>
      <c r="O27" s="2672"/>
      <c r="P27" s="2672"/>
      <c r="Q27" s="2672"/>
      <c r="R27" s="2672"/>
      <c r="S27" s="2672"/>
      <c r="T27" s="2672"/>
      <c r="U27" s="2672"/>
      <c r="V27" s="2672"/>
      <c r="W27" s="2672"/>
      <c r="X27" s="2672"/>
      <c r="Y27" s="1955"/>
      <c r="Z27" s="1955"/>
      <c r="AA27" s="1955"/>
      <c r="AB27" s="1955"/>
      <c r="AC27" s="1955"/>
      <c r="AD27" s="1955"/>
      <c r="AE27" s="1955"/>
      <c r="AF27" s="1955"/>
      <c r="AG27" s="1955"/>
      <c r="AH27" s="1955"/>
      <c r="AI27" s="1955"/>
      <c r="AJ27" s="1955"/>
      <c r="AK27" s="1955"/>
      <c r="AL27" s="1955"/>
      <c r="AM27" s="1955"/>
      <c r="AN27" s="1955"/>
      <c r="AO27" s="1955"/>
      <c r="AP27" s="2674"/>
      <c r="AQ27" s="2674"/>
      <c r="AR27" s="112"/>
      <c r="AS27" s="782"/>
      <c r="BO27"/>
      <c r="BP27"/>
      <c r="BQ27"/>
      <c r="BR27"/>
      <c r="BS27"/>
      <c r="BU27"/>
      <c r="BV27"/>
      <c r="BW27"/>
    </row>
    <row r="28" spans="1:77" ht="18.75" customHeight="1" x14ac:dyDescent="0.25">
      <c r="A28" s="6492" t="s">
        <v>61</v>
      </c>
      <c r="B28" s="6493" t="s">
        <v>1</v>
      </c>
      <c r="C28" s="6468"/>
      <c r="D28" s="6903"/>
      <c r="E28" s="6907" t="s">
        <v>30</v>
      </c>
      <c r="F28" s="6908"/>
      <c r="G28" s="6908"/>
      <c r="H28" s="6908"/>
      <c r="I28" s="6908"/>
      <c r="J28" s="6908"/>
      <c r="K28" s="6908"/>
      <c r="L28" s="6908"/>
      <c r="M28" s="6908"/>
      <c r="N28" s="6908"/>
      <c r="O28" s="6908"/>
      <c r="P28" s="6908"/>
      <c r="Q28" s="6908"/>
      <c r="R28" s="6908"/>
      <c r="S28" s="6908"/>
      <c r="T28" s="6908"/>
      <c r="U28" s="6908"/>
      <c r="V28" s="6908"/>
      <c r="W28" s="6908"/>
      <c r="X28" s="6908"/>
      <c r="Y28" s="6908"/>
      <c r="Z28" s="6908"/>
      <c r="AA28" s="6908"/>
      <c r="AB28" s="6908"/>
      <c r="AC28" s="6908"/>
      <c r="AD28" s="6908"/>
      <c r="AE28" s="6908"/>
      <c r="AF28" s="6908"/>
      <c r="AG28" s="6908"/>
      <c r="AH28" s="6908"/>
      <c r="AI28" s="6908"/>
      <c r="AJ28" s="6908"/>
      <c r="AK28" s="6908"/>
      <c r="AL28" s="6908"/>
      <c r="AM28" s="6908"/>
      <c r="AN28" s="6487"/>
      <c r="AO28" s="6484" t="s">
        <v>2</v>
      </c>
      <c r="AP28" s="6484" t="s">
        <v>3</v>
      </c>
      <c r="AQ28" s="6484" t="s">
        <v>1761</v>
      </c>
      <c r="AR28" s="6903" t="s">
        <v>49</v>
      </c>
      <c r="AS28" s="6903" t="s">
        <v>45</v>
      </c>
      <c r="BO28"/>
      <c r="BP28"/>
      <c r="BQ28"/>
      <c r="BR28"/>
      <c r="BS28"/>
      <c r="BU28"/>
      <c r="BV28"/>
      <c r="BW28"/>
    </row>
    <row r="29" spans="1:77" ht="15.75" customHeight="1" x14ac:dyDescent="0.25">
      <c r="A29" s="6466"/>
      <c r="B29" s="6856"/>
      <c r="C29" s="6857"/>
      <c r="D29" s="6844"/>
      <c r="E29" s="6901" t="s">
        <v>682</v>
      </c>
      <c r="F29" s="6913"/>
      <c r="G29" s="6901" t="s">
        <v>3726</v>
      </c>
      <c r="H29" s="6910"/>
      <c r="I29" s="6901" t="s">
        <v>37</v>
      </c>
      <c r="J29" s="6910"/>
      <c r="K29" s="6901" t="s">
        <v>38</v>
      </c>
      <c r="L29" s="6910"/>
      <c r="M29" s="6901" t="s">
        <v>4</v>
      </c>
      <c r="N29" s="6910"/>
      <c r="O29" s="6901" t="s">
        <v>5</v>
      </c>
      <c r="P29" s="6910"/>
      <c r="Q29" s="6901" t="s">
        <v>6</v>
      </c>
      <c r="R29" s="6910"/>
      <c r="S29" s="6901" t="s">
        <v>7</v>
      </c>
      <c r="T29" s="6910"/>
      <c r="U29" s="6901" t="s">
        <v>8</v>
      </c>
      <c r="V29" s="6910"/>
      <c r="W29" s="6901" t="s">
        <v>9</v>
      </c>
      <c r="X29" s="6910"/>
      <c r="Y29" s="6901" t="s">
        <v>10</v>
      </c>
      <c r="Z29" s="6910"/>
      <c r="AA29" s="6901" t="s">
        <v>11</v>
      </c>
      <c r="AB29" s="6910"/>
      <c r="AC29" s="6901" t="s">
        <v>18</v>
      </c>
      <c r="AD29" s="6910"/>
      <c r="AE29" s="6901" t="s">
        <v>19</v>
      </c>
      <c r="AF29" s="6910"/>
      <c r="AG29" s="6901" t="s">
        <v>20</v>
      </c>
      <c r="AH29" s="6910"/>
      <c r="AI29" s="6901" t="s">
        <v>70</v>
      </c>
      <c r="AJ29" s="6910"/>
      <c r="AK29" s="6901" t="s">
        <v>71</v>
      </c>
      <c r="AL29" s="6910"/>
      <c r="AM29" s="6907" t="s">
        <v>72</v>
      </c>
      <c r="AN29" s="6487"/>
      <c r="AO29" s="6485"/>
      <c r="AP29" s="6485"/>
      <c r="AQ29" s="6485"/>
      <c r="AR29" s="6472"/>
      <c r="AS29" s="6472"/>
      <c r="BO29"/>
      <c r="BP29"/>
      <c r="BQ29"/>
      <c r="BR29"/>
      <c r="BS29"/>
      <c r="BU29"/>
      <c r="BV29"/>
      <c r="BW29"/>
    </row>
    <row r="30" spans="1:77" ht="16.5" customHeight="1" x14ac:dyDescent="0.25">
      <c r="A30" s="6905"/>
      <c r="B30" s="2027" t="s">
        <v>26</v>
      </c>
      <c r="C30" s="2662" t="s">
        <v>22</v>
      </c>
      <c r="D30" s="2645" t="s">
        <v>27</v>
      </c>
      <c r="E30" s="2675" t="s">
        <v>22</v>
      </c>
      <c r="F30" s="1782" t="s">
        <v>27</v>
      </c>
      <c r="G30" s="2675" t="s">
        <v>22</v>
      </c>
      <c r="H30" s="1782" t="s">
        <v>27</v>
      </c>
      <c r="I30" s="2675" t="s">
        <v>22</v>
      </c>
      <c r="J30" s="1782" t="s">
        <v>27</v>
      </c>
      <c r="K30" s="2675" t="s">
        <v>22</v>
      </c>
      <c r="L30" s="1782" t="s">
        <v>27</v>
      </c>
      <c r="M30" s="2675" t="s">
        <v>22</v>
      </c>
      <c r="N30" s="1782" t="s">
        <v>27</v>
      </c>
      <c r="O30" s="2675" t="s">
        <v>22</v>
      </c>
      <c r="P30" s="1782" t="s">
        <v>27</v>
      </c>
      <c r="Q30" s="2675" t="s">
        <v>22</v>
      </c>
      <c r="R30" s="1782" t="s">
        <v>27</v>
      </c>
      <c r="S30" s="2675" t="s">
        <v>22</v>
      </c>
      <c r="T30" s="1782" t="s">
        <v>27</v>
      </c>
      <c r="U30" s="2675" t="s">
        <v>22</v>
      </c>
      <c r="V30" s="1782" t="s">
        <v>27</v>
      </c>
      <c r="W30" s="2675" t="s">
        <v>22</v>
      </c>
      <c r="X30" s="1782" t="s">
        <v>27</v>
      </c>
      <c r="Y30" s="2675" t="s">
        <v>22</v>
      </c>
      <c r="Z30" s="1782" t="s">
        <v>27</v>
      </c>
      <c r="AA30" s="2675" t="s">
        <v>22</v>
      </c>
      <c r="AB30" s="1782" t="s">
        <v>27</v>
      </c>
      <c r="AC30" s="2675" t="s">
        <v>22</v>
      </c>
      <c r="AD30" s="1782" t="s">
        <v>27</v>
      </c>
      <c r="AE30" s="2675" t="s">
        <v>22</v>
      </c>
      <c r="AF30" s="1782" t="s">
        <v>27</v>
      </c>
      <c r="AG30" s="2675" t="s">
        <v>22</v>
      </c>
      <c r="AH30" s="1782" t="s">
        <v>27</v>
      </c>
      <c r="AI30" s="2675" t="s">
        <v>22</v>
      </c>
      <c r="AJ30" s="1782" t="s">
        <v>27</v>
      </c>
      <c r="AK30" s="2662" t="s">
        <v>22</v>
      </c>
      <c r="AL30" s="1782" t="s">
        <v>27</v>
      </c>
      <c r="AM30" s="2675" t="s">
        <v>22</v>
      </c>
      <c r="AN30" s="2676" t="s">
        <v>27</v>
      </c>
      <c r="AO30" s="6909"/>
      <c r="AP30" s="6909"/>
      <c r="AQ30" s="6909"/>
      <c r="AR30" s="6844"/>
      <c r="AS30" s="6844"/>
      <c r="BO30"/>
      <c r="BP30"/>
      <c r="BQ30"/>
      <c r="BR30"/>
      <c r="BS30"/>
      <c r="BU30"/>
      <c r="BV30"/>
      <c r="BW30"/>
    </row>
    <row r="31" spans="1:77" ht="15" customHeight="1" x14ac:dyDescent="0.25">
      <c r="A31" s="2047" t="s">
        <v>76</v>
      </c>
      <c r="B31" s="2048">
        <f t="shared" ref="B31:B45" si="16">SUM(C31:D31)</f>
        <v>0</v>
      </c>
      <c r="C31" s="2029">
        <f t="shared" ref="C31:D33" si="17">SUM(E31+G31+I31+K31+M31+O31+Q31+S31+U31+W31+Y31+AA31+AC31+AE31+AG31+AI31+AK31+AM31)</f>
        <v>0</v>
      </c>
      <c r="D31" s="2030">
        <f t="shared" si="17"/>
        <v>0</v>
      </c>
      <c r="E31" s="2049"/>
      <c r="F31" s="2003"/>
      <c r="G31" s="2049"/>
      <c r="H31" s="2001"/>
      <c r="I31" s="2049"/>
      <c r="J31" s="2001"/>
      <c r="K31" s="2049"/>
      <c r="L31" s="2001"/>
      <c r="M31" s="2049"/>
      <c r="N31" s="2001"/>
      <c r="O31" s="2049"/>
      <c r="P31" s="2001"/>
      <c r="Q31" s="2050"/>
      <c r="R31" s="2001"/>
      <c r="S31" s="2049"/>
      <c r="T31" s="2001"/>
      <c r="U31" s="2049"/>
      <c r="V31" s="2001"/>
      <c r="W31" s="2049"/>
      <c r="X31" s="2001"/>
      <c r="Y31" s="2049"/>
      <c r="Z31" s="2001"/>
      <c r="AA31" s="2049"/>
      <c r="AB31" s="2001"/>
      <c r="AC31" s="2050"/>
      <c r="AD31" s="2001"/>
      <c r="AE31" s="2049"/>
      <c r="AF31" s="2001"/>
      <c r="AG31" s="2050"/>
      <c r="AH31" s="2001"/>
      <c r="AI31" s="2049"/>
      <c r="AJ31" s="2001"/>
      <c r="AK31" s="2050"/>
      <c r="AL31" s="2001"/>
      <c r="AM31" s="2051"/>
      <c r="AN31" s="1754"/>
      <c r="AO31" s="1864"/>
      <c r="AP31" s="1864"/>
      <c r="AQ31" s="1864"/>
      <c r="AR31" s="1906"/>
      <c r="AS31" s="1906"/>
      <c r="AT31" t="str">
        <f>BO31&amp;BP31&amp;BQ31&amp;BR31&amp;BS31</f>
        <v/>
      </c>
      <c r="BO31" s="2553" t="str">
        <f>IF(AND(B31&gt;0,AO31="")," * No olvide digitar la variable Pueblos originarios. Digite Cero si no tiene.",IF(AO31&gt;B31," * La variable Pueblos originarios No puede ser mayor al Total.",""))</f>
        <v/>
      </c>
      <c r="BP31" s="2553" t="str">
        <f>IF(AND(B31&gt;0,AP31="")," * No olvide digitar la variable Migrantes. Digite Cero si no tiene.",IF(AP31&gt;B31," * La variable Migrantes No puede ser mayor al Total.",""))</f>
        <v/>
      </c>
      <c r="BQ31" s="2553" t="str">
        <f>IF(AND(B31&gt;0,AQ31="")," * No olvide digitar la variable Espacios Amigables. Digite Cero si no tiene.",IF(AQ31&gt;B31," * La variable Espacios Amigables No puede ser mayor al Total.",""))</f>
        <v/>
      </c>
      <c r="BR31" s="2553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2553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1793">
        <f>IF(AND(B31&gt;0,AO31=""),1,IF(AO31&gt;B31,1,0))</f>
        <v>0</v>
      </c>
      <c r="BV31" s="1793">
        <f>IF(AND(B31&gt;0,AP31=""),1,IF(AP31&gt;B31,1,0))</f>
        <v>0</v>
      </c>
      <c r="BW31" s="1793">
        <f>IF(AND(B31&gt;0,AQ31=""),1,IF(AQ31&gt;B31,1,0))</f>
        <v>0</v>
      </c>
      <c r="BX31" s="1793">
        <f>IF(AND(B31&gt;0,AR31=""),1,IF(AR31&gt;B31,1,0))</f>
        <v>0</v>
      </c>
      <c r="BY31" s="1793">
        <f>IF(AND(B31&gt;0,AS31=""),1,IF(AS31&gt;B31,1,0))</f>
        <v>0</v>
      </c>
    </row>
    <row r="32" spans="1:77" ht="15" customHeight="1" x14ac:dyDescent="0.25">
      <c r="A32" s="1075" t="s">
        <v>1762</v>
      </c>
      <c r="B32" s="2032">
        <f t="shared" si="16"/>
        <v>0</v>
      </c>
      <c r="C32" s="2033">
        <f t="shared" si="17"/>
        <v>0</v>
      </c>
      <c r="D32" s="352">
        <f t="shared" si="17"/>
        <v>0</v>
      </c>
      <c r="E32" s="1089"/>
      <c r="F32" s="83"/>
      <c r="G32" s="1089"/>
      <c r="H32" s="1077"/>
      <c r="I32" s="1089"/>
      <c r="J32" s="1077"/>
      <c r="K32" s="1089"/>
      <c r="L32" s="1077"/>
      <c r="M32" s="1089"/>
      <c r="N32" s="1077"/>
      <c r="O32" s="1089"/>
      <c r="P32" s="1077"/>
      <c r="Q32" s="1076"/>
      <c r="R32" s="1077"/>
      <c r="S32" s="1089"/>
      <c r="T32" s="1077"/>
      <c r="U32" s="1089"/>
      <c r="V32" s="1077"/>
      <c r="W32" s="1089"/>
      <c r="X32" s="1077"/>
      <c r="Y32" s="1089"/>
      <c r="Z32" s="1077"/>
      <c r="AA32" s="1089"/>
      <c r="AB32" s="1077"/>
      <c r="AC32" s="1076"/>
      <c r="AD32" s="1077"/>
      <c r="AE32" s="1089"/>
      <c r="AF32" s="1077"/>
      <c r="AG32" s="1076"/>
      <c r="AH32" s="1077"/>
      <c r="AI32" s="1089"/>
      <c r="AJ32" s="1077"/>
      <c r="AK32" s="1076"/>
      <c r="AL32" s="1077"/>
      <c r="AM32" s="126"/>
      <c r="AN32" s="1078"/>
      <c r="AO32" s="1860"/>
      <c r="AP32" s="1860"/>
      <c r="AQ32" s="1860"/>
      <c r="AR32" s="967"/>
      <c r="AS32" s="967"/>
      <c r="AT32" t="str">
        <f t="shared" ref="AT32:AT46" si="18">BO32&amp;BP32&amp;BQ32&amp;BR32&amp;BS32</f>
        <v/>
      </c>
      <c r="BO32" s="2553" t="str">
        <f t="shared" ref="BO32:BO46" si="19">IF(AND(B32&gt;0,AO32="")," * No olvide digitar la variable Pueblos originarios. Digite Cero si no tiene.",IF(AO32&gt;B32," * La variable Pueblos originarios No puede ser mayor al Total.",""))</f>
        <v/>
      </c>
      <c r="BP32" s="2553" t="str">
        <f t="shared" ref="BP32:BP46" si="20">IF(AND(B32&gt;0,AP32="")," * No olvide digitar la variable Migrantes. Digite Cero si no tiene.",IF(AP32&gt;B32," * La variable Migrantes No puede ser mayor al Total.",""))</f>
        <v/>
      </c>
      <c r="BQ32" s="2553" t="str">
        <f t="shared" ref="BQ32:BQ46" si="21">IF(AND(B32&gt;0,AQ32="")," * No olvide digitar la variable Espacios Amigables. Digite Cero si no tiene.",IF(AQ32&gt;B32," * La variable Espacios Amigables No puede ser mayor al Total.",""))</f>
        <v/>
      </c>
      <c r="BR32" s="2553" t="str">
        <f t="shared" ref="BR32:BR46" si="22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2553" t="str">
        <f t="shared" ref="BS32:BS46" si="23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1793">
        <f t="shared" ref="BU32:BU46" si="24">IF(AND(B32&gt;0,AO32=""),1,IF(AO32&gt;B32,1,0))</f>
        <v>0</v>
      </c>
      <c r="BV32" s="1793">
        <f t="shared" ref="BV32:BV46" si="25">IF(AND(B32&gt;0,AP32=""),1,IF(AP32&gt;B32,1,0))</f>
        <v>0</v>
      </c>
      <c r="BW32" s="1793">
        <f t="shared" ref="BW32:BW46" si="26">IF(AND(B32&gt;0,AQ32=""),1,IF(AQ32&gt;B32,1,0))</f>
        <v>0</v>
      </c>
      <c r="BX32" s="1793">
        <f t="shared" ref="BX32:BX46" si="27">IF(AND(B32&gt;0,AR32=""),1,IF(AR32&gt;B32,1,0))</f>
        <v>0</v>
      </c>
      <c r="BY32" s="1793">
        <f t="shared" ref="BY32:BY46" si="28">IF(AND(B32&gt;0,AS32=""),1,IF(AS32&gt;B32,1,0))</f>
        <v>0</v>
      </c>
    </row>
    <row r="33" spans="1:77" ht="15" customHeight="1" x14ac:dyDescent="0.25">
      <c r="A33" s="1760" t="s">
        <v>1763</v>
      </c>
      <c r="B33" s="2032">
        <f t="shared" si="16"/>
        <v>0</v>
      </c>
      <c r="C33" s="2033">
        <f t="shared" si="17"/>
        <v>0</v>
      </c>
      <c r="D33" s="2038">
        <f t="shared" si="17"/>
        <v>0</v>
      </c>
      <c r="E33" s="1089"/>
      <c r="F33" s="83"/>
      <c r="G33" s="1089"/>
      <c r="H33" s="1077"/>
      <c r="I33" s="1089"/>
      <c r="J33" s="1077"/>
      <c r="K33" s="1089"/>
      <c r="L33" s="1077"/>
      <c r="M33" s="1089"/>
      <c r="N33" s="1077"/>
      <c r="O33" s="1089"/>
      <c r="P33" s="1077"/>
      <c r="Q33" s="1076"/>
      <c r="R33" s="1077"/>
      <c r="S33" s="1089"/>
      <c r="T33" s="1077"/>
      <c r="U33" s="1089"/>
      <c r="V33" s="1077"/>
      <c r="W33" s="1089"/>
      <c r="X33" s="1077"/>
      <c r="Y33" s="1089"/>
      <c r="Z33" s="1077"/>
      <c r="AA33" s="1089"/>
      <c r="AB33" s="1077"/>
      <c r="AC33" s="1076"/>
      <c r="AD33" s="1077"/>
      <c r="AE33" s="1089"/>
      <c r="AF33" s="1077"/>
      <c r="AG33" s="1076"/>
      <c r="AH33" s="1077"/>
      <c r="AI33" s="1089"/>
      <c r="AJ33" s="1077"/>
      <c r="AK33" s="1076"/>
      <c r="AL33" s="1077"/>
      <c r="AM33" s="126"/>
      <c r="AN33" s="1078"/>
      <c r="AO33" s="1093"/>
      <c r="AP33" s="1093"/>
      <c r="AQ33" s="1093"/>
      <c r="AR33" s="977"/>
      <c r="AS33" s="977"/>
      <c r="AT33" t="str">
        <f t="shared" si="18"/>
        <v/>
      </c>
      <c r="BO33" s="2553" t="str">
        <f t="shared" si="19"/>
        <v/>
      </c>
      <c r="BP33" s="2553" t="str">
        <f t="shared" si="20"/>
        <v/>
      </c>
      <c r="BQ33" s="2553" t="str">
        <f t="shared" si="21"/>
        <v/>
      </c>
      <c r="BR33" s="2553" t="str">
        <f t="shared" si="22"/>
        <v/>
      </c>
      <c r="BS33" s="2553" t="str">
        <f t="shared" si="23"/>
        <v/>
      </c>
      <c r="BU33" s="1793">
        <f t="shared" si="24"/>
        <v>0</v>
      </c>
      <c r="BV33" s="1793">
        <f t="shared" si="25"/>
        <v>0</v>
      </c>
      <c r="BW33" s="1793">
        <f t="shared" si="26"/>
        <v>0</v>
      </c>
      <c r="BX33" s="1793">
        <f t="shared" si="27"/>
        <v>0</v>
      </c>
      <c r="BY33" s="1793">
        <f t="shared" si="28"/>
        <v>0</v>
      </c>
    </row>
    <row r="34" spans="1:77" ht="15" customHeight="1" x14ac:dyDescent="0.25">
      <c r="A34" s="1760" t="s">
        <v>1764</v>
      </c>
      <c r="B34" s="2032">
        <f t="shared" si="16"/>
        <v>0</v>
      </c>
      <c r="C34" s="2033">
        <f>SUM(O34+Q34+S34+U34+W34+Y34+AA34)</f>
        <v>0</v>
      </c>
      <c r="D34" s="2038">
        <f>SUM(P34+R34+T34+V34+X34+Z34+AB34)</f>
        <v>0</v>
      </c>
      <c r="E34" s="813"/>
      <c r="F34" s="814"/>
      <c r="G34" s="813"/>
      <c r="H34" s="876"/>
      <c r="I34" s="813"/>
      <c r="J34" s="876"/>
      <c r="K34" s="813"/>
      <c r="L34" s="876"/>
      <c r="M34" s="813"/>
      <c r="N34" s="876"/>
      <c r="O34" s="1089"/>
      <c r="P34" s="1077"/>
      <c r="Q34" s="1076"/>
      <c r="R34" s="1077"/>
      <c r="S34" s="1089"/>
      <c r="T34" s="1077"/>
      <c r="U34" s="1089"/>
      <c r="V34" s="1077"/>
      <c r="W34" s="1089"/>
      <c r="X34" s="1077"/>
      <c r="Y34" s="1089"/>
      <c r="Z34" s="1077"/>
      <c r="AA34" s="1089"/>
      <c r="AB34" s="92"/>
      <c r="AC34" s="923"/>
      <c r="AD34" s="876"/>
      <c r="AE34" s="813"/>
      <c r="AF34" s="876"/>
      <c r="AG34" s="923"/>
      <c r="AH34" s="876"/>
      <c r="AI34" s="813"/>
      <c r="AJ34" s="876"/>
      <c r="AK34" s="923"/>
      <c r="AL34" s="876"/>
      <c r="AM34" s="2052"/>
      <c r="AN34" s="2034"/>
      <c r="AO34" s="1093"/>
      <c r="AP34" s="1093"/>
      <c r="AQ34" s="1093"/>
      <c r="AR34" s="977"/>
      <c r="AS34" s="977"/>
      <c r="AT34" t="str">
        <f t="shared" si="18"/>
        <v/>
      </c>
      <c r="BO34" s="2553" t="str">
        <f t="shared" si="19"/>
        <v/>
      </c>
      <c r="BP34" s="2553" t="str">
        <f t="shared" si="20"/>
        <v/>
      </c>
      <c r="BQ34" s="2553" t="str">
        <f t="shared" ref="BQ34" si="29">IF(AND(B34&gt;0,AQ34="")," * No olvide digitar la variable Espacios Amigables. Digite Cero si no tiene.",IF(AQ34&gt;B34," * La variable Espacios Amigables No puede ser mayor al Total.",""))</f>
        <v/>
      </c>
      <c r="BR34" s="2553" t="str">
        <f t="shared" ref="BR34" si="30">IF(AND(B34&gt;0,AR34="")," * No olvide digitar la variable Niños, Niñas, Adolescentes y Jóvenes SENAME. Digite Cero si no tiene.",IF(AR34&gt;B34," * La variable Niños, Niñas, Adolescentes y Jóvenes SENAME No puede ser mayor al Total.",""))</f>
        <v/>
      </c>
      <c r="BS34" s="2553" t="str">
        <f t="shared" ref="BS34" si="31">IF(AND(B34&gt;0,AS34="")," * No olvide digitar la variable Niños, Niñas, Adolescentes y Jóvenes Mejor Niñez. Digite Cero si no tiene.",IF(AS34&gt;B34," * La variable Niños, Niñas, Adolescentes y Jóvenes Mejor Niñez No puede ser mayor al Total.",""))</f>
        <v/>
      </c>
      <c r="BU34" s="1793">
        <f t="shared" si="24"/>
        <v>0</v>
      </c>
      <c r="BV34" s="1793">
        <f t="shared" si="25"/>
        <v>0</v>
      </c>
      <c r="BW34" s="1793">
        <f t="shared" ref="BW34" si="32">IF(AND(B34&gt;0,AQ34=""),1,IF(AQ34&gt;B34,1,0))</f>
        <v>0</v>
      </c>
      <c r="BX34" s="1793">
        <f t="shared" ref="BX34" si="33">IF(AND(B34&gt;0,AR34=""),1,IF(AR34&gt;B34,1,0))</f>
        <v>0</v>
      </c>
      <c r="BY34" s="1793">
        <f t="shared" ref="BY34" si="34">IF(AND(B34&gt;0,AS34=""),1,IF(AS34&gt;B34,1,0))</f>
        <v>0</v>
      </c>
    </row>
    <row r="35" spans="1:77" ht="15" customHeight="1" x14ac:dyDescent="0.25">
      <c r="A35" s="1760" t="s">
        <v>1765</v>
      </c>
      <c r="B35" s="2032">
        <f>SUM(C35:D35)</f>
        <v>0</v>
      </c>
      <c r="C35" s="2033">
        <f>SUM(E35+G35+I35+K35+M35+O35+Q35+S35+U35+W35+Y35+AA35+AC35+AE35+AG35+AI35+AK35+AM35)</f>
        <v>0</v>
      </c>
      <c r="D35" s="2038">
        <f>SUM(F35+H35+J35+L35+N35+P35+R35+T35+V35+X35+Z35+AB35+AD35+AF35+AH35+AJ35+AL35+AN35)</f>
        <v>0</v>
      </c>
      <c r="E35" s="1089"/>
      <c r="F35" s="83"/>
      <c r="G35" s="1089"/>
      <c r="H35" s="1077"/>
      <c r="I35" s="1089"/>
      <c r="J35" s="1077"/>
      <c r="K35" s="1089"/>
      <c r="L35" s="1077"/>
      <c r="M35" s="1089"/>
      <c r="N35" s="1077"/>
      <c r="O35" s="1089"/>
      <c r="P35" s="1077"/>
      <c r="Q35" s="1076"/>
      <c r="R35" s="1077"/>
      <c r="S35" s="1089"/>
      <c r="T35" s="1077"/>
      <c r="U35" s="1089"/>
      <c r="V35" s="1077"/>
      <c r="W35" s="1089"/>
      <c r="X35" s="1077"/>
      <c r="Y35" s="1089"/>
      <c r="Z35" s="1077"/>
      <c r="AA35" s="1089"/>
      <c r="AB35" s="1077"/>
      <c r="AC35" s="1076"/>
      <c r="AD35" s="1077"/>
      <c r="AE35" s="1089"/>
      <c r="AF35" s="1077"/>
      <c r="AG35" s="1076"/>
      <c r="AH35" s="1077"/>
      <c r="AI35" s="1089"/>
      <c r="AJ35" s="1077"/>
      <c r="AK35" s="1076"/>
      <c r="AL35" s="1077"/>
      <c r="AM35" s="126"/>
      <c r="AN35" s="1078"/>
      <c r="AO35" s="1860"/>
      <c r="AP35" s="1860"/>
      <c r="AQ35" s="1860"/>
      <c r="AR35" s="967"/>
      <c r="AS35" s="967"/>
      <c r="AT35" t="str">
        <f t="shared" si="18"/>
        <v/>
      </c>
      <c r="BO35" s="2553" t="str">
        <f t="shared" si="19"/>
        <v/>
      </c>
      <c r="BP35" s="2553" t="str">
        <f t="shared" si="20"/>
        <v/>
      </c>
      <c r="BQ35" s="2553" t="str">
        <f t="shared" si="21"/>
        <v/>
      </c>
      <c r="BR35" s="2553" t="str">
        <f t="shared" si="22"/>
        <v/>
      </c>
      <c r="BS35" s="2553" t="str">
        <f t="shared" si="23"/>
        <v/>
      </c>
      <c r="BU35" s="1793">
        <f t="shared" si="24"/>
        <v>0</v>
      </c>
      <c r="BV35" s="1793">
        <f t="shared" si="25"/>
        <v>0</v>
      </c>
      <c r="BW35" s="1793">
        <f t="shared" si="26"/>
        <v>0</v>
      </c>
      <c r="BX35" s="1793">
        <f t="shared" si="27"/>
        <v>0</v>
      </c>
      <c r="BY35" s="1793">
        <f t="shared" si="28"/>
        <v>0</v>
      </c>
    </row>
    <row r="36" spans="1:77" ht="15" customHeight="1" x14ac:dyDescent="0.25">
      <c r="A36" s="1760" t="s">
        <v>1766</v>
      </c>
      <c r="B36" s="2032">
        <f>SUM(C36:D36)</f>
        <v>0</v>
      </c>
      <c r="C36" s="2033">
        <f>SUM(K36+M36+O36+Q36+S36+U36+W36+Y36+AA36+AC36+AE36+AG36+AI36+AK36+AM36)</f>
        <v>0</v>
      </c>
      <c r="D36" s="2038">
        <f>SUM(L36+N36+P36+R36+T36+V36+X36+Z36+AB36+AD36+AF36+AH36+AJ36+AL36+AN36)</f>
        <v>0</v>
      </c>
      <c r="E36" s="2053"/>
      <c r="F36" s="582"/>
      <c r="G36" s="2053"/>
      <c r="H36" s="2054"/>
      <c r="I36" s="2053"/>
      <c r="J36" s="2054"/>
      <c r="K36" s="1089"/>
      <c r="L36" s="1077"/>
      <c r="M36" s="1089"/>
      <c r="N36" s="1077"/>
      <c r="O36" s="1089"/>
      <c r="P36" s="1077"/>
      <c r="Q36" s="1076"/>
      <c r="R36" s="1077"/>
      <c r="S36" s="1089"/>
      <c r="T36" s="1077"/>
      <c r="U36" s="1089"/>
      <c r="V36" s="1077"/>
      <c r="W36" s="1089"/>
      <c r="X36" s="1077"/>
      <c r="Y36" s="1089"/>
      <c r="Z36" s="1077"/>
      <c r="AA36" s="1089"/>
      <c r="AB36" s="1077"/>
      <c r="AC36" s="1076"/>
      <c r="AD36" s="1077"/>
      <c r="AE36" s="1089"/>
      <c r="AF36" s="1077"/>
      <c r="AG36" s="1076"/>
      <c r="AH36" s="1077"/>
      <c r="AI36" s="1089"/>
      <c r="AJ36" s="1077"/>
      <c r="AK36" s="1076"/>
      <c r="AL36" s="1077"/>
      <c r="AM36" s="126"/>
      <c r="AN36" s="1078"/>
      <c r="AO36" s="1860"/>
      <c r="AP36" s="1860"/>
      <c r="AQ36" s="1860"/>
      <c r="AR36" s="967"/>
      <c r="AS36" s="967"/>
      <c r="AT36" t="str">
        <f t="shared" si="18"/>
        <v/>
      </c>
      <c r="BO36" s="2553" t="str">
        <f t="shared" si="19"/>
        <v/>
      </c>
      <c r="BP36" s="2553" t="str">
        <f t="shared" si="20"/>
        <v/>
      </c>
      <c r="BQ36" s="2553" t="str">
        <f t="shared" si="21"/>
        <v/>
      </c>
      <c r="BR36" s="2553" t="str">
        <f t="shared" si="22"/>
        <v/>
      </c>
      <c r="BS36" s="2553" t="str">
        <f t="shared" si="23"/>
        <v/>
      </c>
      <c r="BU36" s="1793">
        <f t="shared" si="24"/>
        <v>0</v>
      </c>
      <c r="BV36" s="1793">
        <f t="shared" si="25"/>
        <v>0</v>
      </c>
      <c r="BW36" s="1793">
        <f t="shared" si="26"/>
        <v>0</v>
      </c>
      <c r="BX36" s="1793">
        <f t="shared" si="27"/>
        <v>0</v>
      </c>
      <c r="BY36" s="1793">
        <f t="shared" si="28"/>
        <v>0</v>
      </c>
    </row>
    <row r="37" spans="1:77" ht="15" customHeight="1" x14ac:dyDescent="0.25">
      <c r="A37" s="1760" t="s">
        <v>1767</v>
      </c>
      <c r="B37" s="2055">
        <f>SUM(C37:D37)</f>
        <v>0</v>
      </c>
      <c r="C37" s="2033">
        <f>SUM(K37+M37+O37+Q37+S37+U37+W37+Y37+AA37+AC37+AE37+AG37+AI37+AK37+AM37)</f>
        <v>0</v>
      </c>
      <c r="D37" s="2038">
        <f>SUM(L37+N37+P37+R37+T37+V37+X37+Z37+AB37+AD37+AF37+AH37+AJ37+AL37+AN37)</f>
        <v>0</v>
      </c>
      <c r="E37" s="2053"/>
      <c r="F37" s="582"/>
      <c r="G37" s="2053"/>
      <c r="H37" s="2054"/>
      <c r="I37" s="2053"/>
      <c r="J37" s="2054"/>
      <c r="K37" s="1089"/>
      <c r="L37" s="1077"/>
      <c r="M37" s="1089"/>
      <c r="N37" s="1077"/>
      <c r="O37" s="1089"/>
      <c r="P37" s="1077"/>
      <c r="Q37" s="1076"/>
      <c r="R37" s="1077"/>
      <c r="S37" s="1089"/>
      <c r="T37" s="1077"/>
      <c r="U37" s="1089"/>
      <c r="V37" s="1077"/>
      <c r="W37" s="1089"/>
      <c r="X37" s="1077"/>
      <c r="Y37" s="1089"/>
      <c r="Z37" s="1077"/>
      <c r="AA37" s="1089"/>
      <c r="AB37" s="1077"/>
      <c r="AC37" s="1076"/>
      <c r="AD37" s="1077"/>
      <c r="AE37" s="1089"/>
      <c r="AF37" s="1077"/>
      <c r="AG37" s="1076"/>
      <c r="AH37" s="1077"/>
      <c r="AI37" s="1089"/>
      <c r="AJ37" s="1077"/>
      <c r="AK37" s="1076"/>
      <c r="AL37" s="1077"/>
      <c r="AM37" s="126"/>
      <c r="AN37" s="1078"/>
      <c r="AO37" s="1860"/>
      <c r="AP37" s="1860"/>
      <c r="AQ37" s="1860"/>
      <c r="AR37" s="967"/>
      <c r="AS37" s="967"/>
      <c r="AT37" t="str">
        <f t="shared" si="18"/>
        <v/>
      </c>
      <c r="BO37" s="2553" t="str">
        <f t="shared" si="19"/>
        <v/>
      </c>
      <c r="BP37" s="2553" t="str">
        <f t="shared" si="20"/>
        <v/>
      </c>
      <c r="BQ37" s="2553" t="str">
        <f t="shared" si="21"/>
        <v/>
      </c>
      <c r="BR37" s="2553" t="str">
        <f t="shared" si="22"/>
        <v/>
      </c>
      <c r="BS37" s="2553" t="str">
        <f t="shared" si="23"/>
        <v/>
      </c>
      <c r="BU37" s="1793">
        <f t="shared" si="24"/>
        <v>0</v>
      </c>
      <c r="BV37" s="1793">
        <f t="shared" si="25"/>
        <v>0</v>
      </c>
      <c r="BW37" s="1793">
        <f t="shared" si="26"/>
        <v>0</v>
      </c>
      <c r="BX37" s="1793">
        <f t="shared" si="27"/>
        <v>0</v>
      </c>
      <c r="BY37" s="1793">
        <f t="shared" si="28"/>
        <v>0</v>
      </c>
    </row>
    <row r="38" spans="1:77" ht="15" customHeight="1" x14ac:dyDescent="0.25">
      <c r="A38" s="1748" t="s">
        <v>1768</v>
      </c>
      <c r="B38" s="2032">
        <f t="shared" si="16"/>
        <v>0</v>
      </c>
      <c r="C38" s="2033">
        <f t="shared" ref="C38:D46" si="35">SUM(E38+G38+I38+K38+M38+O38+Q38+S38+U38+W38+Y38+AA38+AC38+AE38+AG38+AI38+AK38+AM38)</f>
        <v>0</v>
      </c>
      <c r="D38" s="352">
        <f t="shared" si="35"/>
        <v>0</v>
      </c>
      <c r="E38" s="1089"/>
      <c r="F38" s="83"/>
      <c r="G38" s="1089"/>
      <c r="H38" s="1077"/>
      <c r="I38" s="1089"/>
      <c r="J38" s="1077"/>
      <c r="K38" s="1089"/>
      <c r="L38" s="1077"/>
      <c r="M38" s="1089"/>
      <c r="N38" s="1077"/>
      <c r="O38" s="1089"/>
      <c r="P38" s="1077"/>
      <c r="Q38" s="1076"/>
      <c r="R38" s="1077"/>
      <c r="S38" s="1089"/>
      <c r="T38" s="1077"/>
      <c r="U38" s="1089"/>
      <c r="V38" s="1077"/>
      <c r="W38" s="1089"/>
      <c r="X38" s="1077"/>
      <c r="Y38" s="1089"/>
      <c r="Z38" s="1077"/>
      <c r="AA38" s="1089"/>
      <c r="AB38" s="1077"/>
      <c r="AC38" s="1076"/>
      <c r="AD38" s="1077"/>
      <c r="AE38" s="1089"/>
      <c r="AF38" s="1077"/>
      <c r="AG38" s="1076"/>
      <c r="AH38" s="1077"/>
      <c r="AI38" s="1089"/>
      <c r="AJ38" s="1077"/>
      <c r="AK38" s="1076"/>
      <c r="AL38" s="1077"/>
      <c r="AM38" s="126"/>
      <c r="AN38" s="1078"/>
      <c r="AO38" s="1093"/>
      <c r="AP38" s="1093"/>
      <c r="AQ38" s="1093"/>
      <c r="AR38" s="977"/>
      <c r="AS38" s="977"/>
      <c r="AT38" t="str">
        <f t="shared" si="18"/>
        <v/>
      </c>
      <c r="BO38" s="2553" t="str">
        <f t="shared" si="19"/>
        <v/>
      </c>
      <c r="BP38" s="2553" t="str">
        <f t="shared" si="20"/>
        <v/>
      </c>
      <c r="BQ38" s="2553" t="str">
        <f t="shared" si="21"/>
        <v/>
      </c>
      <c r="BR38" s="2553" t="str">
        <f t="shared" si="22"/>
        <v/>
      </c>
      <c r="BS38" s="2553" t="str">
        <f t="shared" si="23"/>
        <v/>
      </c>
      <c r="BU38" s="1793">
        <f t="shared" si="24"/>
        <v>0</v>
      </c>
      <c r="BV38" s="1793">
        <f t="shared" si="25"/>
        <v>0</v>
      </c>
      <c r="BW38" s="1793">
        <f t="shared" si="26"/>
        <v>0</v>
      </c>
      <c r="BX38" s="1793">
        <f t="shared" si="27"/>
        <v>0</v>
      </c>
      <c r="BY38" s="1793">
        <f t="shared" si="28"/>
        <v>0</v>
      </c>
    </row>
    <row r="39" spans="1:77" ht="15" customHeight="1" x14ac:dyDescent="0.25">
      <c r="A39" s="1748" t="s">
        <v>1769</v>
      </c>
      <c r="B39" s="2032">
        <f>SUM(C39:D39)</f>
        <v>0</v>
      </c>
      <c r="C39" s="2033">
        <f>SUM(E39+G39+I39+K39+M39+O39+Q39+S39+U39+W39+Y39+AA39+AC39+AE39+AG39+AI39+AK39+AM39)</f>
        <v>0</v>
      </c>
      <c r="D39" s="352">
        <f>SUM(F39+H39+J39+L39+N39+P39+R39+T39+V39+X39+Z39+AB39+AD39+AF39+AH39+AJ39+AL39+AN39)</f>
        <v>0</v>
      </c>
      <c r="E39" s="1089"/>
      <c r="F39" s="83"/>
      <c r="G39" s="1089"/>
      <c r="H39" s="1077"/>
      <c r="I39" s="1089"/>
      <c r="J39" s="1077"/>
      <c r="K39" s="1089"/>
      <c r="L39" s="1077"/>
      <c r="M39" s="1089"/>
      <c r="N39" s="1077"/>
      <c r="O39" s="1089"/>
      <c r="P39" s="1077"/>
      <c r="Q39" s="1076"/>
      <c r="R39" s="1077"/>
      <c r="S39" s="1089"/>
      <c r="T39" s="1077"/>
      <c r="U39" s="1089"/>
      <c r="V39" s="1077"/>
      <c r="W39" s="1089"/>
      <c r="X39" s="1077"/>
      <c r="Y39" s="1089"/>
      <c r="Z39" s="1077"/>
      <c r="AA39" s="1089"/>
      <c r="AB39" s="1077"/>
      <c r="AC39" s="1076"/>
      <c r="AD39" s="1077"/>
      <c r="AE39" s="1089"/>
      <c r="AF39" s="1077"/>
      <c r="AG39" s="1076"/>
      <c r="AH39" s="1077"/>
      <c r="AI39" s="1089"/>
      <c r="AJ39" s="1077"/>
      <c r="AK39" s="1076"/>
      <c r="AL39" s="1077"/>
      <c r="AM39" s="126"/>
      <c r="AN39" s="1078"/>
      <c r="AO39" s="1093"/>
      <c r="AP39" s="1093"/>
      <c r="AQ39" s="1093"/>
      <c r="AR39" s="977"/>
      <c r="AS39" s="977"/>
      <c r="AT39" t="str">
        <f t="shared" si="18"/>
        <v/>
      </c>
      <c r="BO39" s="2553" t="str">
        <f t="shared" si="19"/>
        <v/>
      </c>
      <c r="BP39" s="2553" t="str">
        <f t="shared" si="20"/>
        <v/>
      </c>
      <c r="BQ39" s="2553" t="str">
        <f t="shared" si="21"/>
        <v/>
      </c>
      <c r="BR39" s="2553" t="str">
        <f t="shared" si="22"/>
        <v/>
      </c>
      <c r="BS39" s="2553" t="str">
        <f t="shared" si="23"/>
        <v/>
      </c>
      <c r="BU39" s="1793">
        <f t="shared" si="24"/>
        <v>0</v>
      </c>
      <c r="BV39" s="1793">
        <f t="shared" si="25"/>
        <v>0</v>
      </c>
      <c r="BW39" s="1793">
        <f t="shared" si="26"/>
        <v>0</v>
      </c>
      <c r="BX39" s="1793">
        <f t="shared" si="27"/>
        <v>0</v>
      </c>
      <c r="BY39" s="1793">
        <f t="shared" si="28"/>
        <v>0</v>
      </c>
    </row>
    <row r="40" spans="1:77" ht="15" customHeight="1" x14ac:dyDescent="0.25">
      <c r="A40" s="1748" t="s">
        <v>1770</v>
      </c>
      <c r="B40" s="2032">
        <f>SUM(C40:D40)</f>
        <v>0</v>
      </c>
      <c r="C40" s="2033">
        <f>SUM(E40+G40+I40+K40+M40+O40+Q40+S40+U40+W40+Y40+AA40+AC40+AE40+AG40+AI40+AK40+AM40)</f>
        <v>0</v>
      </c>
      <c r="D40" s="352">
        <f>SUM(F40+H40+J40+L40+N40+P40+R40+T40+V40+X40+Z40+AB40+AD40+AF40+AH40+AJ40+AL40+AN40)</f>
        <v>0</v>
      </c>
      <c r="E40" s="1089"/>
      <c r="F40" s="83"/>
      <c r="G40" s="1089"/>
      <c r="H40" s="1077"/>
      <c r="I40" s="1089"/>
      <c r="J40" s="1077"/>
      <c r="K40" s="1089"/>
      <c r="L40" s="1077"/>
      <c r="M40" s="1089"/>
      <c r="N40" s="1077"/>
      <c r="O40" s="1089"/>
      <c r="P40" s="1077"/>
      <c r="Q40" s="1076"/>
      <c r="R40" s="1077"/>
      <c r="S40" s="1089"/>
      <c r="T40" s="1077"/>
      <c r="U40" s="1089"/>
      <c r="V40" s="1077"/>
      <c r="W40" s="1089"/>
      <c r="X40" s="1077"/>
      <c r="Y40" s="1089"/>
      <c r="Z40" s="1077"/>
      <c r="AA40" s="1089"/>
      <c r="AB40" s="1077"/>
      <c r="AC40" s="1076"/>
      <c r="AD40" s="1077"/>
      <c r="AE40" s="1089"/>
      <c r="AF40" s="1077"/>
      <c r="AG40" s="1076"/>
      <c r="AH40" s="1077"/>
      <c r="AI40" s="1089"/>
      <c r="AJ40" s="1077"/>
      <c r="AK40" s="1076"/>
      <c r="AL40" s="1077"/>
      <c r="AM40" s="126"/>
      <c r="AN40" s="1078"/>
      <c r="AO40" s="1093"/>
      <c r="AP40" s="1093"/>
      <c r="AQ40" s="1093"/>
      <c r="AR40" s="977"/>
      <c r="AS40" s="977"/>
      <c r="AT40" t="str">
        <f t="shared" si="18"/>
        <v/>
      </c>
      <c r="BO40" s="2553" t="str">
        <f t="shared" si="19"/>
        <v/>
      </c>
      <c r="BP40" s="2553" t="str">
        <f t="shared" si="20"/>
        <v/>
      </c>
      <c r="BQ40" s="2553" t="str">
        <f t="shared" si="21"/>
        <v/>
      </c>
      <c r="BR40" s="2553" t="str">
        <f t="shared" si="22"/>
        <v/>
      </c>
      <c r="BS40" s="2553" t="str">
        <f t="shared" si="23"/>
        <v/>
      </c>
      <c r="BU40" s="1793">
        <f t="shared" si="24"/>
        <v>0</v>
      </c>
      <c r="BV40" s="1793">
        <f t="shared" si="25"/>
        <v>0</v>
      </c>
      <c r="BW40" s="1793">
        <f t="shared" si="26"/>
        <v>0</v>
      </c>
      <c r="BX40" s="1793">
        <f t="shared" si="27"/>
        <v>0</v>
      </c>
      <c r="BY40" s="1793">
        <f t="shared" si="28"/>
        <v>0</v>
      </c>
    </row>
    <row r="41" spans="1:77" ht="15" customHeight="1" x14ac:dyDescent="0.25">
      <c r="A41" s="1748" t="s">
        <v>1771</v>
      </c>
      <c r="B41" s="2032">
        <f t="shared" si="16"/>
        <v>0</v>
      </c>
      <c r="C41" s="2033">
        <f t="shared" si="35"/>
        <v>0</v>
      </c>
      <c r="D41" s="352">
        <f t="shared" si="35"/>
        <v>0</v>
      </c>
      <c r="E41" s="1089"/>
      <c r="F41" s="83"/>
      <c r="G41" s="1089"/>
      <c r="H41" s="1077"/>
      <c r="I41" s="1089"/>
      <c r="J41" s="1077"/>
      <c r="K41" s="1089"/>
      <c r="L41" s="1077"/>
      <c r="M41" s="1089"/>
      <c r="N41" s="1077"/>
      <c r="O41" s="1089"/>
      <c r="P41" s="1077"/>
      <c r="Q41" s="1076"/>
      <c r="R41" s="1077"/>
      <c r="S41" s="1089"/>
      <c r="T41" s="1077"/>
      <c r="U41" s="1089"/>
      <c r="V41" s="1077"/>
      <c r="W41" s="1089"/>
      <c r="X41" s="1077"/>
      <c r="Y41" s="1089"/>
      <c r="Z41" s="1077"/>
      <c r="AA41" s="1089"/>
      <c r="AB41" s="1077"/>
      <c r="AC41" s="1076"/>
      <c r="AD41" s="1077"/>
      <c r="AE41" s="1089"/>
      <c r="AF41" s="1077"/>
      <c r="AG41" s="1076"/>
      <c r="AH41" s="1077"/>
      <c r="AI41" s="1089"/>
      <c r="AJ41" s="1077"/>
      <c r="AK41" s="1076"/>
      <c r="AL41" s="1077"/>
      <c r="AM41" s="126"/>
      <c r="AN41" s="1078"/>
      <c r="AO41" s="1093"/>
      <c r="AP41" s="1093"/>
      <c r="AQ41" s="1093"/>
      <c r="AR41" s="977"/>
      <c r="AS41" s="977"/>
      <c r="AT41" t="str">
        <f t="shared" si="18"/>
        <v/>
      </c>
      <c r="BO41" s="2553" t="str">
        <f t="shared" si="19"/>
        <v/>
      </c>
      <c r="BP41" s="2553" t="str">
        <f t="shared" si="20"/>
        <v/>
      </c>
      <c r="BQ41" s="2553" t="str">
        <f t="shared" si="21"/>
        <v/>
      </c>
      <c r="BR41" s="2553" t="str">
        <f t="shared" si="22"/>
        <v/>
      </c>
      <c r="BS41" s="2553" t="str">
        <f t="shared" si="23"/>
        <v/>
      </c>
      <c r="BU41" s="1793">
        <f t="shared" si="24"/>
        <v>0</v>
      </c>
      <c r="BV41" s="1793">
        <f t="shared" si="25"/>
        <v>0</v>
      </c>
      <c r="BW41" s="1793">
        <f t="shared" si="26"/>
        <v>0</v>
      </c>
      <c r="BX41" s="1793">
        <f t="shared" si="27"/>
        <v>0</v>
      </c>
      <c r="BY41" s="1793">
        <f t="shared" si="28"/>
        <v>0</v>
      </c>
    </row>
    <row r="42" spans="1:77" ht="15" customHeight="1" x14ac:dyDescent="0.25">
      <c r="A42" s="1748" t="s">
        <v>249</v>
      </c>
      <c r="B42" s="2032">
        <f t="shared" si="16"/>
        <v>0</v>
      </c>
      <c r="C42" s="2033">
        <f t="shared" si="35"/>
        <v>0</v>
      </c>
      <c r="D42" s="352">
        <f t="shared" si="35"/>
        <v>0</v>
      </c>
      <c r="E42" s="1089"/>
      <c r="F42" s="83"/>
      <c r="G42" s="1089"/>
      <c r="H42" s="1077"/>
      <c r="I42" s="1089"/>
      <c r="J42" s="1077"/>
      <c r="K42" s="1089"/>
      <c r="L42" s="1077"/>
      <c r="M42" s="1089"/>
      <c r="N42" s="1077"/>
      <c r="O42" s="1089"/>
      <c r="P42" s="1077"/>
      <c r="Q42" s="1076"/>
      <c r="R42" s="1077"/>
      <c r="S42" s="1089"/>
      <c r="T42" s="1077"/>
      <c r="U42" s="1089"/>
      <c r="V42" s="1077"/>
      <c r="W42" s="1089"/>
      <c r="X42" s="1077"/>
      <c r="Y42" s="1089"/>
      <c r="Z42" s="1077"/>
      <c r="AA42" s="1089"/>
      <c r="AB42" s="1077"/>
      <c r="AC42" s="1076"/>
      <c r="AD42" s="1077"/>
      <c r="AE42" s="1089"/>
      <c r="AF42" s="1077"/>
      <c r="AG42" s="1076"/>
      <c r="AH42" s="1077"/>
      <c r="AI42" s="1089"/>
      <c r="AJ42" s="1077"/>
      <c r="AK42" s="1076"/>
      <c r="AL42" s="1077"/>
      <c r="AM42" s="126"/>
      <c r="AN42" s="1078"/>
      <c r="AO42" s="2041"/>
      <c r="AP42" s="2041"/>
      <c r="AQ42" s="2041"/>
      <c r="AR42" s="984"/>
      <c r="AS42" s="984"/>
      <c r="AT42" t="str">
        <f t="shared" si="18"/>
        <v/>
      </c>
      <c r="BO42" s="2553" t="str">
        <f t="shared" si="19"/>
        <v/>
      </c>
      <c r="BP42" s="2553" t="str">
        <f t="shared" si="20"/>
        <v/>
      </c>
      <c r="BQ42" s="2553" t="str">
        <f t="shared" si="21"/>
        <v/>
      </c>
      <c r="BR42" s="2553" t="str">
        <f t="shared" si="22"/>
        <v/>
      </c>
      <c r="BS42" s="2553" t="str">
        <f t="shared" si="23"/>
        <v/>
      </c>
      <c r="BU42" s="1793">
        <f t="shared" si="24"/>
        <v>0</v>
      </c>
      <c r="BV42" s="1793">
        <f t="shared" si="25"/>
        <v>0</v>
      </c>
      <c r="BW42" s="1793">
        <f t="shared" si="26"/>
        <v>0</v>
      </c>
      <c r="BX42" s="1793">
        <f t="shared" si="27"/>
        <v>0</v>
      </c>
      <c r="BY42" s="1793">
        <f t="shared" si="28"/>
        <v>0</v>
      </c>
    </row>
    <row r="43" spans="1:77" ht="15" customHeight="1" x14ac:dyDescent="0.25">
      <c r="A43" s="1748" t="s">
        <v>1772</v>
      </c>
      <c r="B43" s="2032">
        <f t="shared" si="16"/>
        <v>0</v>
      </c>
      <c r="C43" s="2033">
        <f t="shared" si="35"/>
        <v>0</v>
      </c>
      <c r="D43" s="352">
        <f t="shared" si="35"/>
        <v>0</v>
      </c>
      <c r="E43" s="1089"/>
      <c r="F43" s="83"/>
      <c r="G43" s="1089"/>
      <c r="H43" s="1077"/>
      <c r="I43" s="1089"/>
      <c r="J43" s="1077"/>
      <c r="K43" s="1089"/>
      <c r="L43" s="1077"/>
      <c r="M43" s="1089"/>
      <c r="N43" s="1077"/>
      <c r="O43" s="1089"/>
      <c r="P43" s="1077"/>
      <c r="Q43" s="1076"/>
      <c r="R43" s="1077"/>
      <c r="S43" s="1089"/>
      <c r="T43" s="1077"/>
      <c r="U43" s="1089"/>
      <c r="V43" s="1077"/>
      <c r="W43" s="1089"/>
      <c r="X43" s="1077"/>
      <c r="Y43" s="1089"/>
      <c r="Z43" s="1077"/>
      <c r="AA43" s="1089"/>
      <c r="AB43" s="1077"/>
      <c r="AC43" s="1076"/>
      <c r="AD43" s="1077"/>
      <c r="AE43" s="1089"/>
      <c r="AF43" s="1077"/>
      <c r="AG43" s="1076"/>
      <c r="AH43" s="1077"/>
      <c r="AI43" s="1089"/>
      <c r="AJ43" s="1077"/>
      <c r="AK43" s="1076"/>
      <c r="AL43" s="1077"/>
      <c r="AM43" s="126"/>
      <c r="AN43" s="1078"/>
      <c r="AO43" s="2041"/>
      <c r="AP43" s="2041"/>
      <c r="AQ43" s="2041"/>
      <c r="AR43" s="984"/>
      <c r="AS43" s="984"/>
      <c r="AT43" t="str">
        <f t="shared" si="18"/>
        <v/>
      </c>
      <c r="BO43" s="2553" t="str">
        <f t="shared" si="19"/>
        <v/>
      </c>
      <c r="BP43" s="2553" t="str">
        <f t="shared" si="20"/>
        <v/>
      </c>
      <c r="BQ43" s="2553" t="str">
        <f t="shared" si="21"/>
        <v/>
      </c>
      <c r="BR43" s="2553" t="str">
        <f t="shared" si="22"/>
        <v/>
      </c>
      <c r="BS43" s="2553" t="str">
        <f t="shared" si="23"/>
        <v/>
      </c>
      <c r="BU43" s="1793">
        <f t="shared" si="24"/>
        <v>0</v>
      </c>
      <c r="BV43" s="1793">
        <f t="shared" si="25"/>
        <v>0</v>
      </c>
      <c r="BW43" s="1793">
        <f t="shared" si="26"/>
        <v>0</v>
      </c>
      <c r="BX43" s="1793">
        <f t="shared" si="27"/>
        <v>0</v>
      </c>
      <c r="BY43" s="1793">
        <f t="shared" si="28"/>
        <v>0</v>
      </c>
    </row>
    <row r="44" spans="1:77" ht="15" customHeight="1" x14ac:dyDescent="0.25">
      <c r="A44" s="1748" t="s">
        <v>1773</v>
      </c>
      <c r="B44" s="2032">
        <f t="shared" si="16"/>
        <v>0</v>
      </c>
      <c r="C44" s="2033">
        <f t="shared" si="35"/>
        <v>0</v>
      </c>
      <c r="D44" s="352">
        <f t="shared" si="35"/>
        <v>0</v>
      </c>
      <c r="E44" s="1089"/>
      <c r="F44" s="83"/>
      <c r="G44" s="1089"/>
      <c r="H44" s="1077"/>
      <c r="I44" s="1089"/>
      <c r="J44" s="1077"/>
      <c r="K44" s="1089"/>
      <c r="L44" s="1077"/>
      <c r="M44" s="1089"/>
      <c r="N44" s="1077"/>
      <c r="O44" s="1089"/>
      <c r="P44" s="1077"/>
      <c r="Q44" s="1076"/>
      <c r="R44" s="1077"/>
      <c r="S44" s="1089"/>
      <c r="T44" s="1077"/>
      <c r="U44" s="1089"/>
      <c r="V44" s="1077"/>
      <c r="W44" s="1089"/>
      <c r="X44" s="1077"/>
      <c r="Y44" s="1089"/>
      <c r="Z44" s="1077"/>
      <c r="AA44" s="1089"/>
      <c r="AB44" s="1077"/>
      <c r="AC44" s="1076"/>
      <c r="AD44" s="1077"/>
      <c r="AE44" s="1089"/>
      <c r="AF44" s="1077"/>
      <c r="AG44" s="1076"/>
      <c r="AH44" s="1077"/>
      <c r="AI44" s="1089"/>
      <c r="AJ44" s="1077"/>
      <c r="AK44" s="1076"/>
      <c r="AL44" s="1077"/>
      <c r="AM44" s="126"/>
      <c r="AN44" s="1078"/>
      <c r="AO44" s="2041"/>
      <c r="AP44" s="2041"/>
      <c r="AQ44" s="2041"/>
      <c r="AR44" s="984"/>
      <c r="AS44" s="984"/>
      <c r="AT44" t="str">
        <f t="shared" si="18"/>
        <v/>
      </c>
      <c r="BO44" s="2553" t="str">
        <f t="shared" si="19"/>
        <v/>
      </c>
      <c r="BP44" s="2553" t="str">
        <f t="shared" si="20"/>
        <v/>
      </c>
      <c r="BQ44" s="2553" t="str">
        <f t="shared" si="21"/>
        <v/>
      </c>
      <c r="BR44" s="2553" t="str">
        <f t="shared" si="22"/>
        <v/>
      </c>
      <c r="BS44" s="2553" t="str">
        <f t="shared" si="23"/>
        <v/>
      </c>
      <c r="BU44" s="1793">
        <f t="shared" si="24"/>
        <v>0</v>
      </c>
      <c r="BV44" s="1793">
        <f t="shared" si="25"/>
        <v>0</v>
      </c>
      <c r="BW44" s="1793">
        <f t="shared" si="26"/>
        <v>0</v>
      </c>
      <c r="BX44" s="1793">
        <f t="shared" si="27"/>
        <v>0</v>
      </c>
      <c r="BY44" s="1793">
        <f t="shared" si="28"/>
        <v>0</v>
      </c>
    </row>
    <row r="45" spans="1:77" ht="15" customHeight="1" x14ac:dyDescent="0.25">
      <c r="A45" s="2037" t="s">
        <v>1774</v>
      </c>
      <c r="B45" s="2032">
        <f t="shared" si="16"/>
        <v>0</v>
      </c>
      <c r="C45" s="2033">
        <f t="shared" si="35"/>
        <v>0</v>
      </c>
      <c r="D45" s="352">
        <f t="shared" si="35"/>
        <v>0</v>
      </c>
      <c r="E45" s="90"/>
      <c r="F45" s="91"/>
      <c r="G45" s="90"/>
      <c r="H45" s="92"/>
      <c r="I45" s="90"/>
      <c r="J45" s="92"/>
      <c r="K45" s="90"/>
      <c r="L45" s="92"/>
      <c r="M45" s="90"/>
      <c r="N45" s="92"/>
      <c r="O45" s="90"/>
      <c r="P45" s="92"/>
      <c r="Q45" s="129"/>
      <c r="R45" s="92"/>
      <c r="S45" s="90"/>
      <c r="T45" s="92"/>
      <c r="U45" s="90"/>
      <c r="V45" s="92"/>
      <c r="W45" s="90"/>
      <c r="X45" s="92"/>
      <c r="Y45" s="90"/>
      <c r="Z45" s="92"/>
      <c r="AA45" s="90"/>
      <c r="AB45" s="92"/>
      <c r="AC45" s="129"/>
      <c r="AD45" s="92"/>
      <c r="AE45" s="90"/>
      <c r="AF45" s="92"/>
      <c r="AG45" s="129"/>
      <c r="AH45" s="92"/>
      <c r="AI45" s="90"/>
      <c r="AJ45" s="92"/>
      <c r="AK45" s="129"/>
      <c r="AL45" s="92"/>
      <c r="AM45" s="2056"/>
      <c r="AN45" s="94"/>
      <c r="AO45" s="2041"/>
      <c r="AP45" s="2041"/>
      <c r="AQ45" s="2041"/>
      <c r="AR45" s="984"/>
      <c r="AS45" s="984"/>
      <c r="AT45" t="str">
        <f t="shared" si="18"/>
        <v/>
      </c>
      <c r="BO45" s="2553" t="str">
        <f t="shared" si="19"/>
        <v/>
      </c>
      <c r="BP45" s="2553" t="str">
        <f t="shared" si="20"/>
        <v/>
      </c>
      <c r="BQ45" s="2553" t="str">
        <f t="shared" si="21"/>
        <v/>
      </c>
      <c r="BR45" s="2553" t="str">
        <f t="shared" si="22"/>
        <v/>
      </c>
      <c r="BS45" s="2553" t="str">
        <f t="shared" si="23"/>
        <v/>
      </c>
      <c r="BU45" s="1793">
        <f t="shared" si="24"/>
        <v>0</v>
      </c>
      <c r="BV45" s="1793">
        <f t="shared" si="25"/>
        <v>0</v>
      </c>
      <c r="BW45" s="1793">
        <f t="shared" si="26"/>
        <v>0</v>
      </c>
      <c r="BX45" s="1793">
        <f t="shared" si="27"/>
        <v>0</v>
      </c>
      <c r="BY45" s="1793">
        <f t="shared" si="28"/>
        <v>0</v>
      </c>
    </row>
    <row r="46" spans="1:77" ht="15" customHeight="1" x14ac:dyDescent="0.25">
      <c r="A46" s="562" t="s">
        <v>1775</v>
      </c>
      <c r="B46" s="633">
        <f>SUM(C46:D46)</f>
        <v>0</v>
      </c>
      <c r="C46" s="617">
        <f>SUM(E46+G46+I46+K46+M46+O46+Q46+S46+U46+W46+Y46+AA46+AC46+AE46+AG46+AI46+AK46+AM46)</f>
        <v>0</v>
      </c>
      <c r="D46" s="910">
        <f t="shared" si="35"/>
        <v>0</v>
      </c>
      <c r="E46" s="114"/>
      <c r="F46" s="117"/>
      <c r="G46" s="114"/>
      <c r="H46" s="116"/>
      <c r="I46" s="114"/>
      <c r="J46" s="116"/>
      <c r="K46" s="114"/>
      <c r="L46" s="116"/>
      <c r="M46" s="114"/>
      <c r="N46" s="116"/>
      <c r="O46" s="114"/>
      <c r="P46" s="116"/>
      <c r="Q46" s="121"/>
      <c r="R46" s="116"/>
      <c r="S46" s="114"/>
      <c r="T46" s="116"/>
      <c r="U46" s="114"/>
      <c r="V46" s="116"/>
      <c r="W46" s="114"/>
      <c r="X46" s="116"/>
      <c r="Y46" s="114"/>
      <c r="Z46" s="116"/>
      <c r="AA46" s="114"/>
      <c r="AB46" s="116"/>
      <c r="AC46" s="121"/>
      <c r="AD46" s="116"/>
      <c r="AE46" s="114"/>
      <c r="AF46" s="116"/>
      <c r="AG46" s="121"/>
      <c r="AH46" s="116"/>
      <c r="AI46" s="114"/>
      <c r="AJ46" s="116"/>
      <c r="AK46" s="121"/>
      <c r="AL46" s="116"/>
      <c r="AM46" s="138"/>
      <c r="AN46" s="162"/>
      <c r="AO46" s="1857"/>
      <c r="AP46" s="1857"/>
      <c r="AQ46" s="1857"/>
      <c r="AR46" s="958"/>
      <c r="AS46" s="958"/>
      <c r="AT46" t="str">
        <f t="shared" si="18"/>
        <v/>
      </c>
      <c r="BO46" s="2553" t="str">
        <f t="shared" si="19"/>
        <v/>
      </c>
      <c r="BP46" s="2553" t="str">
        <f t="shared" si="20"/>
        <v/>
      </c>
      <c r="BQ46" s="2553" t="str">
        <f t="shared" si="21"/>
        <v/>
      </c>
      <c r="BR46" s="2553" t="str">
        <f t="shared" si="22"/>
        <v/>
      </c>
      <c r="BS46" s="2553" t="str">
        <f t="shared" si="23"/>
        <v/>
      </c>
      <c r="BU46" s="1793">
        <f t="shared" si="24"/>
        <v>0</v>
      </c>
      <c r="BV46" s="1793">
        <f t="shared" si="25"/>
        <v>0</v>
      </c>
      <c r="BW46" s="1793">
        <f t="shared" si="26"/>
        <v>0</v>
      </c>
      <c r="BX46" s="1793">
        <f t="shared" si="27"/>
        <v>0</v>
      </c>
      <c r="BY46" s="1793">
        <f t="shared" si="28"/>
        <v>0</v>
      </c>
    </row>
    <row r="47" spans="1:77" ht="18" customHeight="1" x14ac:dyDescent="0.25">
      <c r="A47" s="122" t="s">
        <v>1776</v>
      </c>
      <c r="B47" s="1069"/>
      <c r="C47" s="1069"/>
      <c r="D47" s="1069"/>
      <c r="E47" s="1069"/>
      <c r="F47" s="1069"/>
      <c r="G47" s="1069"/>
      <c r="H47" s="1069"/>
      <c r="I47" s="1069"/>
      <c r="J47" s="1069"/>
      <c r="K47" s="1069"/>
      <c r="L47" s="1069"/>
      <c r="M47" s="1069"/>
      <c r="BO47"/>
      <c r="BP47"/>
      <c r="BQ47"/>
      <c r="BR47"/>
      <c r="BS47"/>
      <c r="BU47"/>
      <c r="BV47"/>
      <c r="BW47"/>
    </row>
    <row r="48" spans="1:77" ht="14.45" customHeight="1" x14ac:dyDescent="0.25">
      <c r="A48" s="6492" t="s">
        <v>61</v>
      </c>
      <c r="B48" s="6484" t="s">
        <v>1</v>
      </c>
      <c r="C48" s="6901" t="s">
        <v>1777</v>
      </c>
      <c r="D48" s="6902"/>
      <c r="E48" s="6902"/>
      <c r="F48" s="6910"/>
      <c r="G48" s="6902" t="s">
        <v>1778</v>
      </c>
      <c r="H48" s="6902"/>
      <c r="I48" s="6902"/>
      <c r="J48" s="6475"/>
      <c r="K48" s="6903" t="s">
        <v>2</v>
      </c>
      <c r="L48" s="6903" t="s">
        <v>3</v>
      </c>
      <c r="M48" s="6903" t="s">
        <v>17</v>
      </c>
      <c r="BO48"/>
      <c r="BP48"/>
      <c r="BQ48"/>
      <c r="BR48"/>
      <c r="BS48"/>
      <c r="BU48"/>
      <c r="BV48"/>
      <c r="BW48"/>
    </row>
    <row r="49" spans="1:75" ht="21.6" customHeight="1" x14ac:dyDescent="0.25">
      <c r="A49" s="6905"/>
      <c r="B49" s="6909"/>
      <c r="C49" s="2057" t="s">
        <v>38</v>
      </c>
      <c r="D49" s="2057" t="s">
        <v>4</v>
      </c>
      <c r="E49" s="2058" t="s">
        <v>5</v>
      </c>
      <c r="F49" s="1428" t="s">
        <v>1779</v>
      </c>
      <c r="G49" s="2057" t="s">
        <v>38</v>
      </c>
      <c r="H49" s="2057" t="s">
        <v>4</v>
      </c>
      <c r="I49" s="2058" t="s">
        <v>5</v>
      </c>
      <c r="J49" s="2677" t="s">
        <v>1779</v>
      </c>
      <c r="K49" s="6844"/>
      <c r="L49" s="6844"/>
      <c r="M49" s="6844"/>
      <c r="BO49"/>
      <c r="BP49"/>
      <c r="BQ49"/>
      <c r="BR49"/>
      <c r="BS49"/>
      <c r="BU49"/>
      <c r="BV49"/>
      <c r="BW49"/>
    </row>
    <row r="50" spans="1:75" ht="15" customHeight="1" x14ac:dyDescent="0.25">
      <c r="A50" s="2059" t="s">
        <v>74</v>
      </c>
      <c r="B50" s="1103">
        <f>SUM(C50:J50)</f>
        <v>0</v>
      </c>
      <c r="C50" s="2049"/>
      <c r="D50" s="2060"/>
      <c r="E50" s="2060"/>
      <c r="F50" s="2003"/>
      <c r="G50" s="2049"/>
      <c r="H50" s="2060"/>
      <c r="I50" s="2060"/>
      <c r="J50" s="1754"/>
      <c r="K50" s="2003"/>
      <c r="L50" s="2003"/>
      <c r="M50" s="2003"/>
      <c r="N50" t="str">
        <f>BO50&amp;BP50&amp;BQ50</f>
        <v/>
      </c>
      <c r="BO50" s="2553" t="str">
        <f>IF(AND(B50&gt;0,K50=""),"  * No olvide digitar la variable Pueblos originarios. Digite Cero si no tiene.",IF(K50&gt;B50,"  * La variable Pueblos originarios No puede ser mayor al Total.",""))</f>
        <v/>
      </c>
      <c r="BP50" s="2553" t="str">
        <f>IF(AND(B50&gt;0,L50=""),"  * No olvide digitar la variable Migrantes. Digite Cero si no tiene.",IF(L50&gt;B50,"  * La variable Migrantes No puede ser mayor al Total.",""))</f>
        <v/>
      </c>
      <c r="BQ50" s="2553" t="str">
        <f>IF(AND(B50&gt;0,M50=""),"  * No olvide digitar la variable Espacios Amigables/Adolescentes. Digite Cero si no tiene.",IF(M50&gt;B50,"  * La variable Espacios Amigables/Adolescentes No puede ser mayor al Total.",""))</f>
        <v/>
      </c>
      <c r="BU50" s="1793">
        <f>IF(AND(B50&gt;0,K50=""),1,IF(K50&gt;B50,1,0))</f>
        <v>0</v>
      </c>
      <c r="BV50" s="1793">
        <f>IF(AND(B50&gt;0,L50=""),1,IF(L50&gt;B50,1,0))</f>
        <v>0</v>
      </c>
      <c r="BW50" s="1793">
        <f>IF(AND(B50&gt;0,M50=""),1,IF(M50&gt;B50,1,0))</f>
        <v>0</v>
      </c>
    </row>
    <row r="51" spans="1:75" ht="15" customHeight="1" x14ac:dyDescent="0.25">
      <c r="A51" s="587" t="s">
        <v>77</v>
      </c>
      <c r="B51" s="593">
        <f>SUM(C51:J51)</f>
        <v>0</v>
      </c>
      <c r="C51" s="114"/>
      <c r="D51" s="115"/>
      <c r="E51" s="115"/>
      <c r="F51" s="117"/>
      <c r="G51" s="114"/>
      <c r="H51" s="115"/>
      <c r="I51" s="115"/>
      <c r="J51" s="162"/>
      <c r="K51" s="117"/>
      <c r="L51" s="117"/>
      <c r="M51" s="117"/>
      <c r="N51" t="str">
        <f>BO51&amp;BP51&amp;BQ51</f>
        <v/>
      </c>
      <c r="BO51" s="2553" t="str">
        <f>IF(AND(B51&gt;0,K51=""),"  * No olvide digitar la variable Pueblos originarios. Digite Cero si no tiene.",IF(K51&gt;B51,"  * La variable Pueblos originarios No puede ser mayor al Total.",""))</f>
        <v/>
      </c>
      <c r="BP51" s="2553" t="str">
        <f>IF(AND(B51&gt;0,L51=""),"  * No olvide digitar la variable Migrantes. Digite Cero si no tiene.",IF(L51&gt;B51,"  * La variable Migrantes No puede ser mayor al Total.",""))</f>
        <v/>
      </c>
      <c r="BQ51" s="2553" t="str">
        <f>IF(AND(B51&gt;0,M51=""),"  * No olvide digitar la variable Espacios Amigables/Adolescentes. Digite Cero si no tiene.",IF(M51&gt;B51,"  * La variable Espacios Amigables/Adolescentes No puede ser mayor al Total.",""))</f>
        <v/>
      </c>
      <c r="BU51" s="1793">
        <f>IF(AND(B51&gt;0,K51=""),1,IF(K51&gt;B51,1,0))</f>
        <v>0</v>
      </c>
      <c r="BV51" s="1793">
        <f t="shared" ref="BV51" si="36">IF(AND(B51&gt;0,L51=""),1,IF(L51&gt;B51,1,0))</f>
        <v>0</v>
      </c>
      <c r="BW51" s="1793">
        <f>IF(AND(B51&gt;0,M51=""),1,IF(M51&gt;B51,1,0))</f>
        <v>0</v>
      </c>
    </row>
    <row r="52" spans="1:75" ht="18" customHeight="1" x14ac:dyDescent="0.25">
      <c r="A52" s="2678" t="s">
        <v>1780</v>
      </c>
      <c r="B52" s="2679"/>
      <c r="C52" s="2679"/>
      <c r="D52" s="2679"/>
      <c r="E52" s="2679"/>
      <c r="F52" s="2679"/>
      <c r="G52" s="2680"/>
      <c r="H52" s="2680"/>
      <c r="I52" s="2680"/>
      <c r="J52" s="2680"/>
      <c r="K52" s="2680"/>
      <c r="L52" s="2680"/>
      <c r="M52" s="2680"/>
      <c r="N52" s="2680"/>
      <c r="O52" s="2681"/>
      <c r="P52" s="2679"/>
      <c r="Q52" s="2680"/>
      <c r="R52" s="2680"/>
      <c r="S52" s="2681"/>
      <c r="T52" s="2679"/>
      <c r="U52" s="2680"/>
      <c r="V52" s="2681"/>
      <c r="W52" s="2682"/>
      <c r="X52" s="112"/>
      <c r="BO52"/>
      <c r="BP52"/>
      <c r="BQ52"/>
      <c r="BR52"/>
      <c r="BS52"/>
      <c r="BU52"/>
      <c r="BV52"/>
      <c r="BW52"/>
    </row>
    <row r="53" spans="1:75" x14ac:dyDescent="0.25">
      <c r="A53" s="6904" t="s">
        <v>1781</v>
      </c>
      <c r="B53" s="6906" t="s">
        <v>24</v>
      </c>
      <c r="C53" s="6468"/>
      <c r="D53" s="6903"/>
      <c r="E53" s="6907" t="s">
        <v>12</v>
      </c>
      <c r="F53" s="6908"/>
      <c r="G53" s="6908"/>
      <c r="H53" s="6908"/>
      <c r="I53" s="6908"/>
      <c r="J53" s="6908"/>
      <c r="K53" s="6908"/>
      <c r="L53" s="6908"/>
      <c r="M53" s="6908"/>
      <c r="N53" s="6908"/>
      <c r="O53" s="6908"/>
      <c r="P53" s="6908"/>
      <c r="Q53" s="6908"/>
      <c r="R53" s="6908"/>
      <c r="S53" s="6908"/>
      <c r="T53" s="6908"/>
      <c r="U53" s="6908"/>
      <c r="V53" s="6487"/>
      <c r="W53" s="6903" t="s">
        <v>2</v>
      </c>
      <c r="X53" s="6484" t="s">
        <v>3</v>
      </c>
      <c r="BO53"/>
      <c r="BP53"/>
      <c r="BQ53"/>
      <c r="BR53"/>
      <c r="BS53"/>
      <c r="BU53"/>
      <c r="BV53"/>
      <c r="BW53"/>
    </row>
    <row r="54" spans="1:75" x14ac:dyDescent="0.25">
      <c r="A54" s="6466"/>
      <c r="B54" s="6856"/>
      <c r="C54" s="6857"/>
      <c r="D54" s="6844"/>
      <c r="E54" s="6484" t="s">
        <v>682</v>
      </c>
      <c r="F54" s="6484" t="s">
        <v>3726</v>
      </c>
      <c r="G54" s="6903" t="s">
        <v>37</v>
      </c>
      <c r="H54" s="6492" t="s">
        <v>38</v>
      </c>
      <c r="I54" s="6492" t="s">
        <v>4</v>
      </c>
      <c r="J54" s="6903" t="s">
        <v>5</v>
      </c>
      <c r="K54" s="6903" t="s">
        <v>6</v>
      </c>
      <c r="L54" s="6903" t="s">
        <v>7</v>
      </c>
      <c r="M54" s="6903" t="s">
        <v>8</v>
      </c>
      <c r="N54" s="6903" t="s">
        <v>9</v>
      </c>
      <c r="O54" s="6903" t="s">
        <v>10</v>
      </c>
      <c r="P54" s="6903" t="s">
        <v>11</v>
      </c>
      <c r="Q54" s="6903" t="s">
        <v>18</v>
      </c>
      <c r="R54" s="6903" t="s">
        <v>19</v>
      </c>
      <c r="S54" s="6903" t="s">
        <v>20</v>
      </c>
      <c r="T54" s="6903" t="s">
        <v>70</v>
      </c>
      <c r="U54" s="6903" t="s">
        <v>71</v>
      </c>
      <c r="V54" s="6911" t="s">
        <v>72</v>
      </c>
      <c r="W54" s="6472"/>
      <c r="X54" s="6485"/>
      <c r="BO54"/>
      <c r="BP54"/>
      <c r="BQ54"/>
      <c r="BR54"/>
      <c r="BS54"/>
      <c r="BU54"/>
      <c r="BV54"/>
      <c r="BW54"/>
    </row>
    <row r="55" spans="1:75" x14ac:dyDescent="0.25">
      <c r="A55" s="6905"/>
      <c r="B55" s="2027" t="s">
        <v>26</v>
      </c>
      <c r="C55" s="2675" t="s">
        <v>22</v>
      </c>
      <c r="D55" s="1428" t="s">
        <v>27</v>
      </c>
      <c r="E55" s="6909"/>
      <c r="F55" s="6909"/>
      <c r="G55" s="6844"/>
      <c r="H55" s="6905"/>
      <c r="I55" s="6905"/>
      <c r="J55" s="6844"/>
      <c r="K55" s="6844"/>
      <c r="L55" s="6844"/>
      <c r="M55" s="6844"/>
      <c r="N55" s="6844"/>
      <c r="O55" s="6844"/>
      <c r="P55" s="6844"/>
      <c r="Q55" s="6844"/>
      <c r="R55" s="6844"/>
      <c r="S55" s="6844"/>
      <c r="T55" s="6844"/>
      <c r="U55" s="6844"/>
      <c r="V55" s="6912"/>
      <c r="W55" s="6844"/>
      <c r="X55" s="6909"/>
      <c r="BO55"/>
      <c r="BP55"/>
      <c r="BQ55"/>
      <c r="BR55"/>
      <c r="BS55"/>
      <c r="BU55"/>
      <c r="BV55"/>
      <c r="BW55"/>
    </row>
    <row r="56" spans="1:75" ht="15" customHeight="1" x14ac:dyDescent="0.25">
      <c r="A56" s="2683" t="s">
        <v>1782</v>
      </c>
      <c r="B56" s="2684">
        <f>SUM(B57:B58)</f>
        <v>0</v>
      </c>
      <c r="C56" s="2061">
        <f>SUM(C57:C58)</f>
        <v>0</v>
      </c>
      <c r="D56" s="1894">
        <f t="shared" ref="D56:V56" si="37">SUM(D57:D58)</f>
        <v>0</v>
      </c>
      <c r="E56" s="2685">
        <f t="shared" si="37"/>
        <v>0</v>
      </c>
      <c r="F56" s="2685">
        <f t="shared" si="37"/>
        <v>0</v>
      </c>
      <c r="G56" s="1452">
        <f t="shared" si="37"/>
        <v>0</v>
      </c>
      <c r="H56" s="2685">
        <f t="shared" si="37"/>
        <v>0</v>
      </c>
      <c r="I56" s="2685">
        <f t="shared" si="37"/>
        <v>0</v>
      </c>
      <c r="J56" s="1955">
        <f t="shared" si="37"/>
        <v>0</v>
      </c>
      <c r="K56" s="2685">
        <f t="shared" si="37"/>
        <v>0</v>
      </c>
      <c r="L56" s="1955">
        <f t="shared" si="37"/>
        <v>0</v>
      </c>
      <c r="M56" s="2685">
        <f t="shared" si="37"/>
        <v>0</v>
      </c>
      <c r="N56" s="1955">
        <f t="shared" si="37"/>
        <v>0</v>
      </c>
      <c r="O56" s="2685">
        <f t="shared" si="37"/>
        <v>0</v>
      </c>
      <c r="P56" s="1955">
        <f t="shared" si="37"/>
        <v>0</v>
      </c>
      <c r="Q56" s="2685">
        <f t="shared" si="37"/>
        <v>0</v>
      </c>
      <c r="R56" s="1955">
        <f t="shared" si="37"/>
        <v>0</v>
      </c>
      <c r="S56" s="2685">
        <f t="shared" si="37"/>
        <v>0</v>
      </c>
      <c r="T56" s="1955">
        <f t="shared" si="37"/>
        <v>0</v>
      </c>
      <c r="U56" s="2685">
        <f t="shared" si="37"/>
        <v>0</v>
      </c>
      <c r="V56" s="2686">
        <f t="shared" si="37"/>
        <v>0</v>
      </c>
      <c r="W56" s="1452">
        <f>SUM(W57:W58)</f>
        <v>0</v>
      </c>
      <c r="X56" s="2685">
        <f>SUM(X57:X58)</f>
        <v>0</v>
      </c>
      <c r="BO56"/>
      <c r="BP56"/>
      <c r="BQ56"/>
      <c r="BR56"/>
      <c r="BS56"/>
      <c r="BU56"/>
      <c r="BV56"/>
      <c r="BW56"/>
    </row>
    <row r="57" spans="1:75" ht="15" customHeight="1" x14ac:dyDescent="0.25">
      <c r="A57" s="2062" t="s">
        <v>74</v>
      </c>
      <c r="B57" s="2063">
        <f>SUM(C57:D57)</f>
        <v>0</v>
      </c>
      <c r="C57" s="2064"/>
      <c r="D57" s="2065"/>
      <c r="E57" s="148"/>
      <c r="F57" s="135"/>
      <c r="G57" s="148"/>
      <c r="H57" s="135"/>
      <c r="I57" s="148"/>
      <c r="J57" s="135"/>
      <c r="K57" s="148"/>
      <c r="L57" s="135"/>
      <c r="M57" s="148"/>
      <c r="N57" s="135"/>
      <c r="O57" s="148"/>
      <c r="P57" s="135"/>
      <c r="Q57" s="148"/>
      <c r="R57" s="135"/>
      <c r="S57" s="148"/>
      <c r="T57" s="135"/>
      <c r="U57" s="148"/>
      <c r="V57" s="1101"/>
      <c r="W57" s="105"/>
      <c r="X57" s="148"/>
      <c r="Y57" t="str">
        <f>BO57&amp;BP57&amp;BQ57</f>
        <v/>
      </c>
      <c r="BO57" s="2553" t="str">
        <f>IF(AND(B57&gt;0,W57="")," * No olvide digitar la variable Pueblos originarios. Digite Cero si no tiene.",IF(W57&gt;B57,"  * La variable Pueblos originarios No puede ser mayor al Total.",""))</f>
        <v/>
      </c>
      <c r="BP57" s="2553" t="str">
        <f>IF(AND(B57&gt;0,X57="")," * No olvide digitar la variable Migrantes. Digite Cero si no tiene.",IF(X57&gt;B57,"  * La variable Migrantes No puede ser mayor al Total.",""))</f>
        <v/>
      </c>
      <c r="BQ57" s="1791" t="str">
        <f>IF((C57+D57)&lt;&gt;SUM(E57:V57)," * Los datos desglosados por edad debe ser igual al total de ambos sexos.","")</f>
        <v/>
      </c>
      <c r="BU57" s="1793">
        <f>IF(AND(B57&gt;0,W57=""),1,IF(W57&gt;B57,1,0))</f>
        <v>0</v>
      </c>
      <c r="BV57" s="1793">
        <f>IF(AND(B57&gt;0,X57=""),1,IF(X57&gt;B57,1,0))</f>
        <v>0</v>
      </c>
      <c r="BW57" s="1793">
        <f>IF((C57+D57)&lt;&gt;SUM(E57:V57),1,0)</f>
        <v>0</v>
      </c>
    </row>
    <row r="58" spans="1:75" ht="15" customHeight="1" x14ac:dyDescent="0.25">
      <c r="A58" s="2021" t="s">
        <v>1783</v>
      </c>
      <c r="B58" s="2066">
        <f>SUM(C58:D58)</f>
        <v>0</v>
      </c>
      <c r="C58" s="2067"/>
      <c r="D58" s="2068"/>
      <c r="E58" s="153"/>
      <c r="F58" s="138"/>
      <c r="G58" s="153"/>
      <c r="H58" s="138"/>
      <c r="I58" s="153"/>
      <c r="J58" s="138"/>
      <c r="K58" s="153"/>
      <c r="L58" s="138"/>
      <c r="M58" s="153"/>
      <c r="N58" s="138"/>
      <c r="O58" s="153"/>
      <c r="P58" s="138"/>
      <c r="Q58" s="153"/>
      <c r="R58" s="138"/>
      <c r="S58" s="153"/>
      <c r="T58" s="138"/>
      <c r="U58" s="153"/>
      <c r="V58" s="1756"/>
      <c r="W58" s="117"/>
      <c r="X58" s="153"/>
      <c r="Y58" t="str">
        <f>BO58&amp;BP58&amp;BQ58</f>
        <v/>
      </c>
      <c r="BO58" s="2553" t="str">
        <f>IF(AND(B58&gt;0,W58="")," * No olvide digitar la variable Pueblos originarios. Digite Cero si no tiene.",IF(W58&gt;B58,"  * La variable Pueblos originarios No puede ser mayor al Total.",""))</f>
        <v/>
      </c>
      <c r="BP58" s="2553" t="str">
        <f>IF(AND(B58&gt;0,X58="")," * No olvide digitar la variable Migrantes. Digite Cero si no tiene.",IF(X58&gt;B58,"  * La variable Migrantes No puede ser mayor al Total.",""))</f>
        <v/>
      </c>
      <c r="BQ58" s="1791" t="str">
        <f>IF((C58+D58)&lt;&gt;SUM(E58:V58)," * Los datos desglosados por edad debe ser igual al total de ambos sexos.","")</f>
        <v/>
      </c>
      <c r="BU58" s="1793">
        <f>IF(AND(B58&gt;0,W58=""),1,IF(W58&gt;B58,1,0))</f>
        <v>0</v>
      </c>
      <c r="BV58" s="1793">
        <f>IF(AND(B58&gt;0,X58=""),1,IF(X58&gt;B58,1,0))</f>
        <v>0</v>
      </c>
      <c r="BW58" s="1793">
        <f>IF((C58+D58)&lt;&gt;SUM(E58:V58),1,0)</f>
        <v>0</v>
      </c>
    </row>
    <row r="59" spans="1:75" ht="15" customHeight="1" x14ac:dyDescent="0.25">
      <c r="A59" s="2687" t="s">
        <v>1784</v>
      </c>
      <c r="B59" s="2688">
        <f>SUM(B60:B61)</f>
        <v>0</v>
      </c>
      <c r="C59" s="2689">
        <f>SUM(C60:C61)</f>
        <v>0</v>
      </c>
      <c r="D59" s="1894">
        <f t="shared" ref="D59:V59" si="38">SUM(D60:D61)</f>
        <v>0</v>
      </c>
      <c r="E59" s="2685">
        <f t="shared" si="38"/>
        <v>0</v>
      </c>
      <c r="F59" s="1955">
        <f t="shared" si="38"/>
        <v>0</v>
      </c>
      <c r="G59" s="2685">
        <f t="shared" si="38"/>
        <v>0</v>
      </c>
      <c r="H59" s="1955">
        <f t="shared" si="38"/>
        <v>0</v>
      </c>
      <c r="I59" s="2685">
        <f t="shared" si="38"/>
        <v>0</v>
      </c>
      <c r="J59" s="1955">
        <f t="shared" si="38"/>
        <v>0</v>
      </c>
      <c r="K59" s="2685">
        <f t="shared" si="38"/>
        <v>0</v>
      </c>
      <c r="L59" s="1955">
        <f t="shared" si="38"/>
        <v>0</v>
      </c>
      <c r="M59" s="2685">
        <f t="shared" si="38"/>
        <v>0</v>
      </c>
      <c r="N59" s="1955">
        <f t="shared" si="38"/>
        <v>0</v>
      </c>
      <c r="O59" s="2685">
        <f t="shared" si="38"/>
        <v>0</v>
      </c>
      <c r="P59" s="1955">
        <f t="shared" si="38"/>
        <v>0</v>
      </c>
      <c r="Q59" s="2685">
        <f t="shared" si="38"/>
        <v>0</v>
      </c>
      <c r="R59" s="1955">
        <f t="shared" si="38"/>
        <v>0</v>
      </c>
      <c r="S59" s="2685">
        <f t="shared" si="38"/>
        <v>0</v>
      </c>
      <c r="T59" s="1955">
        <f t="shared" si="38"/>
        <v>0</v>
      </c>
      <c r="U59" s="2685">
        <f t="shared" si="38"/>
        <v>0</v>
      </c>
      <c r="V59" s="2686">
        <f t="shared" si="38"/>
        <v>0</v>
      </c>
      <c r="W59" s="1452">
        <f>SUM(W60:W61)</f>
        <v>0</v>
      </c>
      <c r="X59" s="2685">
        <f>SUM(X60:X61)</f>
        <v>0</v>
      </c>
      <c r="BO59"/>
      <c r="BP59"/>
      <c r="BQ59"/>
      <c r="BR59"/>
      <c r="BS59"/>
      <c r="BU59"/>
      <c r="BV59"/>
      <c r="BW59"/>
    </row>
    <row r="60" spans="1:75" ht="15" customHeight="1" x14ac:dyDescent="0.25">
      <c r="A60" s="2062" t="s">
        <v>74</v>
      </c>
      <c r="B60" s="2063">
        <f>SUM(C60:D60)</f>
        <v>0</v>
      </c>
      <c r="C60" s="2064"/>
      <c r="D60" s="2065"/>
      <c r="E60" s="148"/>
      <c r="F60" s="135"/>
      <c r="G60" s="148"/>
      <c r="H60" s="135"/>
      <c r="I60" s="148"/>
      <c r="J60" s="135"/>
      <c r="K60" s="148"/>
      <c r="L60" s="135"/>
      <c r="M60" s="148"/>
      <c r="N60" s="135"/>
      <c r="O60" s="148"/>
      <c r="P60" s="135"/>
      <c r="Q60" s="148"/>
      <c r="R60" s="135"/>
      <c r="S60" s="148"/>
      <c r="T60" s="135"/>
      <c r="U60" s="148"/>
      <c r="V60" s="1101"/>
      <c r="W60" s="105"/>
      <c r="X60" s="148"/>
      <c r="Y60" t="str">
        <f t="shared" ref="Y60:Y61" si="39">BO60&amp;BP60&amp;BQ60</f>
        <v/>
      </c>
      <c r="BO60" s="2553" t="str">
        <f t="shared" ref="BO60:BO61" si="40">IF(AND(B60&gt;0,W60="")," * No olvide digitar la variable Pueblos originarios. Digite Cero si no tiene.",IF(W60&gt;B60,"  * La variable Pueblos originarios No puede ser mayor al Total.",""))</f>
        <v/>
      </c>
      <c r="BP60" s="2553" t="str">
        <f t="shared" ref="BP60:BP61" si="41">IF(AND(B60&gt;0,X60="")," * No olvide digitar la variable Migrantes. Digite Cero si no tiene.",IF(X60&gt;B60,"  * La variable Migrantes No puede ser mayor al Total.",""))</f>
        <v/>
      </c>
      <c r="BQ60" s="1791" t="str">
        <f>IF((C60+D60)&lt;&gt;SUM(E60:V60)," * Los datos desglosados por edad debe ser igual al total de ambos sexos.","")</f>
        <v/>
      </c>
      <c r="BU60" s="1793">
        <f t="shared" ref="BU60:BU61" si="42">IF(AND(B60&gt;0,W60=""),1,IF(W60&gt;B60,1,0))</f>
        <v>0</v>
      </c>
      <c r="BV60" s="1793">
        <f t="shared" ref="BV60:BV61" si="43">IF(AND(B60&gt;0,X60=""),1,IF(X60&gt;B60,1,0))</f>
        <v>0</v>
      </c>
      <c r="BW60" s="1793">
        <f t="shared" ref="BW60:BW61" si="44">IF((C60+D60)&lt;&gt;SUM(E60:V60),1,0)</f>
        <v>0</v>
      </c>
    </row>
    <row r="61" spans="1:75" ht="15" customHeight="1" x14ac:dyDescent="0.25">
      <c r="A61" s="2021" t="s">
        <v>1783</v>
      </c>
      <c r="B61" s="2066">
        <f>SUM(C61:D61)</f>
        <v>0</v>
      </c>
      <c r="C61" s="2069"/>
      <c r="D61" s="2070"/>
      <c r="E61" s="153"/>
      <c r="F61" s="138"/>
      <c r="G61" s="153"/>
      <c r="H61" s="138"/>
      <c r="I61" s="153"/>
      <c r="J61" s="138"/>
      <c r="K61" s="153"/>
      <c r="L61" s="138"/>
      <c r="M61" s="153"/>
      <c r="N61" s="138"/>
      <c r="O61" s="153"/>
      <c r="P61" s="138"/>
      <c r="Q61" s="153"/>
      <c r="R61" s="138"/>
      <c r="S61" s="153"/>
      <c r="T61" s="138"/>
      <c r="U61" s="153"/>
      <c r="V61" s="1756"/>
      <c r="W61" s="117"/>
      <c r="X61" s="153"/>
      <c r="Y61" t="str">
        <f t="shared" si="39"/>
        <v/>
      </c>
      <c r="BO61" s="2553" t="str">
        <f t="shared" si="40"/>
        <v/>
      </c>
      <c r="BP61" s="2553" t="str">
        <f t="shared" si="41"/>
        <v/>
      </c>
      <c r="BQ61" s="1791" t="str">
        <f>IF((C61+D61)&lt;&gt;SUM(E61:V61)," * Los datos desglosados por edad debe ser igual al total de ambos sexos.","")</f>
        <v/>
      </c>
      <c r="BU61" s="1793">
        <f t="shared" si="42"/>
        <v>0</v>
      </c>
      <c r="BV61" s="1793">
        <f t="shared" si="43"/>
        <v>0</v>
      </c>
      <c r="BW61" s="1793">
        <f t="shared" si="44"/>
        <v>0</v>
      </c>
    </row>
    <row r="62" spans="1:75" ht="18" customHeight="1" x14ac:dyDescent="0.25">
      <c r="A62" s="2678" t="s">
        <v>1785</v>
      </c>
      <c r="B62" s="1069"/>
      <c r="BO62"/>
      <c r="BP62"/>
      <c r="BQ62"/>
      <c r="BR62"/>
      <c r="BS62"/>
      <c r="BU62"/>
      <c r="BV62"/>
      <c r="BW62"/>
    </row>
    <row r="63" spans="1:75" ht="15" customHeight="1" x14ac:dyDescent="0.25">
      <c r="A63" s="2071" t="s">
        <v>61</v>
      </c>
      <c r="B63" s="2071" t="s">
        <v>24</v>
      </c>
      <c r="BO63"/>
      <c r="BP63"/>
      <c r="BQ63"/>
      <c r="BR63"/>
      <c r="BS63"/>
      <c r="BU63"/>
      <c r="BV63"/>
      <c r="BW63"/>
    </row>
    <row r="64" spans="1:75" ht="15" customHeight="1" x14ac:dyDescent="0.25">
      <c r="A64" s="2072" t="s">
        <v>74</v>
      </c>
      <c r="B64" s="2073"/>
      <c r="BO64"/>
      <c r="BP64"/>
      <c r="BQ64"/>
      <c r="BR64"/>
      <c r="BS64"/>
      <c r="BU64"/>
      <c r="BV64"/>
      <c r="BW64"/>
    </row>
    <row r="65" spans="1:75" ht="15" customHeight="1" x14ac:dyDescent="0.25">
      <c r="A65" s="587" t="s">
        <v>77</v>
      </c>
      <c r="B65" s="1857"/>
      <c r="BO65"/>
      <c r="BP65"/>
      <c r="BQ65"/>
      <c r="BR65"/>
      <c r="BS65"/>
      <c r="BU65"/>
      <c r="BV65"/>
      <c r="BW65"/>
    </row>
    <row r="66" spans="1:75" ht="18" customHeight="1" x14ac:dyDescent="0.25">
      <c r="A66" s="6134" t="s">
        <v>1786</v>
      </c>
      <c r="B66" s="6135"/>
      <c r="BO66"/>
      <c r="BP66"/>
      <c r="BQ66"/>
      <c r="BR66"/>
      <c r="BS66"/>
      <c r="BU66"/>
      <c r="BV66"/>
      <c r="BW66"/>
    </row>
    <row r="67" spans="1:75" ht="15" customHeight="1" x14ac:dyDescent="0.25">
      <c r="A67" s="6278" t="s">
        <v>61</v>
      </c>
      <c r="B67" s="6278" t="s">
        <v>24</v>
      </c>
      <c r="BO67"/>
      <c r="BP67"/>
      <c r="BQ67"/>
      <c r="BR67"/>
      <c r="BS67"/>
      <c r="BU67"/>
      <c r="BV67"/>
      <c r="BW67"/>
    </row>
    <row r="68" spans="1:75" ht="15" customHeight="1" x14ac:dyDescent="0.25">
      <c r="A68" s="6279" t="s">
        <v>1787</v>
      </c>
      <c r="B68" s="6280"/>
      <c r="BO68"/>
      <c r="BP68"/>
      <c r="BQ68"/>
      <c r="BR68"/>
      <c r="BS68"/>
      <c r="BU68"/>
      <c r="BV68"/>
      <c r="BW68"/>
    </row>
    <row r="69" spans="1:75" ht="15" customHeight="1" x14ac:dyDescent="0.25">
      <c r="A69" s="6281" t="s">
        <v>75</v>
      </c>
      <c r="B69" s="6282"/>
      <c r="BO69"/>
      <c r="BP69"/>
      <c r="BQ69"/>
      <c r="BR69"/>
      <c r="BS69"/>
      <c r="BU69"/>
      <c r="BV69"/>
      <c r="BW69"/>
    </row>
    <row r="70" spans="1:75" ht="15" customHeight="1" x14ac:dyDescent="0.25">
      <c r="A70" s="6281" t="s">
        <v>76</v>
      </c>
      <c r="B70" s="6283"/>
      <c r="BO70"/>
      <c r="BP70"/>
      <c r="BQ70"/>
      <c r="BR70"/>
      <c r="BS70"/>
      <c r="BU70"/>
      <c r="BV70"/>
      <c r="BW70"/>
    </row>
    <row r="71" spans="1:75" ht="15" customHeight="1" x14ac:dyDescent="0.25">
      <c r="A71" s="6281" t="s">
        <v>277</v>
      </c>
      <c r="B71" s="6282"/>
      <c r="BO71"/>
      <c r="BP71"/>
      <c r="BQ71"/>
      <c r="BR71"/>
      <c r="BS71"/>
      <c r="BU71"/>
      <c r="BV71"/>
      <c r="BW71"/>
    </row>
    <row r="72" spans="1:75" ht="15" customHeight="1" x14ac:dyDescent="0.25">
      <c r="A72" s="6281" t="s">
        <v>1772</v>
      </c>
      <c r="B72" s="6282"/>
      <c r="BO72"/>
      <c r="BP72"/>
      <c r="BQ72"/>
      <c r="BR72"/>
      <c r="BS72"/>
      <c r="BU72"/>
      <c r="BV72"/>
      <c r="BW72"/>
    </row>
    <row r="73" spans="1:75" ht="15" customHeight="1" x14ac:dyDescent="0.25">
      <c r="A73" s="6281" t="s">
        <v>632</v>
      </c>
      <c r="B73" s="6282"/>
      <c r="BO73"/>
      <c r="BP73"/>
      <c r="BQ73"/>
      <c r="BR73"/>
      <c r="BS73"/>
      <c r="BU73"/>
      <c r="BV73"/>
      <c r="BW73"/>
    </row>
    <row r="74" spans="1:75" ht="15" customHeight="1" x14ac:dyDescent="0.25">
      <c r="A74" s="6281" t="s">
        <v>81</v>
      </c>
      <c r="B74" s="6282"/>
      <c r="BO74"/>
      <c r="BP74"/>
      <c r="BQ74"/>
      <c r="BR74"/>
      <c r="BS74"/>
      <c r="BU74"/>
      <c r="BV74"/>
      <c r="BW74"/>
    </row>
    <row r="75" spans="1:75" ht="15" customHeight="1" x14ac:dyDescent="0.25">
      <c r="A75" s="6284" t="s">
        <v>1788</v>
      </c>
      <c r="B75" s="6285"/>
      <c r="BO75"/>
      <c r="BP75"/>
      <c r="BQ75"/>
      <c r="BR75"/>
      <c r="BS75"/>
      <c r="BU75"/>
      <c r="BV75"/>
      <c r="BW75"/>
    </row>
    <row r="76" spans="1:75" ht="18" customHeight="1" x14ac:dyDescent="0.25">
      <c r="A76" s="122" t="s">
        <v>1789</v>
      </c>
      <c r="B76" s="1069"/>
      <c r="C76" s="2690"/>
      <c r="D76" s="2690"/>
      <c r="E76" s="112"/>
      <c r="F76" s="112"/>
      <c r="G76" s="112"/>
      <c r="H76" s="112"/>
      <c r="I76" s="112"/>
      <c r="J76" s="2691"/>
      <c r="K76" s="2691"/>
      <c r="L76" s="2691"/>
      <c r="M76" s="2691"/>
      <c r="N76" s="2691"/>
      <c r="O76" s="2691"/>
      <c r="P76" s="2691"/>
      <c r="Q76" s="2691"/>
      <c r="R76" s="2691"/>
      <c r="S76" s="2691"/>
      <c r="T76" s="2692"/>
      <c r="U76" s="2692"/>
      <c r="BO76"/>
      <c r="BP76"/>
      <c r="BQ76"/>
      <c r="BR76"/>
      <c r="BS76"/>
      <c r="BU76"/>
      <c r="BV76"/>
      <c r="BW76"/>
    </row>
    <row r="77" spans="1:75" ht="15" customHeight="1" x14ac:dyDescent="0.25">
      <c r="A77" s="6492" t="s">
        <v>453</v>
      </c>
      <c r="B77" s="6484" t="s">
        <v>24</v>
      </c>
      <c r="C77" s="6901" t="s">
        <v>12</v>
      </c>
      <c r="D77" s="6902"/>
      <c r="E77" s="6902"/>
      <c r="F77" s="6902"/>
      <c r="G77" s="6902"/>
      <c r="H77" s="6902"/>
      <c r="I77" s="6902"/>
      <c r="J77" s="6902"/>
      <c r="K77" s="6902"/>
      <c r="L77" s="6902"/>
      <c r="M77" s="6902"/>
      <c r="N77" s="6902"/>
      <c r="O77" s="6902"/>
      <c r="P77" s="6902"/>
      <c r="Q77" s="6902"/>
      <c r="R77" s="6902"/>
      <c r="S77" s="6475"/>
      <c r="T77" s="6469" t="s">
        <v>2</v>
      </c>
      <c r="U77" s="6469" t="s">
        <v>1790</v>
      </c>
      <c r="BO77"/>
      <c r="BP77"/>
      <c r="BQ77"/>
      <c r="BR77"/>
      <c r="BS77"/>
      <c r="BU77"/>
      <c r="BV77"/>
      <c r="BW77"/>
    </row>
    <row r="78" spans="1:75" ht="15" customHeight="1" x14ac:dyDescent="0.25">
      <c r="A78" s="6832"/>
      <c r="B78" s="6800"/>
      <c r="C78" s="2675" t="s">
        <v>36</v>
      </c>
      <c r="D78" s="2058" t="s">
        <v>3727</v>
      </c>
      <c r="E78" s="2058" t="s">
        <v>38</v>
      </c>
      <c r="F78" s="2693" t="s">
        <v>4</v>
      </c>
      <c r="G78" s="2694" t="s">
        <v>5</v>
      </c>
      <c r="H78" s="2694" t="s">
        <v>6</v>
      </c>
      <c r="I78" s="2694" t="s">
        <v>7</v>
      </c>
      <c r="J78" s="2058" t="s">
        <v>8</v>
      </c>
      <c r="K78" s="2058" t="s">
        <v>9</v>
      </c>
      <c r="L78" s="2695" t="s">
        <v>10</v>
      </c>
      <c r="M78" s="2058" t="s">
        <v>11</v>
      </c>
      <c r="N78" s="2058" t="s">
        <v>18</v>
      </c>
      <c r="O78" s="2058" t="s">
        <v>19</v>
      </c>
      <c r="P78" s="2058" t="s">
        <v>20</v>
      </c>
      <c r="Q78" s="2058" t="s">
        <v>70</v>
      </c>
      <c r="R78" s="2058" t="s">
        <v>71</v>
      </c>
      <c r="S78" s="2696" t="s">
        <v>72</v>
      </c>
      <c r="T78" s="6844"/>
      <c r="U78" s="6844"/>
      <c r="BO78"/>
      <c r="BP78"/>
      <c r="BQ78"/>
      <c r="BR78"/>
      <c r="BS78"/>
      <c r="BU78"/>
      <c r="BV78"/>
      <c r="BW78"/>
    </row>
    <row r="79" spans="1:75" ht="15" customHeight="1" x14ac:dyDescent="0.25">
      <c r="A79" s="2075" t="s">
        <v>1791</v>
      </c>
      <c r="B79" s="150">
        <f>SUM(C79:S79)</f>
        <v>0</v>
      </c>
      <c r="C79" s="2076"/>
      <c r="D79" s="2077"/>
      <c r="E79" s="2077"/>
      <c r="F79" s="2077"/>
      <c r="G79" s="2077"/>
      <c r="H79" s="2077"/>
      <c r="I79" s="2077"/>
      <c r="J79" s="2077"/>
      <c r="K79" s="2077"/>
      <c r="L79" s="2077"/>
      <c r="M79" s="2077"/>
      <c r="N79" s="2077"/>
      <c r="O79" s="2077"/>
      <c r="P79" s="2077"/>
      <c r="Q79" s="2077"/>
      <c r="R79" s="2077"/>
      <c r="S79" s="2078"/>
      <c r="T79" s="2079"/>
      <c r="U79" s="2079"/>
      <c r="V79" t="str">
        <f>BO79&amp;BP79</f>
        <v/>
      </c>
      <c r="BO79" s="2553" t="str">
        <f>IF(AND(B79&gt;0,T79=""),"  * No olvide digitar la variable Pueblos originarios. Digite Cero si no tiene.",IF(T79&gt;B79,"  * La variable Pueblos originarios No puede ser mayor al Total.",""))</f>
        <v/>
      </c>
      <c r="BP79" s="2553" t="str">
        <f>IF(AND(B79&gt;0,U79=""),"  * No olvide digitar la variable Pueblos No originarios. Digite Cero si no tiene.",IF(U79&gt;B79,"  * La variable Pueblos No originarios No puede ser mayor al Total.",""))</f>
        <v/>
      </c>
      <c r="BU79" s="1793">
        <f>IF(AND(B79&gt;0,T79=""),1,IF(T79&gt;B79,1,0))</f>
        <v>0</v>
      </c>
      <c r="BV79" s="1793">
        <f>IF(AND(B79&gt;0,U79=""),1,IF(U79&gt;B79,1,0))</f>
        <v>0</v>
      </c>
    </row>
    <row r="80" spans="1:75" ht="18" customHeight="1" x14ac:dyDescent="0.25">
      <c r="A80" s="6893" t="s">
        <v>1792</v>
      </c>
      <c r="B80" s="6893"/>
      <c r="C80" s="6893"/>
      <c r="D80" s="6893"/>
      <c r="E80" s="6893"/>
      <c r="F80" s="6893"/>
      <c r="G80" s="6893"/>
      <c r="H80" s="1069"/>
      <c r="I80" s="1069"/>
      <c r="J80" s="1069"/>
      <c r="K80" s="1069"/>
      <c r="L80" s="1069"/>
      <c r="M80" s="1069"/>
      <c r="N80" s="112"/>
      <c r="O80" s="112"/>
      <c r="P80" s="112"/>
      <c r="Q80" s="2697"/>
      <c r="R80" s="2697"/>
      <c r="S80" s="2697"/>
      <c r="T80" s="2697"/>
      <c r="U80" s="2697"/>
      <c r="V80" s="2697"/>
      <c r="W80" s="112"/>
      <c r="X80" s="2697"/>
      <c r="Y80" s="2697"/>
      <c r="Z80" s="2697"/>
      <c r="AA80" s="2698"/>
      <c r="AB80" s="2698"/>
      <c r="AC80" s="2698"/>
      <c r="AD80" s="2698"/>
      <c r="AE80" s="2699"/>
      <c r="AF80" s="2699"/>
      <c r="AG80" s="2699"/>
      <c r="AH80" s="2700"/>
      <c r="AI80" s="2701"/>
      <c r="AJ80" s="2701"/>
      <c r="AK80" s="2701"/>
      <c r="AL80" s="2701"/>
      <c r="AM80" s="2701"/>
      <c r="AN80" s="2701"/>
      <c r="BO80"/>
      <c r="BP80"/>
      <c r="BQ80"/>
      <c r="BR80"/>
      <c r="BS80"/>
      <c r="BU80"/>
      <c r="BV80"/>
      <c r="BW80"/>
    </row>
    <row r="81" spans="1:77" ht="15" customHeight="1" x14ac:dyDescent="0.25">
      <c r="A81" s="6894" t="s">
        <v>61</v>
      </c>
      <c r="B81" s="6895" t="s">
        <v>1793</v>
      </c>
      <c r="C81" s="6895" t="s">
        <v>24</v>
      </c>
      <c r="D81" s="6468"/>
      <c r="E81" s="6469"/>
      <c r="F81" s="6891" t="s">
        <v>30</v>
      </c>
      <c r="G81" s="6897"/>
      <c r="H81" s="6897"/>
      <c r="I81" s="6897"/>
      <c r="J81" s="6897"/>
      <c r="K81" s="6897"/>
      <c r="L81" s="6897"/>
      <c r="M81" s="6897"/>
      <c r="N81" s="6897"/>
      <c r="O81" s="6897"/>
      <c r="P81" s="6897"/>
      <c r="Q81" s="6897"/>
      <c r="R81" s="6897"/>
      <c r="S81" s="6897"/>
      <c r="T81" s="6897"/>
      <c r="U81" s="6897"/>
      <c r="V81" s="6897"/>
      <c r="W81" s="6897"/>
      <c r="X81" s="6897"/>
      <c r="Y81" s="6897"/>
      <c r="Z81" s="6897"/>
      <c r="AA81" s="6897"/>
      <c r="AB81" s="6897"/>
      <c r="AC81" s="6897"/>
      <c r="AD81" s="6897"/>
      <c r="AE81" s="6897"/>
      <c r="AF81" s="6897"/>
      <c r="AG81" s="6897"/>
      <c r="AH81" s="6897"/>
      <c r="AI81" s="6898"/>
      <c r="AJ81" s="6899" t="s">
        <v>39</v>
      </c>
      <c r="AK81" s="6890" t="s">
        <v>1112</v>
      </c>
      <c r="AL81" s="6469" t="s">
        <v>2</v>
      </c>
      <c r="AM81" s="6469" t="s">
        <v>3</v>
      </c>
      <c r="AN81" s="6469" t="s">
        <v>17</v>
      </c>
      <c r="BO81"/>
      <c r="BP81"/>
      <c r="BQ81"/>
      <c r="BR81"/>
      <c r="BS81"/>
      <c r="BU81"/>
      <c r="BV81"/>
      <c r="BW81"/>
    </row>
    <row r="82" spans="1:77" ht="15" customHeight="1" x14ac:dyDescent="0.25">
      <c r="A82" s="6466"/>
      <c r="B82" s="6896"/>
      <c r="C82" s="6856"/>
      <c r="D82" s="6857"/>
      <c r="E82" s="6844"/>
      <c r="F82" s="6891" t="s">
        <v>3763</v>
      </c>
      <c r="G82" s="6892"/>
      <c r="H82" s="6891" t="s">
        <v>1451</v>
      </c>
      <c r="I82" s="6892"/>
      <c r="J82" s="6887" t="s">
        <v>37</v>
      </c>
      <c r="K82" s="6888"/>
      <c r="L82" s="6887" t="s">
        <v>38</v>
      </c>
      <c r="M82" s="6888"/>
      <c r="N82" s="6891" t="s">
        <v>3728</v>
      </c>
      <c r="O82" s="6892"/>
      <c r="P82" s="6891" t="s">
        <v>1794</v>
      </c>
      <c r="Q82" s="6892"/>
      <c r="R82" s="6887" t="s">
        <v>5</v>
      </c>
      <c r="S82" s="6888"/>
      <c r="T82" s="6887" t="s">
        <v>6</v>
      </c>
      <c r="U82" s="6888"/>
      <c r="V82" s="6887" t="s">
        <v>7</v>
      </c>
      <c r="W82" s="6888"/>
      <c r="X82" s="6887" t="s">
        <v>8</v>
      </c>
      <c r="Y82" s="6888"/>
      <c r="Z82" s="6887" t="s">
        <v>9</v>
      </c>
      <c r="AA82" s="6888"/>
      <c r="AB82" s="6887" t="s">
        <v>10</v>
      </c>
      <c r="AC82" s="6888"/>
      <c r="AD82" s="6887" t="s">
        <v>11</v>
      </c>
      <c r="AE82" s="6888"/>
      <c r="AF82" s="6887" t="s">
        <v>18</v>
      </c>
      <c r="AG82" s="6888"/>
      <c r="AH82" s="6887" t="s">
        <v>19</v>
      </c>
      <c r="AI82" s="6888"/>
      <c r="AJ82" s="6539"/>
      <c r="AK82" s="6485"/>
      <c r="AL82" s="6472"/>
      <c r="AM82" s="6472"/>
      <c r="AN82" s="6472"/>
      <c r="BO82"/>
      <c r="BP82"/>
      <c r="BQ82"/>
      <c r="BR82"/>
      <c r="BS82"/>
      <c r="BU82"/>
      <c r="BV82"/>
      <c r="BW82"/>
    </row>
    <row r="83" spans="1:77" ht="15" customHeight="1" x14ac:dyDescent="0.25">
      <c r="A83" s="6832"/>
      <c r="B83" s="6856"/>
      <c r="C83" s="2703" t="s">
        <v>26</v>
      </c>
      <c r="D83" s="2704" t="s">
        <v>22</v>
      </c>
      <c r="E83" s="2702" t="s">
        <v>27</v>
      </c>
      <c r="F83" s="2703" t="s">
        <v>22</v>
      </c>
      <c r="G83" s="2702" t="s">
        <v>27</v>
      </c>
      <c r="H83" s="2705" t="s">
        <v>22</v>
      </c>
      <c r="I83" s="2702" t="s">
        <v>27</v>
      </c>
      <c r="J83" s="2703" t="s">
        <v>22</v>
      </c>
      <c r="K83" s="2702" t="s">
        <v>27</v>
      </c>
      <c r="L83" s="2703" t="s">
        <v>22</v>
      </c>
      <c r="M83" s="2702" t="s">
        <v>27</v>
      </c>
      <c r="N83" s="2703" t="s">
        <v>22</v>
      </c>
      <c r="O83" s="2702" t="s">
        <v>27</v>
      </c>
      <c r="P83" s="2703" t="s">
        <v>22</v>
      </c>
      <c r="Q83" s="2702" t="s">
        <v>27</v>
      </c>
      <c r="R83" s="2703" t="s">
        <v>22</v>
      </c>
      <c r="S83" s="2702" t="s">
        <v>27</v>
      </c>
      <c r="T83" s="2703" t="s">
        <v>22</v>
      </c>
      <c r="U83" s="2702" t="s">
        <v>27</v>
      </c>
      <c r="V83" s="2703" t="s">
        <v>22</v>
      </c>
      <c r="W83" s="2702" t="s">
        <v>27</v>
      </c>
      <c r="X83" s="2703" t="s">
        <v>22</v>
      </c>
      <c r="Y83" s="2702" t="s">
        <v>27</v>
      </c>
      <c r="Z83" s="2703" t="s">
        <v>22</v>
      </c>
      <c r="AA83" s="2702" t="s">
        <v>27</v>
      </c>
      <c r="AB83" s="2703" t="s">
        <v>22</v>
      </c>
      <c r="AC83" s="2702" t="s">
        <v>27</v>
      </c>
      <c r="AD83" s="2703" t="s">
        <v>22</v>
      </c>
      <c r="AE83" s="2702" t="s">
        <v>27</v>
      </c>
      <c r="AF83" s="2703" t="s">
        <v>22</v>
      </c>
      <c r="AG83" s="2702" t="s">
        <v>27</v>
      </c>
      <c r="AH83" s="2703" t="s">
        <v>22</v>
      </c>
      <c r="AI83" s="2706" t="s">
        <v>27</v>
      </c>
      <c r="AJ83" s="6900"/>
      <c r="AK83" s="6800"/>
      <c r="AL83" s="6844"/>
      <c r="AM83" s="6844"/>
      <c r="AN83" s="6844"/>
      <c r="BO83"/>
      <c r="BP83"/>
      <c r="BQ83"/>
      <c r="BR83"/>
      <c r="BS83"/>
      <c r="BU83"/>
      <c r="BV83"/>
      <c r="BW83"/>
    </row>
    <row r="84" spans="1:77" ht="15" customHeight="1" x14ac:dyDescent="0.25">
      <c r="A84" s="2080" t="s">
        <v>1795</v>
      </c>
      <c r="B84" s="2081" t="s">
        <v>1796</v>
      </c>
      <c r="C84" s="2082">
        <f>SUM(D84:E84)</f>
        <v>0</v>
      </c>
      <c r="D84" s="2083">
        <f>SUM(F84,H84,J84,L84,N84,P84,R84,T84,V84,X84,Z84,AB84,AD84,AF84,AH84)</f>
        <v>0</v>
      </c>
      <c r="E84" s="2084">
        <f>SUM(G84,I84,K84,M84,O84,Q84,S84,U84,W84,Y84,AA84,AC84,AE84,AG84,AI84)</f>
        <v>0</v>
      </c>
      <c r="F84" s="2085"/>
      <c r="G84" s="2086"/>
      <c r="H84" s="2087"/>
      <c r="I84" s="2086"/>
      <c r="J84" s="2085"/>
      <c r="K84" s="2088"/>
      <c r="L84" s="2085"/>
      <c r="M84" s="2088"/>
      <c r="N84" s="2085"/>
      <c r="O84" s="2088"/>
      <c r="P84" s="2085"/>
      <c r="Q84" s="2088"/>
      <c r="R84" s="2085"/>
      <c r="S84" s="2088"/>
      <c r="T84" s="2085"/>
      <c r="U84" s="2088"/>
      <c r="V84" s="2085"/>
      <c r="W84" s="2088"/>
      <c r="X84" s="2085"/>
      <c r="Y84" s="2088"/>
      <c r="Z84" s="2085"/>
      <c r="AA84" s="2088"/>
      <c r="AB84" s="2085"/>
      <c r="AC84" s="2088"/>
      <c r="AD84" s="2085"/>
      <c r="AE84" s="2088"/>
      <c r="AF84" s="2085"/>
      <c r="AG84" s="2088"/>
      <c r="AH84" s="2085"/>
      <c r="AI84" s="2089"/>
      <c r="AJ84" s="2090"/>
      <c r="AK84" s="2091"/>
      <c r="AL84" s="2086"/>
      <c r="AM84" s="2086"/>
      <c r="AN84" s="2086"/>
      <c r="AO84" t="str">
        <f>BO84&amp;BP84&amp;BQ84&amp;BR84&amp;BS84</f>
        <v/>
      </c>
      <c r="BO84" s="2553" t="str">
        <f>IF(AND(E84&gt;0,AJ84="")," *  No olvide digitar la variable Gestantes. Digite Cero si no tiene.",IF(AJ84&gt;E84,"  * La variable Gestantes No puede ser mayor al Total Mujeres.",""))</f>
        <v/>
      </c>
      <c r="BP84" s="2553" t="str">
        <f>IF(AND(E84&gt;0,AK84="")," *  No olvide digitar la variable Postparto. Digite Cero si no tiene.",IF(AK84&gt;E84,"  * La variable Postparto No puede ser mayor al Total Mujeres.",""))</f>
        <v/>
      </c>
      <c r="BQ84" s="2553" t="str">
        <f>IF(AND(C84&gt;0,AL84="")," *  No olvide digitar la variable Pueblos originarios. Digite Cero si no tiene.",IF(AL84&gt;C84,"  * La variable Pueblos originarios No puede ser mayor al Total.",""))</f>
        <v/>
      </c>
      <c r="BR84" s="2553" t="str">
        <f>IF(AND(C84&gt;0,AM84="")," *  No olvide digitar la variable Migrantes. Digite Cero si no tiene.",IF(AM84&gt;C84,"  * La variable Migrantes No puede ser mayor al Total.",""))</f>
        <v/>
      </c>
      <c r="BS84" s="2553" t="str">
        <f>IF(AND(C84&gt;0,AN84="")," *  No olvide digitar la variable Espacios Amigables/adolescentes. Digite Cero si no tiene.",IF(AN84&gt;C84,"  * La variable Espacios Amigables/adolescentes No puede ser mayor al Total.",""))</f>
        <v/>
      </c>
      <c r="BU84" s="1793">
        <f>IF(AND(E84&gt;0,AJ84=""),1,IF(AJ84&gt;E84,1,0))</f>
        <v>0</v>
      </c>
      <c r="BV84" s="1793">
        <f>IF(AND(E84&gt;0,AK84=""),1,IF(AK84&gt;E84,1,0))</f>
        <v>0</v>
      </c>
      <c r="BW84" s="1793">
        <f>IF(AND(C84&gt;0,AL84=""),1,IF(AL84&gt;C84,1,0))</f>
        <v>0</v>
      </c>
      <c r="BX84" s="1793">
        <f>IF(AND(C84&gt;0,AM84=""),1,IF(AM84&gt;C84,1,0))</f>
        <v>0</v>
      </c>
      <c r="BY84" s="1793">
        <f>IF(AND(C84&gt;0,AN84=""),1,IF(AN84&gt;C84,1,0))</f>
        <v>0</v>
      </c>
    </row>
    <row r="85" spans="1:77" ht="15" customHeight="1" x14ac:dyDescent="0.25">
      <c r="A85" s="6889" t="s">
        <v>1797</v>
      </c>
      <c r="B85" s="2092" t="s">
        <v>1798</v>
      </c>
      <c r="C85" s="2093">
        <f>SUM(D85:E85)</f>
        <v>0</v>
      </c>
      <c r="D85" s="2094">
        <f t="shared" ref="D85:E87" si="45">SUM(F85,H85,J85,L85,N85,P85,R85,T85,V85,X85,Z85,AB85,AD85,AF85,AH85)</f>
        <v>0</v>
      </c>
      <c r="E85" s="2094">
        <f t="shared" si="45"/>
        <v>0</v>
      </c>
      <c r="F85" s="276"/>
      <c r="G85" s="280"/>
      <c r="H85" s="615"/>
      <c r="I85" s="280"/>
      <c r="J85" s="276"/>
      <c r="K85" s="611"/>
      <c r="L85" s="276"/>
      <c r="M85" s="611"/>
      <c r="N85" s="276"/>
      <c r="O85" s="611"/>
      <c r="P85" s="276"/>
      <c r="Q85" s="611"/>
      <c r="R85" s="276"/>
      <c r="S85" s="611"/>
      <c r="T85" s="276"/>
      <c r="U85" s="611"/>
      <c r="V85" s="276"/>
      <c r="W85" s="611"/>
      <c r="X85" s="276"/>
      <c r="Y85" s="611"/>
      <c r="Z85" s="276"/>
      <c r="AA85" s="611"/>
      <c r="AB85" s="276"/>
      <c r="AC85" s="611"/>
      <c r="AD85" s="276"/>
      <c r="AE85" s="611"/>
      <c r="AF85" s="276"/>
      <c r="AG85" s="611"/>
      <c r="AH85" s="276"/>
      <c r="AI85" s="618"/>
      <c r="AJ85" s="640"/>
      <c r="AK85" s="1976"/>
      <c r="AL85" s="280"/>
      <c r="AM85" s="280"/>
      <c r="AN85" s="280"/>
      <c r="AO85" t="str">
        <f t="shared" ref="AO85:AO87" si="46">BO85&amp;BP85&amp;BQ85&amp;BR85&amp;BS85</f>
        <v/>
      </c>
      <c r="BO85" s="2553" t="str">
        <f t="shared" ref="BO85:BO87" si="47">IF(AND(E85&gt;0,AJ85="")," *  No olvide digitar la variable Gestantes. Digite Cero si no tiene.",IF(AJ85&gt;E85,"  * La variable Gestantes No puede ser mayor al Total Mujeres.",""))</f>
        <v/>
      </c>
      <c r="BP85" s="2553" t="str">
        <f t="shared" ref="BP85:BP87" si="48">IF(AND(E85&gt;0,AK85="")," *  No olvide digitar la variable Postparto. Digite Cero si no tiene.",IF(AK85&gt;E85,"  * La variable Postparto No puede ser mayor al Total Mujeres.",""))</f>
        <v/>
      </c>
      <c r="BQ85" s="2553" t="str">
        <f t="shared" ref="BQ85:BQ87" si="49">IF(AND(C85&gt;0,AL85="")," *  No olvide digitar la variable Pueblos originarios. Digite Cero si no tiene.",IF(AL85&gt;C85,"  * La variable Pueblos originarios No puede ser mayor al Total.",""))</f>
        <v/>
      </c>
      <c r="BR85" s="2553" t="str">
        <f t="shared" ref="BR85:BR87" si="50">IF(AND(C85&gt;0,AM85="")," *  No olvide digitar la variable Migrantes. Digite Cero si no tiene.",IF(AM85&gt;C85,"  * La variable Migrantes No puede ser mayor al Total.",""))</f>
        <v/>
      </c>
      <c r="BS85" s="2553" t="str">
        <f t="shared" ref="BS85:BS87" si="51">IF(AND(C85&gt;0,AN85="")," *  No olvide digitar la variable Espacios Amigables/adolescentes. Digite Cero si no tiene.",IF(AN85&gt;C85,"  * La variable Espacios Amigables/adolescentes No puede ser mayor al Total.",""))</f>
        <v/>
      </c>
      <c r="BU85" s="1793">
        <f t="shared" ref="BU85:BU87" si="52">IF(AND(E85&gt;0,AJ85=""),1,IF(AJ85&gt;E85,1,0))</f>
        <v>0</v>
      </c>
      <c r="BV85" s="1793">
        <f t="shared" ref="BV85:BV87" si="53">IF(AND(E85&gt;0,AK85=""),1,IF(AK85&gt;E85,1,0))</f>
        <v>0</v>
      </c>
      <c r="BW85" s="1793">
        <f t="shared" ref="BW85:BW87" si="54">IF(AND(C85&gt;0,AL85=""),1,IF(AL85&gt;C85,1,0))</f>
        <v>0</v>
      </c>
      <c r="BX85" s="1793">
        <f t="shared" ref="BX85:BX87" si="55">IF(AND(C85&gt;0,AM85=""),1,IF(AM85&gt;C85,1,0))</f>
        <v>0</v>
      </c>
      <c r="BY85" s="1793">
        <f t="shared" ref="BY85:BY87" si="56">IF(AND(C85&gt;0,AN85=""),1,IF(AN85&gt;C85,1,0))</f>
        <v>0</v>
      </c>
    </row>
    <row r="86" spans="1:77" ht="15" customHeight="1" x14ac:dyDescent="0.25">
      <c r="A86" s="6889"/>
      <c r="B86" s="1094" t="s">
        <v>1799</v>
      </c>
      <c r="C86" s="156">
        <f>SUM(D86:E86)</f>
        <v>0</v>
      </c>
      <c r="D86" s="2094">
        <f t="shared" si="45"/>
        <v>0</v>
      </c>
      <c r="E86" s="2094">
        <f t="shared" si="45"/>
        <v>0</v>
      </c>
      <c r="F86" s="410"/>
      <c r="G86" s="411"/>
      <c r="H86" s="414"/>
      <c r="I86" s="411"/>
      <c r="J86" s="410"/>
      <c r="K86" s="412"/>
      <c r="L86" s="410"/>
      <c r="M86" s="412"/>
      <c r="N86" s="410"/>
      <c r="O86" s="412"/>
      <c r="P86" s="410"/>
      <c r="Q86" s="412"/>
      <c r="R86" s="410"/>
      <c r="S86" s="412"/>
      <c r="T86" s="410"/>
      <c r="U86" s="412"/>
      <c r="V86" s="410"/>
      <c r="W86" s="412"/>
      <c r="X86" s="410"/>
      <c r="Y86" s="412"/>
      <c r="Z86" s="410"/>
      <c r="AA86" s="412"/>
      <c r="AB86" s="410"/>
      <c r="AC86" s="412"/>
      <c r="AD86" s="410"/>
      <c r="AE86" s="412"/>
      <c r="AF86" s="410"/>
      <c r="AG86" s="412"/>
      <c r="AH86" s="410"/>
      <c r="AI86" s="634"/>
      <c r="AJ86" s="415"/>
      <c r="AK86" s="641"/>
      <c r="AL86" s="411"/>
      <c r="AM86" s="411"/>
      <c r="AN86" s="411"/>
      <c r="AO86" t="str">
        <f t="shared" si="46"/>
        <v/>
      </c>
      <c r="BO86" s="2553" t="str">
        <f t="shared" si="47"/>
        <v/>
      </c>
      <c r="BP86" s="2553" t="str">
        <f t="shared" si="48"/>
        <v/>
      </c>
      <c r="BQ86" s="2553" t="str">
        <f t="shared" si="49"/>
        <v/>
      </c>
      <c r="BR86" s="2553" t="str">
        <f t="shared" si="50"/>
        <v/>
      </c>
      <c r="BS86" s="2553" t="str">
        <f t="shared" si="51"/>
        <v/>
      </c>
      <c r="BU86" s="1793">
        <f t="shared" si="52"/>
        <v>0</v>
      </c>
      <c r="BV86" s="1793">
        <f t="shared" si="53"/>
        <v>0</v>
      </c>
      <c r="BW86" s="1793">
        <f t="shared" si="54"/>
        <v>0</v>
      </c>
      <c r="BX86" s="1793">
        <f t="shared" si="55"/>
        <v>0</v>
      </c>
      <c r="BY86" s="1793">
        <f t="shared" si="56"/>
        <v>0</v>
      </c>
    </row>
    <row r="87" spans="1:77" ht="15" customHeight="1" x14ac:dyDescent="0.25">
      <c r="A87" s="2095" t="s">
        <v>1771</v>
      </c>
      <c r="B87" s="2096" t="s">
        <v>1800</v>
      </c>
      <c r="C87" s="2061">
        <f>SUM(D87:E87)</f>
        <v>0</v>
      </c>
      <c r="D87" s="2097">
        <f t="shared" si="45"/>
        <v>0</v>
      </c>
      <c r="E87" s="2098">
        <f t="shared" si="45"/>
        <v>0</v>
      </c>
      <c r="F87" s="2099"/>
      <c r="G87" s="2100"/>
      <c r="H87" s="2101"/>
      <c r="I87" s="2100"/>
      <c r="J87" s="2099"/>
      <c r="K87" s="2102"/>
      <c r="L87" s="2099"/>
      <c r="M87" s="2102"/>
      <c r="N87" s="2099"/>
      <c r="O87" s="2102"/>
      <c r="P87" s="2099"/>
      <c r="Q87" s="2102"/>
      <c r="R87" s="2099"/>
      <c r="S87" s="2102"/>
      <c r="T87" s="2099"/>
      <c r="U87" s="2102"/>
      <c r="V87" s="2099"/>
      <c r="W87" s="2102"/>
      <c r="X87" s="2099"/>
      <c r="Y87" s="2102"/>
      <c r="Z87" s="2099"/>
      <c r="AA87" s="2102"/>
      <c r="AB87" s="2099"/>
      <c r="AC87" s="2102"/>
      <c r="AD87" s="2099"/>
      <c r="AE87" s="2102"/>
      <c r="AF87" s="2099"/>
      <c r="AG87" s="2102"/>
      <c r="AH87" s="2099"/>
      <c r="AI87" s="2103"/>
      <c r="AJ87" s="2104"/>
      <c r="AK87" s="2105"/>
      <c r="AL87" s="2100"/>
      <c r="AM87" s="2100"/>
      <c r="AN87" s="2100"/>
      <c r="AO87" t="str">
        <f t="shared" si="46"/>
        <v/>
      </c>
      <c r="BO87" s="2553" t="str">
        <f t="shared" si="47"/>
        <v/>
      </c>
      <c r="BP87" s="2553" t="str">
        <f t="shared" si="48"/>
        <v/>
      </c>
      <c r="BQ87" s="2553" t="str">
        <f t="shared" si="49"/>
        <v/>
      </c>
      <c r="BR87" s="2553" t="str">
        <f t="shared" si="50"/>
        <v/>
      </c>
      <c r="BS87" s="2553" t="str">
        <f t="shared" si="51"/>
        <v/>
      </c>
      <c r="BU87" s="1793">
        <f t="shared" si="52"/>
        <v>0</v>
      </c>
      <c r="BV87" s="1793">
        <f t="shared" si="53"/>
        <v>0</v>
      </c>
      <c r="BW87" s="1793">
        <f t="shared" si="54"/>
        <v>0</v>
      </c>
      <c r="BX87" s="1793">
        <f t="shared" si="55"/>
        <v>0</v>
      </c>
      <c r="BY87" s="1793">
        <f t="shared" si="56"/>
        <v>0</v>
      </c>
    </row>
    <row r="88" spans="1:77" ht="18" customHeight="1" x14ac:dyDescent="0.25">
      <c r="A88" s="122" t="s">
        <v>1801</v>
      </c>
      <c r="B88" s="112"/>
      <c r="C88" s="112"/>
      <c r="D88" s="112"/>
      <c r="E88" s="112"/>
      <c r="F88" s="112"/>
      <c r="BO88"/>
      <c r="BP88"/>
      <c r="BQ88"/>
      <c r="BR88"/>
      <c r="BS88"/>
      <c r="BU88"/>
      <c r="BV88"/>
      <c r="BW88"/>
    </row>
    <row r="89" spans="1:77" ht="31.15" customHeight="1" x14ac:dyDescent="0.25">
      <c r="A89" s="6884" t="s">
        <v>453</v>
      </c>
      <c r="B89" s="6885" t="s">
        <v>24</v>
      </c>
      <c r="C89" s="6885" t="s">
        <v>1802</v>
      </c>
      <c r="D89" s="6886" t="s">
        <v>1803</v>
      </c>
      <c r="E89" s="6486" t="s">
        <v>1804</v>
      </c>
      <c r="F89" s="6885" t="s">
        <v>1805</v>
      </c>
      <c r="BO89"/>
      <c r="BP89"/>
      <c r="BQ89"/>
      <c r="BR89"/>
      <c r="BS89"/>
      <c r="BU89"/>
      <c r="BV89"/>
      <c r="BW89"/>
    </row>
    <row r="90" spans="1:77" ht="24.6" customHeight="1" x14ac:dyDescent="0.25">
      <c r="A90" s="6884"/>
      <c r="B90" s="6885"/>
      <c r="C90" s="6885"/>
      <c r="D90" s="6886"/>
      <c r="E90" s="6486"/>
      <c r="F90" s="6885"/>
      <c r="BO90"/>
      <c r="BP90"/>
      <c r="BQ90"/>
      <c r="BR90"/>
      <c r="BS90"/>
      <c r="BU90"/>
      <c r="BV90"/>
      <c r="BW90"/>
    </row>
    <row r="91" spans="1:77" ht="15" customHeight="1" x14ac:dyDescent="0.25">
      <c r="A91" s="6873" t="s">
        <v>1806</v>
      </c>
      <c r="B91" s="6874"/>
      <c r="C91" s="6874"/>
      <c r="D91" s="6874"/>
      <c r="E91" s="6874"/>
      <c r="F91" s="6875"/>
      <c r="BO91"/>
      <c r="BP91"/>
      <c r="BQ91"/>
      <c r="BR91"/>
      <c r="BS91"/>
      <c r="BU91"/>
      <c r="BV91"/>
      <c r="BW91"/>
    </row>
    <row r="92" spans="1:77" ht="15" customHeight="1" x14ac:dyDescent="0.25">
      <c r="A92" s="2106" t="s">
        <v>1807</v>
      </c>
      <c r="B92" s="6073">
        <f>SUM(C92:D92)</f>
        <v>0</v>
      </c>
      <c r="C92" s="2107"/>
      <c r="D92" s="2108"/>
      <c r="E92" s="2109"/>
      <c r="F92" s="2107"/>
    </row>
    <row r="93" spans="1:77" ht="15" customHeight="1" x14ac:dyDescent="0.25">
      <c r="A93" s="1100" t="s">
        <v>1808</v>
      </c>
      <c r="B93" s="1105">
        <f>SUM(C93:D93)</f>
        <v>0</v>
      </c>
      <c r="C93" s="1080"/>
      <c r="D93" s="1095"/>
      <c r="E93" s="83"/>
      <c r="F93" s="1080"/>
    </row>
    <row r="94" spans="1:77" ht="15" customHeight="1" x14ac:dyDescent="0.25">
      <c r="A94" s="1100" t="s">
        <v>1809</v>
      </c>
      <c r="B94" s="1105">
        <f>SUM(C94:D94)</f>
        <v>0</v>
      </c>
      <c r="C94" s="1080"/>
      <c r="D94" s="1095"/>
      <c r="E94" s="83"/>
      <c r="F94" s="1080"/>
    </row>
    <row r="95" spans="1:77" ht="15" customHeight="1" x14ac:dyDescent="0.25">
      <c r="A95" s="1100" t="s">
        <v>1810</v>
      </c>
      <c r="B95" s="1105">
        <f>SUM(C95:D95)</f>
        <v>0</v>
      </c>
      <c r="C95" s="1080"/>
      <c r="D95" s="1095"/>
      <c r="E95" s="83"/>
      <c r="F95" s="1080"/>
    </row>
    <row r="96" spans="1:77" ht="15" customHeight="1" x14ac:dyDescent="0.25">
      <c r="A96" s="2025" t="s">
        <v>1811</v>
      </c>
      <c r="B96" s="388">
        <f>SUM(C96:D96)</f>
        <v>0</v>
      </c>
      <c r="C96" s="148"/>
      <c r="D96" s="2110"/>
      <c r="E96" s="105"/>
      <c r="F96" s="148"/>
    </row>
    <row r="97" spans="1:18" ht="15" customHeight="1" x14ac:dyDescent="0.25">
      <c r="A97" s="6873" t="s">
        <v>1812</v>
      </c>
      <c r="B97" s="6874"/>
      <c r="C97" s="6874"/>
      <c r="D97" s="6874"/>
      <c r="E97" s="6874"/>
      <c r="F97" s="6875"/>
    </row>
    <row r="98" spans="1:18" ht="15" customHeight="1" x14ac:dyDescent="0.25">
      <c r="A98" s="2111" t="s">
        <v>1813</v>
      </c>
      <c r="B98" s="6074">
        <f>SUM(C98:D98)</f>
        <v>0</v>
      </c>
      <c r="C98" s="2107"/>
      <c r="D98" s="2108"/>
      <c r="E98" s="2109"/>
      <c r="F98" s="2107"/>
    </row>
    <row r="99" spans="1:18" ht="15" customHeight="1" x14ac:dyDescent="0.25">
      <c r="A99" s="1094" t="s">
        <v>1814</v>
      </c>
      <c r="B99" s="2032">
        <f>SUM(C99:D99)</f>
        <v>0</v>
      </c>
      <c r="C99" s="1080"/>
      <c r="D99" s="1095"/>
      <c r="E99" s="83"/>
      <c r="F99" s="1080"/>
    </row>
    <row r="100" spans="1:18" ht="21.6" customHeight="1" x14ac:dyDescent="0.25">
      <c r="A100" s="2112" t="s">
        <v>1815</v>
      </c>
      <c r="B100" s="633">
        <f>SUM(C100:D100)</f>
        <v>0</v>
      </c>
      <c r="C100" s="2113"/>
      <c r="D100" s="2110"/>
      <c r="E100" s="2000"/>
      <c r="F100" s="2113"/>
    </row>
    <row r="101" spans="1:18" ht="18" customHeight="1" x14ac:dyDescent="0.25">
      <c r="A101" s="6876" t="s">
        <v>1816</v>
      </c>
      <c r="B101" s="6876"/>
      <c r="C101" s="6876"/>
      <c r="D101" s="6876"/>
      <c r="E101" s="6876"/>
      <c r="F101" s="6877"/>
      <c r="G101" s="2114"/>
      <c r="H101" s="2114"/>
      <c r="I101" s="2114"/>
      <c r="J101" s="2114"/>
      <c r="K101" s="2114"/>
      <c r="L101" s="2114"/>
      <c r="M101" s="2114"/>
      <c r="N101" s="2114"/>
      <c r="O101" s="2114"/>
    </row>
    <row r="102" spans="1:18" ht="24" customHeight="1" x14ac:dyDescent="0.25">
      <c r="A102" s="6878" t="s">
        <v>1817</v>
      </c>
      <c r="B102" s="6858" t="s">
        <v>1818</v>
      </c>
      <c r="C102" s="6880"/>
      <c r="D102" s="6881"/>
      <c r="E102" s="6858" t="s">
        <v>1819</v>
      </c>
      <c r="F102" s="6881"/>
      <c r="G102" s="6858" t="s">
        <v>1820</v>
      </c>
      <c r="H102" s="6859"/>
      <c r="I102" s="6862" t="s">
        <v>1821</v>
      </c>
      <c r="J102" s="6863"/>
      <c r="K102" s="6866" t="s">
        <v>1822</v>
      </c>
      <c r="L102" s="6869" t="s">
        <v>1823</v>
      </c>
      <c r="M102" s="6870"/>
      <c r="N102" s="6866"/>
      <c r="O102" s="6869" t="s">
        <v>1824</v>
      </c>
      <c r="P102" s="6866"/>
      <c r="Q102" s="6869" t="s">
        <v>1825</v>
      </c>
      <c r="R102" s="6866"/>
    </row>
    <row r="103" spans="1:18" x14ac:dyDescent="0.25">
      <c r="A103" s="6879"/>
      <c r="B103" s="6860"/>
      <c r="C103" s="6882"/>
      <c r="D103" s="6883"/>
      <c r="E103" s="6860"/>
      <c r="F103" s="6883"/>
      <c r="G103" s="6860"/>
      <c r="H103" s="6861"/>
      <c r="I103" s="6864"/>
      <c r="J103" s="6865"/>
      <c r="K103" s="6867"/>
      <c r="L103" s="6871"/>
      <c r="M103" s="6872"/>
      <c r="N103" s="6868"/>
      <c r="O103" s="6871"/>
      <c r="P103" s="6868"/>
      <c r="Q103" s="6871"/>
      <c r="R103" s="6868"/>
    </row>
    <row r="104" spans="1:18" ht="41.25" customHeight="1" x14ac:dyDescent="0.25">
      <c r="A104" s="6851"/>
      <c r="B104" s="2116" t="s">
        <v>1826</v>
      </c>
      <c r="C104" s="2116" t="s">
        <v>1827</v>
      </c>
      <c r="D104" s="2117" t="s">
        <v>1828</v>
      </c>
      <c r="E104" s="2118" t="s">
        <v>1829</v>
      </c>
      <c r="F104" s="2119" t="s">
        <v>1830</v>
      </c>
      <c r="G104" s="2118" t="s">
        <v>1831</v>
      </c>
      <c r="H104" s="2120" t="s">
        <v>1832</v>
      </c>
      <c r="I104" s="2121" t="s">
        <v>1829</v>
      </c>
      <c r="J104" s="2122" t="s">
        <v>1830</v>
      </c>
      <c r="K104" s="6868"/>
      <c r="L104" s="2115" t="s">
        <v>1833</v>
      </c>
      <c r="M104" s="2123" t="s">
        <v>1827</v>
      </c>
      <c r="N104" s="2124" t="s">
        <v>1834</v>
      </c>
      <c r="O104" s="2116" t="s">
        <v>1831</v>
      </c>
      <c r="P104" s="2125" t="s">
        <v>1832</v>
      </c>
      <c r="Q104" s="2116" t="s">
        <v>3880</v>
      </c>
      <c r="R104" s="2125" t="s">
        <v>3879</v>
      </c>
    </row>
    <row r="105" spans="1:18" ht="15" customHeight="1" x14ac:dyDescent="0.25">
      <c r="A105" s="2126" t="s">
        <v>1835</v>
      </c>
      <c r="B105" s="2127">
        <f>SUM(C105:D105)</f>
        <v>0</v>
      </c>
      <c r="C105" s="2128"/>
      <c r="D105" s="2129"/>
      <c r="E105" s="2128"/>
      <c r="F105" s="2129"/>
      <c r="G105" s="2128"/>
      <c r="H105" s="2130"/>
      <c r="I105" s="2131"/>
      <c r="J105" s="2132"/>
      <c r="K105" s="2129"/>
      <c r="L105" s="2128"/>
      <c r="M105" s="2133"/>
      <c r="N105" s="2134"/>
      <c r="O105" s="2128"/>
      <c r="P105" s="2134"/>
      <c r="Q105" s="2135"/>
      <c r="R105" s="2136"/>
    </row>
    <row r="106" spans="1:18" ht="15" customHeight="1" x14ac:dyDescent="0.25">
      <c r="A106" s="2137" t="s">
        <v>1836</v>
      </c>
      <c r="B106" s="2127">
        <f>SUM(C106:D106)</f>
        <v>0</v>
      </c>
      <c r="C106" s="2138"/>
      <c r="D106" s="2139"/>
      <c r="E106" s="2138"/>
      <c r="F106" s="2139"/>
      <c r="G106" s="2138"/>
      <c r="H106" s="2140"/>
      <c r="I106" s="2141"/>
      <c r="J106" s="2142"/>
      <c r="K106" s="2139"/>
      <c r="L106" s="2135"/>
      <c r="M106" s="2143"/>
      <c r="N106" s="2136"/>
      <c r="O106" s="2135"/>
      <c r="P106" s="2136"/>
      <c r="Q106" s="2128"/>
      <c r="R106" s="2134"/>
    </row>
    <row r="107" spans="1:18" ht="15" customHeight="1" x14ac:dyDescent="0.25">
      <c r="A107" s="2137" t="s">
        <v>1837</v>
      </c>
      <c r="B107" s="2144">
        <f>SUM(C107:D107)</f>
        <v>0</v>
      </c>
      <c r="C107" s="2145"/>
      <c r="D107" s="2146"/>
      <c r="E107" s="2147"/>
      <c r="F107" s="2146"/>
      <c r="G107" s="2145"/>
      <c r="H107" s="2148"/>
      <c r="I107" s="2149"/>
      <c r="J107" s="2150"/>
      <c r="K107" s="2146"/>
      <c r="L107" s="2151"/>
      <c r="M107" s="2152"/>
      <c r="N107" s="2153"/>
      <c r="O107" s="2154"/>
      <c r="P107" s="2153"/>
      <c r="Q107" s="2145"/>
      <c r="R107" s="2155"/>
    </row>
    <row r="108" spans="1:18" ht="15" customHeight="1" x14ac:dyDescent="0.25">
      <c r="A108" s="2156" t="s">
        <v>24</v>
      </c>
      <c r="B108" s="2157">
        <f>SUM(C108:D108)</f>
        <v>0</v>
      </c>
      <c r="C108" s="2157">
        <f t="shared" ref="C108:K108" si="57">SUM(C105:C107)</f>
        <v>0</v>
      </c>
      <c r="D108" s="2158">
        <f t="shared" si="57"/>
        <v>0</v>
      </c>
      <c r="E108" s="2157">
        <f t="shared" si="57"/>
        <v>0</v>
      </c>
      <c r="F108" s="2158">
        <f t="shared" si="57"/>
        <v>0</v>
      </c>
      <c r="G108" s="2157">
        <f t="shared" si="57"/>
        <v>0</v>
      </c>
      <c r="H108" s="2159">
        <f t="shared" si="57"/>
        <v>0</v>
      </c>
      <c r="I108" s="2160">
        <f t="shared" si="57"/>
        <v>0</v>
      </c>
      <c r="J108" s="2161">
        <f t="shared" si="57"/>
        <v>0</v>
      </c>
      <c r="K108" s="2158">
        <f t="shared" si="57"/>
        <v>0</v>
      </c>
      <c r="L108" s="2162">
        <f>SUM(L105)</f>
        <v>0</v>
      </c>
      <c r="M108" s="2157">
        <f>+M105</f>
        <v>0</v>
      </c>
      <c r="N108" s="2163">
        <f>+N105</f>
        <v>0</v>
      </c>
      <c r="O108" s="2157">
        <f>+O105</f>
        <v>0</v>
      </c>
      <c r="P108" s="2163">
        <f>+P105</f>
        <v>0</v>
      </c>
      <c r="Q108" s="2157">
        <f>SUM(Q106:Q107)</f>
        <v>0</v>
      </c>
      <c r="R108" s="2157">
        <f>SUM(R106:R107)</f>
        <v>0</v>
      </c>
    </row>
    <row r="109" spans="1:18" ht="18" customHeight="1" x14ac:dyDescent="0.25">
      <c r="A109" s="2164" t="s">
        <v>1838</v>
      </c>
      <c r="B109" s="2165"/>
      <c r="C109" s="2166"/>
      <c r="D109" s="2167"/>
      <c r="E109" s="2168"/>
      <c r="F109" s="2168"/>
      <c r="G109" s="2168"/>
      <c r="H109" s="2168"/>
      <c r="I109" s="2169"/>
      <c r="J109" s="782"/>
      <c r="K109" s="2169"/>
      <c r="L109" s="782"/>
      <c r="M109" s="102"/>
    </row>
    <row r="110" spans="1:18" ht="15" customHeight="1" x14ac:dyDescent="0.25">
      <c r="A110" s="6848" t="s">
        <v>1839</v>
      </c>
      <c r="B110" s="6850" t="s">
        <v>1840</v>
      </c>
      <c r="C110" s="6852" t="s">
        <v>1841</v>
      </c>
      <c r="D110" s="6853"/>
      <c r="E110" s="6853"/>
      <c r="F110" s="6853"/>
      <c r="G110" s="6853"/>
      <c r="H110" s="6853"/>
      <c r="I110" s="6853"/>
      <c r="J110" s="6853"/>
      <c r="K110" s="6853"/>
      <c r="L110" s="6854"/>
      <c r="M110" s="6850" t="s">
        <v>1842</v>
      </c>
    </row>
    <row r="111" spans="1:18" ht="38.450000000000003" customHeight="1" x14ac:dyDescent="0.25">
      <c r="A111" s="6849"/>
      <c r="B111" s="6851"/>
      <c r="C111" s="2170" t="s">
        <v>74</v>
      </c>
      <c r="D111" s="2057" t="s">
        <v>301</v>
      </c>
      <c r="E111" s="2057" t="s">
        <v>76</v>
      </c>
      <c r="F111" s="2057" t="s">
        <v>77</v>
      </c>
      <c r="G111" s="2057" t="s">
        <v>247</v>
      </c>
      <c r="H111" s="2058" t="s">
        <v>632</v>
      </c>
      <c r="I111" s="2058" t="s">
        <v>1843</v>
      </c>
      <c r="J111" s="2057" t="s">
        <v>457</v>
      </c>
      <c r="K111" s="2058" t="s">
        <v>1844</v>
      </c>
      <c r="L111" s="2171" t="s">
        <v>28</v>
      </c>
      <c r="M111" s="6851"/>
    </row>
    <row r="112" spans="1:18" ht="15" customHeight="1" x14ac:dyDescent="0.25">
      <c r="A112" s="2172" t="s">
        <v>375</v>
      </c>
      <c r="B112" s="2129"/>
      <c r="C112" s="2128"/>
      <c r="D112" s="2133"/>
      <c r="E112" s="2133"/>
      <c r="F112" s="2133"/>
      <c r="G112" s="2133"/>
      <c r="H112" s="2133"/>
      <c r="I112" s="2133"/>
      <c r="J112" s="2133"/>
      <c r="K112" s="2133"/>
      <c r="L112" s="2129"/>
      <c r="M112" s="2173"/>
    </row>
    <row r="113" spans="1:76" ht="15" customHeight="1" x14ac:dyDescent="0.25">
      <c r="A113" s="1075" t="s">
        <v>1845</v>
      </c>
      <c r="B113" s="2146"/>
      <c r="C113" s="2147"/>
      <c r="D113" s="2174"/>
      <c r="E113" s="2174"/>
      <c r="F113" s="2174"/>
      <c r="G113" s="2174"/>
      <c r="H113" s="2174"/>
      <c r="I113" s="2174"/>
      <c r="J113" s="2174"/>
      <c r="K113" s="2174"/>
      <c r="L113" s="2146"/>
      <c r="M113" s="2175"/>
    </row>
    <row r="114" spans="1:76" ht="15" customHeight="1" x14ac:dyDescent="0.25">
      <c r="A114" s="150" t="s">
        <v>1846</v>
      </c>
      <c r="B114" s="2176"/>
      <c r="C114" s="2145"/>
      <c r="D114" s="2177"/>
      <c r="E114" s="2177"/>
      <c r="F114" s="2177"/>
      <c r="G114" s="2177"/>
      <c r="H114" s="2177"/>
      <c r="I114" s="2177"/>
      <c r="J114" s="2177"/>
      <c r="K114" s="2177"/>
      <c r="L114" s="2176"/>
      <c r="M114" s="2178"/>
    </row>
    <row r="115" spans="1:76" ht="18" customHeight="1" x14ac:dyDescent="0.25">
      <c r="A115" s="122" t="s">
        <v>1847</v>
      </c>
      <c r="B115" s="2707"/>
      <c r="C115" s="2707"/>
      <c r="D115" s="2707"/>
      <c r="E115" s="2707"/>
      <c r="F115" s="2707"/>
      <c r="G115" s="2707"/>
      <c r="H115" s="2707"/>
      <c r="I115" s="2707"/>
      <c r="J115" s="2707"/>
      <c r="K115" s="2707"/>
      <c r="L115" s="2707"/>
      <c r="M115" s="2707"/>
      <c r="N115" s="2707"/>
      <c r="O115" s="2707"/>
      <c r="P115" s="2707"/>
      <c r="Q115" s="2707"/>
      <c r="R115" s="2707"/>
      <c r="S115" s="2707"/>
      <c r="T115" s="2707"/>
      <c r="U115" s="2707"/>
      <c r="V115" s="2707"/>
      <c r="W115" s="2707"/>
      <c r="X115" s="2707"/>
      <c r="Y115" s="2707"/>
      <c r="Z115" s="2707"/>
      <c r="AA115" s="2707"/>
      <c r="AB115" s="2707"/>
      <c r="AC115" s="2707"/>
      <c r="AD115" s="2707"/>
      <c r="AE115" s="2707"/>
      <c r="AF115" s="2707"/>
      <c r="AG115" s="2707"/>
      <c r="AH115" s="2707"/>
      <c r="AI115" s="2707"/>
      <c r="AJ115" s="2707"/>
      <c r="AK115" s="2707"/>
      <c r="AL115" s="2707"/>
      <c r="AM115" s="2707"/>
      <c r="AN115" s="2707"/>
      <c r="AO115" s="2708"/>
      <c r="AP115" s="2708"/>
      <c r="AQ115" s="2697"/>
      <c r="AR115" s="2697"/>
      <c r="BO115"/>
      <c r="BP115"/>
      <c r="BQ115"/>
      <c r="BR115"/>
      <c r="BS115"/>
      <c r="BU115"/>
      <c r="BV115"/>
      <c r="BW115"/>
    </row>
    <row r="116" spans="1:76" ht="15" customHeight="1" x14ac:dyDescent="0.25">
      <c r="A116" s="6831" t="s">
        <v>1726</v>
      </c>
      <c r="B116" s="6855" t="s">
        <v>1</v>
      </c>
      <c r="C116" s="6468"/>
      <c r="D116" s="6469"/>
      <c r="E116" s="6842" t="s">
        <v>30</v>
      </c>
      <c r="F116" s="6846"/>
      <c r="G116" s="6846"/>
      <c r="H116" s="6846"/>
      <c r="I116" s="6846"/>
      <c r="J116" s="6846"/>
      <c r="K116" s="6846"/>
      <c r="L116" s="6846"/>
      <c r="M116" s="6846"/>
      <c r="N116" s="6846"/>
      <c r="O116" s="6846"/>
      <c r="P116" s="6846"/>
      <c r="Q116" s="6846"/>
      <c r="R116" s="6846"/>
      <c r="S116" s="6846"/>
      <c r="T116" s="6846"/>
      <c r="U116" s="6846"/>
      <c r="V116" s="6846"/>
      <c r="W116" s="6846"/>
      <c r="X116" s="6846"/>
      <c r="Y116" s="6846"/>
      <c r="Z116" s="6846"/>
      <c r="AA116" s="6846"/>
      <c r="AB116" s="6846"/>
      <c r="AC116" s="6846"/>
      <c r="AD116" s="6846"/>
      <c r="AE116" s="6846"/>
      <c r="AF116" s="6846"/>
      <c r="AG116" s="6846"/>
      <c r="AH116" s="6846"/>
      <c r="AI116" s="6846"/>
      <c r="AJ116" s="6846"/>
      <c r="AK116" s="6846"/>
      <c r="AL116" s="6846"/>
      <c r="AM116" s="6846"/>
      <c r="AN116" s="6847"/>
      <c r="AO116" s="6472" t="s">
        <v>67</v>
      </c>
      <c r="AP116" s="6485" t="s">
        <v>327</v>
      </c>
      <c r="AQ116" s="6469" t="s">
        <v>49</v>
      </c>
      <c r="AR116" s="6469" t="s">
        <v>45</v>
      </c>
      <c r="BO116"/>
      <c r="BP116"/>
      <c r="BQ116"/>
      <c r="BR116"/>
      <c r="BS116"/>
      <c r="BU116"/>
      <c r="BV116"/>
      <c r="BW116"/>
    </row>
    <row r="117" spans="1:76" ht="21" customHeight="1" x14ac:dyDescent="0.25">
      <c r="A117" s="6466"/>
      <c r="B117" s="6856"/>
      <c r="C117" s="6857"/>
      <c r="D117" s="6844"/>
      <c r="E117" s="6845" t="s">
        <v>682</v>
      </c>
      <c r="F117" s="6843"/>
      <c r="G117" s="6842" t="s">
        <v>3726</v>
      </c>
      <c r="H117" s="6843"/>
      <c r="I117" s="6842" t="s">
        <v>37</v>
      </c>
      <c r="J117" s="6843"/>
      <c r="K117" s="6842" t="s">
        <v>38</v>
      </c>
      <c r="L117" s="6843"/>
      <c r="M117" s="6842" t="s">
        <v>4</v>
      </c>
      <c r="N117" s="6843"/>
      <c r="O117" s="6842" t="s">
        <v>5</v>
      </c>
      <c r="P117" s="6843"/>
      <c r="Q117" s="6846" t="s">
        <v>6</v>
      </c>
      <c r="R117" s="6843"/>
      <c r="S117" s="6842" t="s">
        <v>7</v>
      </c>
      <c r="T117" s="6843"/>
      <c r="U117" s="6842" t="s">
        <v>8</v>
      </c>
      <c r="V117" s="6843"/>
      <c r="W117" s="6842" t="s">
        <v>9</v>
      </c>
      <c r="X117" s="6843"/>
      <c r="Y117" s="6842" t="s">
        <v>10</v>
      </c>
      <c r="Z117" s="6843"/>
      <c r="AA117" s="6842" t="s">
        <v>11</v>
      </c>
      <c r="AB117" s="6843"/>
      <c r="AC117" s="6842" t="s">
        <v>18</v>
      </c>
      <c r="AD117" s="6843"/>
      <c r="AE117" s="6842" t="s">
        <v>19</v>
      </c>
      <c r="AF117" s="6843"/>
      <c r="AG117" s="6842" t="s">
        <v>20</v>
      </c>
      <c r="AH117" s="6843"/>
      <c r="AI117" s="6842" t="s">
        <v>70</v>
      </c>
      <c r="AJ117" s="6843"/>
      <c r="AK117" s="6842" t="s">
        <v>71</v>
      </c>
      <c r="AL117" s="6843"/>
      <c r="AM117" s="6846" t="s">
        <v>72</v>
      </c>
      <c r="AN117" s="6847"/>
      <c r="AO117" s="6472"/>
      <c r="AP117" s="6485"/>
      <c r="AQ117" s="6472"/>
      <c r="AR117" s="6472"/>
      <c r="BO117"/>
      <c r="BP117"/>
      <c r="BQ117"/>
      <c r="BR117"/>
      <c r="BS117"/>
      <c r="BU117"/>
      <c r="BV117"/>
      <c r="BW117"/>
    </row>
    <row r="118" spans="1:76" ht="15" customHeight="1" x14ac:dyDescent="0.25">
      <c r="A118" s="6832"/>
      <c r="B118" s="2709" t="s">
        <v>26</v>
      </c>
      <c r="C118" s="2710" t="s">
        <v>22</v>
      </c>
      <c r="D118" s="2645" t="s">
        <v>27</v>
      </c>
      <c r="E118" s="2711" t="s">
        <v>22</v>
      </c>
      <c r="F118" s="2712" t="s">
        <v>27</v>
      </c>
      <c r="G118" s="2711" t="s">
        <v>22</v>
      </c>
      <c r="H118" s="2712" t="s">
        <v>27</v>
      </c>
      <c r="I118" s="2711" t="s">
        <v>22</v>
      </c>
      <c r="J118" s="2712" t="s">
        <v>27</v>
      </c>
      <c r="K118" s="2711" t="s">
        <v>22</v>
      </c>
      <c r="L118" s="2712" t="s">
        <v>27</v>
      </c>
      <c r="M118" s="2711" t="s">
        <v>22</v>
      </c>
      <c r="N118" s="2712" t="s">
        <v>27</v>
      </c>
      <c r="O118" s="2711" t="s">
        <v>22</v>
      </c>
      <c r="P118" s="2712" t="s">
        <v>27</v>
      </c>
      <c r="Q118" s="2711" t="s">
        <v>22</v>
      </c>
      <c r="R118" s="2712" t="s">
        <v>27</v>
      </c>
      <c r="S118" s="2711" t="s">
        <v>22</v>
      </c>
      <c r="T118" s="2712" t="s">
        <v>27</v>
      </c>
      <c r="U118" s="2711" t="s">
        <v>22</v>
      </c>
      <c r="V118" s="2712" t="s">
        <v>27</v>
      </c>
      <c r="W118" s="2711" t="s">
        <v>22</v>
      </c>
      <c r="X118" s="2712" t="s">
        <v>27</v>
      </c>
      <c r="Y118" s="2711" t="s">
        <v>22</v>
      </c>
      <c r="Z118" s="2712" t="s">
        <v>27</v>
      </c>
      <c r="AA118" s="2711" t="s">
        <v>22</v>
      </c>
      <c r="AB118" s="2712" t="s">
        <v>27</v>
      </c>
      <c r="AC118" s="2711" t="s">
        <v>22</v>
      </c>
      <c r="AD118" s="2712" t="s">
        <v>27</v>
      </c>
      <c r="AE118" s="2711" t="s">
        <v>22</v>
      </c>
      <c r="AF118" s="2712" t="s">
        <v>27</v>
      </c>
      <c r="AG118" s="2711" t="s">
        <v>22</v>
      </c>
      <c r="AH118" s="2712" t="s">
        <v>27</v>
      </c>
      <c r="AI118" s="2711" t="s">
        <v>22</v>
      </c>
      <c r="AJ118" s="2712" t="s">
        <v>27</v>
      </c>
      <c r="AK118" s="2711" t="s">
        <v>22</v>
      </c>
      <c r="AL118" s="2712" t="s">
        <v>27</v>
      </c>
      <c r="AM118" s="2711" t="s">
        <v>22</v>
      </c>
      <c r="AN118" s="2713" t="s">
        <v>27</v>
      </c>
      <c r="AO118" s="6844"/>
      <c r="AP118" s="6800"/>
      <c r="AQ118" s="6844"/>
      <c r="AR118" s="6844"/>
      <c r="BO118"/>
      <c r="BP118"/>
      <c r="BQ118"/>
      <c r="BR118"/>
      <c r="BS118"/>
      <c r="BU118"/>
      <c r="BV118"/>
      <c r="BW118"/>
    </row>
    <row r="119" spans="1:76" ht="15" customHeight="1" x14ac:dyDescent="0.25">
      <c r="A119" s="1746" t="s">
        <v>1848</v>
      </c>
      <c r="B119" s="1075">
        <f>SUM(C119:D119)</f>
        <v>0</v>
      </c>
      <c r="C119" s="2179">
        <f>SUM(E119+G119+I119+K119+M119+O119+Q119+S119+U119+W119+Y119+AA119+AC119+AE119+AG119+AI119+AK119+AM119)</f>
        <v>0</v>
      </c>
      <c r="D119" s="2023">
        <f t="shared" ref="C119:D121" si="58">SUM(F119+H119+J119+L119+N119+P119+R119+T119+V119+X119+Z119+AB119+AD119+AF119+AH119+AJ119+AL119+AN119)</f>
        <v>0</v>
      </c>
      <c r="E119" s="106"/>
      <c r="F119" s="105"/>
      <c r="G119" s="106"/>
      <c r="H119" s="590"/>
      <c r="I119" s="106"/>
      <c r="J119" s="590"/>
      <c r="K119" s="106"/>
      <c r="L119" s="590"/>
      <c r="M119" s="106"/>
      <c r="N119" s="590"/>
      <c r="O119" s="106"/>
      <c r="P119" s="590"/>
      <c r="Q119" s="591"/>
      <c r="R119" s="590"/>
      <c r="S119" s="106"/>
      <c r="T119" s="590"/>
      <c r="U119" s="106"/>
      <c r="V119" s="590"/>
      <c r="W119" s="106"/>
      <c r="X119" s="590"/>
      <c r="Y119" s="106"/>
      <c r="Z119" s="590"/>
      <c r="AA119" s="106"/>
      <c r="AB119" s="590"/>
      <c r="AC119" s="106"/>
      <c r="AD119" s="590"/>
      <c r="AE119" s="106"/>
      <c r="AF119" s="590"/>
      <c r="AG119" s="106"/>
      <c r="AH119" s="590"/>
      <c r="AI119" s="106"/>
      <c r="AJ119" s="590"/>
      <c r="AK119" s="106"/>
      <c r="AL119" s="590"/>
      <c r="AM119" s="135"/>
      <c r="AN119" s="776"/>
      <c r="AO119" s="967"/>
      <c r="AP119" s="967"/>
      <c r="AQ119" s="2180"/>
      <c r="AR119" s="2180"/>
      <c r="AS119" t="str">
        <f>BO119&amp;BP119&amp;BQ119&amp;BR119&amp;BS119</f>
        <v/>
      </c>
      <c r="BO119" s="2553" t="str">
        <f>IF(AND(B119&gt;0,AO119="")," * No olvide digitar la variable Beneficiarios. Digite Cero si no tiene.",IF(AO119&gt;B119,"  * La variable Beneficiarios No puede ser mayor al Total.",""))</f>
        <v/>
      </c>
      <c r="BP119" s="2553" t="str">
        <f>IF(AND(D119&gt;0,AP119="")," * No olvide digitar la variable Embarazadas. Digite Cero si no tiene.",IF(AP119&gt;D119,"  * La variable Embarazadas No puede ser mayor al Total Mujeres.",""))</f>
        <v/>
      </c>
      <c r="BQ119" s="2553" t="str">
        <f>IF(AND(B119&gt;0,AQ119="")," * No olvide digitar la variable Niños, Niñas, adolescentes y jóvenes SENAME. Digite Cero si no tiene.",IF(AQ119&gt;B119,"  * La variable Niños, Niñas, adolescentes y jóvenes SENAME No puede ser mayor al Total.",""))</f>
        <v/>
      </c>
      <c r="BR119" s="2553" t="str">
        <f>IF(AND(B119&gt;0,AR119="")," * No olvide digitar la variable Niños, Niñas, adolescentes y jóvenes Mejor niñez. Digite Cero si no tiene.",IF(AR119&gt;B119,"  * La variable Niños, Niñas, adolescentes y jóvenes Mejor Niñez No puede ser mayor al Total.",""))</f>
        <v/>
      </c>
      <c r="BU119" s="1793">
        <f>IF(AND(B119&gt;0,AO119=""),1,IF(AO119&gt;B119,1,0))</f>
        <v>0</v>
      </c>
      <c r="BV119" s="1793">
        <f>IF(AND(D119&gt;0,AP119=""),1,IF(AP119&gt;D119,1,0))</f>
        <v>0</v>
      </c>
      <c r="BW119" s="1793">
        <f>IF(AND(B119&gt;0,AQ119=""),1,IF(AQ119&gt;B119,1,0))</f>
        <v>0</v>
      </c>
      <c r="BX119" s="1793">
        <f>IF(AND(B119&gt;0,AR119=""),1,IF(AR119&gt;B119,1,0))</f>
        <v>0</v>
      </c>
    </row>
    <row r="120" spans="1:76" ht="15" customHeight="1" x14ac:dyDescent="0.25">
      <c r="A120" s="142" t="s">
        <v>1849</v>
      </c>
      <c r="B120" s="1075">
        <f>SUM(C120:D120)</f>
        <v>0</v>
      </c>
      <c r="C120" s="2179">
        <f t="shared" si="58"/>
        <v>0</v>
      </c>
      <c r="D120" s="2023">
        <f t="shared" si="58"/>
        <v>0</v>
      </c>
      <c r="E120" s="1089"/>
      <c r="F120" s="83"/>
      <c r="G120" s="1089"/>
      <c r="H120" s="1077"/>
      <c r="I120" s="1089"/>
      <c r="J120" s="1077"/>
      <c r="K120" s="1089"/>
      <c r="L120" s="1077"/>
      <c r="M120" s="1089"/>
      <c r="N120" s="1077"/>
      <c r="O120" s="1089"/>
      <c r="P120" s="1077"/>
      <c r="Q120" s="2181"/>
      <c r="R120" s="1077"/>
      <c r="S120" s="1089"/>
      <c r="T120" s="1077"/>
      <c r="U120" s="1089"/>
      <c r="V120" s="1077"/>
      <c r="W120" s="1089"/>
      <c r="X120" s="1077"/>
      <c r="Y120" s="1089"/>
      <c r="Z120" s="1077"/>
      <c r="AA120" s="1089"/>
      <c r="AB120" s="1077"/>
      <c r="AC120" s="1089"/>
      <c r="AD120" s="1077"/>
      <c r="AE120" s="1089"/>
      <c r="AF120" s="1077"/>
      <c r="AG120" s="1089"/>
      <c r="AH120" s="1077"/>
      <c r="AI120" s="1089"/>
      <c r="AJ120" s="1077"/>
      <c r="AK120" s="1089"/>
      <c r="AL120" s="1077"/>
      <c r="AM120" s="126"/>
      <c r="AN120" s="1078"/>
      <c r="AO120" s="977"/>
      <c r="AP120" s="977"/>
      <c r="AQ120" s="967"/>
      <c r="AR120" s="967"/>
      <c r="AS120" t="str">
        <f t="shared" ref="AS120:AS121" si="59">BO120&amp;BP120&amp;BQ120&amp;BR120&amp;BS120</f>
        <v/>
      </c>
      <c r="BO120" s="2553" t="str">
        <f t="shared" ref="BO120:BO121" si="60">IF(AND(B120&gt;0,AO120="")," * No olvide digitar la variable Beneficiarios. Digite Cero si no tiene.",IF(AO120&gt;B120,"  * La variable Beneficiarios No puede ser mayor al Total.",""))</f>
        <v/>
      </c>
      <c r="BP120" s="2553" t="str">
        <f t="shared" ref="BP120:BP121" si="61">IF(AND(D120&gt;0,AP120="")," * No olvide digitar la variable Embarazadas. Digite Cero si no tiene.",IF(AP120&gt;D120,"  * La variable Embarazadas No puede ser mayor al Total Mujeres.",""))</f>
        <v/>
      </c>
      <c r="BQ120" s="2553" t="str">
        <f t="shared" ref="BQ120:BQ121" si="62">IF(AND(B120&gt;0,AQ120="")," * No olvide digitar la variable Niños, Niñas, adolescentes y jóvenes SENAME. Digite Cero si no tiene.",IF(AQ120&gt;B120,"  * La variable Niños, Niñas, adolescentes y jóvenes SENAME No puede ser mayor al Total.",""))</f>
        <v/>
      </c>
      <c r="BR120" s="2553" t="str">
        <f t="shared" ref="BR120:BR121" si="63">IF(AND(B120&gt;0,AR120="")," * No olvide digitar la variable Niños, Niñas, adolescentes y jóvenes Mejor niñez. Digite Cero si no tiene.",IF(AR120&gt;B120,"  * La variable Niños, Niñas, adolescentes y jóvenes Mejor Niñez No puede ser mayor al Total.",""))</f>
        <v/>
      </c>
      <c r="BU120" s="1793">
        <f t="shared" ref="BU120:BU121" si="64">IF(AND(B120&gt;0,AO120=""),1,IF(AO120&gt;B120,1,0))</f>
        <v>0</v>
      </c>
      <c r="BV120" s="1793">
        <f t="shared" ref="BV120:BV121" si="65">IF(AND(D120&gt;0,AP120=""),1,IF(AP120&gt;D120,1,0))</f>
        <v>0</v>
      </c>
      <c r="BW120" s="1793">
        <f t="shared" ref="BW120:BW121" si="66">IF(AND(B120&gt;0,AQ120=""),1,IF(AQ120&gt;B120,1,0))</f>
        <v>0</v>
      </c>
      <c r="BX120" s="1793">
        <f t="shared" ref="BX120:BX121" si="67">IF(AND(B120&gt;0,AR120=""),1,IF(AR120&gt;B120,1,0))</f>
        <v>0</v>
      </c>
    </row>
    <row r="121" spans="1:76" ht="15" customHeight="1" x14ac:dyDescent="0.25">
      <c r="A121" s="1988" t="s">
        <v>1850</v>
      </c>
      <c r="B121" s="150">
        <f>SUM(C121:D121)</f>
        <v>0</v>
      </c>
      <c r="C121" s="586">
        <f t="shared" si="58"/>
        <v>0</v>
      </c>
      <c r="D121" s="2024">
        <f t="shared" si="58"/>
        <v>0</v>
      </c>
      <c r="E121" s="114"/>
      <c r="F121" s="117"/>
      <c r="G121" s="114"/>
      <c r="H121" s="116"/>
      <c r="I121" s="114"/>
      <c r="J121" s="116"/>
      <c r="K121" s="114"/>
      <c r="L121" s="116"/>
      <c r="M121" s="114"/>
      <c r="N121" s="116"/>
      <c r="O121" s="114"/>
      <c r="P121" s="116"/>
      <c r="Q121" s="121"/>
      <c r="R121" s="116"/>
      <c r="S121" s="114"/>
      <c r="T121" s="116"/>
      <c r="U121" s="114"/>
      <c r="V121" s="116"/>
      <c r="W121" s="114"/>
      <c r="X121" s="116"/>
      <c r="Y121" s="114"/>
      <c r="Z121" s="116"/>
      <c r="AA121" s="114"/>
      <c r="AB121" s="116"/>
      <c r="AC121" s="114"/>
      <c r="AD121" s="116"/>
      <c r="AE121" s="114"/>
      <c r="AF121" s="116"/>
      <c r="AG121" s="114"/>
      <c r="AH121" s="116"/>
      <c r="AI121" s="114"/>
      <c r="AJ121" s="116"/>
      <c r="AK121" s="114"/>
      <c r="AL121" s="116"/>
      <c r="AM121" s="138"/>
      <c r="AN121" s="162"/>
      <c r="AO121" s="958"/>
      <c r="AP121" s="958"/>
      <c r="AQ121" s="1857"/>
      <c r="AR121" s="958"/>
      <c r="AS121" t="str">
        <f t="shared" si="59"/>
        <v/>
      </c>
      <c r="BO121" s="2553" t="str">
        <f t="shared" si="60"/>
        <v/>
      </c>
      <c r="BP121" s="2553" t="str">
        <f t="shared" si="61"/>
        <v/>
      </c>
      <c r="BQ121" s="2553" t="str">
        <f t="shared" si="62"/>
        <v/>
      </c>
      <c r="BR121" s="2553" t="str">
        <f t="shared" si="63"/>
        <v/>
      </c>
      <c r="BU121" s="1793">
        <f t="shared" si="64"/>
        <v>0</v>
      </c>
      <c r="BV121" s="1793">
        <f t="shared" si="65"/>
        <v>0</v>
      </c>
      <c r="BW121" s="1793">
        <f t="shared" si="66"/>
        <v>0</v>
      </c>
      <c r="BX121" s="1793">
        <f t="shared" si="67"/>
        <v>0</v>
      </c>
    </row>
    <row r="122" spans="1:76" ht="18" customHeight="1" x14ac:dyDescent="0.25">
      <c r="A122" s="122" t="s">
        <v>1851</v>
      </c>
      <c r="B122" s="2714"/>
      <c r="C122" s="2714"/>
      <c r="D122" s="112"/>
      <c r="E122" s="2714"/>
      <c r="F122" s="112"/>
      <c r="G122" s="112"/>
      <c r="H122" s="112"/>
      <c r="I122" s="112"/>
      <c r="J122" s="112"/>
      <c r="K122" s="112"/>
      <c r="BO122"/>
      <c r="BP122"/>
      <c r="BQ122"/>
      <c r="BR122"/>
      <c r="BS122"/>
      <c r="BU122"/>
      <c r="BV122"/>
      <c r="BW122"/>
    </row>
    <row r="123" spans="1:76" ht="15" customHeight="1" x14ac:dyDescent="0.25">
      <c r="A123" s="6603" t="s">
        <v>1120</v>
      </c>
      <c r="B123" s="6588"/>
      <c r="C123" s="6831" t="s">
        <v>24</v>
      </c>
      <c r="D123" s="6833" t="s">
        <v>12</v>
      </c>
      <c r="E123" s="6834"/>
      <c r="F123" s="6834"/>
      <c r="G123" s="6834"/>
      <c r="H123" s="6835"/>
      <c r="I123" s="6836" t="s">
        <v>39</v>
      </c>
      <c r="J123" s="6838" t="s">
        <v>2</v>
      </c>
      <c r="K123" s="6840" t="s">
        <v>3</v>
      </c>
      <c r="BO123"/>
      <c r="BP123"/>
      <c r="BQ123"/>
      <c r="BR123"/>
      <c r="BS123"/>
      <c r="BU123"/>
      <c r="BV123"/>
      <c r="BW123"/>
    </row>
    <row r="124" spans="1:76" ht="35.450000000000003" customHeight="1" x14ac:dyDescent="0.25">
      <c r="A124" s="6829"/>
      <c r="B124" s="6830"/>
      <c r="C124" s="6832"/>
      <c r="D124" s="4636" t="s">
        <v>1852</v>
      </c>
      <c r="E124" s="4637" t="s">
        <v>1853</v>
      </c>
      <c r="F124" s="4637" t="s">
        <v>1854</v>
      </c>
      <c r="G124" s="4637" t="s">
        <v>1855</v>
      </c>
      <c r="H124" s="4635" t="s">
        <v>1856</v>
      </c>
      <c r="I124" s="6837"/>
      <c r="J124" s="6839"/>
      <c r="K124" s="6841"/>
      <c r="BO124"/>
      <c r="BP124"/>
      <c r="BQ124"/>
      <c r="BR124"/>
      <c r="BS124"/>
      <c r="BU124"/>
      <c r="BV124"/>
      <c r="BW124"/>
    </row>
    <row r="125" spans="1:76" ht="15" customHeight="1" x14ac:dyDescent="0.25">
      <c r="A125" s="6818" t="s">
        <v>1857</v>
      </c>
      <c r="B125" s="2182" t="s">
        <v>1858</v>
      </c>
      <c r="C125" s="2183">
        <f>SUM(D125:H125)</f>
        <v>0</v>
      </c>
      <c r="D125" s="4638"/>
      <c r="E125" s="4639"/>
      <c r="F125" s="4639"/>
      <c r="G125" s="4639"/>
      <c r="H125" s="4640"/>
      <c r="I125" s="4629"/>
      <c r="J125" s="4619"/>
      <c r="K125" s="4620"/>
      <c r="L125" t="str">
        <f>BO125&amp;BP125&amp;BQ125</f>
        <v/>
      </c>
      <c r="BO125" s="170"/>
      <c r="BP125" s="1791" t="str">
        <f>IF(AND(C125&gt;0,J125="")," * No olvide digitar la variable Pueblos originarios. Digite Cero si no tiene.",IF(J125&gt;C125," * La variable Pueblos originarios No puede ser mayor al Total.",""))</f>
        <v/>
      </c>
      <c r="BQ125" s="1791" t="str">
        <f>IF(AND(C125&gt;0,K125="")," * No olvide digitar la variable Migrantes. Digite Cero si no tiene.",IF(K125&gt;C125," * La variable Migrantes No puede ser mayor al Total.",""))</f>
        <v/>
      </c>
      <c r="BR125"/>
      <c r="BS125"/>
      <c r="BU125"/>
      <c r="BV125" s="1793">
        <f>IF(AND(C125&gt;0,J125=""),1,IF(J125&gt;C125,1,0))</f>
        <v>0</v>
      </c>
      <c r="BW125" s="1793">
        <f>IF(AND(C125&gt;0,K125=""),1,IF(K125&gt;C125,1,0))</f>
        <v>0</v>
      </c>
    </row>
    <row r="126" spans="1:76" ht="24" customHeight="1" x14ac:dyDescent="0.25">
      <c r="A126" s="6455"/>
      <c r="B126" s="326" t="s">
        <v>1859</v>
      </c>
      <c r="C126" s="1131">
        <f>SUM(D126:H126)</f>
        <v>0</v>
      </c>
      <c r="D126" s="4641"/>
      <c r="E126" s="4642"/>
      <c r="F126" s="4642"/>
      <c r="G126" s="4642"/>
      <c r="H126" s="4618"/>
      <c r="I126" s="4629"/>
      <c r="J126" s="4621"/>
      <c r="K126" s="4622"/>
      <c r="L126" t="str">
        <f t="shared" ref="L126:L129" si="68">BO126&amp;BP126&amp;BQ126</f>
        <v/>
      </c>
      <c r="BO126" s="170"/>
      <c r="BP126" s="1791" t="str">
        <f t="shared" ref="BP126:BP133" si="69">IF(AND(C126&gt;0,J126="")," * No olvide digitar la variable Pueblos originarios. Digite Cero si no tiene.",IF(J126&gt;C126," * La variable Pueblos originarios No puede ser mayor al Total.",""))</f>
        <v/>
      </c>
      <c r="BQ126" s="1791" t="str">
        <f t="shared" ref="BQ126:BQ133" si="70">IF(AND(C126&gt;0,K126="")," * No olvide digitar la variable Migrantes. Digite Cero si no tiene.",IF(K126&gt;C126," * La variable Migrantes No puede ser mayor al Total.",""))</f>
        <v/>
      </c>
      <c r="BR126"/>
      <c r="BS126"/>
      <c r="BU126"/>
      <c r="BV126" s="1793">
        <f t="shared" ref="BV126:BV133" si="71">IF(AND(C126&gt;0,J126=""),1,IF(J126&gt;C126,1,0))</f>
        <v>0</v>
      </c>
      <c r="BW126" s="1793">
        <f t="shared" ref="BW126:BW133" si="72">IF(AND(C126&gt;0,K126=""),1,IF(K126&gt;C126,1,0))</f>
        <v>0</v>
      </c>
    </row>
    <row r="127" spans="1:76" ht="15" customHeight="1" x14ac:dyDescent="0.25">
      <c r="A127" s="6819"/>
      <c r="B127" s="322" t="s">
        <v>1860</v>
      </c>
      <c r="C127" s="2184">
        <f>SUM(D127:H127)</f>
        <v>0</v>
      </c>
      <c r="D127" s="4643"/>
      <c r="E127" s="4644"/>
      <c r="F127" s="4644"/>
      <c r="G127" s="4644"/>
      <c r="H127" s="4645"/>
      <c r="I127" s="4629"/>
      <c r="J127" s="4623"/>
      <c r="K127" s="4624"/>
      <c r="L127" t="str">
        <f t="shared" si="68"/>
        <v/>
      </c>
      <c r="BO127" s="170"/>
      <c r="BP127" s="1791" t="str">
        <f t="shared" si="69"/>
        <v/>
      </c>
      <c r="BQ127" s="1791" t="str">
        <f t="shared" si="70"/>
        <v/>
      </c>
      <c r="BR127"/>
      <c r="BS127"/>
      <c r="BU127"/>
      <c r="BV127" s="1793">
        <f t="shared" si="71"/>
        <v>0</v>
      </c>
      <c r="BW127" s="1793">
        <f t="shared" si="72"/>
        <v>0</v>
      </c>
    </row>
    <row r="128" spans="1:76" ht="23.25" customHeight="1" x14ac:dyDescent="0.25">
      <c r="A128" s="6820" t="s">
        <v>1861</v>
      </c>
      <c r="B128" s="2185" t="s">
        <v>1862</v>
      </c>
      <c r="C128" s="2186">
        <f>SUM(I128)</f>
        <v>0</v>
      </c>
      <c r="D128" s="4646"/>
      <c r="E128" s="2187"/>
      <c r="F128" s="2187"/>
      <c r="G128" s="2187"/>
      <c r="H128" s="4647"/>
      <c r="I128" s="4630"/>
      <c r="J128" s="4625"/>
      <c r="K128" s="4626"/>
      <c r="L128" t="str">
        <f t="shared" si="68"/>
        <v/>
      </c>
      <c r="BO128" s="2554" t="str">
        <f>IF(AND(C128&gt;0,I128="")," * No olvide digitar la variable Gestantes. Digite Cero si no tiene.",IF(I128&gt;C128,"  * La variable Pueblos Gestantes No puede ser mayor al Total.",""))</f>
        <v/>
      </c>
      <c r="BP128" s="1791" t="str">
        <f t="shared" si="69"/>
        <v/>
      </c>
      <c r="BQ128" s="1791" t="str">
        <f t="shared" si="70"/>
        <v/>
      </c>
      <c r="BR128"/>
      <c r="BS128"/>
      <c r="BU128" s="1791">
        <f>IF(AND(C128&gt;0,I128=""),1,IF(I128&gt;C128,1,0))</f>
        <v>0</v>
      </c>
      <c r="BV128" s="1793">
        <f t="shared" si="71"/>
        <v>0</v>
      </c>
      <c r="BW128" s="1793">
        <f t="shared" si="72"/>
        <v>0</v>
      </c>
    </row>
    <row r="129" spans="1:76" ht="25.5" customHeight="1" x14ac:dyDescent="0.25">
      <c r="A129" s="6819"/>
      <c r="B129" s="2188" t="s">
        <v>1863</v>
      </c>
      <c r="C129" s="2184">
        <f>SUM(D129:H129)</f>
        <v>0</v>
      </c>
      <c r="D129" s="4648"/>
      <c r="E129" s="2189"/>
      <c r="F129" s="2189"/>
      <c r="G129" s="2189"/>
      <c r="H129" s="4649"/>
      <c r="I129" s="4631"/>
      <c r="J129" s="4623"/>
      <c r="K129" s="4624"/>
      <c r="L129" t="str">
        <f t="shared" si="68"/>
        <v/>
      </c>
      <c r="BO129" s="170"/>
      <c r="BP129" s="1791" t="str">
        <f t="shared" si="69"/>
        <v/>
      </c>
      <c r="BQ129" s="1791" t="str">
        <f t="shared" si="70"/>
        <v/>
      </c>
      <c r="BR129"/>
      <c r="BS129"/>
      <c r="BU129"/>
      <c r="BV129" s="1793">
        <f t="shared" si="71"/>
        <v>0</v>
      </c>
      <c r="BW129" s="1793">
        <f t="shared" si="72"/>
        <v>0</v>
      </c>
    </row>
    <row r="130" spans="1:76" ht="15" customHeight="1" x14ac:dyDescent="0.25">
      <c r="A130" s="6455" t="s">
        <v>1864</v>
      </c>
      <c r="B130" s="2028" t="s">
        <v>74</v>
      </c>
      <c r="C130" s="2190">
        <f>SUM(D130:I130)</f>
        <v>0</v>
      </c>
      <c r="D130" s="4650"/>
      <c r="E130" s="4651"/>
      <c r="F130" s="4651"/>
      <c r="G130" s="4651"/>
      <c r="H130" s="4640"/>
      <c r="I130" s="4632"/>
      <c r="J130" s="4627"/>
      <c r="K130" s="4628"/>
      <c r="L130" t="str">
        <f>BO130&amp;BP130&amp;BQ130</f>
        <v/>
      </c>
      <c r="BO130" s="1791" t="str">
        <f>IF(AND(C130&gt;0,I130="")," * No olvide digitar la variable Gestantes. Digite Cero si no tiene.",IF(I130&gt;C130," * La variable Gestantes No puede ser mayor al Total.",""))</f>
        <v/>
      </c>
      <c r="BP130" s="1791" t="str">
        <f t="shared" si="69"/>
        <v/>
      </c>
      <c r="BQ130" s="1791" t="str">
        <f t="shared" si="70"/>
        <v/>
      </c>
      <c r="BR130" t="str">
        <f>IF(AND(C130&gt;0,I130="")," * No olvide digitar la variable Gestantes. Digite Cero si no tiene.",IF(I130&gt;C130," * La variable Gestantes No puede ser mayor al Total.",""))</f>
        <v/>
      </c>
      <c r="BS130"/>
      <c r="BU130"/>
      <c r="BV130" s="1793">
        <f t="shared" si="71"/>
        <v>0</v>
      </c>
      <c r="BW130" s="1793">
        <f t="shared" si="72"/>
        <v>0</v>
      </c>
      <c r="BX130" s="1793">
        <f>IF(AND(C130&gt;0,I130=""),1,IF(I130&gt;C130,1,0))</f>
        <v>0</v>
      </c>
    </row>
    <row r="131" spans="1:76" ht="15" customHeight="1" x14ac:dyDescent="0.25">
      <c r="A131" s="6455"/>
      <c r="B131" s="2028" t="s">
        <v>77</v>
      </c>
      <c r="C131" s="2190">
        <f>SUM(D131:I131)</f>
        <v>0</v>
      </c>
      <c r="D131" s="4650"/>
      <c r="E131" s="4651"/>
      <c r="F131" s="4651"/>
      <c r="G131" s="4651"/>
      <c r="H131" s="4652"/>
      <c r="I131" s="4632"/>
      <c r="J131" s="4627"/>
      <c r="K131" s="4628"/>
      <c r="L131" t="str">
        <f t="shared" ref="L131:L133" si="73">BO131&amp;BP131&amp;BQ131</f>
        <v/>
      </c>
      <c r="BO131" s="1791" t="str">
        <f t="shared" ref="BO131:BO133" si="74">IF(AND(C131&gt;0,I131="")," * No olvide digitar la variable Gestantes. Digite Cero si no tiene.",IF(I131&gt;C131," * La variable Gestantes No puede ser mayor al Total.",""))</f>
        <v/>
      </c>
      <c r="BP131" s="1791" t="str">
        <f t="shared" si="69"/>
        <v/>
      </c>
      <c r="BQ131" s="1791" t="str">
        <f t="shared" si="70"/>
        <v/>
      </c>
      <c r="BR131"/>
      <c r="BS131"/>
      <c r="BU131"/>
      <c r="BV131" s="1793">
        <f t="shared" si="71"/>
        <v>0</v>
      </c>
      <c r="BW131" s="1793">
        <f t="shared" si="72"/>
        <v>0</v>
      </c>
      <c r="BX131" s="1793">
        <f t="shared" ref="BX131:BX133" si="75">IF(AND(C131&gt;0,I131=""),1,IF(I131&gt;C131,1,0))</f>
        <v>0</v>
      </c>
    </row>
    <row r="132" spans="1:76" ht="15" customHeight="1" x14ac:dyDescent="0.25">
      <c r="A132" s="6455"/>
      <c r="B132" s="2191" t="s">
        <v>76</v>
      </c>
      <c r="C132" s="2190">
        <f>SUM(D132:I132)</f>
        <v>0</v>
      </c>
      <c r="D132" s="4641"/>
      <c r="E132" s="4642"/>
      <c r="F132" s="4642"/>
      <c r="G132" s="4642"/>
      <c r="H132" s="4618"/>
      <c r="I132" s="4633"/>
      <c r="J132" s="4621"/>
      <c r="K132" s="4622"/>
      <c r="L132" t="str">
        <f t="shared" si="73"/>
        <v/>
      </c>
      <c r="BO132" s="1791" t="str">
        <f t="shared" si="74"/>
        <v/>
      </c>
      <c r="BP132" s="1791" t="str">
        <f t="shared" si="69"/>
        <v/>
      </c>
      <c r="BQ132" s="1791" t="str">
        <f t="shared" si="70"/>
        <v/>
      </c>
      <c r="BR132"/>
      <c r="BS132"/>
      <c r="BU132"/>
      <c r="BV132" s="1793">
        <f t="shared" si="71"/>
        <v>0</v>
      </c>
      <c r="BW132" s="1793">
        <f t="shared" si="72"/>
        <v>0</v>
      </c>
      <c r="BX132" s="1793">
        <f t="shared" si="75"/>
        <v>0</v>
      </c>
    </row>
    <row r="133" spans="1:76" ht="15" customHeight="1" x14ac:dyDescent="0.25">
      <c r="A133" s="6819"/>
      <c r="B133" s="119" t="s">
        <v>1797</v>
      </c>
      <c r="C133" s="150">
        <f>SUM(D133:I133)</f>
        <v>0</v>
      </c>
      <c r="D133" s="4643"/>
      <c r="E133" s="4644"/>
      <c r="F133" s="4644"/>
      <c r="G133" s="4644"/>
      <c r="H133" s="4645"/>
      <c r="I133" s="4634"/>
      <c r="J133" s="4623"/>
      <c r="K133" s="4624"/>
      <c r="L133" t="str">
        <f t="shared" si="73"/>
        <v/>
      </c>
      <c r="BO133" s="1791" t="str">
        <f t="shared" si="74"/>
        <v/>
      </c>
      <c r="BP133" s="1791" t="str">
        <f t="shared" si="69"/>
        <v/>
      </c>
      <c r="BQ133" s="1791" t="str">
        <f t="shared" si="70"/>
        <v/>
      </c>
      <c r="BR133"/>
      <c r="BS133"/>
      <c r="BU133"/>
      <c r="BV133" s="1793">
        <f t="shared" si="71"/>
        <v>0</v>
      </c>
      <c r="BW133" s="1793">
        <f t="shared" si="72"/>
        <v>0</v>
      </c>
      <c r="BX133" s="1793">
        <f t="shared" si="75"/>
        <v>0</v>
      </c>
    </row>
    <row r="134" spans="1:76" ht="18" customHeight="1" x14ac:dyDescent="0.25">
      <c r="A134" s="14" t="s">
        <v>1865</v>
      </c>
      <c r="AN134" s="2585"/>
      <c r="AO134" s="2585"/>
      <c r="BO134"/>
      <c r="BP134"/>
      <c r="BQ134"/>
      <c r="BR134"/>
      <c r="BS134"/>
      <c r="BU134"/>
      <c r="BV134"/>
      <c r="BW134"/>
    </row>
    <row r="135" spans="1:76" ht="15" customHeight="1" x14ac:dyDescent="0.25">
      <c r="A135" s="6821" t="s">
        <v>61</v>
      </c>
      <c r="B135" s="6821" t="s">
        <v>1866</v>
      </c>
      <c r="C135" s="6824" t="s">
        <v>26</v>
      </c>
      <c r="D135" s="6809" t="s">
        <v>22</v>
      </c>
      <c r="E135" s="6812" t="s">
        <v>27</v>
      </c>
      <c r="F135" s="6815" t="s">
        <v>30</v>
      </c>
      <c r="G135" s="6816"/>
      <c r="H135" s="6816"/>
      <c r="I135" s="6816"/>
      <c r="J135" s="6816"/>
      <c r="K135" s="6816"/>
      <c r="L135" s="6816"/>
      <c r="M135" s="6816"/>
      <c r="N135" s="6816"/>
      <c r="O135" s="6816"/>
      <c r="P135" s="6816"/>
      <c r="Q135" s="6816"/>
      <c r="R135" s="6816"/>
      <c r="S135" s="6816"/>
      <c r="T135" s="6816"/>
      <c r="U135" s="6816"/>
      <c r="V135" s="6816"/>
      <c r="W135" s="6816"/>
      <c r="X135" s="6816"/>
      <c r="Y135" s="6816"/>
      <c r="Z135" s="6816"/>
      <c r="AA135" s="6816"/>
      <c r="AB135" s="6816"/>
      <c r="AC135" s="6816"/>
      <c r="AD135" s="6816"/>
      <c r="AE135" s="6816"/>
      <c r="AF135" s="6816"/>
      <c r="AG135" s="6816"/>
      <c r="AH135" s="6816"/>
      <c r="AI135" s="6816"/>
      <c r="AJ135" s="6816"/>
      <c r="AK135" s="6816"/>
      <c r="AL135" s="6816"/>
      <c r="AM135" s="6817"/>
      <c r="AN135" s="6809" t="s">
        <v>2</v>
      </c>
      <c r="AO135" s="6812" t="s">
        <v>3</v>
      </c>
      <c r="BO135"/>
      <c r="BP135"/>
      <c r="BQ135"/>
      <c r="BR135"/>
      <c r="BS135"/>
      <c r="BU135"/>
      <c r="BV135"/>
      <c r="BW135"/>
    </row>
    <row r="136" spans="1:76" ht="15" customHeight="1" x14ac:dyDescent="0.25">
      <c r="A136" s="6822"/>
      <c r="B136" s="6822"/>
      <c r="C136" s="6825"/>
      <c r="D136" s="6810"/>
      <c r="E136" s="6813"/>
      <c r="F136" s="6807" t="s">
        <v>36</v>
      </c>
      <c r="G136" s="6808"/>
      <c r="H136" s="6807" t="s">
        <v>37</v>
      </c>
      <c r="I136" s="6808"/>
      <c r="J136" s="6807" t="s">
        <v>38</v>
      </c>
      <c r="K136" s="6808"/>
      <c r="L136" s="6807" t="s">
        <v>4</v>
      </c>
      <c r="M136" s="6808"/>
      <c r="N136" s="6807" t="s">
        <v>5</v>
      </c>
      <c r="O136" s="6808"/>
      <c r="P136" s="6828" t="s">
        <v>6</v>
      </c>
      <c r="Q136" s="6808"/>
      <c r="R136" s="6807" t="s">
        <v>7</v>
      </c>
      <c r="S136" s="6808"/>
      <c r="T136" s="6807" t="s">
        <v>8</v>
      </c>
      <c r="U136" s="6808"/>
      <c r="V136" s="6807" t="s">
        <v>9</v>
      </c>
      <c r="W136" s="6808"/>
      <c r="X136" s="6807" t="s">
        <v>10</v>
      </c>
      <c r="Y136" s="6808"/>
      <c r="Z136" s="6807" t="s">
        <v>11</v>
      </c>
      <c r="AA136" s="6808"/>
      <c r="AB136" s="6807" t="s">
        <v>18</v>
      </c>
      <c r="AC136" s="6808"/>
      <c r="AD136" s="6807" t="s">
        <v>19</v>
      </c>
      <c r="AE136" s="6808"/>
      <c r="AF136" s="6807" t="s">
        <v>20</v>
      </c>
      <c r="AG136" s="6808"/>
      <c r="AH136" s="6807" t="s">
        <v>70</v>
      </c>
      <c r="AI136" s="6808"/>
      <c r="AJ136" s="6807" t="s">
        <v>71</v>
      </c>
      <c r="AK136" s="6808"/>
      <c r="AL136" s="6807" t="s">
        <v>32</v>
      </c>
      <c r="AM136" s="6827"/>
      <c r="AN136" s="6810"/>
      <c r="AO136" s="6813"/>
      <c r="BO136"/>
      <c r="BP136"/>
      <c r="BQ136"/>
      <c r="BR136"/>
      <c r="BS136"/>
      <c r="BU136"/>
      <c r="BV136"/>
      <c r="BW136"/>
    </row>
    <row r="137" spans="1:76" ht="15" customHeight="1" x14ac:dyDescent="0.25">
      <c r="A137" s="6823"/>
      <c r="B137" s="6823"/>
      <c r="C137" s="6826"/>
      <c r="D137" s="6811"/>
      <c r="E137" s="6814"/>
      <c r="F137" s="2715" t="s">
        <v>51</v>
      </c>
      <c r="G137" s="2716" t="s">
        <v>27</v>
      </c>
      <c r="H137" s="2715" t="s">
        <v>51</v>
      </c>
      <c r="I137" s="2716" t="s">
        <v>27</v>
      </c>
      <c r="J137" s="2715" t="s">
        <v>51</v>
      </c>
      <c r="K137" s="2716" t="s">
        <v>27</v>
      </c>
      <c r="L137" s="2715" t="s">
        <v>51</v>
      </c>
      <c r="M137" s="2716" t="s">
        <v>27</v>
      </c>
      <c r="N137" s="2715" t="s">
        <v>51</v>
      </c>
      <c r="O137" s="2716" t="s">
        <v>27</v>
      </c>
      <c r="P137" s="2715" t="s">
        <v>51</v>
      </c>
      <c r="Q137" s="2716" t="s">
        <v>27</v>
      </c>
      <c r="R137" s="2715" t="s">
        <v>51</v>
      </c>
      <c r="S137" s="2716" t="s">
        <v>27</v>
      </c>
      <c r="T137" s="2715" t="s">
        <v>51</v>
      </c>
      <c r="U137" s="2716" t="s">
        <v>27</v>
      </c>
      <c r="V137" s="2715" t="s">
        <v>51</v>
      </c>
      <c r="W137" s="2716" t="s">
        <v>27</v>
      </c>
      <c r="X137" s="2715" t="s">
        <v>51</v>
      </c>
      <c r="Y137" s="2716" t="s">
        <v>27</v>
      </c>
      <c r="Z137" s="2715" t="s">
        <v>51</v>
      </c>
      <c r="AA137" s="2716" t="s">
        <v>27</v>
      </c>
      <c r="AB137" s="2715" t="s">
        <v>51</v>
      </c>
      <c r="AC137" s="2716" t="s">
        <v>27</v>
      </c>
      <c r="AD137" s="2715" t="s">
        <v>51</v>
      </c>
      <c r="AE137" s="2716" t="s">
        <v>27</v>
      </c>
      <c r="AF137" s="2715" t="s">
        <v>51</v>
      </c>
      <c r="AG137" s="2716" t="s">
        <v>27</v>
      </c>
      <c r="AH137" s="2715" t="s">
        <v>51</v>
      </c>
      <c r="AI137" s="2716" t="s">
        <v>27</v>
      </c>
      <c r="AJ137" s="2715" t="s">
        <v>51</v>
      </c>
      <c r="AK137" s="2716" t="s">
        <v>27</v>
      </c>
      <c r="AL137" s="2715" t="s">
        <v>51</v>
      </c>
      <c r="AM137" s="2717" t="s">
        <v>27</v>
      </c>
      <c r="AN137" s="6811"/>
      <c r="AO137" s="6814"/>
      <c r="BO137"/>
      <c r="BP137"/>
      <c r="BQ137"/>
      <c r="BR137"/>
      <c r="BS137"/>
      <c r="BU137"/>
      <c r="BV137"/>
      <c r="BW137"/>
    </row>
    <row r="138" spans="1:76" ht="15" customHeight="1" x14ac:dyDescent="0.25">
      <c r="A138" s="6795" t="s">
        <v>74</v>
      </c>
      <c r="B138" s="2192" t="s">
        <v>1867</v>
      </c>
      <c r="C138" s="2193">
        <f>SUM(D138:E138)</f>
        <v>0</v>
      </c>
      <c r="D138" s="2194">
        <f>+F138+H138+J138+L138+N138+P138+R138+T138+V138+X138+Z138+AB138+AD138+AF138+AH138+AJ138+AL138</f>
        <v>0</v>
      </c>
      <c r="E138" s="2195">
        <f>+G138+I138+K138+M138+O138+Q138+S138+U138+W138+Y138+AA138+AC138+AE138+AG138+AI138+AK138+AM138</f>
        <v>0</v>
      </c>
      <c r="F138" s="2196"/>
      <c r="G138" s="2197"/>
      <c r="H138" s="2196"/>
      <c r="I138" s="2197"/>
      <c r="J138" s="2196"/>
      <c r="K138" s="2197"/>
      <c r="L138" s="2196"/>
      <c r="M138" s="2197"/>
      <c r="N138" s="2196"/>
      <c r="O138" s="2197"/>
      <c r="P138" s="2196"/>
      <c r="Q138" s="2197"/>
      <c r="R138" s="2196"/>
      <c r="S138" s="2197"/>
      <c r="T138" s="2196"/>
      <c r="U138" s="2197"/>
      <c r="V138" s="2196"/>
      <c r="W138" s="2197"/>
      <c r="X138" s="2196"/>
      <c r="Y138" s="2197"/>
      <c r="Z138" s="2196"/>
      <c r="AA138" s="2197"/>
      <c r="AB138" s="2196"/>
      <c r="AC138" s="2197"/>
      <c r="AD138" s="2196"/>
      <c r="AE138" s="2197"/>
      <c r="AF138" s="2196"/>
      <c r="AG138" s="2197"/>
      <c r="AH138" s="2196"/>
      <c r="AI138" s="2197"/>
      <c r="AJ138" s="2196"/>
      <c r="AK138" s="2197"/>
      <c r="AL138" s="2196"/>
      <c r="AM138" s="2198"/>
      <c r="AN138" s="2199"/>
      <c r="AO138" s="2197"/>
      <c r="AP138" t="str">
        <f>BO138&amp;BP138</f>
        <v/>
      </c>
      <c r="BO138" s="2553" t="str">
        <f>IF(AND(C138&gt;0,AN138=""),"  * No olvide digitar la variable Pueblos originarios. Digite Cero si no tiene.",IF(AN138&gt;C138,"  * La variable Pueblos originarios No puede ser mayor al Total.",""))</f>
        <v/>
      </c>
      <c r="BP138" s="2553" t="str">
        <f>IF(AND(C138&gt;0,AO138=""),"  * No olvide digitar la variable Migrantes. Digite Cero si no tiene.",IF(AO138&gt;C138,"  * La variable Migrantes No puede ser mayor al Total.",""))</f>
        <v/>
      </c>
      <c r="BU138" s="1793">
        <f>IF(AND(C138&gt;0,AN138=""),1,IF(AN138&gt;C138,1,0))</f>
        <v>0</v>
      </c>
      <c r="BV138" s="1793">
        <f>IF(AND(C138&gt;0,AO138=""),1,IF(AO138&gt;C138,1,0))</f>
        <v>0</v>
      </c>
    </row>
    <row r="139" spans="1:76" ht="15" customHeight="1" x14ac:dyDescent="0.25">
      <c r="A139" s="6796"/>
      <c r="B139" s="1075" t="s">
        <v>1868</v>
      </c>
      <c r="C139" s="1123">
        <f>SUM(D139:E139)</f>
        <v>0</v>
      </c>
      <c r="D139" s="2200">
        <f t="shared" ref="D139:E151" si="76">+F139+H139+J139+L139+N139+P139+R139+T139+V139+X139+Z139+AB139+AD139+AF139+AH139+AJ139+AL139</f>
        <v>0</v>
      </c>
      <c r="E139" s="1769">
        <f t="shared" si="76"/>
        <v>0</v>
      </c>
      <c r="F139" s="2201"/>
      <c r="G139" s="1107"/>
      <c r="H139" s="2201"/>
      <c r="I139" s="1107"/>
      <c r="J139" s="2201"/>
      <c r="K139" s="1107"/>
      <c r="L139" s="2201"/>
      <c r="M139" s="1107"/>
      <c r="N139" s="2201"/>
      <c r="O139" s="1107"/>
      <c r="P139" s="2201"/>
      <c r="Q139" s="1107"/>
      <c r="R139" s="2201"/>
      <c r="S139" s="1107"/>
      <c r="T139" s="2201"/>
      <c r="U139" s="1107"/>
      <c r="V139" s="2201"/>
      <c r="W139" s="1107"/>
      <c r="X139" s="2201"/>
      <c r="Y139" s="1107"/>
      <c r="Z139" s="2201"/>
      <c r="AA139" s="1107"/>
      <c r="AB139" s="2201"/>
      <c r="AC139" s="1107"/>
      <c r="AD139" s="2201"/>
      <c r="AE139" s="1107"/>
      <c r="AF139" s="2201"/>
      <c r="AG139" s="1107"/>
      <c r="AH139" s="2201"/>
      <c r="AI139" s="1107"/>
      <c r="AJ139" s="2201"/>
      <c r="AK139" s="1107"/>
      <c r="AL139" s="2201"/>
      <c r="AM139" s="2202"/>
      <c r="AN139" s="1120"/>
      <c r="AO139" s="1107"/>
      <c r="AP139" t="str">
        <f t="shared" ref="AP139:AP151" si="77">BO139&amp;BP139</f>
        <v/>
      </c>
      <c r="BO139" s="2553" t="str">
        <f t="shared" ref="BO139:BO151" si="78">IF(AND(C139&gt;0,AN139=""),"  * No olvide digitar la variable Pueblos originarios. Digite Cero si no tiene.",IF(AN139&gt;C139,"  * La variable Pueblos originarios No puede ser mayor al Total.",""))</f>
        <v/>
      </c>
      <c r="BP139" s="2553" t="str">
        <f t="shared" ref="BP139:BP151" si="79">IF(AND(C139&gt;0,AO139=""),"  * No olvide digitar la variable Migrantes. Digite Cero si no tiene.",IF(AO139&gt;C139,"  * La variable Migrantes No puede ser mayor al Total.",""))</f>
        <v/>
      </c>
      <c r="BU139" s="1793">
        <f t="shared" ref="BU139:BU151" si="80">IF(AND(C139&gt;0,AN139=""),1,IF(AN139&gt;C139,1,0))</f>
        <v>0</v>
      </c>
      <c r="BV139" s="1793">
        <f t="shared" ref="BV139:BV151" si="81">IF(AND(C139&gt;0,AO139=""),1,IF(AO139&gt;C139,1,0))</f>
        <v>0</v>
      </c>
    </row>
    <row r="140" spans="1:76" ht="15" customHeight="1" x14ac:dyDescent="0.25">
      <c r="A140" s="6796"/>
      <c r="B140" s="1075" t="s">
        <v>1869</v>
      </c>
      <c r="C140" s="1123">
        <f t="shared" ref="C140:C151" si="82">SUM(D140:E140)</f>
        <v>0</v>
      </c>
      <c r="D140" s="2200">
        <f t="shared" si="76"/>
        <v>0</v>
      </c>
      <c r="E140" s="1769">
        <f t="shared" si="76"/>
        <v>0</v>
      </c>
      <c r="F140" s="1113"/>
      <c r="G140" s="8"/>
      <c r="H140" s="1113"/>
      <c r="I140" s="8"/>
      <c r="J140" s="1113"/>
      <c r="K140" s="8"/>
      <c r="L140" s="1113"/>
      <c r="M140" s="8"/>
      <c r="N140" s="1113"/>
      <c r="O140" s="8"/>
      <c r="P140" s="1113"/>
      <c r="Q140" s="8"/>
      <c r="R140" s="1113"/>
      <c r="S140" s="8"/>
      <c r="T140" s="1113"/>
      <c r="U140" s="8"/>
      <c r="V140" s="1113"/>
      <c r="W140" s="8"/>
      <c r="X140" s="1113"/>
      <c r="Y140" s="8"/>
      <c r="Z140" s="1113"/>
      <c r="AA140" s="8"/>
      <c r="AB140" s="1113"/>
      <c r="AC140" s="8"/>
      <c r="AD140" s="1113"/>
      <c r="AE140" s="8"/>
      <c r="AF140" s="1113"/>
      <c r="AG140" s="8"/>
      <c r="AH140" s="1113"/>
      <c r="AI140" s="8"/>
      <c r="AJ140" s="1113"/>
      <c r="AK140" s="8"/>
      <c r="AL140" s="1113"/>
      <c r="AM140" s="2203"/>
      <c r="AN140" s="2204"/>
      <c r="AO140" s="8"/>
      <c r="AP140" t="str">
        <f t="shared" si="77"/>
        <v/>
      </c>
      <c r="BO140" s="2553" t="str">
        <f t="shared" si="78"/>
        <v/>
      </c>
      <c r="BP140" s="2553" t="str">
        <f t="shared" si="79"/>
        <v/>
      </c>
      <c r="BU140" s="1793">
        <f t="shared" si="80"/>
        <v>0</v>
      </c>
      <c r="BV140" s="1793">
        <f t="shared" si="81"/>
        <v>0</v>
      </c>
    </row>
    <row r="141" spans="1:76" ht="15" customHeight="1" x14ac:dyDescent="0.25">
      <c r="A141" s="6796"/>
      <c r="B141" s="1075" t="s">
        <v>1870</v>
      </c>
      <c r="C141" s="1123">
        <f>SUM(D141:E141)</f>
        <v>0</v>
      </c>
      <c r="D141" s="2200">
        <f t="shared" si="76"/>
        <v>0</v>
      </c>
      <c r="E141" s="1769">
        <f t="shared" si="76"/>
        <v>0</v>
      </c>
      <c r="F141" s="1113"/>
      <c r="G141" s="8"/>
      <c r="H141" s="1113"/>
      <c r="I141" s="8"/>
      <c r="J141" s="1113"/>
      <c r="K141" s="8"/>
      <c r="L141" s="1113"/>
      <c r="M141" s="8"/>
      <c r="N141" s="1113"/>
      <c r="O141" s="8"/>
      <c r="P141" s="1113"/>
      <c r="Q141" s="8"/>
      <c r="R141" s="1113"/>
      <c r="S141" s="8"/>
      <c r="T141" s="1113"/>
      <c r="U141" s="8"/>
      <c r="V141" s="1113"/>
      <c r="W141" s="8"/>
      <c r="X141" s="1113"/>
      <c r="Y141" s="8"/>
      <c r="Z141" s="1113"/>
      <c r="AA141" s="8"/>
      <c r="AB141" s="1113"/>
      <c r="AC141" s="8"/>
      <c r="AD141" s="1113"/>
      <c r="AE141" s="8"/>
      <c r="AF141" s="1113"/>
      <c r="AG141" s="8"/>
      <c r="AH141" s="1113"/>
      <c r="AI141" s="8"/>
      <c r="AJ141" s="1113"/>
      <c r="AK141" s="8"/>
      <c r="AL141" s="1113"/>
      <c r="AM141" s="2203"/>
      <c r="AN141" s="2204"/>
      <c r="AO141" s="8"/>
      <c r="AP141" t="str">
        <f t="shared" si="77"/>
        <v/>
      </c>
      <c r="BO141" s="2553" t="str">
        <f t="shared" si="78"/>
        <v/>
      </c>
      <c r="BP141" s="2553" t="str">
        <f t="shared" si="79"/>
        <v/>
      </c>
      <c r="BU141" s="1793">
        <f t="shared" si="80"/>
        <v>0</v>
      </c>
      <c r="BV141" s="1793">
        <f t="shared" si="81"/>
        <v>0</v>
      </c>
    </row>
    <row r="142" spans="1:76" ht="15" customHeight="1" x14ac:dyDescent="0.25">
      <c r="A142" s="6796"/>
      <c r="B142" s="1075" t="s">
        <v>1871</v>
      </c>
      <c r="C142" s="1123">
        <f t="shared" si="82"/>
        <v>0</v>
      </c>
      <c r="D142" s="2200">
        <f t="shared" si="76"/>
        <v>0</v>
      </c>
      <c r="E142" s="1769">
        <f t="shared" si="76"/>
        <v>0</v>
      </c>
      <c r="F142" s="1113"/>
      <c r="G142" s="8"/>
      <c r="H142" s="1113"/>
      <c r="I142" s="8"/>
      <c r="J142" s="1113"/>
      <c r="K142" s="8"/>
      <c r="L142" s="1113"/>
      <c r="M142" s="8"/>
      <c r="N142" s="1113"/>
      <c r="O142" s="8"/>
      <c r="P142" s="1113"/>
      <c r="Q142" s="8"/>
      <c r="R142" s="1113"/>
      <c r="S142" s="8"/>
      <c r="T142" s="1113"/>
      <c r="U142" s="8"/>
      <c r="V142" s="1113"/>
      <c r="W142" s="8"/>
      <c r="X142" s="1113"/>
      <c r="Y142" s="8"/>
      <c r="Z142" s="1113"/>
      <c r="AA142" s="8"/>
      <c r="AB142" s="1113"/>
      <c r="AC142" s="8"/>
      <c r="AD142" s="1113"/>
      <c r="AE142" s="8"/>
      <c r="AF142" s="1113"/>
      <c r="AG142" s="8"/>
      <c r="AH142" s="1113"/>
      <c r="AI142" s="8"/>
      <c r="AJ142" s="1113"/>
      <c r="AK142" s="8"/>
      <c r="AL142" s="1113"/>
      <c r="AM142" s="2203"/>
      <c r="AN142" s="2204"/>
      <c r="AO142" s="8"/>
      <c r="AP142" t="str">
        <f t="shared" si="77"/>
        <v/>
      </c>
      <c r="BO142" s="2553" t="str">
        <f t="shared" si="78"/>
        <v/>
      </c>
      <c r="BP142" s="2553" t="str">
        <f t="shared" si="79"/>
        <v/>
      </c>
      <c r="BU142" s="1793">
        <f t="shared" si="80"/>
        <v>0</v>
      </c>
      <c r="BV142" s="1793">
        <f t="shared" si="81"/>
        <v>0</v>
      </c>
    </row>
    <row r="143" spans="1:76" ht="15" customHeight="1" x14ac:dyDescent="0.25">
      <c r="A143" s="6796"/>
      <c r="B143" s="1075" t="s">
        <v>1872</v>
      </c>
      <c r="C143" s="1123">
        <f t="shared" si="82"/>
        <v>0</v>
      </c>
      <c r="D143" s="2200">
        <f t="shared" si="76"/>
        <v>0</v>
      </c>
      <c r="E143" s="1769">
        <f t="shared" si="76"/>
        <v>0</v>
      </c>
      <c r="F143" s="9"/>
      <c r="G143" s="11"/>
      <c r="H143" s="9"/>
      <c r="I143" s="11"/>
      <c r="J143" s="9"/>
      <c r="K143" s="11"/>
      <c r="L143" s="9"/>
      <c r="M143" s="11"/>
      <c r="N143" s="9"/>
      <c r="O143" s="11"/>
      <c r="P143" s="9"/>
      <c r="Q143" s="11"/>
      <c r="R143" s="9"/>
      <c r="S143" s="11"/>
      <c r="T143" s="9"/>
      <c r="U143" s="11"/>
      <c r="V143" s="9"/>
      <c r="W143" s="11"/>
      <c r="X143" s="9"/>
      <c r="Y143" s="11"/>
      <c r="Z143" s="9"/>
      <c r="AA143" s="11"/>
      <c r="AB143" s="9"/>
      <c r="AC143" s="11"/>
      <c r="AD143" s="9"/>
      <c r="AE143" s="11"/>
      <c r="AF143" s="9"/>
      <c r="AG143" s="11"/>
      <c r="AH143" s="9"/>
      <c r="AI143" s="11"/>
      <c r="AJ143" s="9"/>
      <c r="AK143" s="11"/>
      <c r="AL143" s="9"/>
      <c r="AM143" s="1764"/>
      <c r="AN143" s="24"/>
      <c r="AO143" s="11"/>
      <c r="AP143" t="str">
        <f t="shared" si="77"/>
        <v/>
      </c>
      <c r="BO143" s="2553" t="str">
        <f t="shared" si="78"/>
        <v/>
      </c>
      <c r="BP143" s="2553" t="str">
        <f t="shared" si="79"/>
        <v/>
      </c>
      <c r="BU143" s="1793">
        <f t="shared" si="80"/>
        <v>0</v>
      </c>
      <c r="BV143" s="1793">
        <f t="shared" si="81"/>
        <v>0</v>
      </c>
    </row>
    <row r="144" spans="1:76" ht="15" customHeight="1" x14ac:dyDescent="0.25">
      <c r="A144" s="6796"/>
      <c r="B144" s="1075" t="s">
        <v>1873</v>
      </c>
      <c r="C144" s="1123">
        <f t="shared" si="82"/>
        <v>0</v>
      </c>
      <c r="D144" s="2200">
        <f t="shared" si="76"/>
        <v>0</v>
      </c>
      <c r="E144" s="1769">
        <f t="shared" si="76"/>
        <v>0</v>
      </c>
      <c r="F144" s="9"/>
      <c r="G144" s="11"/>
      <c r="H144" s="9"/>
      <c r="I144" s="11"/>
      <c r="J144" s="9"/>
      <c r="K144" s="11"/>
      <c r="L144" s="9"/>
      <c r="M144" s="11"/>
      <c r="N144" s="9"/>
      <c r="O144" s="11"/>
      <c r="P144" s="9"/>
      <c r="Q144" s="11"/>
      <c r="R144" s="9"/>
      <c r="S144" s="11"/>
      <c r="T144" s="9"/>
      <c r="U144" s="11"/>
      <c r="V144" s="9"/>
      <c r="W144" s="11"/>
      <c r="X144" s="9"/>
      <c r="Y144" s="11"/>
      <c r="Z144" s="9"/>
      <c r="AA144" s="11"/>
      <c r="AB144" s="9"/>
      <c r="AC144" s="11"/>
      <c r="AD144" s="9"/>
      <c r="AE144" s="11"/>
      <c r="AF144" s="9"/>
      <c r="AG144" s="11"/>
      <c r="AH144" s="9"/>
      <c r="AI144" s="11"/>
      <c r="AJ144" s="9"/>
      <c r="AK144" s="11"/>
      <c r="AL144" s="9"/>
      <c r="AM144" s="1764"/>
      <c r="AN144" s="24"/>
      <c r="AO144" s="11"/>
      <c r="AP144" t="str">
        <f t="shared" si="77"/>
        <v/>
      </c>
      <c r="BO144" s="2553" t="str">
        <f t="shared" si="78"/>
        <v/>
      </c>
      <c r="BP144" s="2553" t="str">
        <f t="shared" si="79"/>
        <v/>
      </c>
      <c r="BU144" s="1793">
        <f t="shared" si="80"/>
        <v>0</v>
      </c>
      <c r="BV144" s="1793">
        <f t="shared" si="81"/>
        <v>0</v>
      </c>
    </row>
    <row r="145" spans="1:75" ht="15" customHeight="1" x14ac:dyDescent="0.25">
      <c r="A145" s="6797"/>
      <c r="B145" s="150" t="s">
        <v>1874</v>
      </c>
      <c r="C145" s="1124">
        <f t="shared" si="82"/>
        <v>0</v>
      </c>
      <c r="D145" s="52">
        <f t="shared" si="76"/>
        <v>0</v>
      </c>
      <c r="E145" s="13">
        <f t="shared" si="76"/>
        <v>0</v>
      </c>
      <c r="F145" s="3"/>
      <c r="G145" s="12"/>
      <c r="H145" s="3"/>
      <c r="I145" s="12"/>
      <c r="J145" s="3"/>
      <c r="K145" s="12"/>
      <c r="L145" s="3"/>
      <c r="M145" s="12"/>
      <c r="N145" s="3"/>
      <c r="O145" s="12"/>
      <c r="P145" s="3"/>
      <c r="Q145" s="12"/>
      <c r="R145" s="3"/>
      <c r="S145" s="12"/>
      <c r="T145" s="3"/>
      <c r="U145" s="12"/>
      <c r="V145" s="3"/>
      <c r="W145" s="12"/>
      <c r="X145" s="3"/>
      <c r="Y145" s="12"/>
      <c r="Z145" s="3"/>
      <c r="AA145" s="12"/>
      <c r="AB145" s="3"/>
      <c r="AC145" s="12"/>
      <c r="AD145" s="3"/>
      <c r="AE145" s="12"/>
      <c r="AF145" s="3"/>
      <c r="AG145" s="12"/>
      <c r="AH145" s="3"/>
      <c r="AI145" s="12"/>
      <c r="AJ145" s="3"/>
      <c r="AK145" s="12"/>
      <c r="AL145" s="3"/>
      <c r="AM145" s="1766"/>
      <c r="AN145" s="21"/>
      <c r="AO145" s="12"/>
      <c r="AP145" t="str">
        <f t="shared" si="77"/>
        <v/>
      </c>
      <c r="BO145" s="2553" t="str">
        <f t="shared" si="78"/>
        <v/>
      </c>
      <c r="BP145" s="2553" t="str">
        <f t="shared" si="79"/>
        <v/>
      </c>
      <c r="BU145" s="1793">
        <f t="shared" si="80"/>
        <v>0</v>
      </c>
      <c r="BV145" s="1793">
        <f t="shared" si="81"/>
        <v>0</v>
      </c>
    </row>
    <row r="146" spans="1:75" ht="15" customHeight="1" x14ac:dyDescent="0.25">
      <c r="A146" s="6798" t="s">
        <v>76</v>
      </c>
      <c r="B146" s="2205" t="s">
        <v>1867</v>
      </c>
      <c r="C146" s="2206">
        <f t="shared" si="82"/>
        <v>0</v>
      </c>
      <c r="D146" s="2207">
        <f t="shared" si="76"/>
        <v>0</v>
      </c>
      <c r="E146" s="2208">
        <f t="shared" si="76"/>
        <v>0</v>
      </c>
      <c r="F146" s="2209"/>
      <c r="G146" s="2210"/>
      <c r="H146" s="2209"/>
      <c r="I146" s="2210"/>
      <c r="J146" s="2209"/>
      <c r="K146" s="2210"/>
      <c r="L146" s="2209"/>
      <c r="M146" s="2210"/>
      <c r="N146" s="2209"/>
      <c r="O146" s="2210"/>
      <c r="P146" s="2209"/>
      <c r="Q146" s="2210"/>
      <c r="R146" s="2209"/>
      <c r="S146" s="2210"/>
      <c r="T146" s="2209"/>
      <c r="U146" s="2210"/>
      <c r="V146" s="2209"/>
      <c r="W146" s="2210"/>
      <c r="X146" s="2209"/>
      <c r="Y146" s="2210"/>
      <c r="Z146" s="2209"/>
      <c r="AA146" s="2210"/>
      <c r="AB146" s="2209"/>
      <c r="AC146" s="2210"/>
      <c r="AD146" s="2209"/>
      <c r="AE146" s="2210"/>
      <c r="AF146" s="2209"/>
      <c r="AG146" s="2210"/>
      <c r="AH146" s="2209"/>
      <c r="AI146" s="2210"/>
      <c r="AJ146" s="2209"/>
      <c r="AK146" s="2210"/>
      <c r="AL146" s="2209"/>
      <c r="AM146" s="2211"/>
      <c r="AN146" s="2212"/>
      <c r="AO146" s="2210"/>
      <c r="AP146" t="str">
        <f t="shared" si="77"/>
        <v/>
      </c>
      <c r="BO146" s="2553" t="str">
        <f t="shared" si="78"/>
        <v/>
      </c>
      <c r="BP146" s="2553" t="str">
        <f t="shared" si="79"/>
        <v/>
      </c>
      <c r="BU146" s="1793">
        <f t="shared" si="80"/>
        <v>0</v>
      </c>
      <c r="BV146" s="1793">
        <f t="shared" si="81"/>
        <v>0</v>
      </c>
    </row>
    <row r="147" spans="1:75" ht="15" customHeight="1" x14ac:dyDescent="0.25">
      <c r="A147" s="6796"/>
      <c r="B147" s="1075" t="s">
        <v>1869</v>
      </c>
      <c r="C147" s="1123">
        <f t="shared" si="82"/>
        <v>0</v>
      </c>
      <c r="D147" s="2200">
        <f t="shared" si="76"/>
        <v>0</v>
      </c>
      <c r="E147" s="1769">
        <f>+G147+I147+K147+M147+O147+Q147+S147+U147+W147+Y147+AA147+AC147+AE147+AG147+AI147+AK147+AM147</f>
        <v>0</v>
      </c>
      <c r="F147" s="1113"/>
      <c r="G147" s="8"/>
      <c r="H147" s="1113"/>
      <c r="I147" s="8"/>
      <c r="J147" s="1113"/>
      <c r="K147" s="8"/>
      <c r="L147" s="1113"/>
      <c r="M147" s="8"/>
      <c r="N147" s="1113"/>
      <c r="O147" s="8"/>
      <c r="P147" s="1113"/>
      <c r="Q147" s="8"/>
      <c r="R147" s="1113"/>
      <c r="S147" s="8"/>
      <c r="T147" s="1113"/>
      <c r="U147" s="8"/>
      <c r="V147" s="1113"/>
      <c r="W147" s="8"/>
      <c r="X147" s="1113"/>
      <c r="Y147" s="8"/>
      <c r="Z147" s="1113"/>
      <c r="AA147" s="8"/>
      <c r="AB147" s="1113"/>
      <c r="AC147" s="8"/>
      <c r="AD147" s="1113"/>
      <c r="AE147" s="8"/>
      <c r="AF147" s="1113"/>
      <c r="AG147" s="8"/>
      <c r="AH147" s="1113"/>
      <c r="AI147" s="8"/>
      <c r="AJ147" s="1113"/>
      <c r="AK147" s="8"/>
      <c r="AL147" s="1113"/>
      <c r="AM147" s="2203"/>
      <c r="AN147" s="2204"/>
      <c r="AO147" s="8"/>
      <c r="AP147" t="str">
        <f t="shared" si="77"/>
        <v/>
      </c>
      <c r="BO147" s="2553" t="str">
        <f t="shared" si="78"/>
        <v/>
      </c>
      <c r="BP147" s="2553" t="str">
        <f t="shared" si="79"/>
        <v/>
      </c>
      <c r="BU147" s="1793">
        <f t="shared" si="80"/>
        <v>0</v>
      </c>
      <c r="BV147" s="1793">
        <f t="shared" si="81"/>
        <v>0</v>
      </c>
    </row>
    <row r="148" spans="1:75" ht="15" customHeight="1" x14ac:dyDescent="0.25">
      <c r="A148" s="6796"/>
      <c r="B148" s="1075" t="s">
        <v>1870</v>
      </c>
      <c r="C148" s="1123">
        <f>SUM(D148:E148)</f>
        <v>0</v>
      </c>
      <c r="D148" s="2200">
        <f t="shared" si="76"/>
        <v>0</v>
      </c>
      <c r="E148" s="1769">
        <f t="shared" si="76"/>
        <v>0</v>
      </c>
      <c r="F148" s="1113"/>
      <c r="G148" s="8"/>
      <c r="H148" s="1113"/>
      <c r="I148" s="8"/>
      <c r="J148" s="1113"/>
      <c r="K148" s="8"/>
      <c r="L148" s="1113"/>
      <c r="M148" s="8"/>
      <c r="N148" s="1113"/>
      <c r="O148" s="8"/>
      <c r="P148" s="1113"/>
      <c r="Q148" s="8"/>
      <c r="R148" s="1113"/>
      <c r="S148" s="8"/>
      <c r="T148" s="1113"/>
      <c r="U148" s="8"/>
      <c r="V148" s="1113"/>
      <c r="W148" s="8"/>
      <c r="X148" s="1113"/>
      <c r="Y148" s="8"/>
      <c r="Z148" s="1113"/>
      <c r="AA148" s="8"/>
      <c r="AB148" s="1113"/>
      <c r="AC148" s="8"/>
      <c r="AD148" s="1113"/>
      <c r="AE148" s="8"/>
      <c r="AF148" s="1113"/>
      <c r="AG148" s="8"/>
      <c r="AH148" s="1113"/>
      <c r="AI148" s="8"/>
      <c r="AJ148" s="1113"/>
      <c r="AK148" s="8"/>
      <c r="AL148" s="1113"/>
      <c r="AM148" s="2203"/>
      <c r="AN148" s="2204"/>
      <c r="AO148" s="8"/>
      <c r="AP148" t="str">
        <f t="shared" si="77"/>
        <v/>
      </c>
      <c r="BO148" s="2553" t="str">
        <f t="shared" si="78"/>
        <v/>
      </c>
      <c r="BP148" s="2553" t="str">
        <f t="shared" si="79"/>
        <v/>
      </c>
      <c r="BU148" s="1793">
        <f t="shared" si="80"/>
        <v>0</v>
      </c>
      <c r="BV148" s="1793">
        <f t="shared" si="81"/>
        <v>0</v>
      </c>
    </row>
    <row r="149" spans="1:75" ht="15" customHeight="1" x14ac:dyDescent="0.25">
      <c r="A149" s="6796"/>
      <c r="B149" s="1075" t="s">
        <v>1871</v>
      </c>
      <c r="C149" s="1123">
        <f t="shared" si="82"/>
        <v>0</v>
      </c>
      <c r="D149" s="2200">
        <f>+F149+H149+J149+L149+N149+P149+R149+T149+V149+X149+Z149+AB149+AD149+AF149+AH149+AJ149+AL149</f>
        <v>0</v>
      </c>
      <c r="E149" s="1769">
        <f t="shared" si="76"/>
        <v>0</v>
      </c>
      <c r="F149" s="1113"/>
      <c r="G149" s="8"/>
      <c r="H149" s="1113"/>
      <c r="I149" s="8"/>
      <c r="J149" s="1113"/>
      <c r="K149" s="8"/>
      <c r="L149" s="1113"/>
      <c r="M149" s="8"/>
      <c r="N149" s="1113"/>
      <c r="O149" s="8"/>
      <c r="P149" s="1113"/>
      <c r="Q149" s="8"/>
      <c r="R149" s="1113"/>
      <c r="S149" s="8"/>
      <c r="T149" s="1113"/>
      <c r="U149" s="8"/>
      <c r="V149" s="1113"/>
      <c r="W149" s="8"/>
      <c r="X149" s="1113"/>
      <c r="Y149" s="8"/>
      <c r="Z149" s="1113"/>
      <c r="AA149" s="8"/>
      <c r="AB149" s="1113"/>
      <c r="AC149" s="8"/>
      <c r="AD149" s="1113"/>
      <c r="AE149" s="8"/>
      <c r="AF149" s="1113"/>
      <c r="AG149" s="8"/>
      <c r="AH149" s="1113"/>
      <c r="AI149" s="8"/>
      <c r="AJ149" s="1113"/>
      <c r="AK149" s="8"/>
      <c r="AL149" s="1113"/>
      <c r="AM149" s="2203"/>
      <c r="AN149" s="2204"/>
      <c r="AO149" s="8"/>
      <c r="AP149" t="str">
        <f t="shared" si="77"/>
        <v/>
      </c>
      <c r="BO149" s="2553" t="str">
        <f t="shared" si="78"/>
        <v/>
      </c>
      <c r="BP149" s="2553" t="str">
        <f t="shared" si="79"/>
        <v/>
      </c>
      <c r="BU149" s="1793">
        <f t="shared" si="80"/>
        <v>0</v>
      </c>
      <c r="BV149" s="1793">
        <f t="shared" si="81"/>
        <v>0</v>
      </c>
    </row>
    <row r="150" spans="1:75" ht="15" customHeight="1" x14ac:dyDescent="0.25">
      <c r="A150" s="6796"/>
      <c r="B150" s="1075" t="s">
        <v>1872</v>
      </c>
      <c r="C150" s="1768">
        <f t="shared" si="82"/>
        <v>0</v>
      </c>
      <c r="D150" s="2213">
        <f t="shared" si="76"/>
        <v>0</v>
      </c>
      <c r="E150" s="2214">
        <f t="shared" si="76"/>
        <v>0</v>
      </c>
      <c r="F150" s="9"/>
      <c r="G150" s="11"/>
      <c r="H150" s="9"/>
      <c r="I150" s="11"/>
      <c r="J150" s="9"/>
      <c r="K150" s="11"/>
      <c r="L150" s="9"/>
      <c r="M150" s="11"/>
      <c r="N150" s="9"/>
      <c r="O150" s="11"/>
      <c r="P150" s="9"/>
      <c r="Q150" s="11"/>
      <c r="R150" s="9"/>
      <c r="S150" s="11"/>
      <c r="T150" s="9"/>
      <c r="U150" s="11"/>
      <c r="V150" s="9"/>
      <c r="W150" s="11"/>
      <c r="X150" s="9"/>
      <c r="Y150" s="11"/>
      <c r="Z150" s="9"/>
      <c r="AA150" s="11"/>
      <c r="AB150" s="9"/>
      <c r="AC150" s="11"/>
      <c r="AD150" s="9"/>
      <c r="AE150" s="11"/>
      <c r="AF150" s="9"/>
      <c r="AG150" s="11"/>
      <c r="AH150" s="9"/>
      <c r="AI150" s="11"/>
      <c r="AJ150" s="9"/>
      <c r="AK150" s="11"/>
      <c r="AL150" s="9"/>
      <c r="AM150" s="1764"/>
      <c r="AN150" s="24"/>
      <c r="AO150" s="11"/>
      <c r="AP150" t="str">
        <f t="shared" si="77"/>
        <v/>
      </c>
      <c r="BO150" s="2553" t="str">
        <f t="shared" si="78"/>
        <v/>
      </c>
      <c r="BP150" s="2553" t="str">
        <f t="shared" si="79"/>
        <v/>
      </c>
      <c r="BU150" s="1793">
        <f t="shared" si="80"/>
        <v>0</v>
      </c>
      <c r="BV150" s="1793">
        <f t="shared" si="81"/>
        <v>0</v>
      </c>
    </row>
    <row r="151" spans="1:75" ht="15" customHeight="1" x14ac:dyDescent="0.25">
      <c r="A151" s="6797"/>
      <c r="B151" s="150" t="s">
        <v>1874</v>
      </c>
      <c r="C151" s="1124">
        <f t="shared" si="82"/>
        <v>0</v>
      </c>
      <c r="D151" s="52">
        <f t="shared" si="76"/>
        <v>0</v>
      </c>
      <c r="E151" s="13">
        <f t="shared" si="76"/>
        <v>0</v>
      </c>
      <c r="F151" s="3"/>
      <c r="G151" s="12"/>
      <c r="H151" s="3"/>
      <c r="I151" s="12"/>
      <c r="J151" s="3"/>
      <c r="K151" s="12"/>
      <c r="L151" s="3"/>
      <c r="M151" s="12"/>
      <c r="N151" s="3"/>
      <c r="O151" s="12"/>
      <c r="P151" s="3"/>
      <c r="Q151" s="12"/>
      <c r="R151" s="3"/>
      <c r="S151" s="12"/>
      <c r="T151" s="3"/>
      <c r="U151" s="12"/>
      <c r="V151" s="3"/>
      <c r="W151" s="12"/>
      <c r="X151" s="3"/>
      <c r="Y151" s="12"/>
      <c r="Z151" s="3"/>
      <c r="AA151" s="12"/>
      <c r="AB151" s="3"/>
      <c r="AC151" s="12"/>
      <c r="AD151" s="3"/>
      <c r="AE151" s="12"/>
      <c r="AF151" s="3"/>
      <c r="AG151" s="12"/>
      <c r="AH151" s="3"/>
      <c r="AI151" s="12"/>
      <c r="AJ151" s="3"/>
      <c r="AK151" s="12"/>
      <c r="AL151" s="3"/>
      <c r="AM151" s="1766"/>
      <c r="AN151" s="21"/>
      <c r="AO151" s="12"/>
      <c r="AP151" t="str">
        <f t="shared" si="77"/>
        <v/>
      </c>
      <c r="BO151" s="2553" t="str">
        <f t="shared" si="78"/>
        <v/>
      </c>
      <c r="BP151" s="2553" t="str">
        <f t="shared" si="79"/>
        <v/>
      </c>
      <c r="BU151" s="1793">
        <f t="shared" si="80"/>
        <v>0</v>
      </c>
      <c r="BV151" s="1793">
        <f t="shared" si="81"/>
        <v>0</v>
      </c>
    </row>
    <row r="152" spans="1:75" ht="18" customHeight="1" x14ac:dyDescent="0.25">
      <c r="A152" s="122" t="s">
        <v>1875</v>
      </c>
      <c r="B152" s="2718"/>
      <c r="C152" s="2718"/>
      <c r="D152" s="2718"/>
      <c r="E152" s="2718"/>
      <c r="F152" s="2718"/>
      <c r="G152" s="2718"/>
      <c r="H152" s="2718"/>
      <c r="I152" s="2718"/>
      <c r="J152" s="2718"/>
      <c r="K152" s="2718"/>
      <c r="L152" s="2718"/>
      <c r="M152" s="2718"/>
      <c r="N152" s="2718"/>
      <c r="O152" s="2718"/>
      <c r="P152" s="632"/>
      <c r="Q152" s="782"/>
      <c r="R152" s="782"/>
      <c r="S152" s="782"/>
      <c r="T152" s="782"/>
      <c r="U152" s="782"/>
      <c r="BO152"/>
      <c r="BP152"/>
      <c r="BQ152"/>
      <c r="BR152"/>
      <c r="BS152"/>
      <c r="BU152"/>
      <c r="BV152"/>
      <c r="BW152"/>
    </row>
    <row r="153" spans="1:75" ht="15" customHeight="1" x14ac:dyDescent="0.25">
      <c r="A153" s="6799" t="s">
        <v>1876</v>
      </c>
      <c r="B153" s="6801" t="s">
        <v>24</v>
      </c>
      <c r="C153" s="6803" t="s">
        <v>12</v>
      </c>
      <c r="D153" s="6804"/>
      <c r="E153" s="6804"/>
      <c r="F153" s="6804"/>
      <c r="G153" s="6804"/>
      <c r="H153" s="6804"/>
      <c r="I153" s="6804"/>
      <c r="J153" s="6804"/>
      <c r="K153" s="6804"/>
      <c r="L153" s="6804"/>
      <c r="M153" s="6804"/>
      <c r="N153" s="6804"/>
      <c r="O153" s="6804"/>
      <c r="P153" s="6804"/>
      <c r="Q153" s="6804"/>
      <c r="R153" s="6804"/>
      <c r="S153" s="6805"/>
      <c r="T153" s="6806" t="s">
        <v>2</v>
      </c>
      <c r="U153" s="6794" t="s">
        <v>3</v>
      </c>
      <c r="BO153"/>
      <c r="BP153"/>
      <c r="BQ153"/>
      <c r="BR153"/>
      <c r="BS153"/>
      <c r="BU153"/>
      <c r="BV153"/>
      <c r="BW153"/>
    </row>
    <row r="154" spans="1:75" ht="15" customHeight="1" x14ac:dyDescent="0.25">
      <c r="A154" s="6800"/>
      <c r="B154" s="6802"/>
      <c r="C154" s="2720" t="s">
        <v>36</v>
      </c>
      <c r="D154" s="2721" t="s">
        <v>37</v>
      </c>
      <c r="E154" s="2721" t="s">
        <v>554</v>
      </c>
      <c r="F154" s="2721" t="s">
        <v>4</v>
      </c>
      <c r="G154" s="2721" t="s">
        <v>559</v>
      </c>
      <c r="H154" s="2721" t="s">
        <v>6</v>
      </c>
      <c r="I154" s="2721" t="s">
        <v>561</v>
      </c>
      <c r="J154" s="2721" t="s">
        <v>8</v>
      </c>
      <c r="K154" s="2721" t="s">
        <v>563</v>
      </c>
      <c r="L154" s="2721" t="s">
        <v>10</v>
      </c>
      <c r="M154" s="2721" t="s">
        <v>1877</v>
      </c>
      <c r="N154" s="2721" t="s">
        <v>18</v>
      </c>
      <c r="O154" s="2721" t="s">
        <v>19</v>
      </c>
      <c r="P154" s="2721" t="s">
        <v>20</v>
      </c>
      <c r="Q154" s="2721" t="s">
        <v>70</v>
      </c>
      <c r="R154" s="2721" t="s">
        <v>71</v>
      </c>
      <c r="S154" s="2719" t="s">
        <v>32</v>
      </c>
      <c r="T154" s="6806"/>
      <c r="U154" s="6794"/>
      <c r="BO154"/>
      <c r="BP154"/>
      <c r="BQ154"/>
      <c r="BR154"/>
      <c r="BS154"/>
      <c r="BU154"/>
      <c r="BV154"/>
      <c r="BW154"/>
    </row>
    <row r="155" spans="1:75" ht="22.5" customHeight="1" x14ac:dyDescent="0.25">
      <c r="A155" s="2215" t="s">
        <v>1878</v>
      </c>
      <c r="B155" s="2216">
        <f>SUM(C155:S155)</f>
        <v>0</v>
      </c>
      <c r="C155" s="114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774"/>
      <c r="T155" s="121"/>
      <c r="U155" s="153"/>
      <c r="V155" t="str">
        <f>BO155&amp;BP155</f>
        <v/>
      </c>
      <c r="BO155" s="2553" t="str">
        <f>IF(AND(B155&gt;0,T155=""),"  * No olvide digitar la variable Pueblos originarios. Digite Cero si no tiene.",IF(T155&gt;B155," * La variable Pueblos originarios No puede ser mayor al Total.",""))</f>
        <v/>
      </c>
      <c r="BP155" s="2553" t="str">
        <f>IF(AND(B155&gt;0,U155=""),"  * No olvide digitar la variable Migrantes. Digite Cero si no tiene.",IF(U155&gt;B155," * La variable Migrantes No puede ser mayor al Total.",""))</f>
        <v/>
      </c>
      <c r="BU155" s="1793">
        <f>IF(AND(B155&gt;0,T155=""),1,IF(T155&gt;B155,1,0))</f>
        <v>0</v>
      </c>
      <c r="BV155" s="1793">
        <f>IF(AND(B155&gt;0,U155=""),1,IF(U155&gt;B155,1,0))</f>
        <v>0</v>
      </c>
    </row>
    <row r="156" spans="1:75" x14ac:dyDescent="0.25">
      <c r="BO156"/>
      <c r="BP156"/>
      <c r="BQ156"/>
      <c r="BR156"/>
      <c r="BS156"/>
      <c r="BU156"/>
      <c r="BV156"/>
      <c r="BW156"/>
    </row>
    <row r="157" spans="1:75" x14ac:dyDescent="0.25">
      <c r="BO157"/>
      <c r="BP157"/>
      <c r="BQ157"/>
      <c r="BR157"/>
      <c r="BS157"/>
      <c r="BU157"/>
      <c r="BV157"/>
      <c r="BW157"/>
    </row>
    <row r="158" spans="1:75" x14ac:dyDescent="0.25">
      <c r="BO158"/>
      <c r="BP158"/>
      <c r="BQ158"/>
      <c r="BR158"/>
      <c r="BS158"/>
      <c r="BU158"/>
      <c r="BV158"/>
      <c r="BW158"/>
    </row>
    <row r="159" spans="1:75" x14ac:dyDescent="0.25">
      <c r="BO159"/>
      <c r="BP159"/>
      <c r="BQ159"/>
      <c r="BR159"/>
      <c r="BS159"/>
      <c r="BU159"/>
      <c r="BV159"/>
      <c r="BW159"/>
    </row>
    <row r="160" spans="1:75" x14ac:dyDescent="0.25">
      <c r="BO160"/>
      <c r="BP160"/>
      <c r="BQ160"/>
      <c r="BR160"/>
      <c r="BS160"/>
      <c r="BU160"/>
      <c r="BV160"/>
      <c r="BW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spans="1:75" x14ac:dyDescent="0.25">
      <c r="BO193"/>
      <c r="BP193"/>
      <c r="BQ193"/>
      <c r="BR193"/>
      <c r="BS193"/>
      <c r="BU193"/>
      <c r="BV193"/>
      <c r="BW193"/>
    </row>
    <row r="194" spans="1:75" x14ac:dyDescent="0.25">
      <c r="BO194"/>
      <c r="BP194"/>
      <c r="BQ194"/>
      <c r="BR194"/>
      <c r="BS194"/>
      <c r="BU194"/>
      <c r="BV194"/>
      <c r="BW194"/>
    </row>
    <row r="195" spans="1:75" x14ac:dyDescent="0.25">
      <c r="BO195"/>
      <c r="BP195"/>
      <c r="BQ195"/>
      <c r="BR195"/>
      <c r="BS195"/>
      <c r="BU195"/>
      <c r="BV195"/>
      <c r="BW195"/>
    </row>
    <row r="196" spans="1:75" x14ac:dyDescent="0.25">
      <c r="BO196"/>
      <c r="BP196"/>
      <c r="BQ196"/>
      <c r="BR196"/>
      <c r="BS196"/>
      <c r="BU196"/>
      <c r="BV196"/>
      <c r="BW196"/>
    </row>
    <row r="197" spans="1:75" x14ac:dyDescent="0.25">
      <c r="BO197"/>
      <c r="BP197"/>
      <c r="BQ197"/>
      <c r="BR197"/>
      <c r="BS197"/>
      <c r="BU197"/>
      <c r="BV197"/>
      <c r="BW197"/>
    </row>
    <row r="198" spans="1:75" x14ac:dyDescent="0.25">
      <c r="BO198"/>
      <c r="BP198"/>
      <c r="BQ198"/>
      <c r="BR198"/>
      <c r="BS198"/>
      <c r="BU198"/>
      <c r="BV198"/>
      <c r="BW198"/>
    </row>
    <row r="199" spans="1:75" x14ac:dyDescent="0.25">
      <c r="BO199"/>
      <c r="BP199"/>
      <c r="BQ199"/>
      <c r="BR199"/>
      <c r="BS199"/>
      <c r="BU199"/>
      <c r="BV199"/>
      <c r="BW199"/>
    </row>
    <row r="200" spans="1:75" hidden="1" x14ac:dyDescent="0.25">
      <c r="A200" s="4600">
        <f>SUM(B12:B26,B31:B46,B50:B51,B56:B61,B64:B65,B68:B75,B79,C84:C87,B92:B96,B98:B100,B108:R108,B112:M114,B119:B121,C125:C133,C138:C151,B155)</f>
        <v>0</v>
      </c>
      <c r="B200" s="4574">
        <f>SUM(BU13:BY155)</f>
        <v>0</v>
      </c>
      <c r="BO200"/>
      <c r="BP200"/>
      <c r="BQ200"/>
      <c r="BR200"/>
      <c r="BS200"/>
      <c r="BU200"/>
      <c r="BV200"/>
      <c r="BW200"/>
    </row>
    <row r="201" spans="1:75" x14ac:dyDescent="0.25">
      <c r="BO201"/>
      <c r="BP201"/>
      <c r="BQ201"/>
      <c r="BR201"/>
      <c r="BS201"/>
      <c r="BU201"/>
      <c r="BV201"/>
      <c r="BW201"/>
    </row>
    <row r="202" spans="1:75" x14ac:dyDescent="0.25">
      <c r="BO202"/>
      <c r="BP202"/>
      <c r="BQ202"/>
      <c r="BR202"/>
      <c r="BS202"/>
      <c r="BU202"/>
      <c r="BV202"/>
      <c r="BW202"/>
    </row>
    <row r="203" spans="1:75" x14ac:dyDescent="0.25">
      <c r="BO203"/>
      <c r="BP203"/>
      <c r="BQ203"/>
      <c r="BR203"/>
      <c r="BS203"/>
      <c r="BU203"/>
      <c r="BV203"/>
      <c r="BW203"/>
    </row>
    <row r="204" spans="1:75" x14ac:dyDescent="0.25">
      <c r="BO204"/>
      <c r="BP204"/>
      <c r="BQ204"/>
      <c r="BR204"/>
      <c r="BS204"/>
      <c r="BU204"/>
      <c r="BV204"/>
      <c r="BW204"/>
    </row>
    <row r="205" spans="1:75" x14ac:dyDescent="0.25">
      <c r="BO205"/>
      <c r="BP205"/>
      <c r="BQ205"/>
      <c r="BR205"/>
      <c r="BS205"/>
      <c r="BU205"/>
      <c r="BV205"/>
      <c r="BW205"/>
    </row>
    <row r="206" spans="1:75" x14ac:dyDescent="0.25">
      <c r="BO206"/>
      <c r="BP206"/>
      <c r="BQ206"/>
      <c r="BR206"/>
      <c r="BS206"/>
      <c r="BU206"/>
      <c r="BV206"/>
      <c r="BW206"/>
    </row>
    <row r="207" spans="1:75" x14ac:dyDescent="0.25">
      <c r="BO207"/>
      <c r="BP207"/>
      <c r="BQ207"/>
      <c r="BR207"/>
      <c r="BS207"/>
      <c r="BU207"/>
      <c r="BV207"/>
      <c r="BW207"/>
    </row>
    <row r="208" spans="1:75" x14ac:dyDescent="0.25">
      <c r="BO208"/>
      <c r="BP208"/>
      <c r="BQ208"/>
      <c r="BR208"/>
      <c r="BS208"/>
      <c r="BU208"/>
      <c r="BV208"/>
      <c r="BW208"/>
    </row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</sheetData>
  <sheetProtection algorithmName="SHA-512" hashValue="Wx3jKDZMMtcdF3zmeGBjnlGtldaO9mrlPOfZ1QjPeMV1ynBxqyhdGbCzHPWOCnIJbuanYiJY0zNnH+mwBYCv0A==" saltValue="3vP4qtHnAPyFPWC0DkKpog==" spinCount="100000" sheet="1" objects="1" scenarios="1"/>
  <mergeCells count="202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E28:AN28"/>
    <mergeCell ref="AO28:AO30"/>
    <mergeCell ref="AP28:AP30"/>
    <mergeCell ref="S29:T29"/>
    <mergeCell ref="U29:V29"/>
    <mergeCell ref="W29:X29"/>
    <mergeCell ref="Y29:Z29"/>
    <mergeCell ref="W53:W55"/>
    <mergeCell ref="X53:X55"/>
    <mergeCell ref="E54:E55"/>
    <mergeCell ref="F54:F55"/>
    <mergeCell ref="G54:G55"/>
    <mergeCell ref="H54:H55"/>
    <mergeCell ref="I54:I55"/>
    <mergeCell ref="AM29:AN29"/>
    <mergeCell ref="A48:A49"/>
    <mergeCell ref="B48:B49"/>
    <mergeCell ref="C48:F48"/>
    <mergeCell ref="G48:J48"/>
    <mergeCell ref="K48:K49"/>
    <mergeCell ref="L48:L49"/>
    <mergeCell ref="M48:M49"/>
    <mergeCell ref="AA29:AB29"/>
    <mergeCell ref="AC29:AD29"/>
    <mergeCell ref="AE29:AF29"/>
    <mergeCell ref="AG29:AH29"/>
    <mergeCell ref="AI29:AJ29"/>
    <mergeCell ref="AK29:AL29"/>
    <mergeCell ref="V54:V55"/>
    <mergeCell ref="A28:A30"/>
    <mergeCell ref="B28:D29"/>
    <mergeCell ref="A77:A78"/>
    <mergeCell ref="B77:B78"/>
    <mergeCell ref="C77:S77"/>
    <mergeCell ref="T77:T78"/>
    <mergeCell ref="U77:U78"/>
    <mergeCell ref="P54:P55"/>
    <mergeCell ref="Q54:Q55"/>
    <mergeCell ref="R54:R55"/>
    <mergeCell ref="S54:S55"/>
    <mergeCell ref="T54:T55"/>
    <mergeCell ref="U54:U55"/>
    <mergeCell ref="J54:J55"/>
    <mergeCell ref="K54:K55"/>
    <mergeCell ref="L54:L55"/>
    <mergeCell ref="M54:M55"/>
    <mergeCell ref="N54:N55"/>
    <mergeCell ref="O54:O55"/>
    <mergeCell ref="A53:A55"/>
    <mergeCell ref="B53:D54"/>
    <mergeCell ref="E53:V53"/>
    <mergeCell ref="A80:G80"/>
    <mergeCell ref="A81:A83"/>
    <mergeCell ref="B81:B83"/>
    <mergeCell ref="C81:E82"/>
    <mergeCell ref="F81:AI81"/>
    <mergeCell ref="AJ81:AJ83"/>
    <mergeCell ref="R82:S82"/>
    <mergeCell ref="T82:U82"/>
    <mergeCell ref="V82:W82"/>
    <mergeCell ref="X82:Y82"/>
    <mergeCell ref="AF82:AG82"/>
    <mergeCell ref="AH82:AI82"/>
    <mergeCell ref="AK81:AK83"/>
    <mergeCell ref="AL81:AL83"/>
    <mergeCell ref="AM81:AM83"/>
    <mergeCell ref="AN81:AN83"/>
    <mergeCell ref="F82:G82"/>
    <mergeCell ref="H82:I82"/>
    <mergeCell ref="J82:K82"/>
    <mergeCell ref="L82:M82"/>
    <mergeCell ref="N82:O82"/>
    <mergeCell ref="P82:Q82"/>
    <mergeCell ref="A89:A90"/>
    <mergeCell ref="B89:B90"/>
    <mergeCell ref="C89:C90"/>
    <mergeCell ref="D89:D90"/>
    <mergeCell ref="E89:E90"/>
    <mergeCell ref="F89:F90"/>
    <mergeCell ref="Z82:AA82"/>
    <mergeCell ref="AB82:AC82"/>
    <mergeCell ref="AD82:AE82"/>
    <mergeCell ref="A85:A86"/>
    <mergeCell ref="G102:H103"/>
    <mergeCell ref="I102:J103"/>
    <mergeCell ref="K102:K104"/>
    <mergeCell ref="L102:N103"/>
    <mergeCell ref="O102:P103"/>
    <mergeCell ref="Q102:R103"/>
    <mergeCell ref="A91:F91"/>
    <mergeCell ref="A97:F97"/>
    <mergeCell ref="A101:F101"/>
    <mergeCell ref="A102:A104"/>
    <mergeCell ref="B102:D103"/>
    <mergeCell ref="E102:F103"/>
    <mergeCell ref="A110:A111"/>
    <mergeCell ref="B110:B111"/>
    <mergeCell ref="C110:L110"/>
    <mergeCell ref="M110:M111"/>
    <mergeCell ref="A116:A118"/>
    <mergeCell ref="B116:D117"/>
    <mergeCell ref="E116:AN116"/>
    <mergeCell ref="Q117:R117"/>
    <mergeCell ref="S117:T117"/>
    <mergeCell ref="U117:V117"/>
    <mergeCell ref="AO116:AO118"/>
    <mergeCell ref="AP116:AP118"/>
    <mergeCell ref="AQ116:AQ118"/>
    <mergeCell ref="AR116:AR118"/>
    <mergeCell ref="E117:F117"/>
    <mergeCell ref="G117:H117"/>
    <mergeCell ref="I117:J117"/>
    <mergeCell ref="K117:L117"/>
    <mergeCell ref="M117:N117"/>
    <mergeCell ref="O117:P117"/>
    <mergeCell ref="AI117:AJ117"/>
    <mergeCell ref="AK117:AL117"/>
    <mergeCell ref="AM117:AN117"/>
    <mergeCell ref="AC117:AD117"/>
    <mergeCell ref="AE117:AF117"/>
    <mergeCell ref="AG117:AH117"/>
    <mergeCell ref="A123:B124"/>
    <mergeCell ref="C123:C124"/>
    <mergeCell ref="D123:H123"/>
    <mergeCell ref="I123:I124"/>
    <mergeCell ref="J123:J124"/>
    <mergeCell ref="K123:K124"/>
    <mergeCell ref="W117:X117"/>
    <mergeCell ref="Y117:Z117"/>
    <mergeCell ref="AA117:AB117"/>
    <mergeCell ref="AN135:AN137"/>
    <mergeCell ref="AO135:AO137"/>
    <mergeCell ref="F136:G136"/>
    <mergeCell ref="H136:I136"/>
    <mergeCell ref="J136:K136"/>
    <mergeCell ref="L136:M136"/>
    <mergeCell ref="N136:O136"/>
    <mergeCell ref="A125:A127"/>
    <mergeCell ref="A128:A129"/>
    <mergeCell ref="A130:A133"/>
    <mergeCell ref="A135:A137"/>
    <mergeCell ref="B135:B137"/>
    <mergeCell ref="C135:C137"/>
    <mergeCell ref="AF136:AG136"/>
    <mergeCell ref="AH136:AI136"/>
    <mergeCell ref="AJ136:AK136"/>
    <mergeCell ref="AL136:AM136"/>
    <mergeCell ref="P136:Q136"/>
    <mergeCell ref="R136:S136"/>
    <mergeCell ref="T136:U136"/>
    <mergeCell ref="V136:W136"/>
    <mergeCell ref="X136:Y136"/>
    <mergeCell ref="Z136:AA136"/>
    <mergeCell ref="U153:U154"/>
    <mergeCell ref="A138:A145"/>
    <mergeCell ref="A146:A151"/>
    <mergeCell ref="A153:A154"/>
    <mergeCell ref="B153:B154"/>
    <mergeCell ref="C153:S153"/>
    <mergeCell ref="T153:T154"/>
    <mergeCell ref="AB136:AC136"/>
    <mergeCell ref="AD136:AE136"/>
    <mergeCell ref="D135:D137"/>
    <mergeCell ref="E135:E137"/>
    <mergeCell ref="F135:AM135"/>
  </mergeCells>
  <dataValidations count="2">
    <dataValidation type="whole" operator="greaterThanOrEqual" allowBlank="1" showInputMessage="1" showErrorMessage="1" errorTitle="Error" error="Favor Ingrese sólo Números." sqref="C50:M51 C60:X61 B64:B65 B67:B75 C79:U79 F84:AN87 C98:F100 B112:M114 E119:AR121 I130:K133 C155:U155 I129 D125:I128 D129:H133 J125:K129 C92:F96 C57:X58 B105:R107 E13:J17 E19:M21 E22:P26 K14:T17 N21:P21 E18:T18 Q21:T26 N19:T20 U14:AN26 K13:AN13 E31:AS46 AO13:AS26" xr:uid="{00000000-0002-0000-0400-000000000000}">
      <formula1>0</formula1>
    </dataValidation>
    <dataValidation type="whole" operator="greaterThanOrEqual" allowBlank="1" showInputMessage="1" showErrorMessage="1" sqref="F138:AO151" xr:uid="{00000000-0002-0000-0400-000001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CK463"/>
  <sheetViews>
    <sheetView showGridLines="0" zoomScaleNormal="100" workbookViewId="0"/>
  </sheetViews>
  <sheetFormatPr baseColWidth="10" defaultRowHeight="15" x14ac:dyDescent="0.25"/>
  <cols>
    <col min="1" max="1" width="31.5703125" customWidth="1"/>
    <col min="2" max="2" width="37.42578125" customWidth="1"/>
    <col min="3" max="3" width="12.140625" customWidth="1"/>
    <col min="14" max="14" width="12.7109375" customWidth="1"/>
    <col min="17" max="17" width="11.5703125" customWidth="1"/>
    <col min="18" max="18" width="12.85546875" customWidth="1"/>
    <col min="20" max="20" width="10.85546875" customWidth="1"/>
    <col min="21" max="21" width="12.42578125" customWidth="1"/>
    <col min="22" max="22" width="12.28515625" customWidth="1"/>
    <col min="35" max="35" width="10.7109375" customWidth="1"/>
    <col min="36" max="36" width="11.5703125" customWidth="1"/>
    <col min="37" max="37" width="10.42578125" customWidth="1"/>
    <col min="46" max="46" width="11.140625" customWidth="1"/>
    <col min="49" max="50" width="12.5703125" customWidth="1"/>
    <col min="66" max="67" width="11.42578125" customWidth="1"/>
    <col min="68" max="68" width="11.42578125" hidden="1" customWidth="1"/>
    <col min="69" max="76" width="11.42578125" style="1791" hidden="1" customWidth="1"/>
    <col min="77" max="77" width="11.42578125" hidden="1" customWidth="1"/>
    <col min="78" max="80" width="11.42578125" style="1793" hidden="1" customWidth="1"/>
    <col min="81" max="89" width="11.42578125" hidden="1" customWidth="1"/>
    <col min="90" max="97" width="0" hidden="1" customWidth="1"/>
  </cols>
  <sheetData>
    <row r="1" spans="1:84" x14ac:dyDescent="0.25">
      <c r="A1" s="779" t="s">
        <v>3878</v>
      </c>
      <c r="BQ1"/>
      <c r="BR1"/>
      <c r="BS1"/>
      <c r="BT1"/>
      <c r="BU1"/>
      <c r="BV1"/>
      <c r="BW1"/>
      <c r="BX1"/>
      <c r="BZ1"/>
      <c r="CA1"/>
      <c r="CB1"/>
    </row>
    <row r="2" spans="1:84" x14ac:dyDescent="0.25">
      <c r="A2" s="779" t="str">
        <f>CONCATENATE("COMUNA: ",NOMBRE!B2," - ","( ",NOMBRE!C2,NOMBRE!D2,NOMBRE!E2,NOMBRE!F2,NOMBRE!G2," )")</f>
        <v>COMUNA:  - (  )</v>
      </c>
      <c r="BQ2"/>
      <c r="BR2"/>
      <c r="BS2"/>
      <c r="BT2"/>
      <c r="BU2"/>
      <c r="BV2"/>
      <c r="BW2"/>
      <c r="BX2"/>
      <c r="BZ2"/>
      <c r="CA2"/>
      <c r="CB2"/>
    </row>
    <row r="3" spans="1:84" x14ac:dyDescent="0.25">
      <c r="A3" s="779" t="str">
        <f>CONCATENATE("ESTABLECIMIENTO/ESTRATEGIA: ",NOMBRE!B3," - ","( ",NOMBRE!C3,NOMBRE!D3,NOMBRE!E3,NOMBRE!F3,NOMBRE!G3,NOMBRE!H3," )")</f>
        <v>ESTABLECIMIENTO/ESTRATEGIA:  - (  )</v>
      </c>
      <c r="BQ3"/>
      <c r="BR3"/>
      <c r="BS3"/>
      <c r="BT3"/>
      <c r="BU3"/>
      <c r="BV3"/>
      <c r="BW3"/>
      <c r="BX3"/>
      <c r="BZ3"/>
      <c r="CA3"/>
      <c r="CB3"/>
    </row>
    <row r="4" spans="1:84" x14ac:dyDescent="0.25">
      <c r="A4" s="779" t="str">
        <f>CONCATENATE("MES: ",NOMBRE!B6," - ","( ",NOMBRE!C6,NOMBRE!D6," )")</f>
        <v>MES:  - (  )</v>
      </c>
      <c r="BQ4"/>
      <c r="BR4"/>
      <c r="BS4"/>
      <c r="BT4"/>
      <c r="BU4"/>
      <c r="BV4"/>
      <c r="BW4"/>
      <c r="BX4"/>
      <c r="BZ4"/>
      <c r="CA4"/>
      <c r="CB4"/>
    </row>
    <row r="5" spans="1:84" x14ac:dyDescent="0.25">
      <c r="A5" s="779" t="str">
        <f>CONCATENATE("AÑO: ",NOMBRE!B7)</f>
        <v>AÑO: 2024</v>
      </c>
      <c r="BQ5"/>
      <c r="BR5"/>
      <c r="BS5"/>
      <c r="BT5"/>
      <c r="BU5"/>
      <c r="BV5"/>
      <c r="BW5"/>
      <c r="BX5"/>
      <c r="BZ5"/>
      <c r="CA5"/>
      <c r="CB5"/>
    </row>
    <row r="6" spans="1:84" ht="18" customHeight="1" x14ac:dyDescent="0.25">
      <c r="A6" s="7130" t="s">
        <v>1879</v>
      </c>
      <c r="B6" s="7130"/>
      <c r="C6" s="7130"/>
      <c r="D6" s="7130"/>
      <c r="E6" s="7130"/>
      <c r="F6" s="7130"/>
      <c r="G6" s="7130"/>
      <c r="H6" s="7130"/>
      <c r="I6" s="7130"/>
      <c r="J6" s="7130"/>
      <c r="K6" s="7130"/>
      <c r="L6" s="7130"/>
      <c r="M6" s="7130"/>
      <c r="N6" s="7130"/>
      <c r="O6" s="7130"/>
      <c r="P6" s="7130"/>
      <c r="BQ6"/>
      <c r="BR6"/>
      <c r="BS6"/>
      <c r="BT6"/>
      <c r="BU6"/>
      <c r="BV6"/>
      <c r="BW6"/>
      <c r="BX6"/>
      <c r="BZ6"/>
      <c r="CA6"/>
      <c r="CB6"/>
    </row>
    <row r="7" spans="1:84" x14ac:dyDescent="0.25">
      <c r="BQ7"/>
      <c r="BR7"/>
      <c r="BS7"/>
      <c r="BT7"/>
      <c r="BU7"/>
      <c r="BV7"/>
      <c r="BW7"/>
      <c r="BX7"/>
      <c r="BZ7"/>
      <c r="CA7"/>
      <c r="CB7"/>
    </row>
    <row r="8" spans="1:84" ht="18" customHeight="1" x14ac:dyDescent="0.25">
      <c r="A8" s="1694" t="s">
        <v>1880</v>
      </c>
      <c r="BQ8"/>
      <c r="BR8"/>
      <c r="BS8"/>
      <c r="BT8"/>
      <c r="BU8"/>
      <c r="BV8"/>
      <c r="BW8"/>
      <c r="BX8"/>
      <c r="BZ8"/>
      <c r="CA8"/>
      <c r="CB8"/>
    </row>
    <row r="9" spans="1:84" ht="15" customHeight="1" x14ac:dyDescent="0.25">
      <c r="A9" s="7067" t="s">
        <v>0</v>
      </c>
      <c r="B9" s="6528"/>
      <c r="C9" s="6824" t="s">
        <v>1</v>
      </c>
      <c r="D9" s="7077" t="s">
        <v>12</v>
      </c>
      <c r="E9" s="7125"/>
      <c r="F9" s="7125"/>
      <c r="G9" s="7125"/>
      <c r="H9" s="7125"/>
      <c r="I9" s="7125"/>
      <c r="J9" s="7125"/>
      <c r="K9" s="7125"/>
      <c r="L9" s="7125"/>
      <c r="M9" s="7126"/>
      <c r="N9" s="6824" t="s">
        <v>1881</v>
      </c>
      <c r="O9" s="6824" t="s">
        <v>2</v>
      </c>
      <c r="P9" s="6824" t="s">
        <v>3</v>
      </c>
      <c r="Q9" s="6824" t="s">
        <v>1882</v>
      </c>
      <c r="R9" s="6824" t="s">
        <v>1883</v>
      </c>
      <c r="BQ9"/>
      <c r="BR9"/>
      <c r="BS9"/>
      <c r="BT9"/>
      <c r="BU9"/>
      <c r="BV9"/>
      <c r="BW9"/>
      <c r="BX9"/>
      <c r="BZ9"/>
      <c r="CA9"/>
      <c r="CB9"/>
    </row>
    <row r="10" spans="1:84" ht="27" customHeight="1" x14ac:dyDescent="0.25">
      <c r="A10" s="7124"/>
      <c r="B10" s="6924"/>
      <c r="C10" s="6826"/>
      <c r="D10" s="2217" t="s">
        <v>3767</v>
      </c>
      <c r="E10" s="2722" t="s">
        <v>4</v>
      </c>
      <c r="F10" s="2722" t="s">
        <v>5</v>
      </c>
      <c r="G10" s="2722" t="s">
        <v>6</v>
      </c>
      <c r="H10" s="2722" t="s">
        <v>7</v>
      </c>
      <c r="I10" s="2722" t="s">
        <v>8</v>
      </c>
      <c r="J10" s="2722" t="s">
        <v>9</v>
      </c>
      <c r="K10" s="2722" t="s">
        <v>10</v>
      </c>
      <c r="L10" s="2722" t="s">
        <v>11</v>
      </c>
      <c r="M10" s="2723" t="s">
        <v>1466</v>
      </c>
      <c r="N10" s="6826"/>
      <c r="O10" s="6826"/>
      <c r="P10" s="6826"/>
      <c r="Q10" s="6826"/>
      <c r="R10" s="6826"/>
      <c r="BQ10"/>
      <c r="BR10"/>
      <c r="BS10"/>
      <c r="BT10"/>
      <c r="BU10"/>
      <c r="BV10"/>
      <c r="BW10"/>
      <c r="BX10"/>
      <c r="BZ10"/>
      <c r="CA10"/>
      <c r="CB10"/>
    </row>
    <row r="11" spans="1:84" ht="15" customHeight="1" x14ac:dyDescent="0.25">
      <c r="A11" s="7138" t="s">
        <v>1884</v>
      </c>
      <c r="B11" s="7138"/>
      <c r="C11" s="2218">
        <f>SUM(D11:M11)</f>
        <v>0</v>
      </c>
      <c r="D11" s="2209"/>
      <c r="E11" s="1472"/>
      <c r="F11" s="1472"/>
      <c r="G11" s="1472"/>
      <c r="H11" s="1472"/>
      <c r="I11" s="1472"/>
      <c r="J11" s="1472"/>
      <c r="K11" s="1472"/>
      <c r="L11" s="2219"/>
      <c r="M11" s="2220"/>
      <c r="N11" s="2221"/>
      <c r="O11" s="2221"/>
      <c r="P11" s="2221"/>
      <c r="Q11" s="2221"/>
      <c r="R11" s="2221"/>
      <c r="S11" t="str">
        <f>BQ11&amp;BR11&amp;BS11&amp;BT11&amp;BU11&amp;BV11&amp;BW11&amp;BX11</f>
        <v/>
      </c>
      <c r="BQ11" s="2553" t="str">
        <f>IF(AND(C11&gt;0,N11=""),"  * No olvide digitar la variable Víctima de violencia de género. Digite Cero si no tiene.",IF(N11&gt;C11,"  * La variable Víctima de violencia de género No puede ser mayor al Total.",""))</f>
        <v/>
      </c>
      <c r="BR11" s="2553" t="str">
        <f>IF(AND(C11&gt;0,O11=""),"  * No olvide digitar la variable Pueblos Originarios. Digite Cero si no tiene.",IF(O11&gt;C11,"  * La variable Pueblos Originarios de género No puede ser mayor al Total.",""))</f>
        <v/>
      </c>
      <c r="BS11" s="2553" t="str">
        <f>IF(AND(C11&gt;0,P11=""),"  * No olvide digitar la variable Migrantes. Digite Cero si no tiene.",IF(P11&gt;C11,"  * La variable Migrantes No puede ser mayor al Total.",""))</f>
        <v/>
      </c>
      <c r="BT11" s="2553" t="str">
        <f>IF(AND(C11&gt;0,Q11=""),"  * No olvide digitar la variable Ingresos por traslados. Digite Cero si no tiene.",IF(Q11&gt;C11,"  * La variable Ingresos por traslados No puede ser mayor al Total.",""))</f>
        <v/>
      </c>
      <c r="BU11" s="2553" t="str">
        <f>IF(AND(C11&gt;0,R11=""),"  * No olvide digitar la variable Ingresos con control precoz extrasistema. Digite Cero si no tiene.",IF(R11&gt;C11,"  * La variable  Ingresos con control precoz extrasistema No puede ser mayor al Total.",""))</f>
        <v/>
      </c>
      <c r="BV11" s="2553"/>
      <c r="BW11" s="2553"/>
      <c r="BX11" s="170"/>
      <c r="BZ11"/>
      <c r="CA11"/>
      <c r="CB11" s="1793">
        <f>IF(AND(C11&gt;0,N11=""),1,IF(N11&gt;C11,1,0))</f>
        <v>0</v>
      </c>
      <c r="CC11" s="1793">
        <f>IF(AND(C11&gt;0,O11=""),1,IF(O11&gt;C11,1,0))</f>
        <v>0</v>
      </c>
      <c r="CD11" s="1793">
        <f>IF(AND(C11&gt;0,P11=""),1,IF(P11&gt;C11,1,0))</f>
        <v>0</v>
      </c>
      <c r="CE11" s="1793">
        <f>IF(AND(C11&gt;0,Q11=""),1,IF(Q11&gt;C11,1,0))</f>
        <v>0</v>
      </c>
      <c r="CF11" s="1793">
        <f>IF(AND(C11&gt;0,R11=""),1,IF(R11&gt;C11,1,0))</f>
        <v>0</v>
      </c>
    </row>
    <row r="12" spans="1:84" ht="15" customHeight="1" x14ac:dyDescent="0.25">
      <c r="A12" s="7139" t="s">
        <v>1885</v>
      </c>
      <c r="B12" s="7139"/>
      <c r="C12" s="1488">
        <f>SUM(D12:M12)</f>
        <v>0</v>
      </c>
      <c r="D12" s="1113"/>
      <c r="E12" s="1476"/>
      <c r="F12" s="1476"/>
      <c r="G12" s="1476"/>
      <c r="H12" s="1476"/>
      <c r="I12" s="1476"/>
      <c r="J12" s="1476"/>
      <c r="K12" s="1476"/>
      <c r="L12" s="1301"/>
      <c r="M12" s="1118"/>
      <c r="N12" s="1117"/>
      <c r="O12" s="1117"/>
      <c r="P12" s="1117"/>
      <c r="Q12" s="1117"/>
      <c r="R12" s="1117"/>
      <c r="S12" t="str">
        <f t="shared" ref="S12:S14" si="0">BQ12&amp;BR12&amp;BS12&amp;BT12&amp;BU12&amp;BV12&amp;BW12&amp;BX12</f>
        <v/>
      </c>
      <c r="BQ12" s="2553" t="str">
        <f t="shared" ref="BQ12:BQ14" si="1">IF(AND(C12&gt;0,N12=""),"  * No olvide digitar la variable Víctima de violencia de género. Digite Cero si no tiene.",IF(N12&gt;C12,"  * La variable Víctima de violencia de género No puede ser mayor al Total.",""))</f>
        <v/>
      </c>
      <c r="BR12" s="2553" t="str">
        <f t="shared" ref="BR12:BR14" si="2">IF(AND(C12&gt;0,O12=""),"  * No olvide digitar la variable Pueblos Originarios. Digite Cero si no tiene.",IF(O12&gt;C12,"  * La variable Pueblos Originarios de género No puede ser mayor al Total.",""))</f>
        <v/>
      </c>
      <c r="BS12" s="2553" t="str">
        <f t="shared" ref="BS12:BS14" si="3">IF(AND(C12&gt;0,P12=""),"  * No olvide digitar la variable Migrantes. Digite Cero si no tiene.",IF(P12&gt;C12,"  * La variable Migrantes No puede ser mayor al Total.",""))</f>
        <v/>
      </c>
      <c r="BT12" s="2553" t="str">
        <f t="shared" ref="BT12:BT14" si="4">IF(AND(C12&gt;0,Q12=""),"  * No olvide digitar la variable Ingresos por traslados. Digite Cero si no tiene.",IF(Q12&gt;C12,"  * La variable Ingresos por traslados No puede ser mayor al Total.",""))</f>
        <v/>
      </c>
      <c r="BU12" s="2553" t="str">
        <f t="shared" ref="BU12:BU14" si="5">IF(AND(C12&gt;0,R12=""),"  * No olvide digitar la variable Ingresos con control precoz extrasistema. Digite Cero si no tiene.",IF(R12&gt;C12,"  * La variable  Ingresos con control precoz extrasistema No puede ser mayor al Total.",""))</f>
        <v/>
      </c>
      <c r="BV12" s="2553"/>
      <c r="BW12" s="2553"/>
      <c r="BX12" s="170"/>
      <c r="BZ12"/>
      <c r="CA12"/>
      <c r="CB12" s="1793">
        <f t="shared" ref="CB12:CB14" si="6">IF(AND(C12&gt;0,N12=""),1,IF(N12&gt;C12,1,0))</f>
        <v>0</v>
      </c>
      <c r="CC12" s="1793">
        <f t="shared" ref="CC12:CC14" si="7">IF(AND(C12&gt;0,O12=""),1,IF(O12&gt;C12,1,0))</f>
        <v>0</v>
      </c>
      <c r="CD12" s="1793">
        <f t="shared" ref="CD12:CD14" si="8">IF(AND(C12&gt;0,P12=""),1,IF(P12&gt;C12,1,0))</f>
        <v>0</v>
      </c>
      <c r="CE12" s="1793">
        <f t="shared" ref="CE12:CE14" si="9">IF(AND(C12&gt;0,Q12=""),1,IF(Q12&gt;C12,1,0))</f>
        <v>0</v>
      </c>
      <c r="CF12" s="1793">
        <f t="shared" ref="CF12:CF14" si="10">IF(AND(C12&gt;0,R12=""),1,IF(R12&gt;C12,1,0))</f>
        <v>0</v>
      </c>
    </row>
    <row r="13" spans="1:84" ht="15" customHeight="1" x14ac:dyDescent="0.25">
      <c r="A13" s="7081" t="s">
        <v>1886</v>
      </c>
      <c r="B13" s="7082"/>
      <c r="C13" s="1488">
        <f>SUM(D13:M13)</f>
        <v>0</v>
      </c>
      <c r="D13" s="1113"/>
      <c r="E13" s="1476"/>
      <c r="F13" s="1476"/>
      <c r="G13" s="1476"/>
      <c r="H13" s="1476"/>
      <c r="I13" s="1476"/>
      <c r="J13" s="1476"/>
      <c r="K13" s="1476"/>
      <c r="L13" s="1301"/>
      <c r="M13" s="1118"/>
      <c r="N13" s="1117"/>
      <c r="O13" s="1117"/>
      <c r="P13" s="1117"/>
      <c r="Q13" s="1117"/>
      <c r="R13" s="1117"/>
      <c r="S13" t="str">
        <f t="shared" si="0"/>
        <v/>
      </c>
      <c r="BQ13" s="2553" t="str">
        <f t="shared" si="1"/>
        <v/>
      </c>
      <c r="BR13" s="2553" t="str">
        <f t="shared" si="2"/>
        <v/>
      </c>
      <c r="BS13" s="2553" t="str">
        <f t="shared" si="3"/>
        <v/>
      </c>
      <c r="BT13" s="2553" t="str">
        <f t="shared" si="4"/>
        <v/>
      </c>
      <c r="BU13" s="2553" t="str">
        <f t="shared" si="5"/>
        <v/>
      </c>
      <c r="BV13" s="2553"/>
      <c r="BW13" s="2553"/>
      <c r="BX13" s="170"/>
      <c r="BZ13"/>
      <c r="CA13"/>
      <c r="CB13" s="1793">
        <f t="shared" si="6"/>
        <v>0</v>
      </c>
      <c r="CC13" s="1793">
        <f t="shared" si="7"/>
        <v>0</v>
      </c>
      <c r="CD13" s="1793">
        <f t="shared" si="8"/>
        <v>0</v>
      </c>
      <c r="CE13" s="1793">
        <f t="shared" si="9"/>
        <v>0</v>
      </c>
      <c r="CF13" s="1793">
        <f t="shared" si="10"/>
        <v>0</v>
      </c>
    </row>
    <row r="14" spans="1:84" ht="15" customHeight="1" x14ac:dyDescent="0.25">
      <c r="A14" s="7014" t="s">
        <v>1887</v>
      </c>
      <c r="B14" s="7015"/>
      <c r="C14" s="1771">
        <f>SUM(D14:M14)</f>
        <v>0</v>
      </c>
      <c r="D14" s="3"/>
      <c r="E14" s="4"/>
      <c r="F14" s="4"/>
      <c r="G14" s="4"/>
      <c r="H14" s="4"/>
      <c r="I14" s="4"/>
      <c r="J14" s="4"/>
      <c r="K14" s="4"/>
      <c r="L14" s="1338"/>
      <c r="M14" s="5"/>
      <c r="N14" s="6"/>
      <c r="O14" s="6"/>
      <c r="P14" s="6"/>
      <c r="Q14" s="6"/>
      <c r="R14" s="6"/>
      <c r="S14" t="str">
        <f t="shared" si="0"/>
        <v/>
      </c>
      <c r="BQ14" s="2553" t="str">
        <f t="shared" si="1"/>
        <v/>
      </c>
      <c r="BR14" s="2553" t="str">
        <f t="shared" si="2"/>
        <v/>
      </c>
      <c r="BS14" s="2553" t="str">
        <f t="shared" si="3"/>
        <v/>
      </c>
      <c r="BT14" s="2553" t="str">
        <f t="shared" si="4"/>
        <v/>
      </c>
      <c r="BU14" s="2553" t="str">
        <f t="shared" si="5"/>
        <v/>
      </c>
      <c r="BV14" s="2553"/>
      <c r="BW14" s="2553"/>
      <c r="BX14" s="170"/>
      <c r="BZ14"/>
      <c r="CA14"/>
      <c r="CB14" s="1793">
        <f t="shared" si="6"/>
        <v>0</v>
      </c>
      <c r="CC14" s="1793">
        <f t="shared" si="7"/>
        <v>0</v>
      </c>
      <c r="CD14" s="1793">
        <f t="shared" si="8"/>
        <v>0</v>
      </c>
      <c r="CE14" s="1793">
        <f t="shared" si="9"/>
        <v>0</v>
      </c>
      <c r="CF14" s="1793">
        <f t="shared" si="10"/>
        <v>0</v>
      </c>
    </row>
    <row r="15" spans="1:84" ht="18" customHeight="1" x14ac:dyDescent="0.25">
      <c r="A15" s="14" t="s">
        <v>1888</v>
      </c>
      <c r="B15" s="2724"/>
      <c r="C15" s="2724"/>
      <c r="D15" s="2724"/>
      <c r="E15" s="2724"/>
      <c r="F15" s="2724"/>
      <c r="G15" s="2724"/>
      <c r="H15" s="2724"/>
      <c r="I15" s="2724"/>
      <c r="J15" s="2724"/>
      <c r="BQ15"/>
      <c r="BR15"/>
      <c r="BS15"/>
      <c r="BT15"/>
      <c r="BU15"/>
      <c r="BV15"/>
      <c r="BW15"/>
      <c r="BX15"/>
      <c r="BZ15"/>
      <c r="CA15"/>
      <c r="CB15"/>
    </row>
    <row r="16" spans="1:84" ht="15" customHeight="1" x14ac:dyDescent="0.25">
      <c r="A16" s="7067" t="s">
        <v>13</v>
      </c>
      <c r="B16" s="6528"/>
      <c r="C16" s="7131" t="s">
        <v>1889</v>
      </c>
      <c r="D16" s="7132" t="s">
        <v>3920</v>
      </c>
      <c r="E16" s="7134" t="s">
        <v>2</v>
      </c>
      <c r="F16" s="6528" t="s">
        <v>3</v>
      </c>
      <c r="BQ16"/>
      <c r="BR16"/>
      <c r="BS16"/>
      <c r="BT16"/>
      <c r="BU16"/>
      <c r="BV16"/>
      <c r="BW16"/>
      <c r="BX16"/>
      <c r="BZ16"/>
      <c r="CA16"/>
      <c r="CB16"/>
    </row>
    <row r="17" spans="1:82" ht="18.75" customHeight="1" x14ac:dyDescent="0.25">
      <c r="A17" s="7124"/>
      <c r="B17" s="6924"/>
      <c r="C17" s="6947"/>
      <c r="D17" s="7133"/>
      <c r="E17" s="7135"/>
      <c r="F17" s="7003"/>
      <c r="BQ17"/>
      <c r="BR17"/>
      <c r="BS17"/>
      <c r="BT17"/>
      <c r="BU17"/>
      <c r="BV17"/>
      <c r="BW17"/>
      <c r="BX17"/>
      <c r="BZ17"/>
      <c r="CA17"/>
      <c r="CB17"/>
    </row>
    <row r="18" spans="1:82" ht="15" customHeight="1" x14ac:dyDescent="0.25">
      <c r="A18" s="7136" t="s">
        <v>1890</v>
      </c>
      <c r="B18" s="7137"/>
      <c r="C18" s="2223"/>
      <c r="D18" s="6287"/>
      <c r="E18" s="5916"/>
      <c r="F18" s="2224"/>
      <c r="G18" t="str">
        <f>BQ18&amp;BR18&amp;BS18</f>
        <v/>
      </c>
      <c r="BQ18" s="2553" t="str">
        <f>IF(AND(C18&gt;0,D18=""),"  * No olvide digitar la variable "&amp;$D$16&amp;""&amp;". Digite Cero si no tiene.",IF(D18&gt;C18,"  ** La variable Víctima de violencia de género No puede ser mayor al "&amp;$C$16&amp;""&amp;" .",""))</f>
        <v/>
      </c>
      <c r="BR18" s="2553" t="str">
        <f>IF(AND(C18&gt;0,E18=""),"  * No olvide digitar la "&amp;$E$16&amp;""&amp;" . Digite Cero si no tiene.",IF(E18&gt;C18,"  * La variable Pueblos originarios No puede ser mayor al  "&amp;$C$16&amp;""&amp;" .",""))</f>
        <v/>
      </c>
      <c r="BS18" s="2553" t="str">
        <f>IF(AND(C18&gt;0,F18=""),"  * No olvide digitar la "&amp;$F$16&amp;""&amp;" . Digite Cero si no tiene.",IF(F18&gt;C18,"  * La variable Migrantes No puede ser mayor al  "&amp;$C$16&amp;""&amp;" .",""))</f>
        <v/>
      </c>
      <c r="BT18"/>
      <c r="BU18"/>
      <c r="BV18"/>
      <c r="BW18"/>
      <c r="BX18"/>
      <c r="BZ18"/>
      <c r="CA18"/>
      <c r="CB18" s="1793">
        <f>IF(AND(C18&gt;0,D18=""),1,IF(D18&gt;C18,1,0))</f>
        <v>0</v>
      </c>
      <c r="CC18" s="1793">
        <f>IF(AND(C18&gt;0,E18=""),1,IF(E18&gt;C18,1,0))</f>
        <v>0</v>
      </c>
      <c r="CD18" s="1793">
        <f>IF(AND(C18&gt;0,F18=""),1,IF(F18&gt;C18,1,0))</f>
        <v>0</v>
      </c>
    </row>
    <row r="19" spans="1:82" ht="15" customHeight="1" x14ac:dyDescent="0.25">
      <c r="A19" s="7141" t="s">
        <v>1891</v>
      </c>
      <c r="B19" s="7142"/>
      <c r="C19" s="2201"/>
      <c r="D19" s="5653"/>
      <c r="E19" s="1120"/>
      <c r="F19" s="1107"/>
      <c r="G19" t="str">
        <f t="shared" ref="G19:G31" si="11">BQ19&amp;BR19&amp;BS19</f>
        <v/>
      </c>
      <c r="BQ19" s="2553" t="str">
        <f t="shared" ref="BQ19:BQ31" si="12">IF(AND(C19&gt;0,D19=""),"  * No olvide digitar la variable "&amp;$D$16&amp;""&amp;". Digite Cero si no tiene.",IF(D19&gt;C19,"  ** La variable Víctima de violencia de género No puede ser mayor al "&amp;$C$16&amp;""&amp;" .",""))</f>
        <v/>
      </c>
      <c r="BR19" s="2553" t="str">
        <f t="shared" ref="BR19:BR31" si="13">IF(AND(C19&gt;0,E19=""),"  * No olvide digitar la "&amp;$E$16&amp;""&amp;" . Digite Cero si no tiene.",IF(E19&gt;C19,"  * La variable Pueblos originarios No puede ser mayor al  "&amp;$C$16&amp;""&amp;" .",""))</f>
        <v/>
      </c>
      <c r="BS19" s="2553" t="str">
        <f t="shared" ref="BS19:BS31" si="14">IF(AND(C19&gt;0,F19=""),"  * No olvide digitar la "&amp;$F$16&amp;""&amp;" . Digite Cero si no tiene.",IF(F19&gt;C19,"  * La variable Migrantes No puede ser mayor al  "&amp;$C$16&amp;""&amp;" .",""))</f>
        <v/>
      </c>
      <c r="BT19"/>
      <c r="BU19"/>
      <c r="BV19"/>
      <c r="BW19"/>
      <c r="BX19"/>
      <c r="BZ19"/>
      <c r="CA19"/>
      <c r="CB19" s="1793">
        <f t="shared" ref="CB19:CB31" si="15">IF(AND(C19&gt;0,D19=""),1,IF(D19&gt;C19,1,0))</f>
        <v>0</v>
      </c>
      <c r="CC19" s="1793">
        <f t="shared" ref="CC19:CC31" si="16">IF(AND(C19&gt;0,E19=""),1,IF(E19&gt;C19,1,0))</f>
        <v>0</v>
      </c>
      <c r="CD19" s="1793">
        <f t="shared" ref="CD19:CD31" si="17">IF(AND(C19&gt;0,F19=""),1,IF(F19&gt;C19,1,0))</f>
        <v>0</v>
      </c>
    </row>
    <row r="20" spans="1:82" ht="15" customHeight="1" x14ac:dyDescent="0.25">
      <c r="A20" s="7010" t="s">
        <v>15</v>
      </c>
      <c r="B20" s="7011"/>
      <c r="C20" s="1113"/>
      <c r="D20" s="4070"/>
      <c r="E20" s="4066"/>
      <c r="F20" s="8"/>
      <c r="G20" t="str">
        <f t="shared" si="11"/>
        <v/>
      </c>
      <c r="BQ20" s="2553" t="str">
        <f t="shared" si="12"/>
        <v/>
      </c>
      <c r="BR20" s="2553" t="str">
        <f t="shared" si="13"/>
        <v/>
      </c>
      <c r="BS20" s="2553" t="str">
        <f t="shared" si="14"/>
        <v/>
      </c>
      <c r="BT20"/>
      <c r="BU20"/>
      <c r="BV20"/>
      <c r="BW20"/>
      <c r="BX20"/>
      <c r="BZ20"/>
      <c r="CA20"/>
      <c r="CB20" s="1793">
        <f t="shared" si="15"/>
        <v>0</v>
      </c>
      <c r="CC20" s="1793">
        <f t="shared" si="16"/>
        <v>0</v>
      </c>
      <c r="CD20" s="1793">
        <f t="shared" si="17"/>
        <v>0</v>
      </c>
    </row>
    <row r="21" spans="1:82" ht="15" customHeight="1" x14ac:dyDescent="0.25">
      <c r="A21" s="7010" t="s">
        <v>1892</v>
      </c>
      <c r="B21" s="7011"/>
      <c r="C21" s="1113"/>
      <c r="D21" s="4070"/>
      <c r="E21" s="4066"/>
      <c r="F21" s="8"/>
      <c r="G21" t="str">
        <f t="shared" si="11"/>
        <v/>
      </c>
      <c r="BQ21" s="2553" t="str">
        <f t="shared" si="12"/>
        <v/>
      </c>
      <c r="BR21" s="2553" t="str">
        <f t="shared" si="13"/>
        <v/>
      </c>
      <c r="BS21" s="2553" t="str">
        <f t="shared" si="14"/>
        <v/>
      </c>
      <c r="BT21"/>
      <c r="BU21"/>
      <c r="BV21"/>
      <c r="BW21"/>
      <c r="BX21"/>
      <c r="BZ21"/>
      <c r="CA21"/>
      <c r="CB21" s="1793">
        <f t="shared" si="15"/>
        <v>0</v>
      </c>
      <c r="CC21" s="1793">
        <f t="shared" si="16"/>
        <v>0</v>
      </c>
      <c r="CD21" s="1793">
        <f t="shared" si="17"/>
        <v>0</v>
      </c>
    </row>
    <row r="22" spans="1:82" ht="15" customHeight="1" x14ac:dyDescent="0.25">
      <c r="A22" s="7010" t="s">
        <v>16</v>
      </c>
      <c r="B22" s="7011"/>
      <c r="C22" s="1113"/>
      <c r="D22" s="4070"/>
      <c r="E22" s="4066"/>
      <c r="F22" s="8"/>
      <c r="G22" t="str">
        <f t="shared" si="11"/>
        <v/>
      </c>
      <c r="BQ22" s="2553" t="str">
        <f t="shared" si="12"/>
        <v/>
      </c>
      <c r="BR22" s="2553" t="str">
        <f t="shared" si="13"/>
        <v/>
      </c>
      <c r="BS22" s="2553" t="str">
        <f t="shared" si="14"/>
        <v/>
      </c>
      <c r="BT22"/>
      <c r="BU22"/>
      <c r="BV22"/>
      <c r="BW22"/>
      <c r="BX22"/>
      <c r="BZ22"/>
      <c r="CA22"/>
      <c r="CB22" s="1793">
        <f t="shared" si="15"/>
        <v>0</v>
      </c>
      <c r="CC22" s="1793">
        <f t="shared" si="16"/>
        <v>0</v>
      </c>
      <c r="CD22" s="1793">
        <f t="shared" si="17"/>
        <v>0</v>
      </c>
    </row>
    <row r="23" spans="1:82" ht="15" customHeight="1" x14ac:dyDescent="0.25">
      <c r="A23" s="7010" t="s">
        <v>14</v>
      </c>
      <c r="B23" s="7011"/>
      <c r="C23" s="1113"/>
      <c r="D23" s="4070"/>
      <c r="E23" s="4066"/>
      <c r="F23" s="8"/>
      <c r="G23" t="str">
        <f t="shared" si="11"/>
        <v/>
      </c>
      <c r="BQ23" s="2553" t="str">
        <f t="shared" si="12"/>
        <v/>
      </c>
      <c r="BR23" s="2553" t="str">
        <f t="shared" si="13"/>
        <v/>
      </c>
      <c r="BS23" s="2553" t="str">
        <f t="shared" si="14"/>
        <v/>
      </c>
      <c r="BT23"/>
      <c r="BU23"/>
      <c r="BV23"/>
      <c r="BW23"/>
      <c r="BX23"/>
      <c r="BZ23"/>
      <c r="CA23"/>
      <c r="CB23" s="1793">
        <f t="shared" si="15"/>
        <v>0</v>
      </c>
      <c r="CC23" s="1793">
        <f t="shared" si="16"/>
        <v>0</v>
      </c>
      <c r="CD23" s="1793">
        <f t="shared" si="17"/>
        <v>0</v>
      </c>
    </row>
    <row r="24" spans="1:82" ht="15" customHeight="1" x14ac:dyDescent="0.25">
      <c r="A24" s="7010" t="s">
        <v>1893</v>
      </c>
      <c r="B24" s="7011"/>
      <c r="C24" s="1113"/>
      <c r="D24" s="4070"/>
      <c r="E24" s="4066"/>
      <c r="F24" s="8"/>
      <c r="G24" t="str">
        <f t="shared" si="11"/>
        <v/>
      </c>
      <c r="BQ24" s="2553" t="str">
        <f>IF(AND(C24&gt;0,D24=""),"  * No olvide digitar la variable "&amp;$D$16&amp;""&amp;". Digite Cero si no tiene.",IF(D24&gt;C24,"  ** La variable Víctima de violencia de género No puede ser mayor al "&amp;$C$16&amp;""&amp;" .",""))</f>
        <v/>
      </c>
      <c r="BR24" s="2553" t="str">
        <f t="shared" si="13"/>
        <v/>
      </c>
      <c r="BS24" s="2553" t="str">
        <f t="shared" si="14"/>
        <v/>
      </c>
      <c r="BT24"/>
      <c r="BU24"/>
      <c r="BV24"/>
      <c r="BW24"/>
      <c r="BX24"/>
      <c r="BZ24"/>
      <c r="CA24"/>
      <c r="CB24" s="1793">
        <f t="shared" si="15"/>
        <v>0</v>
      </c>
      <c r="CC24" s="1793">
        <f t="shared" si="16"/>
        <v>0</v>
      </c>
      <c r="CD24" s="1793">
        <f t="shared" si="17"/>
        <v>0</v>
      </c>
    </row>
    <row r="25" spans="1:82" ht="15" customHeight="1" x14ac:dyDescent="0.25">
      <c r="A25" s="7010" t="s">
        <v>1894</v>
      </c>
      <c r="B25" s="7011"/>
      <c r="C25" s="1113"/>
      <c r="D25" s="4070"/>
      <c r="E25" s="4066"/>
      <c r="F25" s="8"/>
      <c r="G25" t="str">
        <f t="shared" si="11"/>
        <v/>
      </c>
      <c r="BQ25" s="2553" t="str">
        <f t="shared" si="12"/>
        <v/>
      </c>
      <c r="BR25" s="2553" t="str">
        <f t="shared" si="13"/>
        <v/>
      </c>
      <c r="BS25" s="2553" t="str">
        <f t="shared" si="14"/>
        <v/>
      </c>
      <c r="BT25"/>
      <c r="BU25"/>
      <c r="BV25"/>
      <c r="BW25"/>
      <c r="BX25"/>
      <c r="BZ25"/>
      <c r="CA25"/>
      <c r="CB25" s="1793">
        <f t="shared" si="15"/>
        <v>0</v>
      </c>
      <c r="CC25" s="1793">
        <f t="shared" si="16"/>
        <v>0</v>
      </c>
      <c r="CD25" s="1793">
        <f t="shared" si="17"/>
        <v>0</v>
      </c>
    </row>
    <row r="26" spans="1:82" ht="15" customHeight="1" x14ac:dyDescent="0.25">
      <c r="A26" s="7010" t="s">
        <v>1895</v>
      </c>
      <c r="B26" s="7011"/>
      <c r="C26" s="1113"/>
      <c r="D26" s="4070"/>
      <c r="E26" s="4066"/>
      <c r="F26" s="8"/>
      <c r="G26" t="str">
        <f t="shared" si="11"/>
        <v/>
      </c>
      <c r="BQ26" s="2553" t="str">
        <f t="shared" si="12"/>
        <v/>
      </c>
      <c r="BR26" s="2553" t="str">
        <f t="shared" si="13"/>
        <v/>
      </c>
      <c r="BS26" s="2553" t="str">
        <f t="shared" si="14"/>
        <v/>
      </c>
      <c r="BT26"/>
      <c r="BU26"/>
      <c r="BV26"/>
      <c r="BW26"/>
      <c r="BX26"/>
      <c r="BZ26"/>
      <c r="CA26"/>
      <c r="CB26" s="1793">
        <f t="shared" si="15"/>
        <v>0</v>
      </c>
      <c r="CC26" s="1793">
        <f t="shared" si="16"/>
        <v>0</v>
      </c>
      <c r="CD26" s="1793">
        <f t="shared" si="17"/>
        <v>0</v>
      </c>
    </row>
    <row r="27" spans="1:82" ht="15" customHeight="1" x14ac:dyDescent="0.25">
      <c r="A27" s="7010" t="s">
        <v>1896</v>
      </c>
      <c r="B27" s="7011"/>
      <c r="C27" s="1113"/>
      <c r="D27" s="4070"/>
      <c r="E27" s="4066"/>
      <c r="F27" s="8"/>
      <c r="G27" t="str">
        <f t="shared" si="11"/>
        <v/>
      </c>
      <c r="BQ27" s="2553" t="str">
        <f t="shared" si="12"/>
        <v/>
      </c>
      <c r="BR27" s="2553" t="str">
        <f t="shared" si="13"/>
        <v/>
      </c>
      <c r="BS27" s="2553" t="str">
        <f t="shared" si="14"/>
        <v/>
      </c>
      <c r="BT27"/>
      <c r="BU27"/>
      <c r="BV27"/>
      <c r="BW27"/>
      <c r="BX27"/>
      <c r="BZ27"/>
      <c r="CA27"/>
      <c r="CB27" s="1793">
        <f t="shared" si="15"/>
        <v>0</v>
      </c>
      <c r="CC27" s="1793">
        <f t="shared" si="16"/>
        <v>0</v>
      </c>
      <c r="CD27" s="1793">
        <f t="shared" si="17"/>
        <v>0</v>
      </c>
    </row>
    <row r="28" spans="1:82" ht="15" customHeight="1" x14ac:dyDescent="0.25">
      <c r="A28" s="7010" t="s">
        <v>1897</v>
      </c>
      <c r="B28" s="7011"/>
      <c r="C28" s="9"/>
      <c r="D28" s="23"/>
      <c r="E28" s="24"/>
      <c r="F28" s="11"/>
      <c r="G28" t="str">
        <f t="shared" si="11"/>
        <v/>
      </c>
      <c r="BQ28" s="2553" t="str">
        <f t="shared" si="12"/>
        <v/>
      </c>
      <c r="BR28" s="2553" t="str">
        <f t="shared" si="13"/>
        <v/>
      </c>
      <c r="BS28" s="2553" t="str">
        <f t="shared" si="14"/>
        <v/>
      </c>
      <c r="BT28"/>
      <c r="BU28"/>
      <c r="BV28"/>
      <c r="BW28"/>
      <c r="BX28"/>
      <c r="BZ28"/>
      <c r="CA28"/>
      <c r="CB28" s="1793">
        <f t="shared" si="15"/>
        <v>0</v>
      </c>
      <c r="CC28" s="1793">
        <f t="shared" si="16"/>
        <v>0</v>
      </c>
      <c r="CD28" s="1793">
        <f t="shared" si="17"/>
        <v>0</v>
      </c>
    </row>
    <row r="29" spans="1:82" ht="15" customHeight="1" x14ac:dyDescent="0.25">
      <c r="A29" s="7010" t="s">
        <v>1898</v>
      </c>
      <c r="B29" s="7011"/>
      <c r="C29" s="9"/>
      <c r="D29" s="23"/>
      <c r="E29" s="24"/>
      <c r="F29" s="11"/>
      <c r="G29" t="str">
        <f t="shared" si="11"/>
        <v/>
      </c>
      <c r="BQ29" s="2553" t="str">
        <f t="shared" si="12"/>
        <v/>
      </c>
      <c r="BR29" s="2553" t="str">
        <f t="shared" si="13"/>
        <v/>
      </c>
      <c r="BS29" s="2553" t="str">
        <f t="shared" si="14"/>
        <v/>
      </c>
      <c r="BT29"/>
      <c r="BU29"/>
      <c r="BV29"/>
      <c r="BW29"/>
      <c r="BX29"/>
      <c r="BZ29"/>
      <c r="CA29"/>
      <c r="CB29" s="1793">
        <f t="shared" si="15"/>
        <v>0</v>
      </c>
      <c r="CC29" s="1793">
        <f t="shared" si="16"/>
        <v>0</v>
      </c>
      <c r="CD29" s="1793">
        <f t="shared" si="17"/>
        <v>0</v>
      </c>
    </row>
    <row r="30" spans="1:82" ht="15" customHeight="1" x14ac:dyDescent="0.25">
      <c r="A30" s="7010" t="s">
        <v>1899</v>
      </c>
      <c r="B30" s="7011"/>
      <c r="C30" s="9"/>
      <c r="D30" s="23"/>
      <c r="E30" s="24"/>
      <c r="F30" s="11"/>
      <c r="G30" t="str">
        <f t="shared" si="11"/>
        <v/>
      </c>
      <c r="BQ30" s="2553" t="str">
        <f t="shared" si="12"/>
        <v/>
      </c>
      <c r="BR30" s="2553" t="str">
        <f t="shared" si="13"/>
        <v/>
      </c>
      <c r="BS30" s="2553" t="str">
        <f t="shared" si="14"/>
        <v/>
      </c>
      <c r="BT30"/>
      <c r="BU30"/>
      <c r="BV30"/>
      <c r="BW30"/>
      <c r="BX30"/>
      <c r="BZ30"/>
      <c r="CA30"/>
      <c r="CB30" s="1793">
        <f t="shared" si="15"/>
        <v>0</v>
      </c>
      <c r="CC30" s="1793">
        <f t="shared" si="16"/>
        <v>0</v>
      </c>
      <c r="CD30" s="1793">
        <f t="shared" si="17"/>
        <v>0</v>
      </c>
    </row>
    <row r="31" spans="1:82" ht="15" customHeight="1" x14ac:dyDescent="0.25">
      <c r="A31" s="7012" t="s">
        <v>1900</v>
      </c>
      <c r="B31" s="7013"/>
      <c r="C31" s="3"/>
      <c r="D31" s="4074"/>
      <c r="E31" s="6286"/>
      <c r="F31" s="12"/>
      <c r="G31" t="str">
        <f t="shared" si="11"/>
        <v/>
      </c>
      <c r="BQ31" s="2553" t="str">
        <f t="shared" si="12"/>
        <v/>
      </c>
      <c r="BR31" s="2553" t="str">
        <f t="shared" si="13"/>
        <v/>
      </c>
      <c r="BS31" s="2553" t="str">
        <f t="shared" si="14"/>
        <v/>
      </c>
      <c r="BT31"/>
      <c r="BU31"/>
      <c r="BV31"/>
      <c r="BW31"/>
      <c r="BX31"/>
      <c r="BZ31"/>
      <c r="CA31"/>
      <c r="CB31" s="1793">
        <f t="shared" si="15"/>
        <v>0</v>
      </c>
      <c r="CC31" s="1793">
        <f t="shared" si="16"/>
        <v>0</v>
      </c>
      <c r="CD31" s="1793">
        <f t="shared" si="17"/>
        <v>0</v>
      </c>
    </row>
    <row r="32" spans="1:82" s="17" customFormat="1" ht="18" customHeight="1" x14ac:dyDescent="0.2">
      <c r="A32" s="14" t="s">
        <v>3701</v>
      </c>
      <c r="B32" s="2727"/>
      <c r="C32" s="2728"/>
      <c r="D32" s="15"/>
      <c r="E32" s="15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85" x14ac:dyDescent="0.25">
      <c r="A33" s="7067" t="s">
        <v>1901</v>
      </c>
      <c r="B33" s="6528"/>
      <c r="C33" s="6824" t="s">
        <v>1</v>
      </c>
      <c r="D33" s="7077" t="s">
        <v>12</v>
      </c>
      <c r="E33" s="7125"/>
      <c r="F33" s="7125"/>
      <c r="G33" s="7125"/>
      <c r="H33" s="7125"/>
      <c r="I33" s="7125"/>
      <c r="J33" s="7125"/>
      <c r="K33" s="7125"/>
      <c r="L33" s="7125"/>
      <c r="M33" s="7125"/>
      <c r="N33" s="7125"/>
      <c r="O33" s="7125"/>
      <c r="P33" s="7126"/>
      <c r="Q33" s="7062" t="s">
        <v>17</v>
      </c>
      <c r="R33" s="6824" t="s">
        <v>1902</v>
      </c>
      <c r="S33" s="6528" t="s">
        <v>2</v>
      </c>
      <c r="T33" s="6528" t="s">
        <v>3</v>
      </c>
      <c r="U33" s="6528" t="s">
        <v>1903</v>
      </c>
      <c r="BQ33"/>
      <c r="BR33"/>
      <c r="BS33"/>
      <c r="BT33"/>
      <c r="BU33"/>
      <c r="BV33"/>
      <c r="BW33"/>
      <c r="BX33"/>
      <c r="BZ33"/>
      <c r="CA33"/>
      <c r="CB33"/>
    </row>
    <row r="34" spans="1:85" ht="27.75" customHeight="1" x14ac:dyDescent="0.25">
      <c r="A34" s="7124"/>
      <c r="B34" s="6924"/>
      <c r="C34" s="6826"/>
      <c r="D34" s="2217" t="s">
        <v>3767</v>
      </c>
      <c r="E34" s="2722" t="s">
        <v>4</v>
      </c>
      <c r="F34" s="2722" t="s">
        <v>5</v>
      </c>
      <c r="G34" s="2722" t="s">
        <v>6</v>
      </c>
      <c r="H34" s="2722" t="s">
        <v>7</v>
      </c>
      <c r="I34" s="2722" t="s">
        <v>8</v>
      </c>
      <c r="J34" s="2722" t="s">
        <v>9</v>
      </c>
      <c r="K34" s="2722" t="s">
        <v>10</v>
      </c>
      <c r="L34" s="2722" t="s">
        <v>11</v>
      </c>
      <c r="M34" s="2722" t="s">
        <v>18</v>
      </c>
      <c r="N34" s="2729" t="s">
        <v>19</v>
      </c>
      <c r="O34" s="2722" t="s">
        <v>20</v>
      </c>
      <c r="P34" s="2723" t="s">
        <v>1904</v>
      </c>
      <c r="Q34" s="7127"/>
      <c r="R34" s="6826"/>
      <c r="S34" s="7076"/>
      <c r="T34" s="7076"/>
      <c r="U34" s="7076"/>
      <c r="BQ34"/>
      <c r="BR34"/>
      <c r="BS34"/>
      <c r="BT34"/>
      <c r="BU34"/>
      <c r="BV34"/>
      <c r="BW34"/>
      <c r="BX34"/>
      <c r="BZ34"/>
      <c r="CA34"/>
      <c r="CB34"/>
    </row>
    <row r="35" spans="1:85" ht="15" customHeight="1" x14ac:dyDescent="0.25">
      <c r="A35" s="7115" t="s">
        <v>1905</v>
      </c>
      <c r="B35" s="7115"/>
      <c r="C35" s="2225">
        <f>SUM(D35:P35)</f>
        <v>0</v>
      </c>
      <c r="D35" s="2225">
        <f>SUM(D36:D48)</f>
        <v>0</v>
      </c>
      <c r="E35" s="2225">
        <f>SUM(E36:E48)</f>
        <v>0</v>
      </c>
      <c r="F35" s="2225">
        <f t="shared" ref="F35:L35" si="18">SUM(F36:F48)</f>
        <v>0</v>
      </c>
      <c r="G35" s="2225">
        <f t="shared" si="18"/>
        <v>0</v>
      </c>
      <c r="H35" s="2225">
        <f t="shared" si="18"/>
        <v>0</v>
      </c>
      <c r="I35" s="2225">
        <f t="shared" si="18"/>
        <v>0</v>
      </c>
      <c r="J35" s="2225">
        <f t="shared" si="18"/>
        <v>0</v>
      </c>
      <c r="K35" s="2225">
        <f t="shared" si="18"/>
        <v>0</v>
      </c>
      <c r="L35" s="2225">
        <f t="shared" si="18"/>
        <v>0</v>
      </c>
      <c r="M35" s="2225">
        <f>SUM(M36:M48)</f>
        <v>0</v>
      </c>
      <c r="N35" s="2225">
        <f>SUM(N51:N55)</f>
        <v>0</v>
      </c>
      <c r="O35" s="2225">
        <f t="shared" ref="O35:P35" si="19">SUM(O51:O55)</f>
        <v>0</v>
      </c>
      <c r="P35" s="2730">
        <f t="shared" si="19"/>
        <v>0</v>
      </c>
      <c r="Q35" s="2650">
        <f>SUM(Q36:Q48)</f>
        <v>0</v>
      </c>
      <c r="R35" s="2650">
        <f>SUM(R36:R48)</f>
        <v>0</v>
      </c>
      <c r="S35" s="2650">
        <f t="shared" ref="S35:U35" si="20">SUM(S36:S48)</f>
        <v>0</v>
      </c>
      <c r="T35" s="2650">
        <f t="shared" si="20"/>
        <v>0</v>
      </c>
      <c r="U35" s="2650">
        <f t="shared" si="20"/>
        <v>0</v>
      </c>
      <c r="BQ35"/>
      <c r="BR35"/>
      <c r="BS35"/>
      <c r="BT35"/>
      <c r="BU35"/>
      <c r="BV35"/>
      <c r="BW35"/>
      <c r="BX35"/>
      <c r="BZ35"/>
      <c r="CA35"/>
      <c r="CB35"/>
    </row>
    <row r="36" spans="1:85" ht="15" customHeight="1" x14ac:dyDescent="0.25">
      <c r="A36" s="7116" t="s">
        <v>3902</v>
      </c>
      <c r="B36" s="7117"/>
      <c r="C36" s="2206">
        <f>SUM(D36:M36)</f>
        <v>0</v>
      </c>
      <c r="D36" s="2209"/>
      <c r="E36" s="1472"/>
      <c r="F36" s="1472"/>
      <c r="G36" s="1472"/>
      <c r="H36" s="1472"/>
      <c r="I36" s="1472"/>
      <c r="J36" s="1472"/>
      <c r="K36" s="1472"/>
      <c r="L36" s="1472"/>
      <c r="M36" s="1472"/>
      <c r="N36" s="2226"/>
      <c r="O36" s="2227"/>
      <c r="P36" s="2228"/>
      <c r="Q36" s="2210"/>
      <c r="R36" s="2210"/>
      <c r="S36" s="2210"/>
      <c r="T36" s="2210"/>
      <c r="U36" s="2210"/>
      <c r="V36" t="str">
        <f>BQ36&amp;BR36&amp;BS36&amp;BT36&amp;BU36</f>
        <v/>
      </c>
      <c r="BQ36" s="2553" t="str">
        <f>IF(AND(C36&gt;0,Q36="")," * No olvide digitar la variable "&amp;$Q$33&amp;""&amp;". Digite Cero si no tiene.",IF(Q36&gt;C36," * La variable "&amp;$Q$33&amp;""&amp;" no  puede ser mayor al Total.",""))</f>
        <v/>
      </c>
      <c r="BR36" s="2553" t="str">
        <f>IF(AND(C36&gt;0,R36="")," * No olvide digitar la variable "&amp;$R$33&amp;""&amp;". Digite Cero si no tiene.","")</f>
        <v/>
      </c>
      <c r="BS36" s="2553" t="str">
        <f>IF(AND($C36&gt;0,S36="")," * No olvide digitar la variable "&amp;$S$33&amp;""&amp;". Digite Cero si no tiene.",IF(S36&gt;C36," * La variable "&amp;$S$33&amp;""&amp;" no  puede ser mayor al Total.",""))</f>
        <v/>
      </c>
      <c r="BT36" s="2553" t="str">
        <f>IF(AND($C36&gt;0,T36="")," * No olvide digitar la variable "&amp;$T$33&amp;""&amp;". Digite Cero si no tiene.",IF(T36&gt;$C36," * La variable "&amp;$T$33&amp;""&amp;" no  puede ser mayor al Total.",""))</f>
        <v/>
      </c>
      <c r="BU36" s="2553" t="str">
        <f>IF(AND($C36&gt;0,U36="")," * No olvide digitar la variable "&amp;$U$33&amp;""&amp;". Digite Cero si no tiene.",IF(U36&gt;$C36," * La variable "&amp;$U$33&amp;""&amp;" no  puede ser mayor al Total.",""))</f>
        <v/>
      </c>
      <c r="BV36"/>
      <c r="BW36"/>
      <c r="BX36"/>
      <c r="BZ36"/>
      <c r="CA36"/>
      <c r="CB36" s="1793">
        <f>IF(AND(C36&gt;0,Q36=""),1,IF(Q36&gt;C36,1,0))</f>
        <v>0</v>
      </c>
      <c r="CC36" s="1793">
        <f>IF(AND(C36&gt;0,R36=""),1,IF(R36&gt;C36,0,0))</f>
        <v>0</v>
      </c>
      <c r="CD36" s="6313">
        <f t="shared" ref="CD36:CD55" si="21">IF(AND(C36&gt;0,S36=""),1,IF(S36&gt;C36,1,0))</f>
        <v>0</v>
      </c>
      <c r="CE36" s="1793">
        <f t="shared" ref="CE36:CE55" si="22">IF(AND(C36&gt;0,T36=""),1,IF(T36&gt;C36,1,0))</f>
        <v>0</v>
      </c>
      <c r="CF36" s="1793"/>
      <c r="CG36" s="1793">
        <f t="shared" ref="CG36:CG55" si="23">IF(AND(C36&gt;0,U36=""),1,IF(U36&gt;C36,1,0))</f>
        <v>0</v>
      </c>
    </row>
    <row r="37" spans="1:85" ht="15" customHeight="1" x14ac:dyDescent="0.25">
      <c r="A37" s="7118" t="s">
        <v>3903</v>
      </c>
      <c r="B37" s="7119"/>
      <c r="C37" s="1124">
        <f t="shared" ref="C37:C50" si="24">SUM(D37:M37)</f>
        <v>0</v>
      </c>
      <c r="D37" s="3"/>
      <c r="E37" s="4"/>
      <c r="F37" s="4"/>
      <c r="G37" s="4"/>
      <c r="H37" s="4"/>
      <c r="I37" s="4"/>
      <c r="J37" s="4"/>
      <c r="K37" s="4"/>
      <c r="L37" s="4"/>
      <c r="M37" s="4"/>
      <c r="N37" s="2229"/>
      <c r="O37" s="2230"/>
      <c r="P37" s="2231"/>
      <c r="Q37" s="12"/>
      <c r="R37" s="12"/>
      <c r="S37" s="12"/>
      <c r="T37" s="12"/>
      <c r="U37" s="12"/>
      <c r="V37" t="str">
        <f t="shared" ref="V37:V55" si="25">BQ37&amp;BR37&amp;BS37&amp;BT37&amp;BU37</f>
        <v/>
      </c>
      <c r="BQ37" s="2553" t="str">
        <f t="shared" ref="BQ37:BQ55" si="26">IF(AND(C37&gt;0,Q37="")," * No olvide digitar la variable "&amp;$Q$33&amp;""&amp;". Digite Cero si no tiene.",IF(Q37&gt;C37," * La variable "&amp;$Q$33&amp;""&amp;" no  puede ser mayor al Total.",""))</f>
        <v/>
      </c>
      <c r="BR37" s="2553" t="str">
        <f>IF(AND(C37&gt;0,R37="")," * No olvide digitar la variable "&amp;$R$33&amp;""&amp;". Digite Cero si no tiene.","")</f>
        <v/>
      </c>
      <c r="BS37" s="2553" t="str">
        <f t="shared" ref="BS37:BS55" si="27">IF(AND($C37&gt;0,S37="")," * No olvide digitar la variable "&amp;$S$33&amp;""&amp;". Digite Cero si no tiene.",IF(S37&gt;C37," * La variable "&amp;$S$33&amp;""&amp;" no  puede ser mayor al Total.",""))</f>
        <v/>
      </c>
      <c r="BT37" s="2553" t="str">
        <f t="shared" ref="BT37:BT55" si="28">IF(AND($C37&gt;0,T37="")," * No olvide digitar la variable "&amp;$T$33&amp;""&amp;". Digite Cero si no tiene.",IF(T37&gt;$C37," * La variable "&amp;$T$33&amp;""&amp;" no  puede ser mayor al Total.",""))</f>
        <v/>
      </c>
      <c r="BU37" s="2553" t="str">
        <f t="shared" ref="BU37:BU55" si="29">IF(AND($C37&gt;0,U37="")," * No olvide digitar la variable "&amp;$U$33&amp;""&amp;". Digite Cero si no tiene.",IF(U37&gt;$C37," * La variable "&amp;$U$33&amp;""&amp;" no  puede ser mayor al Total.",""))</f>
        <v/>
      </c>
      <c r="BV37"/>
      <c r="BW37"/>
      <c r="BX37"/>
      <c r="BZ37"/>
      <c r="CA37"/>
      <c r="CB37" s="1793">
        <f t="shared" ref="CB37:CB55" si="30">IF(AND(C37&gt;0,Q37=""),1,IF(Q37&gt;C37,1,0))</f>
        <v>0</v>
      </c>
      <c r="CC37" s="1793">
        <f t="shared" ref="CC37:CC55" si="31">IF(AND(C37&gt;0,R37=""),1,IF(R37&gt;C37,0,0))</f>
        <v>0</v>
      </c>
      <c r="CD37" s="6313">
        <f t="shared" si="21"/>
        <v>0</v>
      </c>
      <c r="CE37" s="1793">
        <f t="shared" si="22"/>
        <v>0</v>
      </c>
      <c r="CF37" s="1793"/>
      <c r="CG37" s="1793">
        <f t="shared" si="23"/>
        <v>0</v>
      </c>
    </row>
    <row r="38" spans="1:85" ht="15" customHeight="1" x14ac:dyDescent="0.25">
      <c r="A38" s="7074" t="s">
        <v>1113</v>
      </c>
      <c r="B38" s="4590" t="s">
        <v>1114</v>
      </c>
      <c r="C38" s="2206">
        <f t="shared" si="24"/>
        <v>0</v>
      </c>
      <c r="D38" s="2209"/>
      <c r="E38" s="1472"/>
      <c r="F38" s="1472"/>
      <c r="G38" s="1472"/>
      <c r="H38" s="1472"/>
      <c r="I38" s="1472"/>
      <c r="J38" s="1472"/>
      <c r="K38" s="1472"/>
      <c r="L38" s="1472"/>
      <c r="M38" s="1472"/>
      <c r="N38" s="2226"/>
      <c r="O38" s="2227"/>
      <c r="P38" s="2228"/>
      <c r="Q38" s="2210"/>
      <c r="R38" s="2210"/>
      <c r="S38" s="2210"/>
      <c r="T38" s="2210"/>
      <c r="U38" s="2210"/>
      <c r="V38" t="str">
        <f t="shared" si="25"/>
        <v/>
      </c>
      <c r="BQ38" s="2553" t="str">
        <f t="shared" si="26"/>
        <v/>
      </c>
      <c r="BR38" s="2553" t="str">
        <f>IF(AND(C38&gt;0,R38="")," * No olvide digitar la variable "&amp;$R$33&amp;""&amp;". Digite Cero si no tiene.","")</f>
        <v/>
      </c>
      <c r="BS38" s="2553" t="str">
        <f t="shared" si="27"/>
        <v/>
      </c>
      <c r="BT38" s="2553" t="str">
        <f t="shared" si="28"/>
        <v/>
      </c>
      <c r="BU38" s="2553" t="str">
        <f t="shared" si="29"/>
        <v/>
      </c>
      <c r="BV38"/>
      <c r="BW38"/>
      <c r="BX38"/>
      <c r="BZ38"/>
      <c r="CA38"/>
      <c r="CB38" s="1793">
        <f t="shared" si="30"/>
        <v>0</v>
      </c>
      <c r="CC38" s="1793">
        <f t="shared" si="31"/>
        <v>0</v>
      </c>
      <c r="CD38" s="6313">
        <f t="shared" si="21"/>
        <v>0</v>
      </c>
      <c r="CE38" s="1793">
        <f t="shared" si="22"/>
        <v>0</v>
      </c>
      <c r="CF38" s="1793"/>
      <c r="CG38" s="1793">
        <f t="shared" si="23"/>
        <v>0</v>
      </c>
    </row>
    <row r="39" spans="1:85" ht="15" customHeight="1" x14ac:dyDescent="0.25">
      <c r="A39" s="7074"/>
      <c r="B39" s="4591" t="s">
        <v>1115</v>
      </c>
      <c r="C39" s="1123">
        <f t="shared" si="24"/>
        <v>0</v>
      </c>
      <c r="D39" s="1113"/>
      <c r="E39" s="1476"/>
      <c r="F39" s="1476"/>
      <c r="G39" s="1476"/>
      <c r="H39" s="1476"/>
      <c r="I39" s="1476"/>
      <c r="J39" s="1476"/>
      <c r="K39" s="1476"/>
      <c r="L39" s="1476"/>
      <c r="M39" s="1476"/>
      <c r="N39" s="2233"/>
      <c r="O39" s="1490"/>
      <c r="P39" s="1491"/>
      <c r="Q39" s="8"/>
      <c r="R39" s="8"/>
      <c r="S39" s="8"/>
      <c r="T39" s="8"/>
      <c r="U39" s="8"/>
      <c r="V39" t="str">
        <f t="shared" si="25"/>
        <v/>
      </c>
      <c r="BQ39" s="2553" t="str">
        <f t="shared" si="26"/>
        <v/>
      </c>
      <c r="BR39" s="2553" t="str">
        <f t="shared" ref="BR39:BR55" si="32">IF(AND(C39&gt;0,R39="")," * No olvide digitar la variable "&amp;$R$33&amp;""&amp;". Digite Cero si no tiene.","")</f>
        <v/>
      </c>
      <c r="BS39" s="2553" t="str">
        <f t="shared" si="27"/>
        <v/>
      </c>
      <c r="BT39" s="2553" t="str">
        <f t="shared" si="28"/>
        <v/>
      </c>
      <c r="BU39" s="2553" t="str">
        <f t="shared" si="29"/>
        <v/>
      </c>
      <c r="BV39"/>
      <c r="BW39"/>
      <c r="BX39"/>
      <c r="BZ39"/>
      <c r="CA39"/>
      <c r="CB39" s="1793">
        <f t="shared" si="30"/>
        <v>0</v>
      </c>
      <c r="CC39" s="1793">
        <f t="shared" si="31"/>
        <v>0</v>
      </c>
      <c r="CD39" s="6313">
        <f t="shared" si="21"/>
        <v>0</v>
      </c>
      <c r="CE39" s="1793">
        <f t="shared" si="22"/>
        <v>0</v>
      </c>
      <c r="CF39" s="1793"/>
      <c r="CG39" s="1793">
        <f t="shared" si="23"/>
        <v>0</v>
      </c>
    </row>
    <row r="40" spans="1:85" ht="15" customHeight="1" x14ac:dyDescent="0.25">
      <c r="A40" s="7074"/>
      <c r="B40" s="4591" t="s">
        <v>1116</v>
      </c>
      <c r="C40" s="1123">
        <f t="shared" si="24"/>
        <v>0</v>
      </c>
      <c r="D40" s="1113"/>
      <c r="E40" s="1476"/>
      <c r="F40" s="1476"/>
      <c r="G40" s="1476"/>
      <c r="H40" s="1476"/>
      <c r="I40" s="1476"/>
      <c r="J40" s="1476"/>
      <c r="K40" s="1476"/>
      <c r="L40" s="1476"/>
      <c r="M40" s="1476"/>
      <c r="N40" s="2233"/>
      <c r="O40" s="1490"/>
      <c r="P40" s="1491"/>
      <c r="Q40" s="8"/>
      <c r="R40" s="8"/>
      <c r="S40" s="8"/>
      <c r="T40" s="8"/>
      <c r="U40" s="8"/>
      <c r="V40" t="str">
        <f t="shared" si="25"/>
        <v/>
      </c>
      <c r="BQ40" s="2553" t="str">
        <f t="shared" si="26"/>
        <v/>
      </c>
      <c r="BR40" s="2553" t="str">
        <f t="shared" si="32"/>
        <v/>
      </c>
      <c r="BS40" s="2553" t="str">
        <f t="shared" si="27"/>
        <v/>
      </c>
      <c r="BT40" s="2553" t="str">
        <f t="shared" si="28"/>
        <v/>
      </c>
      <c r="BU40" s="2553" t="str">
        <f t="shared" si="29"/>
        <v/>
      </c>
      <c r="BV40"/>
      <c r="BW40"/>
      <c r="BX40"/>
      <c r="BZ40"/>
      <c r="CA40"/>
      <c r="CB40" s="1793">
        <f t="shared" si="30"/>
        <v>0</v>
      </c>
      <c r="CC40" s="1793">
        <f t="shared" si="31"/>
        <v>0</v>
      </c>
      <c r="CD40" s="6313">
        <f t="shared" si="21"/>
        <v>0</v>
      </c>
      <c r="CE40" s="1793">
        <f t="shared" si="22"/>
        <v>0</v>
      </c>
      <c r="CF40" s="1793"/>
      <c r="CG40" s="1793">
        <f t="shared" si="23"/>
        <v>0</v>
      </c>
    </row>
    <row r="41" spans="1:85" ht="15" customHeight="1" x14ac:dyDescent="0.25">
      <c r="A41" s="7074"/>
      <c r="B41" s="4591" t="s">
        <v>1117</v>
      </c>
      <c r="C41" s="1123">
        <f t="shared" si="24"/>
        <v>0</v>
      </c>
      <c r="D41" s="1113"/>
      <c r="E41" s="1476"/>
      <c r="F41" s="1476"/>
      <c r="G41" s="1476"/>
      <c r="H41" s="1476"/>
      <c r="I41" s="1476"/>
      <c r="J41" s="1476"/>
      <c r="K41" s="1476"/>
      <c r="L41" s="1476"/>
      <c r="M41" s="1476"/>
      <c r="N41" s="2233"/>
      <c r="O41" s="1490"/>
      <c r="P41" s="1491"/>
      <c r="Q41" s="8"/>
      <c r="R41" s="8"/>
      <c r="S41" s="8"/>
      <c r="T41" s="8"/>
      <c r="U41" s="8"/>
      <c r="V41" t="str">
        <f t="shared" si="25"/>
        <v/>
      </c>
      <c r="BQ41" s="2553" t="str">
        <f t="shared" si="26"/>
        <v/>
      </c>
      <c r="BR41" s="2553" t="str">
        <f t="shared" si="32"/>
        <v/>
      </c>
      <c r="BS41" s="2553" t="str">
        <f t="shared" si="27"/>
        <v/>
      </c>
      <c r="BT41" s="2553" t="str">
        <f t="shared" si="28"/>
        <v/>
      </c>
      <c r="BU41" s="2553" t="str">
        <f t="shared" si="29"/>
        <v/>
      </c>
      <c r="BV41"/>
      <c r="BW41"/>
      <c r="BX41"/>
      <c r="BZ41"/>
      <c r="CA41"/>
      <c r="CB41" s="1793">
        <f t="shared" si="30"/>
        <v>0</v>
      </c>
      <c r="CC41" s="1793">
        <f t="shared" si="31"/>
        <v>0</v>
      </c>
      <c r="CD41" s="6313">
        <f t="shared" si="21"/>
        <v>0</v>
      </c>
      <c r="CE41" s="1793">
        <f t="shared" si="22"/>
        <v>0</v>
      </c>
      <c r="CF41" s="1793"/>
      <c r="CG41" s="1793">
        <f t="shared" si="23"/>
        <v>0</v>
      </c>
    </row>
    <row r="42" spans="1:85" ht="15" customHeight="1" x14ac:dyDescent="0.25">
      <c r="A42" s="7074"/>
      <c r="B42" s="4591" t="s">
        <v>1118</v>
      </c>
      <c r="C42" s="1123">
        <f t="shared" si="24"/>
        <v>0</v>
      </c>
      <c r="D42" s="1113"/>
      <c r="E42" s="1476"/>
      <c r="F42" s="1476"/>
      <c r="G42" s="1476"/>
      <c r="H42" s="1476"/>
      <c r="I42" s="1476"/>
      <c r="J42" s="1476"/>
      <c r="K42" s="1476"/>
      <c r="L42" s="1476"/>
      <c r="M42" s="1476"/>
      <c r="N42" s="2233"/>
      <c r="O42" s="1490"/>
      <c r="P42" s="1491"/>
      <c r="Q42" s="8"/>
      <c r="R42" s="8"/>
      <c r="S42" s="8"/>
      <c r="T42" s="8"/>
      <c r="U42" s="8"/>
      <c r="V42" t="str">
        <f t="shared" si="25"/>
        <v/>
      </c>
      <c r="BQ42" s="2553" t="str">
        <f t="shared" si="26"/>
        <v/>
      </c>
      <c r="BR42" s="2553" t="str">
        <f t="shared" si="32"/>
        <v/>
      </c>
      <c r="BS42" s="2553" t="str">
        <f t="shared" si="27"/>
        <v/>
      </c>
      <c r="BT42" s="2553" t="str">
        <f t="shared" si="28"/>
        <v/>
      </c>
      <c r="BU42" s="2553" t="str">
        <f t="shared" si="29"/>
        <v/>
      </c>
      <c r="BV42"/>
      <c r="BW42"/>
      <c r="BX42"/>
      <c r="BZ42"/>
      <c r="CA42"/>
      <c r="CB42" s="1793">
        <f t="shared" si="30"/>
        <v>0</v>
      </c>
      <c r="CC42" s="1793">
        <f t="shared" si="31"/>
        <v>0</v>
      </c>
      <c r="CD42" s="6313">
        <f t="shared" si="21"/>
        <v>0</v>
      </c>
      <c r="CE42" s="1793">
        <f t="shared" si="22"/>
        <v>0</v>
      </c>
      <c r="CF42" s="1793"/>
      <c r="CG42" s="1793">
        <f t="shared" si="23"/>
        <v>0</v>
      </c>
    </row>
    <row r="43" spans="1:85" ht="15" customHeight="1" x14ac:dyDescent="0.25">
      <c r="A43" s="7074"/>
      <c r="B43" s="4592" t="s">
        <v>1119</v>
      </c>
      <c r="C43" s="1770">
        <f t="shared" si="24"/>
        <v>0</v>
      </c>
      <c r="D43" s="1379"/>
      <c r="E43" s="2234"/>
      <c r="F43" s="2234"/>
      <c r="G43" s="2234"/>
      <c r="H43" s="2234"/>
      <c r="I43" s="2234"/>
      <c r="J43" s="2234"/>
      <c r="K43" s="2234"/>
      <c r="L43" s="2234"/>
      <c r="M43" s="2234"/>
      <c r="N43" s="2235"/>
      <c r="O43" s="2236"/>
      <c r="P43" s="2237"/>
      <c r="Q43" s="1305"/>
      <c r="R43" s="1305"/>
      <c r="S43" s="1305"/>
      <c r="T43" s="1305"/>
      <c r="U43" s="1305"/>
      <c r="V43" t="str">
        <f t="shared" si="25"/>
        <v/>
      </c>
      <c r="BQ43" s="2553" t="str">
        <f t="shared" si="26"/>
        <v/>
      </c>
      <c r="BR43" s="2553" t="str">
        <f t="shared" si="32"/>
        <v/>
      </c>
      <c r="BS43" s="2553" t="str">
        <f t="shared" si="27"/>
        <v/>
      </c>
      <c r="BT43" s="2553" t="str">
        <f t="shared" si="28"/>
        <v/>
      </c>
      <c r="BU43" s="2553" t="str">
        <f t="shared" si="29"/>
        <v/>
      </c>
      <c r="BV43"/>
      <c r="BW43"/>
      <c r="BX43"/>
      <c r="BZ43"/>
      <c r="CA43"/>
      <c r="CB43" s="1793">
        <f t="shared" si="30"/>
        <v>0</v>
      </c>
      <c r="CC43" s="1793">
        <f t="shared" si="31"/>
        <v>0</v>
      </c>
      <c r="CD43" s="6313">
        <f t="shared" si="21"/>
        <v>0</v>
      </c>
      <c r="CE43" s="1793">
        <f t="shared" si="22"/>
        <v>0</v>
      </c>
      <c r="CF43" s="1793"/>
      <c r="CG43" s="1793">
        <f t="shared" si="23"/>
        <v>0</v>
      </c>
    </row>
    <row r="44" spans="1:85" ht="15" customHeight="1" x14ac:dyDescent="0.25">
      <c r="A44" s="7074"/>
      <c r="B44" s="55" t="s">
        <v>1906</v>
      </c>
      <c r="C44" s="1124">
        <f>SUM(D44:M44)</f>
        <v>0</v>
      </c>
      <c r="D44" s="3"/>
      <c r="E44" s="4"/>
      <c r="F44" s="4"/>
      <c r="G44" s="4"/>
      <c r="H44" s="4"/>
      <c r="I44" s="4"/>
      <c r="J44" s="4"/>
      <c r="K44" s="4"/>
      <c r="L44" s="4"/>
      <c r="M44" s="4"/>
      <c r="N44" s="2229"/>
      <c r="O44" s="2230"/>
      <c r="P44" s="2231"/>
      <c r="Q44" s="12"/>
      <c r="R44" s="12"/>
      <c r="S44" s="12"/>
      <c r="T44" s="12"/>
      <c r="U44" s="12"/>
      <c r="V44" t="str">
        <f t="shared" si="25"/>
        <v/>
      </c>
      <c r="BQ44" s="2553" t="str">
        <f t="shared" si="26"/>
        <v/>
      </c>
      <c r="BR44" s="2553" t="str">
        <f t="shared" si="32"/>
        <v/>
      </c>
      <c r="BS44" s="2553" t="str">
        <f t="shared" si="27"/>
        <v/>
      </c>
      <c r="BT44" s="2553" t="str">
        <f t="shared" si="28"/>
        <v/>
      </c>
      <c r="BU44" s="2553" t="str">
        <f t="shared" si="29"/>
        <v/>
      </c>
      <c r="BV44"/>
      <c r="BW44"/>
      <c r="BX44"/>
      <c r="BZ44"/>
      <c r="CA44"/>
      <c r="CB44" s="1793">
        <f t="shared" si="30"/>
        <v>0</v>
      </c>
      <c r="CC44" s="1793">
        <f t="shared" si="31"/>
        <v>0</v>
      </c>
      <c r="CD44" s="6313">
        <f t="shared" si="21"/>
        <v>0</v>
      </c>
      <c r="CE44" s="1793">
        <f t="shared" si="22"/>
        <v>0</v>
      </c>
      <c r="CF44" s="1793"/>
      <c r="CG44" s="1793">
        <f t="shared" si="23"/>
        <v>0</v>
      </c>
    </row>
    <row r="45" spans="1:85" ht="15" customHeight="1" x14ac:dyDescent="0.25">
      <c r="A45" s="6798" t="s">
        <v>1907</v>
      </c>
      <c r="B45" s="4590" t="s">
        <v>21</v>
      </c>
      <c r="C45" s="2206">
        <f t="shared" si="24"/>
        <v>0</v>
      </c>
      <c r="D45" s="2209"/>
      <c r="E45" s="1472"/>
      <c r="F45" s="1472"/>
      <c r="G45" s="1472"/>
      <c r="H45" s="1472"/>
      <c r="I45" s="1472"/>
      <c r="J45" s="1472"/>
      <c r="K45" s="1472"/>
      <c r="L45" s="1472"/>
      <c r="M45" s="1472"/>
      <c r="N45" s="2226"/>
      <c r="O45" s="2227"/>
      <c r="P45" s="2228"/>
      <c r="Q45" s="2210"/>
      <c r="R45" s="2210"/>
      <c r="S45" s="2210"/>
      <c r="T45" s="2210"/>
      <c r="U45" s="2210"/>
      <c r="V45" t="str">
        <f t="shared" si="25"/>
        <v/>
      </c>
      <c r="BQ45" s="2553" t="str">
        <f t="shared" si="26"/>
        <v/>
      </c>
      <c r="BR45" s="2553" t="str">
        <f t="shared" si="32"/>
        <v/>
      </c>
      <c r="BS45" s="2553" t="str">
        <f t="shared" si="27"/>
        <v/>
      </c>
      <c r="BT45" s="2553" t="str">
        <f t="shared" si="28"/>
        <v/>
      </c>
      <c r="BU45" s="2553" t="str">
        <f t="shared" si="29"/>
        <v/>
      </c>
      <c r="BV45"/>
      <c r="BW45"/>
      <c r="BX45"/>
      <c r="BZ45"/>
      <c r="CA45"/>
      <c r="CB45" s="1793">
        <f t="shared" si="30"/>
        <v>0</v>
      </c>
      <c r="CC45" s="1793">
        <f t="shared" si="31"/>
        <v>0</v>
      </c>
      <c r="CD45" s="6313">
        <f t="shared" si="21"/>
        <v>0</v>
      </c>
      <c r="CE45" s="1793">
        <f t="shared" si="22"/>
        <v>0</v>
      </c>
      <c r="CF45" s="1793"/>
      <c r="CG45" s="1793">
        <f t="shared" si="23"/>
        <v>0</v>
      </c>
    </row>
    <row r="46" spans="1:85" ht="15" customHeight="1" x14ac:dyDescent="0.25">
      <c r="A46" s="6797"/>
      <c r="B46" s="4593" t="s">
        <v>22</v>
      </c>
      <c r="C46" s="1124">
        <f t="shared" si="24"/>
        <v>0</v>
      </c>
      <c r="D46" s="3"/>
      <c r="E46" s="4"/>
      <c r="F46" s="4"/>
      <c r="G46" s="4"/>
      <c r="H46" s="4"/>
      <c r="I46" s="4"/>
      <c r="J46" s="4"/>
      <c r="K46" s="4"/>
      <c r="L46" s="4"/>
      <c r="M46" s="4"/>
      <c r="N46" s="2229"/>
      <c r="O46" s="2230"/>
      <c r="P46" s="2231"/>
      <c r="Q46" s="12"/>
      <c r="R46" s="12"/>
      <c r="S46" s="12"/>
      <c r="T46" s="12"/>
      <c r="U46" s="12"/>
      <c r="V46" t="str">
        <f t="shared" si="25"/>
        <v/>
      </c>
      <c r="BQ46" s="2553" t="str">
        <f t="shared" si="26"/>
        <v/>
      </c>
      <c r="BR46" s="2553" t="str">
        <f t="shared" si="32"/>
        <v/>
      </c>
      <c r="BS46" s="2553" t="str">
        <f t="shared" si="27"/>
        <v/>
      </c>
      <c r="BT46" s="2553" t="str">
        <f t="shared" si="28"/>
        <v/>
      </c>
      <c r="BU46" s="2553" t="str">
        <f t="shared" si="29"/>
        <v/>
      </c>
      <c r="BV46"/>
      <c r="BW46"/>
      <c r="BX46"/>
      <c r="BZ46"/>
      <c r="CA46"/>
      <c r="CB46" s="1793">
        <f t="shared" si="30"/>
        <v>0</v>
      </c>
      <c r="CC46" s="1793">
        <f t="shared" si="31"/>
        <v>0</v>
      </c>
      <c r="CD46" s="6313">
        <f t="shared" si="21"/>
        <v>0</v>
      </c>
      <c r="CE46" s="1793">
        <f t="shared" si="22"/>
        <v>0</v>
      </c>
      <c r="CF46" s="1793"/>
      <c r="CG46" s="1793">
        <f t="shared" si="23"/>
        <v>0</v>
      </c>
    </row>
    <row r="47" spans="1:85" ht="15" customHeight="1" x14ac:dyDescent="0.25">
      <c r="A47" s="7043" t="s">
        <v>1908</v>
      </c>
      <c r="B47" s="6288" t="s">
        <v>21</v>
      </c>
      <c r="C47" s="6289">
        <f>SUM(D47:M47)</f>
        <v>0</v>
      </c>
      <c r="D47" s="5938"/>
      <c r="E47" s="5643"/>
      <c r="F47" s="5643"/>
      <c r="G47" s="5643"/>
      <c r="H47" s="5643"/>
      <c r="I47" s="5643"/>
      <c r="J47" s="5643"/>
      <c r="K47" s="5643"/>
      <c r="L47" s="5643"/>
      <c r="M47" s="5643"/>
      <c r="N47" s="6290"/>
      <c r="O47" s="5644"/>
      <c r="P47" s="5645"/>
      <c r="Q47" s="5904"/>
      <c r="R47" s="5904"/>
      <c r="S47" s="5904"/>
      <c r="T47" s="5904"/>
      <c r="U47" s="5904"/>
      <c r="V47" t="str">
        <f t="shared" si="25"/>
        <v/>
      </c>
      <c r="BQ47" s="2553" t="str">
        <f t="shared" si="26"/>
        <v/>
      </c>
      <c r="BR47" s="2553" t="str">
        <f t="shared" si="32"/>
        <v/>
      </c>
      <c r="BS47" s="2553" t="str">
        <f t="shared" si="27"/>
        <v/>
      </c>
      <c r="BT47" s="2553" t="str">
        <f t="shared" si="28"/>
        <v/>
      </c>
      <c r="BU47" s="2553" t="str">
        <f t="shared" si="29"/>
        <v/>
      </c>
      <c r="BV47"/>
      <c r="BW47"/>
      <c r="BX47"/>
      <c r="BZ47"/>
      <c r="CA47"/>
      <c r="CB47" s="1793">
        <f t="shared" si="30"/>
        <v>0</v>
      </c>
      <c r="CC47" s="1793">
        <f t="shared" si="31"/>
        <v>0</v>
      </c>
      <c r="CD47" s="6313">
        <f t="shared" si="21"/>
        <v>0</v>
      </c>
      <c r="CE47" s="1793">
        <f t="shared" si="22"/>
        <v>0</v>
      </c>
      <c r="CF47" s="1793"/>
      <c r="CG47" s="1793">
        <f t="shared" si="23"/>
        <v>0</v>
      </c>
    </row>
    <row r="48" spans="1:85" ht="15" customHeight="1" thickBot="1" x14ac:dyDescent="0.3">
      <c r="A48" s="7107"/>
      <c r="B48" s="6291" t="s">
        <v>22</v>
      </c>
      <c r="C48" s="6292">
        <f>SUM(D48:M48)</f>
        <v>0</v>
      </c>
      <c r="D48" s="6293"/>
      <c r="E48" s="6294"/>
      <c r="F48" s="6294"/>
      <c r="G48" s="6294"/>
      <c r="H48" s="6294"/>
      <c r="I48" s="6294"/>
      <c r="J48" s="6294"/>
      <c r="K48" s="6294"/>
      <c r="L48" s="6294"/>
      <c r="M48" s="6294"/>
      <c r="N48" s="6295"/>
      <c r="O48" s="6296"/>
      <c r="P48" s="6297"/>
      <c r="Q48" s="6298"/>
      <c r="R48" s="6298"/>
      <c r="S48" s="6298"/>
      <c r="T48" s="6298"/>
      <c r="U48" s="6298"/>
      <c r="V48" t="str">
        <f t="shared" si="25"/>
        <v/>
      </c>
      <c r="BQ48" s="2553" t="str">
        <f t="shared" si="26"/>
        <v/>
      </c>
      <c r="BR48" s="2553" t="str">
        <f t="shared" si="32"/>
        <v/>
      </c>
      <c r="BS48" s="2553" t="str">
        <f t="shared" si="27"/>
        <v/>
      </c>
      <c r="BT48" s="2553" t="str">
        <f t="shared" si="28"/>
        <v/>
      </c>
      <c r="BU48" s="2553" t="str">
        <f t="shared" si="29"/>
        <v/>
      </c>
      <c r="BV48"/>
      <c r="BW48"/>
      <c r="BX48"/>
      <c r="BZ48"/>
      <c r="CA48"/>
      <c r="CB48" s="1793">
        <f t="shared" si="30"/>
        <v>0</v>
      </c>
      <c r="CC48" s="1793">
        <f t="shared" si="31"/>
        <v>0</v>
      </c>
      <c r="CD48" s="6313">
        <f t="shared" si="21"/>
        <v>0</v>
      </c>
      <c r="CE48" s="1793">
        <f t="shared" si="22"/>
        <v>0</v>
      </c>
      <c r="CF48" s="1793"/>
      <c r="CG48" s="1793">
        <f t="shared" si="23"/>
        <v>0</v>
      </c>
    </row>
    <row r="49" spans="1:85" ht="15" customHeight="1" thickTop="1" x14ac:dyDescent="0.25">
      <c r="A49" s="7108" t="s">
        <v>1909</v>
      </c>
      <c r="B49" s="7109"/>
      <c r="C49" s="5637">
        <f t="shared" si="24"/>
        <v>0</v>
      </c>
      <c r="D49" s="1318"/>
      <c r="E49" s="5638"/>
      <c r="F49" s="5638"/>
      <c r="G49" s="5638"/>
      <c r="H49" s="5638"/>
      <c r="I49" s="5638"/>
      <c r="J49" s="5638"/>
      <c r="K49" s="5638"/>
      <c r="L49" s="5638"/>
      <c r="M49" s="5638"/>
      <c r="N49" s="2239"/>
      <c r="O49" s="5639"/>
      <c r="P49" s="5640"/>
      <c r="Q49" s="4544"/>
      <c r="R49" s="4544"/>
      <c r="S49" s="4544"/>
      <c r="T49" s="4544"/>
      <c r="U49" s="4544"/>
      <c r="V49" t="str">
        <f t="shared" si="25"/>
        <v/>
      </c>
      <c r="BQ49" s="2553" t="str">
        <f t="shared" si="26"/>
        <v/>
      </c>
      <c r="BR49" s="2553" t="str">
        <f t="shared" si="32"/>
        <v/>
      </c>
      <c r="BS49" s="2553" t="str">
        <f t="shared" si="27"/>
        <v/>
      </c>
      <c r="BT49" s="2553" t="str">
        <f t="shared" si="28"/>
        <v/>
      </c>
      <c r="BU49" s="2553" t="str">
        <f t="shared" si="29"/>
        <v/>
      </c>
      <c r="BV49"/>
      <c r="BW49"/>
      <c r="BX49"/>
      <c r="BZ49"/>
      <c r="CA49"/>
      <c r="CB49" s="1793">
        <f t="shared" si="30"/>
        <v>0</v>
      </c>
      <c r="CC49" s="1793">
        <f t="shared" si="31"/>
        <v>0</v>
      </c>
      <c r="CD49" s="6313">
        <f t="shared" si="21"/>
        <v>0</v>
      </c>
      <c r="CE49" s="1793">
        <f t="shared" si="22"/>
        <v>0</v>
      </c>
      <c r="CF49" s="1793"/>
      <c r="CG49" s="1793">
        <f t="shared" si="23"/>
        <v>0</v>
      </c>
    </row>
    <row r="50" spans="1:85" ht="15" customHeight="1" x14ac:dyDescent="0.25">
      <c r="A50" s="7110" t="s">
        <v>1910</v>
      </c>
      <c r="B50" s="7111"/>
      <c r="C50" s="2240">
        <f t="shared" si="24"/>
        <v>0</v>
      </c>
      <c r="D50" s="2241"/>
      <c r="E50" s="2242"/>
      <c r="F50" s="2242"/>
      <c r="G50" s="2242"/>
      <c r="H50" s="2242"/>
      <c r="I50" s="2242"/>
      <c r="J50" s="2242"/>
      <c r="K50" s="2242"/>
      <c r="L50" s="2242"/>
      <c r="M50" s="2242"/>
      <c r="N50" s="2243"/>
      <c r="O50" s="2244"/>
      <c r="P50" s="2245"/>
      <c r="Q50" s="1772"/>
      <c r="R50" s="1772"/>
      <c r="S50" s="1772"/>
      <c r="T50" s="1772"/>
      <c r="U50" s="1772"/>
      <c r="V50" t="str">
        <f t="shared" si="25"/>
        <v/>
      </c>
      <c r="BQ50" s="2553" t="str">
        <f t="shared" si="26"/>
        <v/>
      </c>
      <c r="BR50" s="2553" t="str">
        <f t="shared" si="32"/>
        <v/>
      </c>
      <c r="BS50" s="2553" t="str">
        <f t="shared" si="27"/>
        <v/>
      </c>
      <c r="BT50" s="2553" t="str">
        <f t="shared" si="28"/>
        <v/>
      </c>
      <c r="BU50" s="2553" t="str">
        <f t="shared" si="29"/>
        <v/>
      </c>
      <c r="BV50"/>
      <c r="BW50"/>
      <c r="BX50"/>
      <c r="BZ50"/>
      <c r="CA50"/>
      <c r="CB50" s="1793">
        <f t="shared" si="30"/>
        <v>0</v>
      </c>
      <c r="CC50" s="1793">
        <f t="shared" si="31"/>
        <v>0</v>
      </c>
      <c r="CD50" s="6313">
        <f t="shared" si="21"/>
        <v>0</v>
      </c>
      <c r="CE50" s="1793">
        <f t="shared" si="22"/>
        <v>0</v>
      </c>
      <c r="CF50" s="1793"/>
      <c r="CG50" s="1793">
        <f t="shared" si="23"/>
        <v>0</v>
      </c>
    </row>
    <row r="51" spans="1:85" ht="15" customHeight="1" x14ac:dyDescent="0.25">
      <c r="A51" s="7112" t="s">
        <v>1911</v>
      </c>
      <c r="B51" s="4594" t="s">
        <v>21</v>
      </c>
      <c r="C51" s="2206">
        <f>SUM(D51:P51)</f>
        <v>0</v>
      </c>
      <c r="D51" s="2209"/>
      <c r="E51" s="1472"/>
      <c r="F51" s="1472"/>
      <c r="G51" s="1472"/>
      <c r="H51" s="1472"/>
      <c r="I51" s="1472"/>
      <c r="J51" s="1472"/>
      <c r="K51" s="1472"/>
      <c r="L51" s="1472"/>
      <c r="M51" s="1472"/>
      <c r="N51" s="2212"/>
      <c r="O51" s="1472"/>
      <c r="P51" s="2220"/>
      <c r="Q51" s="2210"/>
      <c r="R51" s="2210"/>
      <c r="S51" s="2210"/>
      <c r="T51" s="2210"/>
      <c r="U51" s="2210"/>
      <c r="V51" t="str">
        <f t="shared" si="25"/>
        <v/>
      </c>
      <c r="BQ51" s="2553" t="str">
        <f t="shared" si="26"/>
        <v/>
      </c>
      <c r="BR51" s="2553" t="str">
        <f t="shared" si="32"/>
        <v/>
      </c>
      <c r="BS51" s="2553" t="str">
        <f t="shared" si="27"/>
        <v/>
      </c>
      <c r="BT51" s="2553" t="str">
        <f t="shared" si="28"/>
        <v/>
      </c>
      <c r="BU51" s="2553" t="str">
        <f t="shared" si="29"/>
        <v/>
      </c>
      <c r="BV51"/>
      <c r="BW51"/>
      <c r="BX51"/>
      <c r="BZ51"/>
      <c r="CA51"/>
      <c r="CB51" s="6085">
        <f t="shared" si="30"/>
        <v>0</v>
      </c>
      <c r="CC51" s="1793">
        <f t="shared" si="31"/>
        <v>0</v>
      </c>
      <c r="CD51" s="6313">
        <f t="shared" si="21"/>
        <v>0</v>
      </c>
      <c r="CE51" s="6085">
        <f t="shared" si="22"/>
        <v>0</v>
      </c>
      <c r="CF51" s="1793"/>
      <c r="CG51" s="6085">
        <f t="shared" si="23"/>
        <v>0</v>
      </c>
    </row>
    <row r="52" spans="1:85" ht="15" customHeight="1" x14ac:dyDescent="0.25">
      <c r="A52" s="6819"/>
      <c r="B52" s="4595" t="s">
        <v>22</v>
      </c>
      <c r="C52" s="2240">
        <f>SUM(D52:P52)</f>
        <v>0</v>
      </c>
      <c r="D52" s="2241"/>
      <c r="E52" s="2242"/>
      <c r="F52" s="2242"/>
      <c r="G52" s="2242"/>
      <c r="H52" s="2242"/>
      <c r="I52" s="2242"/>
      <c r="J52" s="2242"/>
      <c r="K52" s="2242"/>
      <c r="L52" s="2242"/>
      <c r="M52" s="2242"/>
      <c r="N52" s="2246"/>
      <c r="O52" s="2242"/>
      <c r="P52" s="2247"/>
      <c r="Q52" s="1772"/>
      <c r="R52" s="1772"/>
      <c r="S52" s="1772"/>
      <c r="T52" s="1772"/>
      <c r="U52" s="1772"/>
      <c r="V52" t="str">
        <f t="shared" si="25"/>
        <v/>
      </c>
      <c r="BQ52" s="2553" t="str">
        <f t="shared" si="26"/>
        <v/>
      </c>
      <c r="BR52" s="2553" t="str">
        <f t="shared" si="32"/>
        <v/>
      </c>
      <c r="BS52" s="2553" t="str">
        <f t="shared" si="27"/>
        <v/>
      </c>
      <c r="BT52" s="2553" t="str">
        <f t="shared" si="28"/>
        <v/>
      </c>
      <c r="BU52" s="2553" t="str">
        <f t="shared" si="29"/>
        <v/>
      </c>
      <c r="BV52"/>
      <c r="BW52"/>
      <c r="BX52"/>
      <c r="BZ52"/>
      <c r="CA52"/>
      <c r="CB52" s="6085">
        <f t="shared" si="30"/>
        <v>0</v>
      </c>
      <c r="CC52" s="1793">
        <f t="shared" si="31"/>
        <v>0</v>
      </c>
      <c r="CD52" s="6313">
        <f t="shared" si="21"/>
        <v>0</v>
      </c>
      <c r="CE52" s="6085">
        <f t="shared" si="22"/>
        <v>0</v>
      </c>
      <c r="CF52" s="1793"/>
      <c r="CG52" s="6085">
        <f t="shared" si="23"/>
        <v>0</v>
      </c>
    </row>
    <row r="53" spans="1:85" ht="15" customHeight="1" x14ac:dyDescent="0.25">
      <c r="A53" s="6798" t="s">
        <v>1912</v>
      </c>
      <c r="B53" s="4596" t="s">
        <v>21</v>
      </c>
      <c r="C53" s="2206">
        <f>SUM(D53:P53)</f>
        <v>0</v>
      </c>
      <c r="D53" s="2209"/>
      <c r="E53" s="1472"/>
      <c r="F53" s="1472"/>
      <c r="G53" s="1472"/>
      <c r="H53" s="1472"/>
      <c r="I53" s="1472"/>
      <c r="J53" s="1472"/>
      <c r="K53" s="1472"/>
      <c r="L53" s="1472"/>
      <c r="M53" s="1472"/>
      <c r="N53" s="2212"/>
      <c r="O53" s="1472"/>
      <c r="P53" s="2220"/>
      <c r="Q53" s="2210"/>
      <c r="R53" s="2210"/>
      <c r="S53" s="2210"/>
      <c r="T53" s="2210"/>
      <c r="U53" s="2210"/>
      <c r="V53" t="str">
        <f t="shared" si="25"/>
        <v/>
      </c>
      <c r="BQ53" s="2553" t="str">
        <f t="shared" si="26"/>
        <v/>
      </c>
      <c r="BR53" s="2553" t="str">
        <f t="shared" si="32"/>
        <v/>
      </c>
      <c r="BS53" s="2553" t="str">
        <f t="shared" si="27"/>
        <v/>
      </c>
      <c r="BT53" s="2553" t="str">
        <f t="shared" si="28"/>
        <v/>
      </c>
      <c r="BU53" s="2553" t="str">
        <f t="shared" si="29"/>
        <v/>
      </c>
      <c r="BV53"/>
      <c r="BW53"/>
      <c r="BX53"/>
      <c r="BZ53"/>
      <c r="CA53"/>
      <c r="CB53" s="6085">
        <f t="shared" si="30"/>
        <v>0</v>
      </c>
      <c r="CC53" s="1793">
        <f t="shared" si="31"/>
        <v>0</v>
      </c>
      <c r="CD53" s="6313">
        <f t="shared" si="21"/>
        <v>0</v>
      </c>
      <c r="CE53" s="6085">
        <f t="shared" si="22"/>
        <v>0</v>
      </c>
      <c r="CF53" s="1793"/>
      <c r="CG53" s="6085">
        <f t="shared" si="23"/>
        <v>0</v>
      </c>
    </row>
    <row r="54" spans="1:85" ht="15" customHeight="1" x14ac:dyDescent="0.25">
      <c r="A54" s="6797"/>
      <c r="B54" s="4597" t="s">
        <v>22</v>
      </c>
      <c r="C54" s="2240">
        <f>SUM(D54:P54)</f>
        <v>0</v>
      </c>
      <c r="D54" s="2241"/>
      <c r="E54" s="2242"/>
      <c r="F54" s="2242"/>
      <c r="G54" s="2242"/>
      <c r="H54" s="2242"/>
      <c r="I54" s="2242"/>
      <c r="J54" s="2242"/>
      <c r="K54" s="2242"/>
      <c r="L54" s="2242"/>
      <c r="M54" s="2242"/>
      <c r="N54" s="2246"/>
      <c r="O54" s="2242"/>
      <c r="P54" s="2247"/>
      <c r="Q54" s="1772"/>
      <c r="R54" s="1772"/>
      <c r="S54" s="1772"/>
      <c r="T54" s="1772"/>
      <c r="U54" s="1772"/>
      <c r="V54" t="str">
        <f t="shared" si="25"/>
        <v/>
      </c>
      <c r="BQ54" s="2553" t="str">
        <f t="shared" si="26"/>
        <v/>
      </c>
      <c r="BR54" s="2553" t="str">
        <f t="shared" si="32"/>
        <v/>
      </c>
      <c r="BS54" s="2553" t="str">
        <f t="shared" si="27"/>
        <v/>
      </c>
      <c r="BT54" s="2553" t="str">
        <f t="shared" si="28"/>
        <v/>
      </c>
      <c r="BU54" s="2553" t="str">
        <f t="shared" si="29"/>
        <v/>
      </c>
      <c r="BV54"/>
      <c r="BW54"/>
      <c r="BX54"/>
      <c r="BZ54"/>
      <c r="CA54"/>
      <c r="CB54" s="6085">
        <f t="shared" si="30"/>
        <v>0</v>
      </c>
      <c r="CC54" s="1793">
        <f t="shared" si="31"/>
        <v>0</v>
      </c>
      <c r="CD54" s="6313">
        <f t="shared" si="21"/>
        <v>0</v>
      </c>
      <c r="CE54" s="6085">
        <f t="shared" si="22"/>
        <v>0</v>
      </c>
      <c r="CF54" s="1793"/>
      <c r="CG54" s="6085">
        <f t="shared" si="23"/>
        <v>0</v>
      </c>
    </row>
    <row r="55" spans="1:85" ht="15" customHeight="1" x14ac:dyDescent="0.25">
      <c r="A55" s="7128" t="s">
        <v>1913</v>
      </c>
      <c r="B55" s="7129"/>
      <c r="C55" s="2240">
        <f>SUM(D55:P55)</f>
        <v>0</v>
      </c>
      <c r="D55" s="2241"/>
      <c r="E55" s="2242"/>
      <c r="F55" s="2242"/>
      <c r="G55" s="2242"/>
      <c r="H55" s="2242"/>
      <c r="I55" s="2242"/>
      <c r="J55" s="2242"/>
      <c r="K55" s="2242"/>
      <c r="L55" s="2242"/>
      <c r="M55" s="2242"/>
      <c r="N55" s="2246"/>
      <c r="O55" s="2242"/>
      <c r="P55" s="2247"/>
      <c r="Q55" s="1772"/>
      <c r="R55" s="1772"/>
      <c r="S55" s="1772"/>
      <c r="T55" s="1772"/>
      <c r="U55" s="1772"/>
      <c r="V55" t="str">
        <f t="shared" si="25"/>
        <v/>
      </c>
      <c r="BQ55" s="2553" t="str">
        <f t="shared" si="26"/>
        <v/>
      </c>
      <c r="BR55" s="2553" t="str">
        <f t="shared" si="32"/>
        <v/>
      </c>
      <c r="BS55" s="2553" t="str">
        <f t="shared" si="27"/>
        <v/>
      </c>
      <c r="BT55" s="2553" t="str">
        <f t="shared" si="28"/>
        <v/>
      </c>
      <c r="BU55" s="2553" t="str">
        <f t="shared" si="29"/>
        <v/>
      </c>
      <c r="BV55"/>
      <c r="BW55"/>
      <c r="BX55"/>
      <c r="BZ55"/>
      <c r="CA55"/>
      <c r="CB55" s="6085">
        <f t="shared" si="30"/>
        <v>0</v>
      </c>
      <c r="CC55" s="1793">
        <f t="shared" si="31"/>
        <v>0</v>
      </c>
      <c r="CD55" s="6313">
        <f t="shared" si="21"/>
        <v>0</v>
      </c>
      <c r="CE55" s="6085">
        <f t="shared" si="22"/>
        <v>0</v>
      </c>
      <c r="CF55" s="1793"/>
      <c r="CG55" s="6085">
        <f t="shared" si="23"/>
        <v>0</v>
      </c>
    </row>
    <row r="56" spans="1:85" s="17" customFormat="1" ht="18" customHeight="1" x14ac:dyDescent="0.2">
      <c r="A56" s="14" t="s">
        <v>3702</v>
      </c>
      <c r="B56" s="2727"/>
      <c r="C56" s="2728"/>
      <c r="D56" s="15"/>
      <c r="E56" s="15"/>
      <c r="F56" s="14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85" x14ac:dyDescent="0.25">
      <c r="A57" s="7067" t="s">
        <v>1901</v>
      </c>
      <c r="B57" s="6528"/>
      <c r="C57" s="6824" t="s">
        <v>1</v>
      </c>
      <c r="D57" s="7077" t="s">
        <v>12</v>
      </c>
      <c r="E57" s="7125"/>
      <c r="F57" s="7125"/>
      <c r="G57" s="7125"/>
      <c r="H57" s="7125"/>
      <c r="I57" s="7125"/>
      <c r="J57" s="7125"/>
      <c r="K57" s="7125"/>
      <c r="L57" s="7125"/>
      <c r="M57" s="7125"/>
      <c r="N57" s="7125"/>
      <c r="O57" s="7125"/>
      <c r="P57" s="7126"/>
      <c r="Q57" s="6528" t="s">
        <v>2</v>
      </c>
      <c r="R57" s="6528" t="s">
        <v>3</v>
      </c>
      <c r="BQ57"/>
      <c r="BR57"/>
      <c r="BS57"/>
      <c r="BT57"/>
      <c r="BU57"/>
      <c r="BV57"/>
      <c r="BW57"/>
      <c r="BX57"/>
      <c r="BZ57"/>
      <c r="CA57"/>
      <c r="CB57"/>
    </row>
    <row r="58" spans="1:85" ht="21" x14ac:dyDescent="0.25">
      <c r="A58" s="7124"/>
      <c r="B58" s="6924"/>
      <c r="C58" s="6826"/>
      <c r="D58" s="2217" t="s">
        <v>3767</v>
      </c>
      <c r="E58" s="2722" t="s">
        <v>4</v>
      </c>
      <c r="F58" s="2722" t="s">
        <v>5</v>
      </c>
      <c r="G58" s="2722" t="s">
        <v>6</v>
      </c>
      <c r="H58" s="2722" t="s">
        <v>7</v>
      </c>
      <c r="I58" s="2722" t="s">
        <v>8</v>
      </c>
      <c r="J58" s="2722" t="s">
        <v>9</v>
      </c>
      <c r="K58" s="2722" t="s">
        <v>10</v>
      </c>
      <c r="L58" s="2722" t="s">
        <v>11</v>
      </c>
      <c r="M58" s="2722" t="s">
        <v>18</v>
      </c>
      <c r="N58" s="2729" t="s">
        <v>19</v>
      </c>
      <c r="O58" s="2722" t="s">
        <v>20</v>
      </c>
      <c r="P58" s="2723" t="s">
        <v>1904</v>
      </c>
      <c r="Q58" s="7076"/>
      <c r="R58" s="7076"/>
      <c r="BQ58"/>
      <c r="BR58"/>
      <c r="BS58"/>
      <c r="BT58"/>
      <c r="BU58"/>
      <c r="BV58"/>
      <c r="BW58"/>
      <c r="BX58"/>
      <c r="BZ58"/>
      <c r="CA58"/>
      <c r="CB58"/>
    </row>
    <row r="59" spans="1:85" ht="15" customHeight="1" x14ac:dyDescent="0.25">
      <c r="A59" s="7115" t="s">
        <v>1905</v>
      </c>
      <c r="B59" s="7115"/>
      <c r="C59" s="2225">
        <f>SUM(D59:P59)</f>
        <v>0</v>
      </c>
      <c r="D59" s="2225">
        <f>SUM(D60:D72)</f>
        <v>0</v>
      </c>
      <c r="E59" s="2225">
        <f t="shared" ref="E59:M59" si="33">SUM(E60:E72)</f>
        <v>0</v>
      </c>
      <c r="F59" s="2225">
        <f>SUM(F60:F72)</f>
        <v>0</v>
      </c>
      <c r="G59" s="2225">
        <f t="shared" si="33"/>
        <v>0</v>
      </c>
      <c r="H59" s="2225">
        <f t="shared" si="33"/>
        <v>0</v>
      </c>
      <c r="I59" s="2225">
        <f t="shared" si="33"/>
        <v>0</v>
      </c>
      <c r="J59" s="2225">
        <f t="shared" si="33"/>
        <v>0</v>
      </c>
      <c r="K59" s="2225">
        <f t="shared" si="33"/>
        <v>0</v>
      </c>
      <c r="L59" s="2225">
        <f t="shared" si="33"/>
        <v>0</v>
      </c>
      <c r="M59" s="2225">
        <f t="shared" si="33"/>
        <v>0</v>
      </c>
      <c r="N59" s="2225">
        <f>SUM(N75:N79)</f>
        <v>0</v>
      </c>
      <c r="O59" s="2225">
        <f t="shared" ref="O59:P59" si="34">SUM(O75:O79)</f>
        <v>0</v>
      </c>
      <c r="P59" s="2730">
        <f t="shared" si="34"/>
        <v>0</v>
      </c>
      <c r="Q59" s="2650">
        <f>SUM(Q60:Q72)</f>
        <v>0</v>
      </c>
      <c r="R59" s="2650">
        <f>SUM(R60:R72)</f>
        <v>0</v>
      </c>
      <c r="BQ59"/>
      <c r="BR59"/>
      <c r="BS59"/>
      <c r="BT59"/>
      <c r="BU59"/>
      <c r="BV59"/>
      <c r="BW59"/>
      <c r="BX59"/>
      <c r="BZ59"/>
      <c r="CA59"/>
      <c r="CB59"/>
    </row>
    <row r="60" spans="1:85" ht="15" customHeight="1" x14ac:dyDescent="0.25">
      <c r="A60" s="7116" t="s">
        <v>3902</v>
      </c>
      <c r="B60" s="7117"/>
      <c r="C60" s="2206">
        <f>SUM(D60:M60)</f>
        <v>0</v>
      </c>
      <c r="D60" s="2209"/>
      <c r="E60" s="1472"/>
      <c r="F60" s="1472"/>
      <c r="G60" s="1472"/>
      <c r="H60" s="1472"/>
      <c r="I60" s="1472"/>
      <c r="J60" s="1472"/>
      <c r="K60" s="1472"/>
      <c r="L60" s="1472"/>
      <c r="M60" s="1472"/>
      <c r="N60" s="2226"/>
      <c r="O60" s="2227"/>
      <c r="P60" s="2228"/>
      <c r="Q60" s="2210"/>
      <c r="R60" s="2210"/>
      <c r="S60" t="str">
        <f>BQ60&amp;BR60</f>
        <v/>
      </c>
      <c r="BQ60" s="2553" t="str">
        <f>IF(AND(C60&gt;0,Q60="")," *   No olvide digitar la variable "&amp;$Q$57&amp;""&amp;". Digite Cero si no tiene.",IF(Q60&gt;C60,"  * La variable  "&amp;$Q$57&amp;""&amp;" No puede ser mayor al Total.",""))</f>
        <v/>
      </c>
      <c r="BR60" s="2553" t="str">
        <f>IF(AND(C60&gt;0,R60="")," *   No olvide digitar la variable  "&amp;$R$57&amp;""&amp;". Digite Cero si no tiene.",IF(R60&gt;C60,"  * La variable  "&amp;$R$57&amp;""&amp;" No puede ser mayor al Total.",""))</f>
        <v/>
      </c>
      <c r="BS60"/>
      <c r="BT60"/>
      <c r="BU60"/>
      <c r="BV60"/>
      <c r="BW60"/>
      <c r="BX60"/>
      <c r="BZ60"/>
      <c r="CA60"/>
      <c r="CB60" s="1793">
        <f>IF(AND(C60&gt;0,Q60=""),1,IF(Q60&gt;C60,1,0))</f>
        <v>0</v>
      </c>
      <c r="CC60" s="1793">
        <f>IF(AND(C60&gt;0,R60=""),1,IF(R60&gt;C60,1,0))</f>
        <v>0</v>
      </c>
      <c r="CD60" s="1793"/>
    </row>
    <row r="61" spans="1:85" ht="15" customHeight="1" x14ac:dyDescent="0.25">
      <c r="A61" s="7118" t="s">
        <v>3903</v>
      </c>
      <c r="B61" s="7119"/>
      <c r="C61" s="1124">
        <f>SUM(D61:M61)</f>
        <v>0</v>
      </c>
      <c r="D61" s="3"/>
      <c r="E61" s="4"/>
      <c r="F61" s="4"/>
      <c r="G61" s="4"/>
      <c r="H61" s="4"/>
      <c r="I61" s="4"/>
      <c r="J61" s="4"/>
      <c r="K61" s="4"/>
      <c r="L61" s="4"/>
      <c r="M61" s="4"/>
      <c r="N61" s="2229"/>
      <c r="O61" s="2230"/>
      <c r="P61" s="2231"/>
      <c r="Q61" s="1107"/>
      <c r="R61" s="1107"/>
      <c r="S61" t="str">
        <f t="shared" ref="S61:S79" si="35">BQ61&amp;BR61</f>
        <v/>
      </c>
      <c r="BQ61" s="2553" t="str">
        <f t="shared" ref="BQ61:BQ79" si="36">IF(AND(C61&gt;0,Q61="")," *   No olvide digitar la variable "&amp;$Q$57&amp;""&amp;". Digite Cero si no tiene.",IF(Q61&gt;C61,"  * La variable  "&amp;$Q$57&amp;""&amp;" No puede ser mayor al Total.",""))</f>
        <v/>
      </c>
      <c r="BR61" s="2553" t="str">
        <f t="shared" ref="BR61:BR79" si="37">IF(AND(C61&gt;0,R61="")," *   No olvide digitar la variable  "&amp;$R$57&amp;""&amp;". Digite Cero si no tiene.",IF(R61&gt;C61,"  * La variable  "&amp;$R$57&amp;""&amp;" No puede ser mayor al Total.",""))</f>
        <v/>
      </c>
      <c r="BS61"/>
      <c r="BT61"/>
      <c r="BU61"/>
      <c r="BV61"/>
      <c r="BW61"/>
      <c r="BX61"/>
      <c r="BZ61"/>
      <c r="CA61"/>
      <c r="CB61" s="1793">
        <f t="shared" ref="CB61:CB79" si="38">IF(AND(C61&gt;0,Q61=""),1,IF(Q61&gt;C61,1,0))</f>
        <v>0</v>
      </c>
      <c r="CC61" s="1793">
        <f t="shared" ref="CC61:CC79" si="39">IF(AND(C61&gt;0,R61=""),1,IF(R61&gt;C61,1,0))</f>
        <v>0</v>
      </c>
      <c r="CD61" s="1793"/>
    </row>
    <row r="62" spans="1:85" ht="15" customHeight="1" x14ac:dyDescent="0.25">
      <c r="A62" s="7074" t="s">
        <v>1113</v>
      </c>
      <c r="B62" s="4590" t="s">
        <v>1114</v>
      </c>
      <c r="C62" s="2206">
        <f t="shared" ref="C62:C74" si="40">SUM(D62:M62)</f>
        <v>0</v>
      </c>
      <c r="D62" s="2209"/>
      <c r="E62" s="1472"/>
      <c r="F62" s="1472"/>
      <c r="G62" s="1472"/>
      <c r="H62" s="1472"/>
      <c r="I62" s="1472"/>
      <c r="J62" s="1472"/>
      <c r="K62" s="1472"/>
      <c r="L62" s="1472"/>
      <c r="M62" s="1472"/>
      <c r="N62" s="2226"/>
      <c r="O62" s="2227"/>
      <c r="P62" s="2228"/>
      <c r="Q62" s="2210"/>
      <c r="R62" s="2210"/>
      <c r="S62" t="str">
        <f t="shared" si="35"/>
        <v/>
      </c>
      <c r="BQ62" s="2553" t="str">
        <f t="shared" si="36"/>
        <v/>
      </c>
      <c r="BR62" s="2553" t="str">
        <f t="shared" si="37"/>
        <v/>
      </c>
      <c r="BS62"/>
      <c r="BT62"/>
      <c r="BU62"/>
      <c r="BV62"/>
      <c r="BW62"/>
      <c r="BX62"/>
      <c r="BZ62"/>
      <c r="CA62"/>
      <c r="CB62" s="1793">
        <f t="shared" si="38"/>
        <v>0</v>
      </c>
      <c r="CC62" s="1793">
        <f t="shared" si="39"/>
        <v>0</v>
      </c>
      <c r="CD62" s="1793"/>
    </row>
    <row r="63" spans="1:85" ht="15" customHeight="1" x14ac:dyDescent="0.25">
      <c r="A63" s="7074"/>
      <c r="B63" s="4591" t="s">
        <v>1115</v>
      </c>
      <c r="C63" s="1123">
        <f t="shared" si="40"/>
        <v>0</v>
      </c>
      <c r="D63" s="1113"/>
      <c r="E63" s="1476"/>
      <c r="F63" s="1476"/>
      <c r="G63" s="1476"/>
      <c r="H63" s="1476"/>
      <c r="I63" s="1476"/>
      <c r="J63" s="1476"/>
      <c r="K63" s="1476"/>
      <c r="L63" s="1476"/>
      <c r="M63" s="1476"/>
      <c r="N63" s="2233"/>
      <c r="O63" s="1490"/>
      <c r="P63" s="1491"/>
      <c r="Q63" s="8"/>
      <c r="R63" s="8"/>
      <c r="S63" t="str">
        <f t="shared" si="35"/>
        <v/>
      </c>
      <c r="BQ63" s="2553" t="str">
        <f>IF(AND(C63&gt;0,Q63="")," *   No olvide digitar la variable "&amp;$Q$57&amp;""&amp;". Digite Cero si no tiene.",IF(Q63&gt;C63,"  * La variable  "&amp;$Q$57&amp;""&amp;" No puede ser mayor al Total.",""))</f>
        <v/>
      </c>
      <c r="BR63" s="2553" t="str">
        <f t="shared" si="37"/>
        <v/>
      </c>
      <c r="BS63"/>
      <c r="BT63"/>
      <c r="BU63"/>
      <c r="BV63"/>
      <c r="BW63"/>
      <c r="BX63"/>
      <c r="BZ63"/>
      <c r="CA63"/>
      <c r="CB63" s="1793">
        <f t="shared" si="38"/>
        <v>0</v>
      </c>
      <c r="CC63" s="1793">
        <f t="shared" si="39"/>
        <v>0</v>
      </c>
      <c r="CD63" s="1793"/>
    </row>
    <row r="64" spans="1:85" ht="15" customHeight="1" x14ac:dyDescent="0.25">
      <c r="A64" s="7074"/>
      <c r="B64" s="4591" t="s">
        <v>1116</v>
      </c>
      <c r="C64" s="1123">
        <f t="shared" si="40"/>
        <v>0</v>
      </c>
      <c r="D64" s="1113"/>
      <c r="E64" s="1476"/>
      <c r="F64" s="1476"/>
      <c r="G64" s="1476"/>
      <c r="H64" s="1476"/>
      <c r="I64" s="1476"/>
      <c r="J64" s="1476"/>
      <c r="K64" s="1476"/>
      <c r="L64" s="1476"/>
      <c r="M64" s="1476"/>
      <c r="N64" s="2233"/>
      <c r="O64" s="1490"/>
      <c r="P64" s="1491"/>
      <c r="Q64" s="8"/>
      <c r="R64" s="8"/>
      <c r="S64" t="str">
        <f t="shared" si="35"/>
        <v/>
      </c>
      <c r="BQ64" s="2553" t="str">
        <f t="shared" si="36"/>
        <v/>
      </c>
      <c r="BR64" s="2553" t="str">
        <f t="shared" si="37"/>
        <v/>
      </c>
      <c r="BS64"/>
      <c r="BT64"/>
      <c r="BU64"/>
      <c r="BV64"/>
      <c r="BW64"/>
      <c r="BX64"/>
      <c r="BZ64"/>
      <c r="CA64"/>
      <c r="CB64" s="1793">
        <f t="shared" si="38"/>
        <v>0</v>
      </c>
      <c r="CC64" s="1793">
        <f t="shared" si="39"/>
        <v>0</v>
      </c>
      <c r="CD64" s="1793"/>
    </row>
    <row r="65" spans="1:82" ht="15" customHeight="1" x14ac:dyDescent="0.25">
      <c r="A65" s="7074"/>
      <c r="B65" s="4591" t="s">
        <v>1117</v>
      </c>
      <c r="C65" s="1123">
        <f t="shared" si="40"/>
        <v>0</v>
      </c>
      <c r="D65" s="1113"/>
      <c r="E65" s="1476"/>
      <c r="F65" s="1476"/>
      <c r="G65" s="1476"/>
      <c r="H65" s="1476"/>
      <c r="I65" s="1476"/>
      <c r="J65" s="1476"/>
      <c r="K65" s="1476"/>
      <c r="L65" s="1476"/>
      <c r="M65" s="1476"/>
      <c r="N65" s="2233"/>
      <c r="O65" s="1490"/>
      <c r="P65" s="1491"/>
      <c r="Q65" s="8"/>
      <c r="R65" s="8"/>
      <c r="S65" t="str">
        <f t="shared" si="35"/>
        <v/>
      </c>
      <c r="BQ65" s="2553" t="str">
        <f t="shared" si="36"/>
        <v/>
      </c>
      <c r="BR65" s="2553" t="str">
        <f t="shared" si="37"/>
        <v/>
      </c>
      <c r="BS65"/>
      <c r="BT65"/>
      <c r="BU65"/>
      <c r="BV65"/>
      <c r="BW65"/>
      <c r="BX65"/>
      <c r="BZ65"/>
      <c r="CA65"/>
      <c r="CB65" s="1793">
        <f t="shared" si="38"/>
        <v>0</v>
      </c>
      <c r="CC65" s="1793">
        <f t="shared" si="39"/>
        <v>0</v>
      </c>
      <c r="CD65" s="1793"/>
    </row>
    <row r="66" spans="1:82" ht="15" customHeight="1" x14ac:dyDescent="0.25">
      <c r="A66" s="7074"/>
      <c r="B66" s="4591" t="s">
        <v>1118</v>
      </c>
      <c r="C66" s="1123">
        <f t="shared" si="40"/>
        <v>0</v>
      </c>
      <c r="D66" s="1113"/>
      <c r="E66" s="1476"/>
      <c r="F66" s="1476"/>
      <c r="G66" s="1476"/>
      <c r="H66" s="1476"/>
      <c r="I66" s="1476"/>
      <c r="J66" s="1476"/>
      <c r="K66" s="1476"/>
      <c r="L66" s="1476"/>
      <c r="M66" s="1476"/>
      <c r="N66" s="2233"/>
      <c r="O66" s="1490"/>
      <c r="P66" s="1491"/>
      <c r="Q66" s="8"/>
      <c r="R66" s="8"/>
      <c r="S66" t="str">
        <f t="shared" si="35"/>
        <v/>
      </c>
      <c r="BQ66" s="2553" t="str">
        <f t="shared" si="36"/>
        <v/>
      </c>
      <c r="BR66" s="2553" t="str">
        <f t="shared" si="37"/>
        <v/>
      </c>
      <c r="BS66"/>
      <c r="BT66"/>
      <c r="BU66"/>
      <c r="BV66"/>
      <c r="BW66"/>
      <c r="BX66"/>
      <c r="BZ66"/>
      <c r="CA66"/>
      <c r="CB66" s="1793">
        <f t="shared" si="38"/>
        <v>0</v>
      </c>
      <c r="CC66" s="1793">
        <f t="shared" si="39"/>
        <v>0</v>
      </c>
      <c r="CD66" s="1793"/>
    </row>
    <row r="67" spans="1:82" ht="15" customHeight="1" x14ac:dyDescent="0.25">
      <c r="A67" s="7074"/>
      <c r="B67" s="4592" t="s">
        <v>1119</v>
      </c>
      <c r="C67" s="1770">
        <f t="shared" si="40"/>
        <v>0</v>
      </c>
      <c r="D67" s="1379"/>
      <c r="E67" s="2234"/>
      <c r="F67" s="2234"/>
      <c r="G67" s="2234"/>
      <c r="H67" s="2234"/>
      <c r="I67" s="2234"/>
      <c r="J67" s="2234"/>
      <c r="K67" s="2234"/>
      <c r="L67" s="2234"/>
      <c r="M67" s="2234"/>
      <c r="N67" s="2235"/>
      <c r="O67" s="2236"/>
      <c r="P67" s="2237"/>
      <c r="Q67" s="1305"/>
      <c r="R67" s="1305"/>
      <c r="S67" t="str">
        <f t="shared" si="35"/>
        <v/>
      </c>
      <c r="BQ67" s="2553" t="str">
        <f t="shared" si="36"/>
        <v/>
      </c>
      <c r="BR67" s="2553" t="str">
        <f t="shared" si="37"/>
        <v/>
      </c>
      <c r="BS67"/>
      <c r="BT67"/>
      <c r="BU67"/>
      <c r="BV67"/>
      <c r="BW67"/>
      <c r="BX67"/>
      <c r="BZ67"/>
      <c r="CA67"/>
      <c r="CB67" s="1793">
        <f t="shared" si="38"/>
        <v>0</v>
      </c>
      <c r="CC67" s="1793">
        <f t="shared" si="39"/>
        <v>0</v>
      </c>
      <c r="CD67" s="1793"/>
    </row>
    <row r="68" spans="1:82" ht="15" customHeight="1" x14ac:dyDescent="0.25">
      <c r="A68" s="7074"/>
      <c r="B68" s="55" t="s">
        <v>1906</v>
      </c>
      <c r="C68" s="1124">
        <f>SUM(D68:M68)</f>
        <v>0</v>
      </c>
      <c r="D68" s="3"/>
      <c r="E68" s="4"/>
      <c r="F68" s="4"/>
      <c r="G68" s="4"/>
      <c r="H68" s="4"/>
      <c r="I68" s="4"/>
      <c r="J68" s="4"/>
      <c r="K68" s="4"/>
      <c r="L68" s="4"/>
      <c r="M68" s="4"/>
      <c r="N68" s="2229"/>
      <c r="O68" s="2230"/>
      <c r="P68" s="2231"/>
      <c r="Q68" s="12"/>
      <c r="R68" s="12"/>
      <c r="S68" t="str">
        <f t="shared" si="35"/>
        <v/>
      </c>
      <c r="BQ68" s="2553" t="str">
        <f t="shared" si="36"/>
        <v/>
      </c>
      <c r="BR68" s="2553" t="str">
        <f t="shared" si="37"/>
        <v/>
      </c>
      <c r="BS68"/>
      <c r="BT68"/>
      <c r="BU68"/>
      <c r="BV68"/>
      <c r="BW68"/>
      <c r="BX68"/>
      <c r="BZ68"/>
      <c r="CA68"/>
      <c r="CB68" s="1793">
        <f t="shared" si="38"/>
        <v>0</v>
      </c>
      <c r="CC68" s="1793">
        <f t="shared" si="39"/>
        <v>0</v>
      </c>
      <c r="CD68" s="1793"/>
    </row>
    <row r="69" spans="1:82" ht="15" customHeight="1" x14ac:dyDescent="0.25">
      <c r="A69" s="6798" t="s">
        <v>1907</v>
      </c>
      <c r="B69" s="4590" t="s">
        <v>21</v>
      </c>
      <c r="C69" s="2206">
        <f t="shared" si="40"/>
        <v>0</v>
      </c>
      <c r="D69" s="2209"/>
      <c r="E69" s="1472"/>
      <c r="F69" s="1472"/>
      <c r="G69" s="1472"/>
      <c r="H69" s="1472"/>
      <c r="I69" s="1472"/>
      <c r="J69" s="1472"/>
      <c r="K69" s="1472"/>
      <c r="L69" s="1472"/>
      <c r="M69" s="1472"/>
      <c r="N69" s="2226"/>
      <c r="O69" s="2227"/>
      <c r="P69" s="2228"/>
      <c r="Q69" s="2210"/>
      <c r="R69" s="2210"/>
      <c r="S69" t="str">
        <f t="shared" si="35"/>
        <v/>
      </c>
      <c r="BQ69" s="2553" t="str">
        <f t="shared" si="36"/>
        <v/>
      </c>
      <c r="BR69" s="2553" t="str">
        <f t="shared" si="37"/>
        <v/>
      </c>
      <c r="BS69"/>
      <c r="BT69"/>
      <c r="BU69"/>
      <c r="BV69"/>
      <c r="BW69"/>
      <c r="BX69"/>
      <c r="BZ69"/>
      <c r="CA69"/>
      <c r="CB69" s="1793">
        <f t="shared" si="38"/>
        <v>0</v>
      </c>
      <c r="CC69" s="1793">
        <f t="shared" si="39"/>
        <v>0</v>
      </c>
      <c r="CD69" s="1793"/>
    </row>
    <row r="70" spans="1:82" ht="15" customHeight="1" x14ac:dyDescent="0.25">
      <c r="A70" s="6797"/>
      <c r="B70" s="4593" t="s">
        <v>22</v>
      </c>
      <c r="C70" s="1124">
        <f t="shared" si="40"/>
        <v>0</v>
      </c>
      <c r="D70" s="3"/>
      <c r="E70" s="4"/>
      <c r="F70" s="4"/>
      <c r="G70" s="4"/>
      <c r="H70" s="4"/>
      <c r="I70" s="4"/>
      <c r="J70" s="4"/>
      <c r="K70" s="4"/>
      <c r="L70" s="4"/>
      <c r="M70" s="4"/>
      <c r="N70" s="2229"/>
      <c r="O70" s="2230"/>
      <c r="P70" s="2231"/>
      <c r="Q70" s="12"/>
      <c r="R70" s="12"/>
      <c r="S70" t="str">
        <f t="shared" si="35"/>
        <v/>
      </c>
      <c r="BQ70" s="2553" t="str">
        <f t="shared" si="36"/>
        <v/>
      </c>
      <c r="BR70" s="2553" t="str">
        <f t="shared" si="37"/>
        <v/>
      </c>
      <c r="BS70"/>
      <c r="BT70"/>
      <c r="BU70"/>
      <c r="BV70"/>
      <c r="BW70"/>
      <c r="BX70"/>
      <c r="BZ70"/>
      <c r="CA70"/>
      <c r="CB70" s="1793">
        <f t="shared" si="38"/>
        <v>0</v>
      </c>
      <c r="CC70" s="1793">
        <f t="shared" si="39"/>
        <v>0</v>
      </c>
      <c r="CD70" s="1793"/>
    </row>
    <row r="71" spans="1:82" ht="15" customHeight="1" x14ac:dyDescent="0.25">
      <c r="A71" s="7043" t="s">
        <v>1908</v>
      </c>
      <c r="B71" s="6288" t="s">
        <v>21</v>
      </c>
      <c r="C71" s="6289">
        <f t="shared" si="40"/>
        <v>0</v>
      </c>
      <c r="D71" s="5643"/>
      <c r="E71" s="5643"/>
      <c r="F71" s="5643"/>
      <c r="G71" s="5643"/>
      <c r="H71" s="5643"/>
      <c r="I71" s="5643"/>
      <c r="J71" s="5643"/>
      <c r="K71" s="5643"/>
      <c r="L71" s="5643"/>
      <c r="M71" s="5643"/>
      <c r="N71" s="6290"/>
      <c r="O71" s="5644"/>
      <c r="P71" s="5645"/>
      <c r="Q71" s="5904"/>
      <c r="R71" s="5904"/>
      <c r="S71" t="str">
        <f t="shared" si="35"/>
        <v/>
      </c>
      <c r="BQ71" s="2553" t="str">
        <f t="shared" si="36"/>
        <v/>
      </c>
      <c r="BR71" s="2553" t="str">
        <f t="shared" si="37"/>
        <v/>
      </c>
      <c r="BS71"/>
      <c r="BT71"/>
      <c r="BU71"/>
      <c r="BV71"/>
      <c r="BW71"/>
      <c r="BX71"/>
      <c r="BZ71"/>
      <c r="CA71"/>
      <c r="CB71" s="1793">
        <f t="shared" si="38"/>
        <v>0</v>
      </c>
      <c r="CC71" s="1793">
        <f t="shared" si="39"/>
        <v>0</v>
      </c>
      <c r="CD71" s="1793"/>
    </row>
    <row r="72" spans="1:82" ht="15" customHeight="1" thickBot="1" x14ac:dyDescent="0.3">
      <c r="A72" s="7107"/>
      <c r="B72" s="6291" t="s">
        <v>22</v>
      </c>
      <c r="C72" s="6292">
        <f t="shared" si="40"/>
        <v>0</v>
      </c>
      <c r="D72" s="6294"/>
      <c r="E72" s="6294"/>
      <c r="F72" s="6294"/>
      <c r="G72" s="6294"/>
      <c r="H72" s="6294"/>
      <c r="I72" s="6294"/>
      <c r="J72" s="6294"/>
      <c r="K72" s="6294"/>
      <c r="L72" s="6294"/>
      <c r="M72" s="6294"/>
      <c r="N72" s="6295"/>
      <c r="O72" s="6296"/>
      <c r="P72" s="6297"/>
      <c r="Q72" s="6299"/>
      <c r="R72" s="6299"/>
      <c r="S72" t="str">
        <f t="shared" si="35"/>
        <v/>
      </c>
      <c r="BQ72" s="2553" t="str">
        <f t="shared" si="36"/>
        <v/>
      </c>
      <c r="BR72" s="2553" t="str">
        <f t="shared" si="37"/>
        <v/>
      </c>
      <c r="BS72"/>
      <c r="BT72"/>
      <c r="BU72"/>
      <c r="BV72"/>
      <c r="BW72"/>
      <c r="BX72"/>
      <c r="BZ72"/>
      <c r="CA72"/>
      <c r="CB72" s="1793">
        <f t="shared" si="38"/>
        <v>0</v>
      </c>
      <c r="CC72" s="1793">
        <f t="shared" si="39"/>
        <v>0</v>
      </c>
      <c r="CD72" s="1793"/>
    </row>
    <row r="73" spans="1:82" ht="15" customHeight="1" thickTop="1" x14ac:dyDescent="0.25">
      <c r="A73" s="7108" t="s">
        <v>1914</v>
      </c>
      <c r="B73" s="7109"/>
      <c r="C73" s="5637">
        <f t="shared" si="40"/>
        <v>0</v>
      </c>
      <c r="D73" s="5638"/>
      <c r="E73" s="5638"/>
      <c r="F73" s="5638"/>
      <c r="G73" s="5638"/>
      <c r="H73" s="5638"/>
      <c r="I73" s="5638"/>
      <c r="J73" s="5638"/>
      <c r="K73" s="5638"/>
      <c r="L73" s="5638"/>
      <c r="M73" s="5638"/>
      <c r="N73" s="2239"/>
      <c r="O73" s="5639"/>
      <c r="P73" s="5640"/>
      <c r="Q73" s="4544"/>
      <c r="R73" s="4544"/>
      <c r="S73" t="str">
        <f t="shared" si="35"/>
        <v/>
      </c>
      <c r="BQ73" s="2553" t="str">
        <f t="shared" si="36"/>
        <v/>
      </c>
      <c r="BR73" s="2553" t="str">
        <f t="shared" si="37"/>
        <v/>
      </c>
      <c r="BS73"/>
      <c r="BT73"/>
      <c r="BU73"/>
      <c r="BV73"/>
      <c r="BW73"/>
      <c r="BX73"/>
      <c r="BZ73"/>
      <c r="CA73"/>
      <c r="CB73" s="1793">
        <f t="shared" si="38"/>
        <v>0</v>
      </c>
      <c r="CC73" s="1793">
        <f t="shared" si="39"/>
        <v>0</v>
      </c>
      <c r="CD73" s="1793"/>
    </row>
    <row r="74" spans="1:82" ht="15" customHeight="1" x14ac:dyDescent="0.25">
      <c r="A74" s="7110" t="s">
        <v>1910</v>
      </c>
      <c r="B74" s="7111"/>
      <c r="C74" s="2240">
        <f t="shared" si="40"/>
        <v>0</v>
      </c>
      <c r="D74" s="2242"/>
      <c r="E74" s="2242"/>
      <c r="F74" s="2242"/>
      <c r="G74" s="2242"/>
      <c r="H74" s="2242"/>
      <c r="I74" s="2242"/>
      <c r="J74" s="2242"/>
      <c r="K74" s="2242"/>
      <c r="L74" s="2242"/>
      <c r="M74" s="2242"/>
      <c r="N74" s="2243"/>
      <c r="O74" s="2244"/>
      <c r="P74" s="2245"/>
      <c r="Q74" s="12"/>
      <c r="R74" s="12"/>
      <c r="S74" t="str">
        <f t="shared" si="35"/>
        <v/>
      </c>
      <c r="BQ74" s="2553" t="str">
        <f t="shared" si="36"/>
        <v/>
      </c>
      <c r="BR74" s="2553" t="str">
        <f t="shared" si="37"/>
        <v/>
      </c>
      <c r="BS74"/>
      <c r="BT74"/>
      <c r="BU74"/>
      <c r="BV74"/>
      <c r="BW74"/>
      <c r="BX74"/>
      <c r="BZ74"/>
      <c r="CA74"/>
      <c r="CB74" s="1793">
        <f t="shared" si="38"/>
        <v>0</v>
      </c>
      <c r="CC74" s="1793">
        <f t="shared" si="39"/>
        <v>0</v>
      </c>
      <c r="CD74" s="1793"/>
    </row>
    <row r="75" spans="1:82" ht="15" customHeight="1" x14ac:dyDescent="0.25">
      <c r="A75" s="7112" t="s">
        <v>1911</v>
      </c>
      <c r="B75" s="4594" t="s">
        <v>21</v>
      </c>
      <c r="C75" s="2206">
        <f>SUM(D75:P75)</f>
        <v>0</v>
      </c>
      <c r="D75" s="2209"/>
      <c r="E75" s="1472"/>
      <c r="F75" s="1472"/>
      <c r="G75" s="1472"/>
      <c r="H75" s="1472"/>
      <c r="I75" s="1472"/>
      <c r="J75" s="1472"/>
      <c r="K75" s="1472"/>
      <c r="L75" s="1472"/>
      <c r="M75" s="1472"/>
      <c r="N75" s="2212"/>
      <c r="O75" s="1472"/>
      <c r="P75" s="2220"/>
      <c r="Q75" s="2210"/>
      <c r="R75" s="2210"/>
      <c r="S75" t="str">
        <f t="shared" si="35"/>
        <v/>
      </c>
      <c r="BQ75" s="2553" t="str">
        <f t="shared" si="36"/>
        <v/>
      </c>
      <c r="BR75" s="2553" t="str">
        <f t="shared" si="37"/>
        <v/>
      </c>
      <c r="BS75"/>
      <c r="BT75"/>
      <c r="BU75"/>
      <c r="BV75"/>
      <c r="BW75"/>
      <c r="BX75"/>
      <c r="BZ75"/>
      <c r="CA75"/>
      <c r="CB75" s="1793">
        <f t="shared" si="38"/>
        <v>0</v>
      </c>
      <c r="CC75" s="1793">
        <f t="shared" si="39"/>
        <v>0</v>
      </c>
      <c r="CD75" s="1793"/>
    </row>
    <row r="76" spans="1:82" ht="15" customHeight="1" x14ac:dyDescent="0.25">
      <c r="A76" s="6819"/>
      <c r="B76" s="4595" t="s">
        <v>22</v>
      </c>
      <c r="C76" s="2240">
        <f>SUM(D76:P76)</f>
        <v>0</v>
      </c>
      <c r="D76" s="2241"/>
      <c r="E76" s="2242"/>
      <c r="F76" s="2242"/>
      <c r="G76" s="2242"/>
      <c r="H76" s="2242"/>
      <c r="I76" s="2242"/>
      <c r="J76" s="2242"/>
      <c r="K76" s="2242"/>
      <c r="L76" s="2242"/>
      <c r="M76" s="2242"/>
      <c r="N76" s="2246"/>
      <c r="O76" s="2242"/>
      <c r="P76" s="2247"/>
      <c r="Q76" s="1772"/>
      <c r="R76" s="1772"/>
      <c r="S76" t="str">
        <f t="shared" si="35"/>
        <v/>
      </c>
      <c r="BQ76" s="2553" t="str">
        <f t="shared" si="36"/>
        <v/>
      </c>
      <c r="BR76" s="2553" t="str">
        <f t="shared" si="37"/>
        <v/>
      </c>
      <c r="BS76"/>
      <c r="BT76"/>
      <c r="BU76"/>
      <c r="BV76"/>
      <c r="BW76"/>
      <c r="BX76"/>
      <c r="BZ76"/>
      <c r="CA76"/>
      <c r="CB76" s="1793">
        <f t="shared" si="38"/>
        <v>0</v>
      </c>
      <c r="CC76" s="1793">
        <f t="shared" si="39"/>
        <v>0</v>
      </c>
      <c r="CD76" s="1793"/>
    </row>
    <row r="77" spans="1:82" ht="15" customHeight="1" x14ac:dyDescent="0.25">
      <c r="A77" s="6798" t="s">
        <v>1912</v>
      </c>
      <c r="B77" s="4596" t="s">
        <v>21</v>
      </c>
      <c r="C77" s="2206">
        <f>SUM(D77:P77)</f>
        <v>0</v>
      </c>
      <c r="D77" s="1472"/>
      <c r="E77" s="1472"/>
      <c r="F77" s="1472"/>
      <c r="G77" s="1472"/>
      <c r="H77" s="1472"/>
      <c r="I77" s="1472"/>
      <c r="J77" s="1472"/>
      <c r="K77" s="1472"/>
      <c r="L77" s="1472"/>
      <c r="M77" s="1472"/>
      <c r="N77" s="2212"/>
      <c r="O77" s="1472"/>
      <c r="P77" s="2220"/>
      <c r="Q77" s="1107"/>
      <c r="R77" s="1107"/>
      <c r="S77" t="str">
        <f t="shared" si="35"/>
        <v/>
      </c>
      <c r="BQ77" s="2553" t="str">
        <f t="shared" si="36"/>
        <v/>
      </c>
      <c r="BR77" s="2553" t="str">
        <f t="shared" si="37"/>
        <v/>
      </c>
      <c r="BS77"/>
      <c r="BT77"/>
      <c r="BU77"/>
      <c r="BV77"/>
      <c r="BW77"/>
      <c r="BX77"/>
      <c r="BZ77"/>
      <c r="CA77"/>
      <c r="CB77" s="1793">
        <f t="shared" si="38"/>
        <v>0</v>
      </c>
      <c r="CC77" s="1793">
        <f t="shared" si="39"/>
        <v>0</v>
      </c>
      <c r="CD77" s="1793"/>
    </row>
    <row r="78" spans="1:82" ht="15" customHeight="1" x14ac:dyDescent="0.25">
      <c r="A78" s="6797"/>
      <c r="B78" s="4597" t="s">
        <v>22</v>
      </c>
      <c r="C78" s="2240">
        <f>SUM(D78:P78)</f>
        <v>0</v>
      </c>
      <c r="D78" s="2242"/>
      <c r="E78" s="2242"/>
      <c r="F78" s="2242"/>
      <c r="G78" s="2242"/>
      <c r="H78" s="2242"/>
      <c r="I78" s="2242"/>
      <c r="J78" s="2242"/>
      <c r="K78" s="2242"/>
      <c r="L78" s="2242"/>
      <c r="M78" s="2242"/>
      <c r="N78" s="2246"/>
      <c r="O78" s="2242"/>
      <c r="P78" s="2247"/>
      <c r="Q78" s="1772"/>
      <c r="R78" s="1772"/>
      <c r="S78" t="str">
        <f t="shared" si="35"/>
        <v/>
      </c>
      <c r="BQ78" s="2553" t="str">
        <f t="shared" si="36"/>
        <v/>
      </c>
      <c r="BR78" s="2553" t="str">
        <f t="shared" si="37"/>
        <v/>
      </c>
      <c r="BS78"/>
      <c r="BT78"/>
      <c r="BU78"/>
      <c r="BV78"/>
      <c r="BW78"/>
      <c r="BX78"/>
      <c r="BZ78"/>
      <c r="CA78"/>
      <c r="CB78" s="1793">
        <f t="shared" si="38"/>
        <v>0</v>
      </c>
      <c r="CC78" s="1793">
        <f t="shared" si="39"/>
        <v>0</v>
      </c>
      <c r="CD78" s="1793"/>
    </row>
    <row r="79" spans="1:82" ht="15" customHeight="1" x14ac:dyDescent="0.25">
      <c r="A79" s="7113" t="s">
        <v>1913</v>
      </c>
      <c r="B79" s="7114"/>
      <c r="C79" s="2240">
        <f>SUM(D79:P79)</f>
        <v>0</v>
      </c>
      <c r="D79" s="2241"/>
      <c r="E79" s="2242"/>
      <c r="F79" s="2242"/>
      <c r="G79" s="2242"/>
      <c r="H79" s="2242"/>
      <c r="I79" s="2242"/>
      <c r="J79" s="2242"/>
      <c r="K79" s="2242"/>
      <c r="L79" s="2242"/>
      <c r="M79" s="2242"/>
      <c r="N79" s="2246"/>
      <c r="O79" s="2242"/>
      <c r="P79" s="2247"/>
      <c r="Q79" s="1772"/>
      <c r="R79" s="1772"/>
      <c r="S79" t="str">
        <f t="shared" si="35"/>
        <v/>
      </c>
      <c r="BQ79" s="2553" t="str">
        <f t="shared" si="36"/>
        <v/>
      </c>
      <c r="BR79" s="2553" t="str">
        <f t="shared" si="37"/>
        <v/>
      </c>
      <c r="BS79"/>
      <c r="BT79"/>
      <c r="BU79"/>
      <c r="BV79"/>
      <c r="BW79"/>
      <c r="BX79"/>
      <c r="BZ79"/>
      <c r="CA79"/>
      <c r="CB79" s="1793">
        <f t="shared" si="38"/>
        <v>0</v>
      </c>
      <c r="CC79" s="1793">
        <f t="shared" si="39"/>
        <v>0</v>
      </c>
      <c r="CD79" s="1793"/>
    </row>
    <row r="80" spans="1:82" ht="18" customHeight="1" x14ac:dyDescent="0.25">
      <c r="A80" s="14" t="s">
        <v>1915</v>
      </c>
      <c r="B80" s="15"/>
      <c r="C80" s="2731"/>
      <c r="BQ80"/>
      <c r="BR80"/>
      <c r="BS80"/>
      <c r="BT80"/>
      <c r="BU80"/>
      <c r="BV80"/>
      <c r="BW80"/>
      <c r="BX80"/>
      <c r="BZ80"/>
      <c r="CA80"/>
      <c r="CB80"/>
    </row>
    <row r="81" spans="1:83" x14ac:dyDescent="0.25">
      <c r="A81" s="2232" t="s">
        <v>23</v>
      </c>
      <c r="B81" s="2232" t="s">
        <v>24</v>
      </c>
      <c r="BQ81"/>
      <c r="BR81"/>
      <c r="BS81"/>
      <c r="BT81"/>
      <c r="BU81"/>
      <c r="BV81"/>
      <c r="BW81"/>
      <c r="BX81"/>
      <c r="BZ81"/>
      <c r="CA81"/>
      <c r="CB81"/>
    </row>
    <row r="82" spans="1:83" x14ac:dyDescent="0.25">
      <c r="A82" s="2248" t="s">
        <v>25</v>
      </c>
      <c r="B82" s="2249"/>
      <c r="BQ82"/>
      <c r="BR82"/>
      <c r="BS82"/>
      <c r="BT82"/>
      <c r="BU82"/>
      <c r="BV82"/>
      <c r="BW82"/>
      <c r="BX82"/>
      <c r="BZ82"/>
      <c r="CA82"/>
      <c r="CB82"/>
    </row>
    <row r="83" spans="1:83" ht="18" customHeight="1" x14ac:dyDescent="0.25">
      <c r="A83" s="2250" t="s">
        <v>1916</v>
      </c>
      <c r="B83" s="15"/>
      <c r="C83" s="19"/>
      <c r="D83" s="19"/>
      <c r="E83" s="2251"/>
      <c r="BQ83"/>
      <c r="BR83"/>
      <c r="BS83"/>
      <c r="BT83"/>
      <c r="BU83"/>
      <c r="BV83"/>
      <c r="BW83"/>
      <c r="BX83"/>
      <c r="BZ83"/>
      <c r="CA83"/>
      <c r="CB83"/>
    </row>
    <row r="84" spans="1:83" x14ac:dyDescent="0.25">
      <c r="A84" s="7067" t="s">
        <v>1917</v>
      </c>
      <c r="B84" s="6528"/>
      <c r="C84" s="2232" t="s">
        <v>24</v>
      </c>
      <c r="D84" s="2217" t="s">
        <v>1918</v>
      </c>
      <c r="E84" s="2252" t="s">
        <v>1919</v>
      </c>
      <c r="BQ84"/>
      <c r="BR84"/>
      <c r="BS84"/>
      <c r="BT84"/>
      <c r="BU84"/>
      <c r="BV84"/>
      <c r="BW84"/>
      <c r="BX84"/>
      <c r="BZ84"/>
      <c r="CA84"/>
      <c r="CB84"/>
    </row>
    <row r="85" spans="1:83" ht="15" customHeight="1" x14ac:dyDescent="0.25">
      <c r="A85" s="7065" t="s">
        <v>1920</v>
      </c>
      <c r="B85" s="7066"/>
      <c r="C85" s="2225">
        <f>SUM(D85:E85)</f>
        <v>0</v>
      </c>
      <c r="D85" s="2223"/>
      <c r="E85" s="2224"/>
      <c r="BQ85"/>
      <c r="BR85"/>
      <c r="BS85"/>
      <c r="BT85"/>
      <c r="BU85"/>
      <c r="BV85"/>
      <c r="BW85"/>
      <c r="BX85"/>
      <c r="BZ85"/>
      <c r="CA85"/>
      <c r="CB85"/>
    </row>
    <row r="86" spans="1:83" s="17" customFormat="1" ht="18" customHeight="1" x14ac:dyDescent="0.2">
      <c r="A86" s="2250" t="s">
        <v>1921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83" s="17" customFormat="1" ht="18" customHeight="1" x14ac:dyDescent="0.2">
      <c r="A87" s="7104" t="s">
        <v>1922</v>
      </c>
      <c r="B87" s="7105"/>
      <c r="C87" s="7104" t="s">
        <v>1923</v>
      </c>
      <c r="D87" s="7106"/>
      <c r="E87" s="7105"/>
      <c r="F87" s="7093" t="s">
        <v>2232</v>
      </c>
      <c r="G87" s="7093"/>
      <c r="H87" s="7093"/>
      <c r="I87" s="7093"/>
      <c r="J87" s="7093"/>
      <c r="K87" s="7093"/>
      <c r="L87" s="7094" t="s">
        <v>2233</v>
      </c>
      <c r="M87" s="7094"/>
      <c r="N87" s="7094"/>
      <c r="O87" s="7094"/>
      <c r="P87" s="7094"/>
      <c r="Q87" s="7095"/>
      <c r="R87" s="7096" t="s">
        <v>1924</v>
      </c>
      <c r="S87" s="7096"/>
      <c r="T87" s="7096"/>
      <c r="U87" s="7096"/>
      <c r="V87" s="7096"/>
      <c r="W87" s="7097"/>
      <c r="X87" s="7098" t="s">
        <v>31</v>
      </c>
      <c r="Y87" s="7098"/>
      <c r="Z87" s="7098"/>
      <c r="AA87" s="7099"/>
      <c r="AB87" s="7100" t="s">
        <v>1925</v>
      </c>
      <c r="AC87" s="7101"/>
      <c r="AD87" s="7120" t="s">
        <v>2</v>
      </c>
      <c r="AE87" s="7121" t="s">
        <v>3</v>
      </c>
    </row>
    <row r="88" spans="1:83" s="17" customFormat="1" ht="18" customHeight="1" x14ac:dyDescent="0.2">
      <c r="A88" s="6980"/>
      <c r="B88" s="6924"/>
      <c r="C88" s="6941"/>
      <c r="D88" s="7084"/>
      <c r="E88" s="6529"/>
      <c r="F88" s="7091" t="s">
        <v>2234</v>
      </c>
      <c r="G88" s="7092"/>
      <c r="H88" s="7091" t="s">
        <v>2235</v>
      </c>
      <c r="I88" s="7092"/>
      <c r="J88" s="7091" t="s">
        <v>2236</v>
      </c>
      <c r="K88" s="7092"/>
      <c r="L88" s="7091" t="s">
        <v>2234</v>
      </c>
      <c r="M88" s="7092"/>
      <c r="N88" s="7091" t="s">
        <v>2235</v>
      </c>
      <c r="O88" s="7092"/>
      <c r="P88" s="7091" t="s">
        <v>2237</v>
      </c>
      <c r="Q88" s="7092"/>
      <c r="R88" s="7091" t="s">
        <v>2234</v>
      </c>
      <c r="S88" s="7092"/>
      <c r="T88" s="7091" t="s">
        <v>2235</v>
      </c>
      <c r="U88" s="7092"/>
      <c r="V88" s="7091" t="s">
        <v>2237</v>
      </c>
      <c r="W88" s="6954"/>
      <c r="X88" s="6453" t="s">
        <v>1926</v>
      </c>
      <c r="Y88" s="6453"/>
      <c r="Z88" s="6453"/>
      <c r="AA88" s="7123"/>
      <c r="AB88" s="7102"/>
      <c r="AC88" s="7103"/>
      <c r="AD88" s="6471"/>
      <c r="AE88" s="6544"/>
    </row>
    <row r="89" spans="1:83" s="17" customFormat="1" ht="36.75" customHeight="1" x14ac:dyDescent="0.2">
      <c r="A89" s="6941"/>
      <c r="B89" s="6529"/>
      <c r="C89" s="2837" t="s">
        <v>26</v>
      </c>
      <c r="D89" s="2838" t="s">
        <v>22</v>
      </c>
      <c r="E89" s="2801" t="s">
        <v>27</v>
      </c>
      <c r="F89" s="2839" t="s">
        <v>22</v>
      </c>
      <c r="G89" s="2834" t="s">
        <v>27</v>
      </c>
      <c r="H89" s="2839" t="s">
        <v>22</v>
      </c>
      <c r="I89" s="2834" t="s">
        <v>27</v>
      </c>
      <c r="J89" s="2839" t="s">
        <v>22</v>
      </c>
      <c r="K89" s="2834" t="s">
        <v>27</v>
      </c>
      <c r="L89" s="2839" t="s">
        <v>22</v>
      </c>
      <c r="M89" s="2834" t="s">
        <v>27</v>
      </c>
      <c r="N89" s="2839" t="s">
        <v>22</v>
      </c>
      <c r="O89" s="2834" t="s">
        <v>27</v>
      </c>
      <c r="P89" s="2839" t="s">
        <v>22</v>
      </c>
      <c r="Q89" s="2834" t="s">
        <v>27</v>
      </c>
      <c r="R89" s="2839" t="s">
        <v>22</v>
      </c>
      <c r="S89" s="2834" t="s">
        <v>27</v>
      </c>
      <c r="T89" s="2839" t="s">
        <v>22</v>
      </c>
      <c r="U89" s="4424" t="s">
        <v>27</v>
      </c>
      <c r="V89" s="4427" t="s">
        <v>22</v>
      </c>
      <c r="W89" s="4428" t="s">
        <v>27</v>
      </c>
      <c r="X89" s="2836" t="s">
        <v>3921</v>
      </c>
      <c r="Y89" s="2840" t="s">
        <v>1927</v>
      </c>
      <c r="Z89" s="2840" t="s">
        <v>28</v>
      </c>
      <c r="AA89" s="2840" t="s">
        <v>29</v>
      </c>
      <c r="AB89" s="2840" t="s">
        <v>1928</v>
      </c>
      <c r="AC89" s="2840" t="s">
        <v>1929</v>
      </c>
      <c r="AD89" s="6476"/>
      <c r="AE89" s="7122"/>
    </row>
    <row r="90" spans="1:83" s="17" customFormat="1" ht="18" customHeight="1" x14ac:dyDescent="0.25">
      <c r="A90" s="7089" t="s">
        <v>1930</v>
      </c>
      <c r="B90" s="7090"/>
      <c r="C90" s="2841">
        <f>SUM(D90:E90)</f>
        <v>0</v>
      </c>
      <c r="D90" s="2842">
        <f>SUM(F90+H90+J90+L90+N90+P90+R90+T90+V90)</f>
        <v>0</v>
      </c>
      <c r="E90" s="2843">
        <f>SUM(G90+I90+K90+M90+O90+Q90+S90+U90+W90)</f>
        <v>0</v>
      </c>
      <c r="F90" s="2844"/>
      <c r="G90" s="2826"/>
      <c r="H90" s="2844"/>
      <c r="I90" s="2826"/>
      <c r="J90" s="2844"/>
      <c r="K90" s="2826"/>
      <c r="L90" s="2844"/>
      <c r="M90" s="2826"/>
      <c r="N90" s="2844"/>
      <c r="O90" s="2826"/>
      <c r="P90" s="2844"/>
      <c r="Q90" s="2826"/>
      <c r="R90" s="2844"/>
      <c r="S90" s="2826"/>
      <c r="T90" s="2844"/>
      <c r="U90" s="4426"/>
      <c r="V90" s="4429"/>
      <c r="W90" s="4430"/>
      <c r="X90" s="2846"/>
      <c r="Y90" s="2844"/>
      <c r="Z90" s="2847"/>
      <c r="AA90" s="2847"/>
      <c r="AB90" s="2847"/>
      <c r="AC90" s="2744"/>
      <c r="AD90" s="2844"/>
      <c r="AE90" s="2420"/>
      <c r="AF90" t="str">
        <f>BQ90&amp;BR90</f>
        <v/>
      </c>
      <c r="BQ90" s="2553" t="str">
        <f>IF(AND(C90&gt;0,AD90=""),"  * No olvide digitar la variable Pueblos originarios. Digite Cero si no tiene.",IF(AD90&gt;C90,"  * La variable Pueblos originarios No puede ser mayor al Total.",""))</f>
        <v/>
      </c>
      <c r="BR90" s="2553" t="str">
        <f>IF(AND(C90&gt;0,AE90=""),"  * No olvide digitar la variable Migrantes. Digite Cero si no tiene.",IF(AE90&gt;C90,"  * La variable Migrantes No puede ser mayor al Total.",""))</f>
        <v/>
      </c>
      <c r="BS90" s="1790"/>
      <c r="BT90" s="1790"/>
      <c r="BU90" s="1790"/>
      <c r="BV90" s="1790"/>
      <c r="BW90" s="1790"/>
      <c r="BX90" s="1790"/>
      <c r="CB90" s="1790">
        <f>IF(AND(C90&gt;0,AD90=""),1,IF(AD90&gt;C90,1,0))</f>
        <v>0</v>
      </c>
      <c r="CC90" s="1790">
        <f>IF(AND(C90&gt;0,AE90=""),1,IF(AE90&gt;C90,1,0))</f>
        <v>0</v>
      </c>
      <c r="CD90" s="1790"/>
      <c r="CE90" s="1790"/>
    </row>
    <row r="91" spans="1:83" s="17" customFormat="1" ht="18" customHeight="1" x14ac:dyDescent="0.25">
      <c r="A91" s="7085" t="s">
        <v>1931</v>
      </c>
      <c r="B91" s="7011"/>
      <c r="C91" s="1300">
        <f>SUM(D91:E91)</f>
        <v>0</v>
      </c>
      <c r="D91" s="2256">
        <f t="shared" ref="D91:E93" si="41">SUM(F91+H91+J91+L91+N91+P91+R91+T91+V91)</f>
        <v>0</v>
      </c>
      <c r="E91" s="2281">
        <f t="shared" si="41"/>
        <v>0</v>
      </c>
      <c r="F91" s="1113"/>
      <c r="G91" s="8"/>
      <c r="H91" s="1113"/>
      <c r="I91" s="8"/>
      <c r="J91" s="1113"/>
      <c r="K91" s="8"/>
      <c r="L91" s="1113"/>
      <c r="M91" s="8"/>
      <c r="N91" s="1113"/>
      <c r="O91" s="8"/>
      <c r="P91" s="1113"/>
      <c r="Q91" s="8"/>
      <c r="R91" s="1113"/>
      <c r="S91" s="8"/>
      <c r="T91" s="1113"/>
      <c r="U91" s="4068"/>
      <c r="V91" s="4054"/>
      <c r="W91" s="4056"/>
      <c r="X91" s="2204"/>
      <c r="Y91" s="1113"/>
      <c r="Z91" s="1302"/>
      <c r="AA91" s="1302"/>
      <c r="AB91" s="1302"/>
      <c r="AC91" s="1110"/>
      <c r="AD91" s="1113"/>
      <c r="AE91" s="1117"/>
      <c r="AF91" t="str">
        <f t="shared" ref="AF91:AF93" si="42">BQ91&amp;BR91</f>
        <v/>
      </c>
      <c r="BQ91" s="2553" t="str">
        <f t="shared" ref="BQ91:BQ93" si="43">IF(AND(C91&gt;0,AD91=""),"  * No olvide digitar la variable Pueblos originarios. Digite Cero si no tiene.",IF(AD91&gt;C91,"  * La variable Pueblos originarios No puede ser mayor al Total.",""))</f>
        <v/>
      </c>
      <c r="BR91" s="2553" t="str">
        <f t="shared" ref="BR91:BR93" si="44">IF(AND(C91&gt;0,AE91=""),"  * No olvide digitar la variable Migrantes. Digite Cero si no tiene.",IF(AE91&gt;C91,"  * La variable Migrantes No puede ser mayor al Total.",""))</f>
        <v/>
      </c>
      <c r="BS91" s="1790"/>
      <c r="BT91" s="1790"/>
      <c r="BU91" s="1790"/>
      <c r="BV91" s="1790"/>
      <c r="BW91" s="1790"/>
      <c r="BX91" s="1790"/>
      <c r="CB91" s="1790">
        <f t="shared" ref="CB91:CB93" si="45">IF(AND(C91&gt;0,AD91=""),1,IF(AD91&gt;C91,1,0))</f>
        <v>0</v>
      </c>
      <c r="CC91" s="1790">
        <f t="shared" ref="CC91:CC93" si="46">IF(AND(C91&gt;0,AE91=""),1,IF(AE91&gt;C91,1,0))</f>
        <v>0</v>
      </c>
      <c r="CD91" s="1790"/>
      <c r="CE91" s="1790"/>
    </row>
    <row r="92" spans="1:83" s="17" customFormat="1" ht="18" customHeight="1" x14ac:dyDescent="0.25">
      <c r="A92" s="7085" t="s">
        <v>1932</v>
      </c>
      <c r="B92" s="7011"/>
      <c r="C92" s="1300">
        <f>SUM(D92:E92)</f>
        <v>0</v>
      </c>
      <c r="D92" s="2256">
        <f t="shared" si="41"/>
        <v>0</v>
      </c>
      <c r="E92" s="2281">
        <f t="shared" si="41"/>
        <v>0</v>
      </c>
      <c r="F92" s="1113"/>
      <c r="G92" s="8"/>
      <c r="H92" s="1113"/>
      <c r="I92" s="8"/>
      <c r="J92" s="1113"/>
      <c r="K92" s="8"/>
      <c r="L92" s="1113"/>
      <c r="M92" s="8"/>
      <c r="N92" s="1113"/>
      <c r="O92" s="8"/>
      <c r="P92" s="1113"/>
      <c r="Q92" s="8"/>
      <c r="R92" s="1113"/>
      <c r="S92" s="8"/>
      <c r="T92" s="1113"/>
      <c r="U92" s="4068"/>
      <c r="V92" s="4054"/>
      <c r="W92" s="4056"/>
      <c r="X92" s="2204"/>
      <c r="Y92" s="1113"/>
      <c r="Z92" s="1302"/>
      <c r="AA92" s="1302"/>
      <c r="AB92" s="1302"/>
      <c r="AC92" s="1110"/>
      <c r="AD92" s="1113"/>
      <c r="AE92" s="1117"/>
      <c r="AF92" t="str">
        <f t="shared" si="42"/>
        <v/>
      </c>
      <c r="BQ92" s="2553" t="str">
        <f t="shared" si="43"/>
        <v/>
      </c>
      <c r="BR92" s="2553" t="str">
        <f t="shared" si="44"/>
        <v/>
      </c>
      <c r="BS92" s="1790"/>
      <c r="BT92" s="1790"/>
      <c r="BU92" s="1790"/>
      <c r="BV92" s="1790"/>
      <c r="BW92" s="1790"/>
      <c r="BX92" s="1790"/>
      <c r="CB92" s="1790">
        <f t="shared" si="45"/>
        <v>0</v>
      </c>
      <c r="CC92" s="1790">
        <f t="shared" si="46"/>
        <v>0</v>
      </c>
      <c r="CD92" s="1790"/>
      <c r="CE92" s="1790"/>
    </row>
    <row r="93" spans="1:83" s="17" customFormat="1" ht="18" customHeight="1" x14ac:dyDescent="0.25">
      <c r="A93" s="7012" t="s">
        <v>1933</v>
      </c>
      <c r="B93" s="7086"/>
      <c r="C93" s="2848">
        <f>SUM(D93:E93)</f>
        <v>0</v>
      </c>
      <c r="D93" s="2294">
        <f t="shared" si="41"/>
        <v>0</v>
      </c>
      <c r="E93" s="2295">
        <f t="shared" si="41"/>
        <v>0</v>
      </c>
      <c r="F93" s="3"/>
      <c r="G93" s="2849"/>
      <c r="H93" s="3"/>
      <c r="I93" s="2849"/>
      <c r="J93" s="3"/>
      <c r="K93" s="2849"/>
      <c r="L93" s="3"/>
      <c r="M93" s="2849"/>
      <c r="N93" s="3"/>
      <c r="O93" s="2849"/>
      <c r="P93" s="3"/>
      <c r="Q93" s="2849"/>
      <c r="R93" s="3"/>
      <c r="S93" s="2849"/>
      <c r="T93" s="3"/>
      <c r="U93" s="2379"/>
      <c r="V93" s="4431"/>
      <c r="W93" s="1766"/>
      <c r="X93" s="21"/>
      <c r="Y93" s="3"/>
      <c r="Z93" s="22"/>
      <c r="AA93" s="22"/>
      <c r="AB93" s="2391"/>
      <c r="AC93" s="2391"/>
      <c r="AD93" s="3"/>
      <c r="AE93" s="6"/>
      <c r="AF93" t="str">
        <f t="shared" si="42"/>
        <v/>
      </c>
      <c r="BQ93" s="2553" t="str">
        <f t="shared" si="43"/>
        <v/>
      </c>
      <c r="BR93" s="2553" t="str">
        <f t="shared" si="44"/>
        <v/>
      </c>
      <c r="BS93" s="1790"/>
      <c r="BT93" s="1790"/>
      <c r="BU93" s="1790"/>
      <c r="BV93" s="1790"/>
      <c r="BW93" s="1790"/>
      <c r="BX93" s="1790"/>
      <c r="CB93" s="1790">
        <f t="shared" si="45"/>
        <v>0</v>
      </c>
      <c r="CC93" s="1790">
        <f t="shared" si="46"/>
        <v>0</v>
      </c>
      <c r="CD93" s="1790"/>
      <c r="CE93" s="1790"/>
    </row>
    <row r="94" spans="1:83" s="17" customFormat="1" ht="18" customHeight="1" x14ac:dyDescent="0.2">
      <c r="A94" s="2734" t="s">
        <v>3889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83" s="17" customFormat="1" ht="18" customHeight="1" x14ac:dyDescent="0.2">
      <c r="A95" s="7104" t="s">
        <v>1922</v>
      </c>
      <c r="B95" s="7105"/>
      <c r="C95" s="7104" t="s">
        <v>1923</v>
      </c>
      <c r="D95" s="7106"/>
      <c r="E95" s="7105"/>
      <c r="F95" s="6770" t="s">
        <v>2239</v>
      </c>
      <c r="G95" s="6771"/>
      <c r="H95" s="6771"/>
      <c r="I95" s="6771"/>
      <c r="J95" s="6771"/>
      <c r="K95" s="6772"/>
      <c r="L95" s="7094" t="s">
        <v>2238</v>
      </c>
      <c r="M95" s="7094"/>
      <c r="N95" s="7094"/>
      <c r="O95" s="7094"/>
      <c r="P95" s="7094"/>
      <c r="Q95" s="7095"/>
      <c r="R95" s="7095" t="s">
        <v>1874</v>
      </c>
      <c r="S95" s="7093"/>
      <c r="T95" s="7093"/>
      <c r="U95" s="7093"/>
      <c r="V95" s="7093"/>
      <c r="W95" s="7140"/>
      <c r="X95" s="7143" t="s">
        <v>1934</v>
      </c>
      <c r="Y95" s="7143"/>
      <c r="Z95" s="7143"/>
      <c r="AA95" s="7143"/>
      <c r="AB95" s="7143"/>
      <c r="AC95" s="7144"/>
      <c r="AD95" s="7120" t="s">
        <v>2</v>
      </c>
      <c r="AE95" s="7121" t="s">
        <v>3</v>
      </c>
    </row>
    <row r="96" spans="1:83" s="17" customFormat="1" ht="18" customHeight="1" x14ac:dyDescent="0.2">
      <c r="A96" s="6980"/>
      <c r="B96" s="6924"/>
      <c r="C96" s="6941"/>
      <c r="D96" s="7084"/>
      <c r="E96" s="6529"/>
      <c r="F96" s="7091" t="s">
        <v>2234</v>
      </c>
      <c r="G96" s="7092"/>
      <c r="H96" s="7091" t="s">
        <v>2235</v>
      </c>
      <c r="I96" s="7092"/>
      <c r="J96" s="7091" t="s">
        <v>2237</v>
      </c>
      <c r="K96" s="7092"/>
      <c r="L96" s="7091" t="s">
        <v>2234</v>
      </c>
      <c r="M96" s="7092"/>
      <c r="N96" s="7091" t="s">
        <v>2235</v>
      </c>
      <c r="O96" s="7092"/>
      <c r="P96" s="7091" t="s">
        <v>2236</v>
      </c>
      <c r="Q96" s="7092"/>
      <c r="R96" s="6953" t="s">
        <v>2234</v>
      </c>
      <c r="S96" s="7092"/>
      <c r="T96" s="7091" t="s">
        <v>2235</v>
      </c>
      <c r="U96" s="7092"/>
      <c r="V96" s="7096" t="s">
        <v>2236</v>
      </c>
      <c r="W96" s="7097"/>
      <c r="X96" s="6953" t="s">
        <v>1926</v>
      </c>
      <c r="Y96" s="6953"/>
      <c r="Z96" s="6953"/>
      <c r="AA96" s="7092"/>
      <c r="AB96" s="7091" t="s">
        <v>1935</v>
      </c>
      <c r="AC96" s="7092"/>
      <c r="AD96" s="6471"/>
      <c r="AE96" s="6544"/>
    </row>
    <row r="97" spans="1:83" s="17" customFormat="1" ht="35.25" customHeight="1" x14ac:dyDescent="0.2">
      <c r="A97" s="6941"/>
      <c r="B97" s="6529"/>
      <c r="C97" s="2837" t="s">
        <v>26</v>
      </c>
      <c r="D97" s="2838" t="s">
        <v>22</v>
      </c>
      <c r="E97" s="2801" t="s">
        <v>27</v>
      </c>
      <c r="F97" s="2839" t="s">
        <v>22</v>
      </c>
      <c r="G97" s="2834" t="s">
        <v>27</v>
      </c>
      <c r="H97" s="2839" t="s">
        <v>22</v>
      </c>
      <c r="I97" s="2834" t="s">
        <v>27</v>
      </c>
      <c r="J97" s="2839" t="s">
        <v>22</v>
      </c>
      <c r="K97" s="2834" t="s">
        <v>27</v>
      </c>
      <c r="L97" s="2839" t="s">
        <v>22</v>
      </c>
      <c r="M97" s="2834" t="s">
        <v>27</v>
      </c>
      <c r="N97" s="2839" t="s">
        <v>22</v>
      </c>
      <c r="O97" s="2834" t="s">
        <v>27</v>
      </c>
      <c r="P97" s="2839" t="s">
        <v>22</v>
      </c>
      <c r="Q97" s="2834" t="s">
        <v>27</v>
      </c>
      <c r="R97" s="2850" t="s">
        <v>22</v>
      </c>
      <c r="S97" s="2834" t="s">
        <v>27</v>
      </c>
      <c r="T97" s="2839" t="s">
        <v>22</v>
      </c>
      <c r="U97" s="2834" t="s">
        <v>27</v>
      </c>
      <c r="V97" s="2830" t="s">
        <v>22</v>
      </c>
      <c r="W97" s="2832" t="s">
        <v>27</v>
      </c>
      <c r="X97" s="2834" t="s">
        <v>3766</v>
      </c>
      <c r="Y97" s="2831" t="s">
        <v>1927</v>
      </c>
      <c r="Z97" s="2827" t="s">
        <v>28</v>
      </c>
      <c r="AA97" s="2827" t="s">
        <v>29</v>
      </c>
      <c r="AB97" s="2833" t="s">
        <v>1928</v>
      </c>
      <c r="AC97" s="2831" t="s">
        <v>1929</v>
      </c>
      <c r="AD97" s="6476"/>
      <c r="AE97" s="7122"/>
    </row>
    <row r="98" spans="1:83" s="17" customFormat="1" ht="18" customHeight="1" x14ac:dyDescent="0.25">
      <c r="A98" s="7089" t="s">
        <v>1930</v>
      </c>
      <c r="B98" s="7090"/>
      <c r="C98" s="2842">
        <f>SUM(D98:E98)</f>
        <v>0</v>
      </c>
      <c r="D98" s="2851">
        <f>SUM(F98+H98+J98+L98+N98+P98+R98+T98+V98)</f>
        <v>0</v>
      </c>
      <c r="E98" s="2843">
        <f>SUM(G98+I98+K98+M98+O98+Q98+S98+U98+W98)</f>
        <v>0</v>
      </c>
      <c r="F98" s="2844"/>
      <c r="G98" s="2826"/>
      <c r="H98" s="2844"/>
      <c r="I98" s="2826"/>
      <c r="J98" s="2844"/>
      <c r="K98" s="2826"/>
      <c r="L98" s="2844"/>
      <c r="M98" s="2826"/>
      <c r="N98" s="2844"/>
      <c r="O98" s="2826"/>
      <c r="P98" s="2844"/>
      <c r="Q98" s="2826"/>
      <c r="R98" s="2846"/>
      <c r="S98" s="2826"/>
      <c r="T98" s="2844"/>
      <c r="U98" s="2826"/>
      <c r="V98" s="2844"/>
      <c r="W98" s="2845"/>
      <c r="X98" s="2846"/>
      <c r="Y98" s="2844"/>
      <c r="Z98" s="2847"/>
      <c r="AA98" s="2847"/>
      <c r="AB98" s="2847"/>
      <c r="AC98" s="2744"/>
      <c r="AD98" s="2844"/>
      <c r="AE98" s="2420"/>
      <c r="AF98" t="str">
        <f>BQ98&amp;BR98</f>
        <v/>
      </c>
      <c r="BQ98" s="2553" t="str">
        <f>IF(AND(C98&gt;0,AD98="")," * No olvide digitar la variable Pueblos originarios. Digite Cero si no tiene.",IF(AD98&gt;C98,"  * La variable Pueblos originarios No puede ser mayor al Total.",""))</f>
        <v/>
      </c>
      <c r="BR98" s="2553" t="str">
        <f>IF(AND(C98&gt;0,AE98="")," * No olvide digitar la variable Migrantes. Digite Cero si no tiene.",IF(AE98&gt;C98,"  * La variable Migrantes No puede ser mayor al Total.",""))</f>
        <v/>
      </c>
      <c r="BS98" s="1790"/>
      <c r="BT98" s="1790"/>
      <c r="BU98" s="1790"/>
      <c r="BV98" s="1790"/>
      <c r="BW98" s="1790"/>
      <c r="BX98" s="1790"/>
      <c r="CB98" s="1790">
        <f>IF(AND(C98&gt;0,AD98=""),1,IF(AD98&gt;C98,1,0))</f>
        <v>0</v>
      </c>
      <c r="CC98" s="1790">
        <f>IF(AND(C98&gt;0,AE98=""),1,IF(AE98&gt;C98,1,0))</f>
        <v>0</v>
      </c>
      <c r="CD98" s="1790"/>
      <c r="CE98" s="1790"/>
    </row>
    <row r="99" spans="1:83" s="17" customFormat="1" ht="18" customHeight="1" x14ac:dyDescent="0.25">
      <c r="A99" s="7085" t="s">
        <v>1931</v>
      </c>
      <c r="B99" s="7011"/>
      <c r="C99" s="2256">
        <f>SUM(D99:E99)</f>
        <v>0</v>
      </c>
      <c r="D99" s="2200">
        <f t="shared" ref="D99:E101" si="47">SUM(F99+H99+J99+L99+N99+P99+R99+T99+V99)</f>
        <v>0</v>
      </c>
      <c r="E99" s="2281">
        <f t="shared" si="47"/>
        <v>0</v>
      </c>
      <c r="F99" s="1113"/>
      <c r="G99" s="8"/>
      <c r="H99" s="1113"/>
      <c r="I99" s="8"/>
      <c r="J99" s="1113"/>
      <c r="K99" s="8"/>
      <c r="L99" s="1113"/>
      <c r="M99" s="8"/>
      <c r="N99" s="1113"/>
      <c r="O99" s="8"/>
      <c r="P99" s="1113"/>
      <c r="Q99" s="8"/>
      <c r="R99" s="2204"/>
      <c r="S99" s="8"/>
      <c r="T99" s="1113"/>
      <c r="U99" s="8"/>
      <c r="V99" s="1113"/>
      <c r="W99" s="2203"/>
      <c r="X99" s="2204"/>
      <c r="Y99" s="1113"/>
      <c r="Z99" s="1302"/>
      <c r="AA99" s="1302"/>
      <c r="AB99" s="1302"/>
      <c r="AC99" s="1110"/>
      <c r="AD99" s="1113"/>
      <c r="AE99" s="1117"/>
      <c r="AF99" t="str">
        <f t="shared" ref="AF99:AF101" si="48">BQ99&amp;BR99</f>
        <v/>
      </c>
      <c r="BQ99" s="2553" t="str">
        <f t="shared" ref="BQ99:BQ101" si="49">IF(AND(C99&gt;0,AD99="")," * No olvide digitar la variable Pueblos originarios. Digite Cero si no tiene.",IF(AD99&gt;C99,"  * La variable Pueblos originarios No puede ser mayor al Total.",""))</f>
        <v/>
      </c>
      <c r="BR99" s="2553" t="str">
        <f t="shared" ref="BR99:BR101" si="50">IF(AND(C99&gt;0,AE99="")," * No olvide digitar la variable Migrantes. Digite Cero si no tiene.",IF(AE99&gt;C99,"  * La variable Migrantes No puede ser mayor al Total.",""))</f>
        <v/>
      </c>
      <c r="BS99" s="1790"/>
      <c r="BT99" s="1790"/>
      <c r="BU99" s="1790"/>
      <c r="BV99" s="1790"/>
      <c r="BW99" s="1790"/>
      <c r="BX99" s="1790"/>
      <c r="CB99" s="1790">
        <f t="shared" ref="CB99:CB101" si="51">IF(AND(C99&gt;0,AD99=""),1,IF(AD99&gt;C99,1,0))</f>
        <v>0</v>
      </c>
      <c r="CC99" s="1790">
        <f t="shared" ref="CC99:CC101" si="52">IF(AND(C99&gt;0,AE99=""),1,IF(AE99&gt;C99,1,0))</f>
        <v>0</v>
      </c>
      <c r="CD99" s="1790"/>
      <c r="CE99" s="1790"/>
    </row>
    <row r="100" spans="1:83" s="17" customFormat="1" ht="18" customHeight="1" x14ac:dyDescent="0.25">
      <c r="A100" s="7085" t="s">
        <v>1932</v>
      </c>
      <c r="B100" s="7011"/>
      <c r="C100" s="2256">
        <f>SUM(D100:E100)</f>
        <v>0</v>
      </c>
      <c r="D100" s="2200">
        <f t="shared" si="47"/>
        <v>0</v>
      </c>
      <c r="E100" s="2281">
        <f t="shared" si="47"/>
        <v>0</v>
      </c>
      <c r="F100" s="1113"/>
      <c r="G100" s="8"/>
      <c r="H100" s="1113"/>
      <c r="I100" s="8"/>
      <c r="J100" s="1113"/>
      <c r="K100" s="8"/>
      <c r="L100" s="1113"/>
      <c r="M100" s="8"/>
      <c r="N100" s="1113"/>
      <c r="O100" s="8"/>
      <c r="P100" s="1113"/>
      <c r="Q100" s="8"/>
      <c r="R100" s="2204"/>
      <c r="S100" s="8"/>
      <c r="T100" s="1113"/>
      <c r="U100" s="8"/>
      <c r="V100" s="1113"/>
      <c r="W100" s="2203"/>
      <c r="X100" s="2204"/>
      <c r="Y100" s="1113"/>
      <c r="Z100" s="1302"/>
      <c r="AA100" s="1302"/>
      <c r="AB100" s="1302"/>
      <c r="AC100" s="1110"/>
      <c r="AD100" s="1113"/>
      <c r="AE100" s="1117"/>
      <c r="AF100" t="str">
        <f t="shared" si="48"/>
        <v/>
      </c>
      <c r="BQ100" s="2553" t="str">
        <f t="shared" si="49"/>
        <v/>
      </c>
      <c r="BR100" s="2553" t="str">
        <f t="shared" si="50"/>
        <v/>
      </c>
      <c r="BS100" s="1790"/>
      <c r="BT100" s="1790"/>
      <c r="BU100" s="1790"/>
      <c r="BV100" s="1790"/>
      <c r="BW100" s="1790"/>
      <c r="BX100" s="1790"/>
      <c r="CB100" s="1790">
        <f t="shared" si="51"/>
        <v>0</v>
      </c>
      <c r="CC100" s="1790">
        <f t="shared" si="52"/>
        <v>0</v>
      </c>
      <c r="CD100" s="1790"/>
      <c r="CE100" s="1790"/>
    </row>
    <row r="101" spans="1:83" s="17" customFormat="1" ht="18" customHeight="1" x14ac:dyDescent="0.25">
      <c r="A101" s="7012" t="s">
        <v>1933</v>
      </c>
      <c r="B101" s="7086"/>
      <c r="C101" s="2258">
        <f>SUM(D101:E101)</f>
        <v>0</v>
      </c>
      <c r="D101" s="52">
        <f t="shared" si="47"/>
        <v>0</v>
      </c>
      <c r="E101" s="2295">
        <f t="shared" si="47"/>
        <v>0</v>
      </c>
      <c r="F101" s="3"/>
      <c r="G101" s="2849"/>
      <c r="H101" s="3"/>
      <c r="I101" s="2849"/>
      <c r="J101" s="3"/>
      <c r="K101" s="2849"/>
      <c r="L101" s="3"/>
      <c r="M101" s="2849"/>
      <c r="N101" s="3"/>
      <c r="O101" s="2849"/>
      <c r="P101" s="3"/>
      <c r="Q101" s="2849"/>
      <c r="R101" s="21"/>
      <c r="S101" s="2849"/>
      <c r="T101" s="3"/>
      <c r="U101" s="2849"/>
      <c r="V101" s="3"/>
      <c r="W101" s="1766"/>
      <c r="X101" s="21"/>
      <c r="Y101" s="3"/>
      <c r="Z101" s="22"/>
      <c r="AA101" s="22"/>
      <c r="AB101" s="2391"/>
      <c r="AC101" s="2391"/>
      <c r="AD101" s="3"/>
      <c r="AE101" s="6"/>
      <c r="AF101" t="str">
        <f t="shared" si="48"/>
        <v/>
      </c>
      <c r="BQ101" s="2553" t="str">
        <f t="shared" si="49"/>
        <v/>
      </c>
      <c r="BR101" s="2553" t="str">
        <f t="shared" si="50"/>
        <v/>
      </c>
      <c r="BS101" s="1790"/>
      <c r="BT101" s="1790"/>
      <c r="BU101" s="1790"/>
      <c r="BV101" s="1790"/>
      <c r="BW101" s="1790"/>
      <c r="BX101" s="1790"/>
      <c r="CB101" s="1790">
        <f t="shared" si="51"/>
        <v>0</v>
      </c>
      <c r="CC101" s="1790">
        <f t="shared" si="52"/>
        <v>0</v>
      </c>
      <c r="CD101" s="1790"/>
      <c r="CE101" s="1790"/>
    </row>
    <row r="102" spans="1:83" s="17" customFormat="1" ht="18" customHeight="1" x14ac:dyDescent="0.2">
      <c r="A102" s="2734" t="s">
        <v>3888</v>
      </c>
      <c r="B102" s="273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83" x14ac:dyDescent="0.25">
      <c r="A103" s="7067" t="s">
        <v>1936</v>
      </c>
      <c r="B103" s="6528"/>
      <c r="C103" s="7067" t="s">
        <v>24</v>
      </c>
      <c r="D103" s="6940"/>
      <c r="E103" s="6528"/>
      <c r="F103" s="7054" t="s">
        <v>30</v>
      </c>
      <c r="G103" s="7069"/>
      <c r="H103" s="7069"/>
      <c r="I103" s="7069"/>
      <c r="J103" s="7069"/>
      <c r="K103" s="7069"/>
      <c r="L103" s="7069"/>
      <c r="M103" s="7055"/>
      <c r="BQ103"/>
      <c r="BR103"/>
      <c r="BS103"/>
      <c r="BT103"/>
      <c r="BU103"/>
      <c r="BV103"/>
      <c r="BW103"/>
      <c r="BX103"/>
      <c r="BZ103"/>
      <c r="CA103"/>
      <c r="CB103"/>
    </row>
    <row r="104" spans="1:83" x14ac:dyDescent="0.25">
      <c r="A104" s="6980"/>
      <c r="B104" s="6924"/>
      <c r="C104" s="6980"/>
      <c r="D104" s="7068"/>
      <c r="E104" s="6924"/>
      <c r="F104" s="7054" t="s">
        <v>1937</v>
      </c>
      <c r="G104" s="7055"/>
      <c r="H104" s="7054" t="s">
        <v>1938</v>
      </c>
      <c r="I104" s="7055"/>
      <c r="J104" s="7054" t="s">
        <v>1939</v>
      </c>
      <c r="K104" s="7055"/>
      <c r="L104" s="7054" t="s">
        <v>4</v>
      </c>
      <c r="M104" s="7055"/>
      <c r="BQ104"/>
      <c r="BR104"/>
      <c r="BS104"/>
      <c r="BT104"/>
      <c r="BU104"/>
      <c r="BV104"/>
      <c r="BW104"/>
      <c r="BX104"/>
      <c r="BZ104"/>
      <c r="CA104"/>
      <c r="CB104"/>
    </row>
    <row r="105" spans="1:83" x14ac:dyDescent="0.25">
      <c r="A105" s="7083"/>
      <c r="B105" s="7076"/>
      <c r="C105" s="2736" t="s">
        <v>26</v>
      </c>
      <c r="D105" s="2733" t="s">
        <v>22</v>
      </c>
      <c r="E105" s="2732" t="s">
        <v>27</v>
      </c>
      <c r="F105" s="2217" t="s">
        <v>22</v>
      </c>
      <c r="G105" s="2732" t="s">
        <v>27</v>
      </c>
      <c r="H105" s="2217" t="s">
        <v>22</v>
      </c>
      <c r="I105" s="2732" t="s">
        <v>27</v>
      </c>
      <c r="J105" s="2217" t="s">
        <v>22</v>
      </c>
      <c r="K105" s="2732" t="s">
        <v>27</v>
      </c>
      <c r="L105" s="2217" t="s">
        <v>22</v>
      </c>
      <c r="M105" s="2732" t="s">
        <v>27</v>
      </c>
      <c r="BQ105"/>
      <c r="BR105"/>
      <c r="BS105"/>
      <c r="BT105"/>
      <c r="BU105"/>
      <c r="BV105"/>
      <c r="BW105"/>
      <c r="BX105"/>
      <c r="BZ105"/>
      <c r="CA105"/>
      <c r="CB105"/>
    </row>
    <row r="106" spans="1:83" ht="15" customHeight="1" x14ac:dyDescent="0.25">
      <c r="A106" s="7087" t="s">
        <v>1940</v>
      </c>
      <c r="B106" s="7088"/>
      <c r="C106" s="2260">
        <f>SUM(D106:E106)</f>
        <v>0</v>
      </c>
      <c r="D106" s="2261">
        <f t="shared" ref="D106:E109" si="53">+F106+H106+J106+L106</f>
        <v>0</v>
      </c>
      <c r="E106" s="2262">
        <f t="shared" si="53"/>
        <v>0</v>
      </c>
      <c r="F106" s="2275">
        <f>SUM(F107:F109)</f>
        <v>0</v>
      </c>
      <c r="G106" s="2275">
        <f t="shared" ref="G106:M106" si="54">SUM(G107:G109)</f>
        <v>0</v>
      </c>
      <c r="H106" s="2275">
        <f t="shared" si="54"/>
        <v>0</v>
      </c>
      <c r="I106" s="2275">
        <f t="shared" si="54"/>
        <v>0</v>
      </c>
      <c r="J106" s="2275">
        <f t="shared" si="54"/>
        <v>0</v>
      </c>
      <c r="K106" s="2275">
        <f t="shared" si="54"/>
        <v>0</v>
      </c>
      <c r="L106" s="2275">
        <f t="shared" si="54"/>
        <v>0</v>
      </c>
      <c r="M106" s="4423">
        <f t="shared" si="54"/>
        <v>0</v>
      </c>
      <c r="BQ106"/>
      <c r="BR106"/>
      <c r="BS106"/>
      <c r="BT106"/>
      <c r="BU106"/>
      <c r="BV106"/>
      <c r="BW106"/>
      <c r="BX106"/>
      <c r="BZ106"/>
      <c r="CA106"/>
      <c r="CB106"/>
    </row>
    <row r="107" spans="1:83" ht="15" customHeight="1" x14ac:dyDescent="0.25">
      <c r="A107" s="7079" t="s">
        <v>1941</v>
      </c>
      <c r="B107" s="7080"/>
      <c r="C107" s="2263">
        <f>SUM(D107:E107)</f>
        <v>0</v>
      </c>
      <c r="D107" s="2264">
        <f t="shared" si="53"/>
        <v>0</v>
      </c>
      <c r="E107" s="2265">
        <f t="shared" si="53"/>
        <v>0</v>
      </c>
      <c r="F107" s="2209"/>
      <c r="G107" s="2266"/>
      <c r="H107" s="2209"/>
      <c r="I107" s="2266"/>
      <c r="J107" s="2209"/>
      <c r="K107" s="2221"/>
      <c r="L107" s="2209"/>
      <c r="M107" s="2221"/>
      <c r="BQ107"/>
      <c r="BR107"/>
      <c r="BS107"/>
      <c r="BT107"/>
      <c r="BU107"/>
      <c r="BV107"/>
      <c r="BW107"/>
      <c r="BX107"/>
      <c r="BZ107"/>
      <c r="CA107"/>
      <c r="CB107"/>
    </row>
    <row r="108" spans="1:83" ht="15" customHeight="1" x14ac:dyDescent="0.25">
      <c r="A108" s="7081" t="s">
        <v>1942</v>
      </c>
      <c r="B108" s="7082"/>
      <c r="C108" s="2267">
        <f>SUM(D108:E108)</f>
        <v>0</v>
      </c>
      <c r="D108" s="2268">
        <f t="shared" si="53"/>
        <v>0</v>
      </c>
      <c r="E108" s="2269">
        <f t="shared" si="53"/>
        <v>0</v>
      </c>
      <c r="F108" s="1113"/>
      <c r="G108" s="8"/>
      <c r="H108" s="1113"/>
      <c r="I108" s="8"/>
      <c r="J108" s="1113"/>
      <c r="K108" s="1117"/>
      <c r="L108" s="1113"/>
      <c r="M108" s="1117"/>
      <c r="BQ108"/>
      <c r="BR108"/>
      <c r="BS108"/>
      <c r="BT108"/>
      <c r="BU108"/>
      <c r="BV108"/>
      <c r="BW108"/>
      <c r="BX108"/>
      <c r="BZ108"/>
      <c r="CA108"/>
      <c r="CB108"/>
    </row>
    <row r="109" spans="1:83" ht="15" customHeight="1" x14ac:dyDescent="0.25">
      <c r="A109" s="7014" t="s">
        <v>1943</v>
      </c>
      <c r="B109" s="7015"/>
      <c r="C109" s="2270">
        <f>SUM(D109:E109)</f>
        <v>0</v>
      </c>
      <c r="D109" s="2271">
        <f t="shared" si="53"/>
        <v>0</v>
      </c>
      <c r="E109" s="2272">
        <f t="shared" si="53"/>
        <v>0</v>
      </c>
      <c r="F109" s="3"/>
      <c r="G109" s="12"/>
      <c r="H109" s="3"/>
      <c r="I109" s="12"/>
      <c r="J109" s="3"/>
      <c r="K109" s="6"/>
      <c r="L109" s="3"/>
      <c r="M109" s="6"/>
      <c r="BQ109"/>
      <c r="BR109"/>
      <c r="BS109"/>
      <c r="BT109"/>
      <c r="BU109"/>
      <c r="BV109"/>
      <c r="BW109"/>
      <c r="BX109"/>
      <c r="BZ109"/>
      <c r="CA109"/>
      <c r="CB109"/>
    </row>
    <row r="110" spans="1:83" s="17" customFormat="1" ht="18" customHeight="1" x14ac:dyDescent="0.2">
      <c r="A110" s="2273" t="s">
        <v>1944</v>
      </c>
      <c r="B110" s="2274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</row>
    <row r="111" spans="1:83" x14ac:dyDescent="0.25">
      <c r="A111" s="7067" t="s">
        <v>23</v>
      </c>
      <c r="B111" s="6528"/>
      <c r="C111" s="7067" t="s">
        <v>24</v>
      </c>
      <c r="D111" s="6940"/>
      <c r="E111" s="6528"/>
      <c r="F111" s="7054" t="s">
        <v>30</v>
      </c>
      <c r="G111" s="7069"/>
      <c r="H111" s="7069"/>
      <c r="I111" s="7069"/>
      <c r="J111" s="7069"/>
      <c r="K111" s="7069"/>
      <c r="L111" s="7069"/>
      <c r="M111" s="7069"/>
      <c r="N111" s="7069"/>
      <c r="O111" s="7069"/>
      <c r="P111" s="7069"/>
      <c r="Q111" s="7069"/>
      <c r="R111" s="7069"/>
      <c r="S111" s="7069"/>
      <c r="T111" s="7069"/>
      <c r="U111" s="7069"/>
      <c r="V111" s="7069"/>
      <c r="W111" s="7069"/>
      <c r="X111" s="7069"/>
      <c r="Y111" s="7069"/>
      <c r="Z111" s="7069"/>
      <c r="AA111" s="7069"/>
      <c r="AB111" s="7069"/>
      <c r="AC111" s="7069"/>
      <c r="AD111" s="7069"/>
      <c r="AE111" s="7069"/>
      <c r="AF111" s="7069"/>
      <c r="AG111" s="7061"/>
      <c r="AH111" s="6940" t="s">
        <v>2</v>
      </c>
      <c r="AI111" s="6925" t="s">
        <v>3</v>
      </c>
      <c r="BQ111"/>
      <c r="BR111"/>
      <c r="BS111"/>
      <c r="BT111"/>
      <c r="BU111"/>
      <c r="BV111"/>
      <c r="BW111"/>
      <c r="BX111"/>
      <c r="BZ111"/>
      <c r="CA111"/>
      <c r="CB111"/>
    </row>
    <row r="112" spans="1:83" x14ac:dyDescent="0.25">
      <c r="A112" s="6980"/>
      <c r="B112" s="6924"/>
      <c r="C112" s="6980"/>
      <c r="D112" s="7068"/>
      <c r="E112" s="6924"/>
      <c r="F112" s="7077" t="s">
        <v>4</v>
      </c>
      <c r="G112" s="7078"/>
      <c r="H112" s="7053" t="s">
        <v>5</v>
      </c>
      <c r="I112" s="7053"/>
      <c r="J112" s="7053" t="s">
        <v>6</v>
      </c>
      <c r="K112" s="7053"/>
      <c r="L112" s="7053" t="s">
        <v>7</v>
      </c>
      <c r="M112" s="7053"/>
      <c r="N112" s="7053" t="s">
        <v>8</v>
      </c>
      <c r="O112" s="7053"/>
      <c r="P112" s="7053" t="s">
        <v>9</v>
      </c>
      <c r="Q112" s="7053"/>
      <c r="R112" s="7053" t="s">
        <v>10</v>
      </c>
      <c r="S112" s="7053"/>
      <c r="T112" s="7053" t="s">
        <v>11</v>
      </c>
      <c r="U112" s="7053"/>
      <c r="V112" s="7053" t="s">
        <v>18</v>
      </c>
      <c r="W112" s="7053"/>
      <c r="X112" s="7053" t="s">
        <v>19</v>
      </c>
      <c r="Y112" s="7053"/>
      <c r="Z112" s="7054" t="s">
        <v>20</v>
      </c>
      <c r="AA112" s="7055"/>
      <c r="AB112" s="7054" t="s">
        <v>70</v>
      </c>
      <c r="AC112" s="7055"/>
      <c r="AD112" s="7054" t="s">
        <v>71</v>
      </c>
      <c r="AE112" s="7055"/>
      <c r="AF112" s="7054" t="s">
        <v>32</v>
      </c>
      <c r="AG112" s="7061"/>
      <c r="AH112" s="7068"/>
      <c r="AI112" s="6825"/>
      <c r="BQ112"/>
      <c r="BR112"/>
      <c r="BS112"/>
      <c r="BT112"/>
      <c r="BU112"/>
      <c r="BV112"/>
      <c r="BW112"/>
      <c r="BX112"/>
      <c r="BZ112"/>
      <c r="CA112"/>
      <c r="CB112"/>
    </row>
    <row r="113" spans="1:82" x14ac:dyDescent="0.25">
      <c r="A113" s="7075"/>
      <c r="B113" s="7076"/>
      <c r="C113" s="2217" t="s">
        <v>26</v>
      </c>
      <c r="D113" s="2733" t="s">
        <v>22</v>
      </c>
      <c r="E113" s="2732" t="s">
        <v>27</v>
      </c>
      <c r="F113" s="2725" t="s">
        <v>22</v>
      </c>
      <c r="G113" s="2737" t="s">
        <v>27</v>
      </c>
      <c r="H113" s="2725" t="s">
        <v>22</v>
      </c>
      <c r="I113" s="2737" t="s">
        <v>27</v>
      </c>
      <c r="J113" s="2725" t="s">
        <v>22</v>
      </c>
      <c r="K113" s="2737" t="s">
        <v>27</v>
      </c>
      <c r="L113" s="2725" t="s">
        <v>22</v>
      </c>
      <c r="M113" s="2737" t="s">
        <v>27</v>
      </c>
      <c r="N113" s="2725" t="s">
        <v>22</v>
      </c>
      <c r="O113" s="2737" t="s">
        <v>27</v>
      </c>
      <c r="P113" s="2725" t="s">
        <v>22</v>
      </c>
      <c r="Q113" s="2737" t="s">
        <v>27</v>
      </c>
      <c r="R113" s="2725" t="s">
        <v>22</v>
      </c>
      <c r="S113" s="2737" t="s">
        <v>27</v>
      </c>
      <c r="T113" s="2725" t="s">
        <v>22</v>
      </c>
      <c r="U113" s="2737" t="s">
        <v>27</v>
      </c>
      <c r="V113" s="2725" t="s">
        <v>22</v>
      </c>
      <c r="W113" s="2737" t="s">
        <v>27</v>
      </c>
      <c r="X113" s="2725" t="s">
        <v>22</v>
      </c>
      <c r="Y113" s="2737" t="s">
        <v>27</v>
      </c>
      <c r="Z113" s="2725" t="s">
        <v>22</v>
      </c>
      <c r="AA113" s="2737" t="s">
        <v>27</v>
      </c>
      <c r="AB113" s="2725" t="s">
        <v>22</v>
      </c>
      <c r="AC113" s="2737" t="s">
        <v>27</v>
      </c>
      <c r="AD113" s="2725" t="s">
        <v>22</v>
      </c>
      <c r="AE113" s="2737" t="s">
        <v>27</v>
      </c>
      <c r="AF113" s="2725" t="s">
        <v>22</v>
      </c>
      <c r="AG113" s="2738" t="s">
        <v>27</v>
      </c>
      <c r="AH113" s="7084"/>
      <c r="AI113" s="6927"/>
      <c r="BQ113"/>
      <c r="BR113"/>
      <c r="BS113"/>
      <c r="BT113"/>
      <c r="BU113"/>
      <c r="BV113"/>
      <c r="BW113"/>
      <c r="BX113"/>
      <c r="BZ113"/>
      <c r="CA113"/>
      <c r="CB113"/>
    </row>
    <row r="114" spans="1:82" ht="15" customHeight="1" x14ac:dyDescent="0.25">
      <c r="A114" s="7065" t="s">
        <v>1945</v>
      </c>
      <c r="B114" s="7066"/>
      <c r="C114" s="2275">
        <f>SUM(D114:E114)</f>
        <v>0</v>
      </c>
      <c r="D114" s="2276">
        <f>SUM(F114+H114+J114+L114+N114+P114+R114+T114+V114+X114+Z114+AB114+AD114+AF114)</f>
        <v>0</v>
      </c>
      <c r="E114" s="2277">
        <f>SUM(+G114+I114+K114+M114+O114+Q114+S114+U114+W114+Y114+AA114+AC114+AE114+AG114)</f>
        <v>0</v>
      </c>
      <c r="F114" s="2209"/>
      <c r="G114" s="2212"/>
      <c r="H114" s="2209"/>
      <c r="I114" s="2212"/>
      <c r="J114" s="2209"/>
      <c r="K114" s="2212"/>
      <c r="L114" s="2209"/>
      <c r="M114" s="2212"/>
      <c r="N114" s="2209"/>
      <c r="O114" s="2212"/>
      <c r="P114" s="2209"/>
      <c r="Q114" s="2212"/>
      <c r="R114" s="2209"/>
      <c r="S114" s="2212"/>
      <c r="T114" s="2209"/>
      <c r="U114" s="2212"/>
      <c r="V114" s="2209"/>
      <c r="W114" s="2212"/>
      <c r="X114" s="2209"/>
      <c r="Y114" s="2212"/>
      <c r="Z114" s="2209"/>
      <c r="AA114" s="2212"/>
      <c r="AB114" s="2209"/>
      <c r="AC114" s="2212"/>
      <c r="AD114" s="2209"/>
      <c r="AE114" s="2212"/>
      <c r="AF114" s="2209"/>
      <c r="AG114" s="2220"/>
      <c r="AH114" s="2742"/>
      <c r="AI114" s="2744"/>
      <c r="AJ114" t="str">
        <f>BQ114&amp;BR114</f>
        <v/>
      </c>
      <c r="BQ114" s="2553" t="str">
        <f>IF(AND(C114&gt;0,AH114="")," * No olvide digitar la variable Pueblos originarios. Digite Cero si no tiene.",IF(AH114&gt;C114,"* La variable Pueblos originarios No puede ser mayor al Total.",""))</f>
        <v/>
      </c>
      <c r="BR114" s="2553" t="str">
        <f>IF(AND(C114&gt;0,AI114="")," * No olvide digitar la variable Migrantes. Digite Cero si no tiene.",IF(AI114&gt;C114,"* La variable Migrantes No puede ser mayor al Total.",""))</f>
        <v/>
      </c>
      <c r="BS114"/>
      <c r="BT114"/>
      <c r="BU114"/>
      <c r="BV114"/>
      <c r="BW114"/>
      <c r="BX114"/>
      <c r="BZ114"/>
      <c r="CA114"/>
      <c r="CB114" s="1793">
        <f>IF(AND(C114&gt;0,AH114=""),1,IF(AH114&gt;C114,1,0))</f>
        <v>0</v>
      </c>
      <c r="CC114" s="1793">
        <f>IF(AND(C114&gt;0,AI114=""),1,IF(AI114&gt;C114,1,0))</f>
        <v>0</v>
      </c>
      <c r="CD114" s="1793"/>
    </row>
    <row r="115" spans="1:82" ht="15" customHeight="1" x14ac:dyDescent="0.25">
      <c r="A115" s="6798" t="s">
        <v>1946</v>
      </c>
      <c r="B115" s="2206" t="s">
        <v>1947</v>
      </c>
      <c r="C115" s="2278">
        <f t="shared" ref="C115:C122" si="55">SUM(D115:E115)</f>
        <v>0</v>
      </c>
      <c r="D115" s="2279">
        <f t="shared" ref="D115:D122" si="56">SUM(F115+H115+J115+L115+N115+P115+R115+T115+V115+X115+Z115+AB115+AD115+AF115)</f>
        <v>0</v>
      </c>
      <c r="E115" s="2280">
        <f>SUM(+G115+I115+K115+M115+O115+Q115+S115+U115+W115+Y115+AA115+AC115+AE115+AG115)</f>
        <v>0</v>
      </c>
      <c r="F115" s="2209"/>
      <c r="G115" s="2266"/>
      <c r="H115" s="2209"/>
      <c r="I115" s="2266"/>
      <c r="J115" s="2209"/>
      <c r="K115" s="2266"/>
      <c r="L115" s="2209"/>
      <c r="M115" s="2266"/>
      <c r="N115" s="2209"/>
      <c r="O115" s="2266"/>
      <c r="P115" s="2209"/>
      <c r="Q115" s="2266"/>
      <c r="R115" s="2209"/>
      <c r="S115" s="2266"/>
      <c r="T115" s="2209"/>
      <c r="U115" s="2266"/>
      <c r="V115" s="2209"/>
      <c r="W115" s="2266"/>
      <c r="X115" s="2209"/>
      <c r="Y115" s="2266"/>
      <c r="Z115" s="2209"/>
      <c r="AA115" s="2266"/>
      <c r="AB115" s="2209"/>
      <c r="AC115" s="2266"/>
      <c r="AD115" s="2209"/>
      <c r="AE115" s="2266"/>
      <c r="AF115" s="2209"/>
      <c r="AG115" s="2220"/>
      <c r="AH115" s="2742"/>
      <c r="AI115" s="2744"/>
      <c r="AJ115" t="str">
        <f t="shared" ref="AJ115:AJ122" si="57">BQ115&amp;BR115</f>
        <v/>
      </c>
      <c r="BQ115" s="2553" t="str">
        <f t="shared" ref="BQ115:BQ122" si="58">IF(AND(C115&gt;0,AH115="")," * No olvide digitar la variable Pueblos originarios. Digite Cero si no tiene.",IF(AH115&gt;C115,"* La variable Pueblos originarios No puede ser mayor al Total.",""))</f>
        <v/>
      </c>
      <c r="BR115" s="2553" t="str">
        <f t="shared" ref="BR115:BR122" si="59">IF(AND(C115&gt;0,AI115="")," * No olvide digitar la variable Migrantes. Digite Cero si no tiene.",IF(AI115&gt;C115,"* La variable Migrantes No puede ser mayor al Total.",""))</f>
        <v/>
      </c>
      <c r="BS115"/>
      <c r="BT115"/>
      <c r="BU115"/>
      <c r="BV115"/>
      <c r="BW115"/>
      <c r="BX115"/>
      <c r="BZ115"/>
      <c r="CA115"/>
      <c r="CB115" s="1793">
        <f t="shared" ref="CB115:CB122" si="60">IF(AND(C115&gt;0,AH115=""),1,IF(AH115&gt;C115,1,0))</f>
        <v>0</v>
      </c>
      <c r="CC115" s="1793">
        <f t="shared" ref="CC115:CC122" si="61">IF(AND(C115&gt;0,AI115=""),1,IF(AI115&gt;C115,1,0))</f>
        <v>0</v>
      </c>
      <c r="CD115" s="1793"/>
    </row>
    <row r="116" spans="1:82" ht="15" customHeight="1" x14ac:dyDescent="0.25">
      <c r="A116" s="6931"/>
      <c r="B116" s="1123" t="s">
        <v>1948</v>
      </c>
      <c r="C116" s="2256">
        <f t="shared" si="55"/>
        <v>0</v>
      </c>
      <c r="D116" s="2257">
        <f t="shared" si="56"/>
        <v>0</v>
      </c>
      <c r="E116" s="2281">
        <f>SUM(+G116+I116+K116+M116+O116+Q116+S116+U116+W116+Y116+AA116+AC116+AE116+AG116)</f>
        <v>0</v>
      </c>
      <c r="F116" s="1113"/>
      <c r="G116" s="8"/>
      <c r="H116" s="1113"/>
      <c r="I116" s="8"/>
      <c r="J116" s="1113"/>
      <c r="K116" s="8"/>
      <c r="L116" s="1113"/>
      <c r="M116" s="8"/>
      <c r="N116" s="1113"/>
      <c r="O116" s="8"/>
      <c r="P116" s="1113"/>
      <c r="Q116" s="8"/>
      <c r="R116" s="1113"/>
      <c r="S116" s="8"/>
      <c r="T116" s="1113"/>
      <c r="U116" s="8"/>
      <c r="V116" s="1113"/>
      <c r="W116" s="8"/>
      <c r="X116" s="1113"/>
      <c r="Y116" s="8"/>
      <c r="Z116" s="1113"/>
      <c r="AA116" s="8"/>
      <c r="AB116" s="1113"/>
      <c r="AC116" s="8"/>
      <c r="AD116" s="1113"/>
      <c r="AE116" s="8"/>
      <c r="AF116" s="1113"/>
      <c r="AG116" s="1118"/>
      <c r="AH116" s="1765"/>
      <c r="AI116" s="1110"/>
      <c r="AJ116" t="str">
        <f t="shared" si="57"/>
        <v/>
      </c>
      <c r="BQ116" s="2553" t="str">
        <f t="shared" si="58"/>
        <v/>
      </c>
      <c r="BR116" s="2553" t="str">
        <f t="shared" si="59"/>
        <v/>
      </c>
      <c r="BS116"/>
      <c r="BT116"/>
      <c r="BU116"/>
      <c r="BV116"/>
      <c r="BW116"/>
      <c r="BX116"/>
      <c r="BZ116"/>
      <c r="CA116"/>
      <c r="CB116" s="1793">
        <f t="shared" si="60"/>
        <v>0</v>
      </c>
      <c r="CC116" s="1793">
        <f t="shared" si="61"/>
        <v>0</v>
      </c>
      <c r="CD116" s="1793"/>
    </row>
    <row r="117" spans="1:82" ht="15" customHeight="1" x14ac:dyDescent="0.25">
      <c r="A117" s="6931"/>
      <c r="B117" s="1123" t="s">
        <v>1949</v>
      </c>
      <c r="C117" s="2256">
        <f t="shared" si="55"/>
        <v>0</v>
      </c>
      <c r="D117" s="2257">
        <f t="shared" si="56"/>
        <v>0</v>
      </c>
      <c r="E117" s="2281">
        <f t="shared" ref="E117:E122" si="62">SUM(+G117+I117+K117+M117+O117+Q117+S117+U117+W117+Y117+AA117+AC117+AE117+AG117)</f>
        <v>0</v>
      </c>
      <c r="F117" s="1113"/>
      <c r="G117" s="8"/>
      <c r="H117" s="1113"/>
      <c r="I117" s="8"/>
      <c r="J117" s="1113"/>
      <c r="K117" s="8"/>
      <c r="L117" s="1113"/>
      <c r="M117" s="8"/>
      <c r="N117" s="1113"/>
      <c r="O117" s="8"/>
      <c r="P117" s="1113"/>
      <c r="Q117" s="8"/>
      <c r="R117" s="1113"/>
      <c r="S117" s="8"/>
      <c r="T117" s="1113"/>
      <c r="U117" s="8"/>
      <c r="V117" s="1113"/>
      <c r="W117" s="8"/>
      <c r="X117" s="1113"/>
      <c r="Y117" s="8"/>
      <c r="Z117" s="1113"/>
      <c r="AA117" s="8"/>
      <c r="AB117" s="1113"/>
      <c r="AC117" s="8"/>
      <c r="AD117" s="1113"/>
      <c r="AE117" s="8"/>
      <c r="AF117" s="1113"/>
      <c r="AG117" s="1118"/>
      <c r="AH117" s="1765"/>
      <c r="AI117" s="1110"/>
      <c r="AJ117" t="str">
        <f t="shared" si="57"/>
        <v/>
      </c>
      <c r="BQ117" s="2553" t="str">
        <f t="shared" si="58"/>
        <v/>
      </c>
      <c r="BR117" s="2553" t="str">
        <f t="shared" si="59"/>
        <v/>
      </c>
      <c r="BS117"/>
      <c r="BT117"/>
      <c r="BU117"/>
      <c r="BV117"/>
      <c r="BW117"/>
      <c r="BX117"/>
      <c r="BZ117"/>
      <c r="CA117"/>
      <c r="CB117" s="1793">
        <f t="shared" si="60"/>
        <v>0</v>
      </c>
      <c r="CC117" s="1793">
        <f t="shared" si="61"/>
        <v>0</v>
      </c>
      <c r="CD117" s="1793"/>
    </row>
    <row r="118" spans="1:82" ht="26.25" customHeight="1" x14ac:dyDescent="0.25">
      <c r="A118" s="6931"/>
      <c r="B118" s="1112" t="s">
        <v>1950</v>
      </c>
      <c r="C118" s="2256">
        <f t="shared" si="55"/>
        <v>0</v>
      </c>
      <c r="D118" s="2257">
        <f t="shared" si="56"/>
        <v>0</v>
      </c>
      <c r="E118" s="2281">
        <f t="shared" si="62"/>
        <v>0</v>
      </c>
      <c r="F118" s="1113"/>
      <c r="G118" s="8"/>
      <c r="H118" s="1113"/>
      <c r="I118" s="8"/>
      <c r="J118" s="1113"/>
      <c r="K118" s="8"/>
      <c r="L118" s="1113"/>
      <c r="M118" s="8"/>
      <c r="N118" s="1113"/>
      <c r="O118" s="8"/>
      <c r="P118" s="1113"/>
      <c r="Q118" s="8"/>
      <c r="R118" s="1113"/>
      <c r="S118" s="8"/>
      <c r="T118" s="1113"/>
      <c r="U118" s="8"/>
      <c r="V118" s="1113"/>
      <c r="W118" s="8"/>
      <c r="X118" s="1113"/>
      <c r="Y118" s="8"/>
      <c r="Z118" s="1113"/>
      <c r="AA118" s="8"/>
      <c r="AB118" s="1113"/>
      <c r="AC118" s="8"/>
      <c r="AD118" s="1113"/>
      <c r="AE118" s="8"/>
      <c r="AF118" s="1113"/>
      <c r="AG118" s="1118"/>
      <c r="AH118" s="1765"/>
      <c r="AI118" s="1110"/>
      <c r="AJ118" t="str">
        <f t="shared" si="57"/>
        <v/>
      </c>
      <c r="BQ118" s="2553" t="str">
        <f t="shared" si="58"/>
        <v/>
      </c>
      <c r="BR118" s="2553" t="str">
        <f t="shared" si="59"/>
        <v/>
      </c>
      <c r="BS118"/>
      <c r="BT118"/>
      <c r="BU118"/>
      <c r="BV118"/>
      <c r="BW118"/>
      <c r="BX118"/>
      <c r="BZ118"/>
      <c r="CA118"/>
      <c r="CB118" s="1793">
        <f t="shared" si="60"/>
        <v>0</v>
      </c>
      <c r="CC118" s="1793">
        <f t="shared" si="61"/>
        <v>0</v>
      </c>
      <c r="CD118" s="1793"/>
    </row>
    <row r="119" spans="1:82" ht="15" customHeight="1" x14ac:dyDescent="0.25">
      <c r="A119" s="6931"/>
      <c r="B119" s="1112" t="s">
        <v>1951</v>
      </c>
      <c r="C119" s="2256">
        <f t="shared" si="55"/>
        <v>0</v>
      </c>
      <c r="D119" s="2257">
        <f t="shared" si="56"/>
        <v>0</v>
      </c>
      <c r="E119" s="2281">
        <f t="shared" si="62"/>
        <v>0</v>
      </c>
      <c r="F119" s="9"/>
      <c r="G119" s="11"/>
      <c r="H119" s="9"/>
      <c r="I119" s="11"/>
      <c r="J119" s="9"/>
      <c r="K119" s="11"/>
      <c r="L119" s="9"/>
      <c r="M119" s="11"/>
      <c r="N119" s="9"/>
      <c r="O119" s="11"/>
      <c r="P119" s="9"/>
      <c r="Q119" s="11"/>
      <c r="R119" s="9"/>
      <c r="S119" s="11"/>
      <c r="T119" s="9"/>
      <c r="U119" s="11"/>
      <c r="V119" s="9"/>
      <c r="W119" s="11"/>
      <c r="X119" s="9"/>
      <c r="Y119" s="11"/>
      <c r="Z119" s="9"/>
      <c r="AA119" s="11"/>
      <c r="AB119" s="9"/>
      <c r="AC119" s="11"/>
      <c r="AD119" s="9"/>
      <c r="AE119" s="11"/>
      <c r="AF119" s="9"/>
      <c r="AG119" s="23"/>
      <c r="AH119" s="2325"/>
      <c r="AI119" s="27"/>
      <c r="AJ119" t="str">
        <f t="shared" si="57"/>
        <v/>
      </c>
      <c r="BQ119" s="2553" t="str">
        <f t="shared" si="58"/>
        <v/>
      </c>
      <c r="BR119" s="2553" t="str">
        <f t="shared" si="59"/>
        <v/>
      </c>
      <c r="BS119"/>
      <c r="BT119"/>
      <c r="BU119"/>
      <c r="BV119"/>
      <c r="BW119"/>
      <c r="BX119"/>
      <c r="BZ119"/>
      <c r="CA119"/>
      <c r="CB119" s="1793">
        <f t="shared" si="60"/>
        <v>0</v>
      </c>
      <c r="CC119" s="1793">
        <f t="shared" si="61"/>
        <v>0</v>
      </c>
      <c r="CD119" s="1793"/>
    </row>
    <row r="120" spans="1:82" ht="15" customHeight="1" x14ac:dyDescent="0.25">
      <c r="A120" s="6931"/>
      <c r="B120" s="1762" t="s">
        <v>1952</v>
      </c>
      <c r="C120" s="2256">
        <f t="shared" si="55"/>
        <v>0</v>
      </c>
      <c r="D120" s="2257">
        <f t="shared" si="56"/>
        <v>0</v>
      </c>
      <c r="E120" s="2281">
        <f t="shared" si="62"/>
        <v>0</v>
      </c>
      <c r="F120" s="9"/>
      <c r="G120" s="11"/>
      <c r="H120" s="9"/>
      <c r="I120" s="11"/>
      <c r="J120" s="9"/>
      <c r="K120" s="11"/>
      <c r="L120" s="9"/>
      <c r="M120" s="11"/>
      <c r="N120" s="9"/>
      <c r="O120" s="11"/>
      <c r="P120" s="9"/>
      <c r="Q120" s="11"/>
      <c r="R120" s="9"/>
      <c r="S120" s="11"/>
      <c r="T120" s="9"/>
      <c r="U120" s="11"/>
      <c r="V120" s="9"/>
      <c r="W120" s="11"/>
      <c r="X120" s="9"/>
      <c r="Y120" s="11"/>
      <c r="Z120" s="9"/>
      <c r="AA120" s="11"/>
      <c r="AB120" s="9"/>
      <c r="AC120" s="11"/>
      <c r="AD120" s="9"/>
      <c r="AE120" s="11"/>
      <c r="AF120" s="9"/>
      <c r="AG120" s="23"/>
      <c r="AH120" s="2325"/>
      <c r="AI120" s="27"/>
      <c r="AJ120" t="str">
        <f t="shared" si="57"/>
        <v/>
      </c>
      <c r="BQ120" s="2553" t="str">
        <f t="shared" si="58"/>
        <v/>
      </c>
      <c r="BR120" s="2553" t="str">
        <f t="shared" si="59"/>
        <v/>
      </c>
      <c r="BS120"/>
      <c r="BT120"/>
      <c r="BU120"/>
      <c r="BV120"/>
      <c r="BW120"/>
      <c r="BX120"/>
      <c r="BZ120"/>
      <c r="CA120"/>
      <c r="CB120" s="1793">
        <f t="shared" si="60"/>
        <v>0</v>
      </c>
      <c r="CC120" s="1793">
        <f t="shared" si="61"/>
        <v>0</v>
      </c>
      <c r="CD120" s="1793"/>
    </row>
    <row r="121" spans="1:82" ht="15" customHeight="1" x14ac:dyDescent="0.25">
      <c r="A121" s="6797"/>
      <c r="B121" s="1124" t="s">
        <v>33</v>
      </c>
      <c r="C121" s="2282">
        <f t="shared" si="55"/>
        <v>0</v>
      </c>
      <c r="D121" s="2283">
        <f t="shared" si="56"/>
        <v>0</v>
      </c>
      <c r="E121" s="2284">
        <f t="shared" si="62"/>
        <v>0</v>
      </c>
      <c r="F121" s="3"/>
      <c r="G121" s="12"/>
      <c r="H121" s="3"/>
      <c r="I121" s="12"/>
      <c r="J121" s="3"/>
      <c r="K121" s="12"/>
      <c r="L121" s="3"/>
      <c r="M121" s="12"/>
      <c r="N121" s="3"/>
      <c r="O121" s="12"/>
      <c r="P121" s="3"/>
      <c r="Q121" s="12"/>
      <c r="R121" s="3"/>
      <c r="S121" s="12"/>
      <c r="T121" s="3"/>
      <c r="U121" s="12"/>
      <c r="V121" s="3"/>
      <c r="W121" s="12"/>
      <c r="X121" s="3"/>
      <c r="Y121" s="12"/>
      <c r="Z121" s="3"/>
      <c r="AA121" s="12"/>
      <c r="AB121" s="3"/>
      <c r="AC121" s="12"/>
      <c r="AD121" s="3"/>
      <c r="AE121" s="12"/>
      <c r="AF121" s="3"/>
      <c r="AG121" s="5"/>
      <c r="AH121" s="2379"/>
      <c r="AI121" s="30"/>
      <c r="AJ121" t="str">
        <f t="shared" si="57"/>
        <v/>
      </c>
      <c r="BQ121" s="2553" t="str">
        <f t="shared" si="58"/>
        <v/>
      </c>
      <c r="BR121" s="2553" t="str">
        <f t="shared" si="59"/>
        <v/>
      </c>
      <c r="BS121"/>
      <c r="BT121"/>
      <c r="BU121"/>
      <c r="BV121"/>
      <c r="BW121"/>
      <c r="BX121"/>
      <c r="BZ121"/>
      <c r="CA121"/>
      <c r="CB121" s="1793">
        <f t="shared" si="60"/>
        <v>0</v>
      </c>
      <c r="CC121" s="1793">
        <f t="shared" si="61"/>
        <v>0</v>
      </c>
      <c r="CD121" s="1793"/>
    </row>
    <row r="122" spans="1:82" ht="15" customHeight="1" x14ac:dyDescent="0.25">
      <c r="A122" s="7074" t="s">
        <v>1953</v>
      </c>
      <c r="B122" s="7074"/>
      <c r="C122" s="2275">
        <f t="shared" si="55"/>
        <v>0</v>
      </c>
      <c r="D122" s="2276">
        <f t="shared" si="56"/>
        <v>0</v>
      </c>
      <c r="E122" s="2277">
        <f t="shared" si="62"/>
        <v>0</v>
      </c>
      <c r="F122" s="2223"/>
      <c r="G122" s="2224"/>
      <c r="H122" s="2223"/>
      <c r="I122" s="2224"/>
      <c r="J122" s="2223"/>
      <c r="K122" s="2224"/>
      <c r="L122" s="2223"/>
      <c r="M122" s="2224"/>
      <c r="N122" s="2223"/>
      <c r="O122" s="2224"/>
      <c r="P122" s="2223"/>
      <c r="Q122" s="2224"/>
      <c r="R122" s="2223"/>
      <c r="S122" s="2224"/>
      <c r="T122" s="2223"/>
      <c r="U122" s="2224"/>
      <c r="V122" s="2223"/>
      <c r="W122" s="2224"/>
      <c r="X122" s="2223"/>
      <c r="Y122" s="2224"/>
      <c r="Z122" s="2223"/>
      <c r="AA122" s="2224"/>
      <c r="AB122" s="2223"/>
      <c r="AC122" s="2224"/>
      <c r="AD122" s="2223"/>
      <c r="AE122" s="2224"/>
      <c r="AF122" s="2223"/>
      <c r="AG122" s="2285"/>
      <c r="AH122" s="2743"/>
      <c r="AI122" s="2745"/>
      <c r="AJ122" t="str">
        <f t="shared" si="57"/>
        <v/>
      </c>
      <c r="BQ122" s="2553" t="str">
        <f t="shared" si="58"/>
        <v/>
      </c>
      <c r="BR122" s="2553" t="str">
        <f t="shared" si="59"/>
        <v/>
      </c>
      <c r="BS122"/>
      <c r="BT122"/>
      <c r="BU122"/>
      <c r="BV122"/>
      <c r="BW122"/>
      <c r="BX122"/>
      <c r="BZ122"/>
      <c r="CA122"/>
      <c r="CB122" s="1793">
        <f t="shared" si="60"/>
        <v>0</v>
      </c>
      <c r="CC122" s="1793">
        <f t="shared" si="61"/>
        <v>0</v>
      </c>
      <c r="CD122" s="1793"/>
    </row>
    <row r="123" spans="1:82" s="17" customFormat="1" ht="18" customHeight="1" x14ac:dyDescent="0.2">
      <c r="A123" s="2734" t="s">
        <v>1954</v>
      </c>
      <c r="B123" s="273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2739"/>
      <c r="AM123" s="2739"/>
    </row>
    <row r="124" spans="1:82" x14ac:dyDescent="0.25">
      <c r="A124" s="7067" t="s">
        <v>23</v>
      </c>
      <c r="B124" s="6528"/>
      <c r="C124" s="6824" t="s">
        <v>24</v>
      </c>
      <c r="D124" s="6824"/>
      <c r="E124" s="6824"/>
      <c r="F124" s="7054" t="s">
        <v>30</v>
      </c>
      <c r="G124" s="7069"/>
      <c r="H124" s="7069"/>
      <c r="I124" s="7069"/>
      <c r="J124" s="7069"/>
      <c r="K124" s="7069"/>
      <c r="L124" s="7069"/>
      <c r="M124" s="7069"/>
      <c r="N124" s="7069"/>
      <c r="O124" s="7069"/>
      <c r="P124" s="7069"/>
      <c r="Q124" s="7069"/>
      <c r="R124" s="7069"/>
      <c r="S124" s="7069"/>
      <c r="T124" s="7069"/>
      <c r="U124" s="7069"/>
      <c r="V124" s="7069"/>
      <c r="W124" s="7069"/>
      <c r="X124" s="7069"/>
      <c r="Y124" s="7069"/>
      <c r="Z124" s="7069"/>
      <c r="AA124" s="7069"/>
      <c r="AB124" s="7069"/>
      <c r="AC124" s="7069"/>
      <c r="AD124" s="7069"/>
      <c r="AE124" s="7069"/>
      <c r="AF124" s="7069"/>
      <c r="AG124" s="7061"/>
      <c r="AH124" s="7070" t="s">
        <v>1955</v>
      </c>
      <c r="AI124" s="7071"/>
      <c r="AJ124" s="7071"/>
      <c r="AK124" s="7072"/>
      <c r="AL124" s="7062" t="s">
        <v>2</v>
      </c>
      <c r="AM124" s="6824" t="s">
        <v>3</v>
      </c>
      <c r="BQ124"/>
      <c r="BR124"/>
      <c r="BS124"/>
      <c r="BT124"/>
      <c r="BU124"/>
      <c r="BV124"/>
      <c r="BW124"/>
      <c r="BX124"/>
      <c r="BZ124"/>
      <c r="CA124"/>
      <c r="CB124"/>
    </row>
    <row r="125" spans="1:82" x14ac:dyDescent="0.25">
      <c r="A125" s="6980"/>
      <c r="B125" s="6924"/>
      <c r="C125" s="6926"/>
      <c r="D125" s="6926"/>
      <c r="E125" s="6926"/>
      <c r="F125" s="7053" t="s">
        <v>4</v>
      </c>
      <c r="G125" s="7053"/>
      <c r="H125" s="7053" t="s">
        <v>5</v>
      </c>
      <c r="I125" s="7053"/>
      <c r="J125" s="7053" t="s">
        <v>6</v>
      </c>
      <c r="K125" s="7053"/>
      <c r="L125" s="7053" t="s">
        <v>7</v>
      </c>
      <c r="M125" s="7053"/>
      <c r="N125" s="7053" t="s">
        <v>8</v>
      </c>
      <c r="O125" s="7053"/>
      <c r="P125" s="7053" t="s">
        <v>9</v>
      </c>
      <c r="Q125" s="7053"/>
      <c r="R125" s="7053" t="s">
        <v>10</v>
      </c>
      <c r="S125" s="7053"/>
      <c r="T125" s="7053" t="s">
        <v>11</v>
      </c>
      <c r="U125" s="7053"/>
      <c r="V125" s="7053" t="s">
        <v>18</v>
      </c>
      <c r="W125" s="7053"/>
      <c r="X125" s="7053" t="s">
        <v>19</v>
      </c>
      <c r="Y125" s="7053"/>
      <c r="Z125" s="7054" t="s">
        <v>20</v>
      </c>
      <c r="AA125" s="7055"/>
      <c r="AB125" s="7054" t="s">
        <v>70</v>
      </c>
      <c r="AC125" s="7055"/>
      <c r="AD125" s="7054" t="s">
        <v>71</v>
      </c>
      <c r="AE125" s="7055"/>
      <c r="AF125" s="7054" t="s">
        <v>32</v>
      </c>
      <c r="AG125" s="7061"/>
      <c r="AH125" s="7062" t="s">
        <v>1033</v>
      </c>
      <c r="AI125" s="6824" t="s">
        <v>1178</v>
      </c>
      <c r="AJ125" s="6824" t="s">
        <v>1034</v>
      </c>
      <c r="AK125" s="7063" t="s">
        <v>1956</v>
      </c>
      <c r="AL125" s="7073"/>
      <c r="AM125" s="6926"/>
      <c r="BQ125"/>
      <c r="BR125"/>
      <c r="BS125"/>
      <c r="BT125"/>
      <c r="BU125"/>
      <c r="BV125"/>
      <c r="BW125"/>
      <c r="BX125"/>
      <c r="BZ125"/>
      <c r="CA125"/>
      <c r="CB125"/>
    </row>
    <row r="126" spans="1:82" x14ac:dyDescent="0.25">
      <c r="A126" s="7075"/>
      <c r="B126" s="7076"/>
      <c r="C126" s="2217" t="s">
        <v>26</v>
      </c>
      <c r="D126" s="2740" t="s">
        <v>22</v>
      </c>
      <c r="E126" s="2732" t="s">
        <v>27</v>
      </c>
      <c r="F126" s="2725" t="s">
        <v>22</v>
      </c>
      <c r="G126" s="2647" t="s">
        <v>27</v>
      </c>
      <c r="H126" s="2725" t="s">
        <v>22</v>
      </c>
      <c r="I126" s="2647" t="s">
        <v>27</v>
      </c>
      <c r="J126" s="2725" t="s">
        <v>22</v>
      </c>
      <c r="K126" s="2647" t="s">
        <v>27</v>
      </c>
      <c r="L126" s="2725" t="s">
        <v>22</v>
      </c>
      <c r="M126" s="2647" t="s">
        <v>27</v>
      </c>
      <c r="N126" s="2725" t="s">
        <v>22</v>
      </c>
      <c r="O126" s="2647" t="s">
        <v>27</v>
      </c>
      <c r="P126" s="2725" t="s">
        <v>22</v>
      </c>
      <c r="Q126" s="2647" t="s">
        <v>27</v>
      </c>
      <c r="R126" s="2725" t="s">
        <v>22</v>
      </c>
      <c r="S126" s="2647" t="s">
        <v>27</v>
      </c>
      <c r="T126" s="2725" t="s">
        <v>22</v>
      </c>
      <c r="U126" s="2647" t="s">
        <v>27</v>
      </c>
      <c r="V126" s="2725" t="s">
        <v>22</v>
      </c>
      <c r="W126" s="2647" t="s">
        <v>27</v>
      </c>
      <c r="X126" s="2725" t="s">
        <v>22</v>
      </c>
      <c r="Y126" s="2647" t="s">
        <v>27</v>
      </c>
      <c r="Z126" s="2725" t="s">
        <v>22</v>
      </c>
      <c r="AA126" s="2647" t="s">
        <v>27</v>
      </c>
      <c r="AB126" s="2725" t="s">
        <v>22</v>
      </c>
      <c r="AC126" s="2647" t="s">
        <v>27</v>
      </c>
      <c r="AD126" s="2725" t="s">
        <v>22</v>
      </c>
      <c r="AE126" s="2647" t="s">
        <v>27</v>
      </c>
      <c r="AF126" s="2725" t="s">
        <v>22</v>
      </c>
      <c r="AG126" s="2741" t="s">
        <v>27</v>
      </c>
      <c r="AH126" s="7057"/>
      <c r="AI126" s="6826"/>
      <c r="AJ126" s="6826"/>
      <c r="AK126" s="7064"/>
      <c r="AL126" s="7057"/>
      <c r="AM126" s="6927"/>
      <c r="BQ126"/>
      <c r="BR126"/>
      <c r="BS126"/>
      <c r="BT126"/>
      <c r="BU126"/>
      <c r="BV126"/>
      <c r="BW126"/>
      <c r="BX126"/>
      <c r="BZ126"/>
      <c r="CA126"/>
      <c r="CB126"/>
    </row>
    <row r="127" spans="1:82" x14ac:dyDescent="0.25">
      <c r="A127" s="7065" t="s">
        <v>1957</v>
      </c>
      <c r="B127" s="7066"/>
      <c r="C127" s="2275">
        <f>SUM(D127:E127)</f>
        <v>0</v>
      </c>
      <c r="D127" s="2286">
        <f>SUM(F127+H127+J127+L127+N127+P127+R127+T127+V127+X127+Z127+AB127+AD127+AF127)</f>
        <v>0</v>
      </c>
      <c r="E127" s="2277">
        <f>SUM(G127+I127+K127+M127+O127+Q127+S127+U127+W127+Y127+AA127+AC127+AE127+AG127)</f>
        <v>0</v>
      </c>
      <c r="F127" s="2287"/>
      <c r="G127" s="2288"/>
      <c r="H127" s="2287"/>
      <c r="I127" s="2288"/>
      <c r="J127" s="2287"/>
      <c r="K127" s="2288"/>
      <c r="L127" s="2287"/>
      <c r="M127" s="2288"/>
      <c r="N127" s="2287"/>
      <c r="O127" s="2288"/>
      <c r="P127" s="2287"/>
      <c r="Q127" s="2288"/>
      <c r="R127" s="2287"/>
      <c r="S127" s="2288"/>
      <c r="T127" s="2287"/>
      <c r="U127" s="2288"/>
      <c r="V127" s="2287"/>
      <c r="W127" s="2288"/>
      <c r="X127" s="2287"/>
      <c r="Y127" s="2288"/>
      <c r="Z127" s="2287"/>
      <c r="AA127" s="2288"/>
      <c r="AB127" s="2287"/>
      <c r="AC127" s="2288"/>
      <c r="AD127" s="2287"/>
      <c r="AE127" s="2288"/>
      <c r="AF127" s="2287"/>
      <c r="AG127" s="2289"/>
      <c r="AH127" s="2290"/>
      <c r="AI127" s="2291"/>
      <c r="AJ127" s="2291"/>
      <c r="AK127" s="2292"/>
      <c r="AL127" s="2288"/>
      <c r="AM127" s="2291"/>
      <c r="AN127" t="str">
        <f>BQ127&amp;BR127&amp;BS127</f>
        <v/>
      </c>
      <c r="BQ127" s="2553" t="str">
        <f>IF(AND(C127&gt;0,AL127=""),"  * No olvide digitar la variable Pueblos originarios. Digite Cero si no tiene.",IF(AL127&gt;C127,"  * La variable Pueblos originarios No puede ser mayor al Total.",""))</f>
        <v/>
      </c>
      <c r="BR127" s="2553" t="str">
        <f>IF(AND(C127&gt;0,AM127=""),"  * No olvide digitar la variable Migrantes. Digite Cero si no tiene.",IF(AM127&gt;C127,"  * La variable Migrantes No puede ser mayor al Total.",""))</f>
        <v/>
      </c>
      <c r="BS127" s="1791" t="str">
        <f>IF(OR(AH127+AI127+AJ127+AK127&gt;C127,)," ** La suma de Causal de Egresos no deben ser mayor que el total Ambos Sexos","")</f>
        <v/>
      </c>
      <c r="BT127"/>
      <c r="BU127"/>
      <c r="BV127"/>
      <c r="BW127"/>
      <c r="BX127"/>
      <c r="BZ127"/>
      <c r="CA127"/>
      <c r="CB127" s="1793">
        <f>IF(AND(C127&gt;0,AL127=""),1,IF(AL127&gt;C127,1,0))</f>
        <v>0</v>
      </c>
      <c r="CC127" s="1793">
        <f>IF(AND(C127&gt;0,AM127=""),1,IF(AM127&gt;C127,1,0))</f>
        <v>0</v>
      </c>
      <c r="CD127" s="1793">
        <f>IF((AH127+AI127+AJ127+AK127)&gt;C127,1,0)</f>
        <v>0</v>
      </c>
    </row>
    <row r="128" spans="1:82" x14ac:dyDescent="0.25">
      <c r="A128" s="6798" t="s">
        <v>1946</v>
      </c>
      <c r="B128" s="2293" t="s">
        <v>1947</v>
      </c>
      <c r="C128" s="2278">
        <f t="shared" ref="C128:C134" si="63">SUM(D128:E128)</f>
        <v>0</v>
      </c>
      <c r="D128" s="2279">
        <f t="shared" ref="D128:E134" si="64">SUM(F128+H128+J128+L128+N128+P128+R128+T128+V128+X128+Z128+AB128+AD128+AF128)</f>
        <v>0</v>
      </c>
      <c r="E128" s="2280">
        <f t="shared" si="64"/>
        <v>0</v>
      </c>
      <c r="F128" s="2287"/>
      <c r="G128" s="2288"/>
      <c r="H128" s="2287"/>
      <c r="I128" s="2288"/>
      <c r="J128" s="2287"/>
      <c r="K128" s="2288"/>
      <c r="L128" s="2287"/>
      <c r="M128" s="2288"/>
      <c r="N128" s="2287"/>
      <c r="O128" s="2288"/>
      <c r="P128" s="2287"/>
      <c r="Q128" s="2288"/>
      <c r="R128" s="2287"/>
      <c r="S128" s="2288"/>
      <c r="T128" s="2287"/>
      <c r="U128" s="2288"/>
      <c r="V128" s="2287"/>
      <c r="W128" s="2288"/>
      <c r="X128" s="2287"/>
      <c r="Y128" s="2288"/>
      <c r="Z128" s="2287"/>
      <c r="AA128" s="2288"/>
      <c r="AB128" s="2287"/>
      <c r="AC128" s="2288"/>
      <c r="AD128" s="2287"/>
      <c r="AE128" s="2288"/>
      <c r="AF128" s="2287"/>
      <c r="AG128" s="2289"/>
      <c r="AH128" s="2290"/>
      <c r="AI128" s="2291"/>
      <c r="AJ128" s="2291"/>
      <c r="AK128" s="2292"/>
      <c r="AL128" s="2288"/>
      <c r="AM128" s="2291"/>
      <c r="AN128" t="str">
        <f t="shared" ref="AN128:AN134" si="65">BQ128&amp;BR128&amp;BS128</f>
        <v/>
      </c>
      <c r="BQ128" s="2553" t="str">
        <f t="shared" ref="BQ128:BQ134" si="66">IF(AND(C128&gt;0,AL128=""),"  * No olvide digitar la variable Pueblos originarios. Digite Cero si no tiene.",IF(AL128&gt;C128,"  * La variable Pueblos originarios No puede ser mayor al Total.",""))</f>
        <v/>
      </c>
      <c r="BR128" s="2553" t="str">
        <f t="shared" ref="BR128:BR134" si="67">IF(AND(C128&gt;0,AM128=""),"  * No olvide digitar la variable Migrantes. Digite Cero si no tiene.",IF(AM128&gt;C128,"  * La variable Migrantes No puede ser mayor al Total.",""))</f>
        <v/>
      </c>
      <c r="BS128" s="1791" t="str">
        <f t="shared" ref="BS128:BS134" si="68">IF(OR(AH128+AI128+AJ128+AK128&gt;C128,)," ** La suma de Causal de Egresos no deben ser mayor que el total Ambos Sexos","")</f>
        <v/>
      </c>
      <c r="BT128"/>
      <c r="BU128"/>
      <c r="BV128"/>
      <c r="BW128"/>
      <c r="BX128"/>
      <c r="BZ128"/>
      <c r="CA128"/>
      <c r="CB128" s="1793">
        <f t="shared" ref="CB128:CB134" si="69">IF(AND(C128&gt;0,AL128=""),1,IF(AL128&gt;C128,1,0))</f>
        <v>0</v>
      </c>
      <c r="CC128" s="1793">
        <f t="shared" ref="CC128:CC134" si="70">IF(AND(C128&gt;0,AM128=""),1,IF(AM128&gt;C128,1,0))</f>
        <v>0</v>
      </c>
      <c r="CD128" s="1793">
        <f t="shared" ref="CD128:CD134" si="71">IF((AH128+AI128+AJ128+AK128)&gt;C128,1,0)</f>
        <v>0</v>
      </c>
    </row>
    <row r="129" spans="1:82" x14ac:dyDescent="0.25">
      <c r="A129" s="6931"/>
      <c r="B129" s="1123" t="s">
        <v>1948</v>
      </c>
      <c r="C129" s="2256">
        <f t="shared" si="63"/>
        <v>0</v>
      </c>
      <c r="D129" s="2257">
        <f t="shared" si="64"/>
        <v>0</v>
      </c>
      <c r="E129" s="2281">
        <f t="shared" si="64"/>
        <v>0</v>
      </c>
      <c r="F129" s="1113"/>
      <c r="G129" s="8"/>
      <c r="H129" s="1113"/>
      <c r="I129" s="8"/>
      <c r="J129" s="1113"/>
      <c r="K129" s="8"/>
      <c r="L129" s="1113"/>
      <c r="M129" s="8"/>
      <c r="N129" s="1113"/>
      <c r="O129" s="8"/>
      <c r="P129" s="1113"/>
      <c r="Q129" s="8"/>
      <c r="R129" s="1113"/>
      <c r="S129" s="8"/>
      <c r="T129" s="1113"/>
      <c r="U129" s="8"/>
      <c r="V129" s="1113"/>
      <c r="W129" s="8"/>
      <c r="X129" s="1113"/>
      <c r="Y129" s="8"/>
      <c r="Z129" s="1113"/>
      <c r="AA129" s="8"/>
      <c r="AB129" s="1113"/>
      <c r="AC129" s="8"/>
      <c r="AD129" s="1113"/>
      <c r="AE129" s="8"/>
      <c r="AF129" s="1113"/>
      <c r="AG129" s="2203"/>
      <c r="AH129" s="1474"/>
      <c r="AI129" s="1110"/>
      <c r="AJ129" s="1110"/>
      <c r="AK129" s="1111"/>
      <c r="AL129" s="8"/>
      <c r="AM129" s="1110"/>
      <c r="AN129" t="str">
        <f t="shared" si="65"/>
        <v/>
      </c>
      <c r="BQ129" s="2553" t="str">
        <f t="shared" si="66"/>
        <v/>
      </c>
      <c r="BR129" s="2553" t="str">
        <f t="shared" si="67"/>
        <v/>
      </c>
      <c r="BS129" s="1791" t="str">
        <f t="shared" si="68"/>
        <v/>
      </c>
      <c r="BT129"/>
      <c r="BU129"/>
      <c r="BV129"/>
      <c r="BW129"/>
      <c r="BX129"/>
      <c r="BZ129"/>
      <c r="CA129"/>
      <c r="CB129" s="1793">
        <f t="shared" si="69"/>
        <v>0</v>
      </c>
      <c r="CC129" s="1793">
        <f t="shared" si="70"/>
        <v>0</v>
      </c>
      <c r="CD129" s="1793">
        <f t="shared" si="71"/>
        <v>0</v>
      </c>
    </row>
    <row r="130" spans="1:82" x14ac:dyDescent="0.25">
      <c r="A130" s="6931"/>
      <c r="B130" s="1123" t="s">
        <v>1949</v>
      </c>
      <c r="C130" s="2256">
        <f t="shared" si="63"/>
        <v>0</v>
      </c>
      <c r="D130" s="2257">
        <f t="shared" si="64"/>
        <v>0</v>
      </c>
      <c r="E130" s="2281">
        <f t="shared" si="64"/>
        <v>0</v>
      </c>
      <c r="F130" s="1113"/>
      <c r="G130" s="8"/>
      <c r="H130" s="1113"/>
      <c r="I130" s="8"/>
      <c r="J130" s="1113"/>
      <c r="K130" s="8"/>
      <c r="L130" s="1113"/>
      <c r="M130" s="8"/>
      <c r="N130" s="1113"/>
      <c r="O130" s="8"/>
      <c r="P130" s="1113"/>
      <c r="Q130" s="8"/>
      <c r="R130" s="1113"/>
      <c r="S130" s="8"/>
      <c r="T130" s="1113"/>
      <c r="U130" s="8"/>
      <c r="V130" s="1113"/>
      <c r="W130" s="8"/>
      <c r="X130" s="1113"/>
      <c r="Y130" s="8"/>
      <c r="Z130" s="1113"/>
      <c r="AA130" s="8"/>
      <c r="AB130" s="1113"/>
      <c r="AC130" s="8"/>
      <c r="AD130" s="1113"/>
      <c r="AE130" s="8"/>
      <c r="AF130" s="1113"/>
      <c r="AG130" s="2203"/>
      <c r="AH130" s="1474"/>
      <c r="AI130" s="1110"/>
      <c r="AJ130" s="1110"/>
      <c r="AK130" s="1111"/>
      <c r="AL130" s="8"/>
      <c r="AM130" s="1110"/>
      <c r="AN130" t="str">
        <f t="shared" si="65"/>
        <v/>
      </c>
      <c r="BQ130" s="2553" t="str">
        <f t="shared" si="66"/>
        <v/>
      </c>
      <c r="BR130" s="2553" t="str">
        <f t="shared" si="67"/>
        <v/>
      </c>
      <c r="BS130" s="1791" t="str">
        <f t="shared" si="68"/>
        <v/>
      </c>
      <c r="BT130"/>
      <c r="BU130"/>
      <c r="BV130"/>
      <c r="BW130"/>
      <c r="BX130"/>
      <c r="BZ130"/>
      <c r="CA130"/>
      <c r="CB130" s="1793">
        <f t="shared" si="69"/>
        <v>0</v>
      </c>
      <c r="CC130" s="1793">
        <f t="shared" si="70"/>
        <v>0</v>
      </c>
      <c r="CD130" s="1793">
        <f t="shared" si="71"/>
        <v>0</v>
      </c>
    </row>
    <row r="131" spans="1:82" ht="22.5" x14ac:dyDescent="0.25">
      <c r="A131" s="6931"/>
      <c r="B131" s="1112" t="s">
        <v>1950</v>
      </c>
      <c r="C131" s="2256">
        <f t="shared" si="63"/>
        <v>0</v>
      </c>
      <c r="D131" s="2257">
        <f t="shared" si="64"/>
        <v>0</v>
      </c>
      <c r="E131" s="2281">
        <f t="shared" si="64"/>
        <v>0</v>
      </c>
      <c r="F131" s="1113"/>
      <c r="G131" s="8"/>
      <c r="H131" s="1113"/>
      <c r="I131" s="8"/>
      <c r="J131" s="1113"/>
      <c r="K131" s="8"/>
      <c r="L131" s="1113"/>
      <c r="M131" s="8"/>
      <c r="N131" s="1113"/>
      <c r="O131" s="8"/>
      <c r="P131" s="1113"/>
      <c r="Q131" s="8"/>
      <c r="R131" s="1113"/>
      <c r="S131" s="8"/>
      <c r="T131" s="1113"/>
      <c r="U131" s="8"/>
      <c r="V131" s="1113"/>
      <c r="W131" s="8"/>
      <c r="X131" s="1113"/>
      <c r="Y131" s="8"/>
      <c r="Z131" s="1113"/>
      <c r="AA131" s="8"/>
      <c r="AB131" s="1113"/>
      <c r="AC131" s="8"/>
      <c r="AD131" s="1113"/>
      <c r="AE131" s="8"/>
      <c r="AF131" s="1113"/>
      <c r="AG131" s="2203"/>
      <c r="AH131" s="1474"/>
      <c r="AI131" s="1110"/>
      <c r="AJ131" s="1110"/>
      <c r="AK131" s="1111"/>
      <c r="AL131" s="8"/>
      <c r="AM131" s="1110"/>
      <c r="AN131" t="str">
        <f t="shared" si="65"/>
        <v/>
      </c>
      <c r="BQ131" s="2553" t="str">
        <f t="shared" si="66"/>
        <v/>
      </c>
      <c r="BR131" s="2553" t="str">
        <f t="shared" si="67"/>
        <v/>
      </c>
      <c r="BS131" s="1791" t="str">
        <f t="shared" si="68"/>
        <v/>
      </c>
      <c r="BT131"/>
      <c r="BU131"/>
      <c r="BV131"/>
      <c r="BW131"/>
      <c r="BX131"/>
      <c r="BZ131"/>
      <c r="CA131"/>
      <c r="CB131" s="1793">
        <f t="shared" si="69"/>
        <v>0</v>
      </c>
      <c r="CC131" s="1793">
        <f t="shared" si="70"/>
        <v>0</v>
      </c>
      <c r="CD131" s="1793">
        <f t="shared" si="71"/>
        <v>0</v>
      </c>
    </row>
    <row r="132" spans="1:82" x14ac:dyDescent="0.25">
      <c r="A132" s="6931"/>
      <c r="B132" s="1112" t="s">
        <v>1951</v>
      </c>
      <c r="C132" s="2256">
        <f t="shared" si="63"/>
        <v>0</v>
      </c>
      <c r="D132" s="2257">
        <f t="shared" si="64"/>
        <v>0</v>
      </c>
      <c r="E132" s="2281">
        <f t="shared" si="64"/>
        <v>0</v>
      </c>
      <c r="F132" s="9"/>
      <c r="G132" s="11"/>
      <c r="H132" s="9"/>
      <c r="I132" s="11"/>
      <c r="J132" s="9"/>
      <c r="K132" s="11"/>
      <c r="L132" s="9"/>
      <c r="M132" s="11"/>
      <c r="N132" s="9"/>
      <c r="O132" s="11"/>
      <c r="P132" s="9"/>
      <c r="Q132" s="11"/>
      <c r="R132" s="9"/>
      <c r="S132" s="11"/>
      <c r="T132" s="9"/>
      <c r="U132" s="11"/>
      <c r="V132" s="9"/>
      <c r="W132" s="11"/>
      <c r="X132" s="9"/>
      <c r="Y132" s="11"/>
      <c r="Z132" s="9"/>
      <c r="AA132" s="11"/>
      <c r="AB132" s="9"/>
      <c r="AC132" s="11"/>
      <c r="AD132" s="9"/>
      <c r="AE132" s="11"/>
      <c r="AF132" s="9"/>
      <c r="AG132" s="1764"/>
      <c r="AH132" s="26"/>
      <c r="AI132" s="27"/>
      <c r="AJ132" s="27"/>
      <c r="AK132" s="1764"/>
      <c r="AL132" s="11"/>
      <c r="AM132" s="27"/>
      <c r="AN132" t="str">
        <f t="shared" si="65"/>
        <v/>
      </c>
      <c r="BQ132" s="2553" t="str">
        <f t="shared" si="66"/>
        <v/>
      </c>
      <c r="BR132" s="2553" t="str">
        <f t="shared" si="67"/>
        <v/>
      </c>
      <c r="BS132" s="1791" t="str">
        <f t="shared" si="68"/>
        <v/>
      </c>
      <c r="BT132"/>
      <c r="BU132"/>
      <c r="BV132"/>
      <c r="BW132"/>
      <c r="BX132"/>
      <c r="BZ132"/>
      <c r="CA132"/>
      <c r="CB132" s="1793">
        <f t="shared" si="69"/>
        <v>0</v>
      </c>
      <c r="CC132" s="1793">
        <f t="shared" si="70"/>
        <v>0</v>
      </c>
      <c r="CD132" s="1793">
        <f t="shared" si="71"/>
        <v>0</v>
      </c>
    </row>
    <row r="133" spans="1:82" x14ac:dyDescent="0.25">
      <c r="A133" s="6931"/>
      <c r="B133" s="1762" t="s">
        <v>1952</v>
      </c>
      <c r="C133" s="2256">
        <f t="shared" si="63"/>
        <v>0</v>
      </c>
      <c r="D133" s="2257">
        <f t="shared" si="64"/>
        <v>0</v>
      </c>
      <c r="E133" s="2281">
        <f t="shared" si="64"/>
        <v>0</v>
      </c>
      <c r="F133" s="9"/>
      <c r="G133" s="11"/>
      <c r="H133" s="9"/>
      <c r="I133" s="11"/>
      <c r="J133" s="9"/>
      <c r="K133" s="11"/>
      <c r="L133" s="9"/>
      <c r="M133" s="11"/>
      <c r="N133" s="9"/>
      <c r="O133" s="11"/>
      <c r="P133" s="9"/>
      <c r="Q133" s="11"/>
      <c r="R133" s="9"/>
      <c r="S133" s="11"/>
      <c r="T133" s="9"/>
      <c r="U133" s="11"/>
      <c r="V133" s="9"/>
      <c r="W133" s="11"/>
      <c r="X133" s="9"/>
      <c r="Y133" s="11"/>
      <c r="Z133" s="9"/>
      <c r="AA133" s="11"/>
      <c r="AB133" s="9"/>
      <c r="AC133" s="11"/>
      <c r="AD133" s="9"/>
      <c r="AE133" s="11"/>
      <c r="AF133" s="9"/>
      <c r="AG133" s="1764"/>
      <c r="AH133" s="26"/>
      <c r="AI133" s="27"/>
      <c r="AJ133" s="27"/>
      <c r="AK133" s="1764"/>
      <c r="AL133" s="11"/>
      <c r="AM133" s="27"/>
      <c r="AN133" t="str">
        <f>BQ133&amp;BR133&amp;BS133</f>
        <v/>
      </c>
      <c r="BQ133" s="2553" t="str">
        <f t="shared" si="66"/>
        <v/>
      </c>
      <c r="BR133" s="2553" t="str">
        <f t="shared" si="67"/>
        <v/>
      </c>
      <c r="BS133" s="1791" t="str">
        <f t="shared" si="68"/>
        <v/>
      </c>
      <c r="BT133"/>
      <c r="BU133"/>
      <c r="BV133"/>
      <c r="BW133"/>
      <c r="BX133"/>
      <c r="BZ133"/>
      <c r="CA133"/>
      <c r="CB133" s="1793">
        <f t="shared" si="69"/>
        <v>0</v>
      </c>
      <c r="CC133" s="1793">
        <f t="shared" si="70"/>
        <v>0</v>
      </c>
      <c r="CD133" s="1793">
        <f t="shared" si="71"/>
        <v>0</v>
      </c>
    </row>
    <row r="134" spans="1:82" x14ac:dyDescent="0.25">
      <c r="A134" s="6932"/>
      <c r="B134" s="1124" t="s">
        <v>33</v>
      </c>
      <c r="C134" s="2294">
        <f t="shared" si="63"/>
        <v>0</v>
      </c>
      <c r="D134" s="28">
        <f t="shared" si="64"/>
        <v>0</v>
      </c>
      <c r="E134" s="2295">
        <f t="shared" si="64"/>
        <v>0</v>
      </c>
      <c r="F134" s="3"/>
      <c r="G134" s="12"/>
      <c r="H134" s="3"/>
      <c r="I134" s="12"/>
      <c r="J134" s="3"/>
      <c r="K134" s="12"/>
      <c r="L134" s="3"/>
      <c r="M134" s="12"/>
      <c r="N134" s="3"/>
      <c r="O134" s="12"/>
      <c r="P134" s="3"/>
      <c r="Q134" s="12"/>
      <c r="R134" s="3"/>
      <c r="S134" s="12"/>
      <c r="T134" s="3"/>
      <c r="U134" s="12"/>
      <c r="V134" s="3"/>
      <c r="W134" s="12"/>
      <c r="X134" s="3"/>
      <c r="Y134" s="12"/>
      <c r="Z134" s="3"/>
      <c r="AA134" s="12"/>
      <c r="AB134" s="3"/>
      <c r="AC134" s="12"/>
      <c r="AD134" s="3"/>
      <c r="AE134" s="12"/>
      <c r="AF134" s="3"/>
      <c r="AG134" s="1766"/>
      <c r="AH134" s="29"/>
      <c r="AI134" s="30"/>
      <c r="AJ134" s="30"/>
      <c r="AK134" s="1766"/>
      <c r="AL134" s="12"/>
      <c r="AM134" s="30"/>
      <c r="AN134" t="str">
        <f t="shared" si="65"/>
        <v/>
      </c>
      <c r="BQ134" s="2553" t="str">
        <f t="shared" si="66"/>
        <v/>
      </c>
      <c r="BR134" s="2553" t="str">
        <f t="shared" si="67"/>
        <v/>
      </c>
      <c r="BS134" s="1791" t="str">
        <f t="shared" si="68"/>
        <v/>
      </c>
      <c r="BT134"/>
      <c r="BU134"/>
      <c r="BV134"/>
      <c r="BW134"/>
      <c r="BX134"/>
      <c r="BZ134"/>
      <c r="CA134"/>
      <c r="CB134" s="1793">
        <f t="shared" si="69"/>
        <v>0</v>
      </c>
      <c r="CC134" s="1793">
        <f t="shared" si="70"/>
        <v>0</v>
      </c>
      <c r="CD134" s="1793">
        <f t="shared" si="71"/>
        <v>0</v>
      </c>
    </row>
    <row r="135" spans="1:82" s="17" customFormat="1" ht="18" customHeight="1" x14ac:dyDescent="0.2">
      <c r="A135" s="2734" t="s">
        <v>1958</v>
      </c>
      <c r="B135" s="2734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</row>
    <row r="136" spans="1:82" ht="15" customHeight="1" x14ac:dyDescent="0.25">
      <c r="A136" s="7067" t="s">
        <v>23</v>
      </c>
      <c r="B136" s="6528"/>
      <c r="C136" s="7067" t="s">
        <v>24</v>
      </c>
      <c r="D136" s="6940"/>
      <c r="E136" s="6528"/>
      <c r="F136" s="7054" t="s">
        <v>30</v>
      </c>
      <c r="G136" s="7069"/>
      <c r="H136" s="7069"/>
      <c r="I136" s="7069"/>
      <c r="J136" s="7069"/>
      <c r="K136" s="7069"/>
      <c r="L136" s="7069"/>
      <c r="M136" s="7069"/>
      <c r="N136" s="7069"/>
      <c r="O136" s="7069"/>
      <c r="P136" s="7069"/>
      <c r="Q136" s="7069"/>
      <c r="R136" s="7069"/>
      <c r="S136" s="7069"/>
      <c r="T136" s="7069"/>
      <c r="U136" s="7069"/>
      <c r="V136" s="7069"/>
      <c r="W136" s="7069"/>
      <c r="X136" s="7069"/>
      <c r="Y136" s="7069"/>
      <c r="Z136" s="7069"/>
      <c r="AA136" s="7069"/>
      <c r="AB136" s="7069"/>
      <c r="AC136" s="7069"/>
      <c r="AD136" s="7069"/>
      <c r="AE136" s="7069"/>
      <c r="AF136" s="7069"/>
      <c r="AG136" s="7069"/>
      <c r="AH136" s="7069"/>
      <c r="AI136" s="7069"/>
      <c r="AJ136" s="7069"/>
      <c r="AK136" s="7069"/>
      <c r="AL136" s="7069"/>
      <c r="AM136" s="7061"/>
      <c r="AN136" s="7058" t="s">
        <v>1955</v>
      </c>
      <c r="AO136" s="7059"/>
      <c r="AP136" s="7060"/>
      <c r="AQ136" s="6528" t="s">
        <v>2</v>
      </c>
      <c r="AR136" s="6824" t="s">
        <v>3</v>
      </c>
      <c r="BQ136"/>
      <c r="BR136"/>
      <c r="BS136"/>
      <c r="BT136"/>
      <c r="BU136"/>
      <c r="BV136"/>
      <c r="BW136"/>
      <c r="BX136"/>
      <c r="BZ136"/>
      <c r="CA136"/>
      <c r="CB136"/>
    </row>
    <row r="137" spans="1:82" ht="15" customHeight="1" x14ac:dyDescent="0.25">
      <c r="A137" s="6980"/>
      <c r="B137" s="6924"/>
      <c r="C137" s="6980"/>
      <c r="D137" s="7068"/>
      <c r="E137" s="6924"/>
      <c r="F137" s="7054" t="s">
        <v>1937</v>
      </c>
      <c r="G137" s="7055"/>
      <c r="H137" s="7054" t="s">
        <v>1938</v>
      </c>
      <c r="I137" s="7055"/>
      <c r="J137" s="7054" t="s">
        <v>1315</v>
      </c>
      <c r="K137" s="7055"/>
      <c r="L137" s="7054" t="s">
        <v>4</v>
      </c>
      <c r="M137" s="7055"/>
      <c r="N137" s="7053" t="s">
        <v>5</v>
      </c>
      <c r="O137" s="7053"/>
      <c r="P137" s="7053" t="s">
        <v>6</v>
      </c>
      <c r="Q137" s="7053"/>
      <c r="R137" s="7053" t="s">
        <v>7</v>
      </c>
      <c r="S137" s="7053"/>
      <c r="T137" s="7053" t="s">
        <v>8</v>
      </c>
      <c r="U137" s="7053"/>
      <c r="V137" s="7053" t="s">
        <v>9</v>
      </c>
      <c r="W137" s="7053"/>
      <c r="X137" s="7053" t="s">
        <v>10</v>
      </c>
      <c r="Y137" s="7053"/>
      <c r="Z137" s="7053" t="s">
        <v>11</v>
      </c>
      <c r="AA137" s="7053"/>
      <c r="AB137" s="7053" t="s">
        <v>18</v>
      </c>
      <c r="AC137" s="7053"/>
      <c r="AD137" s="7053" t="s">
        <v>19</v>
      </c>
      <c r="AE137" s="7053"/>
      <c r="AF137" s="7054" t="s">
        <v>20</v>
      </c>
      <c r="AG137" s="7055"/>
      <c r="AH137" s="7054" t="s">
        <v>70</v>
      </c>
      <c r="AI137" s="7055"/>
      <c r="AJ137" s="7054" t="s">
        <v>71</v>
      </c>
      <c r="AK137" s="7055"/>
      <c r="AL137" s="7054" t="s">
        <v>32</v>
      </c>
      <c r="AM137" s="7061"/>
      <c r="AN137" s="7062" t="s">
        <v>34</v>
      </c>
      <c r="AO137" s="6824" t="s">
        <v>1959</v>
      </c>
      <c r="AP137" s="7063" t="s">
        <v>1034</v>
      </c>
      <c r="AQ137" s="6924"/>
      <c r="AR137" s="6926"/>
      <c r="BQ137"/>
      <c r="BR137"/>
      <c r="BS137"/>
      <c r="BT137"/>
      <c r="BU137"/>
      <c r="BV137"/>
      <c r="BW137"/>
      <c r="BX137"/>
      <c r="BZ137"/>
      <c r="CA137"/>
      <c r="CB137"/>
    </row>
    <row r="138" spans="1:82" ht="15" customHeight="1" x14ac:dyDescent="0.25">
      <c r="A138" s="7002"/>
      <c r="B138" s="7003"/>
      <c r="C138" s="2217" t="s">
        <v>26</v>
      </c>
      <c r="D138" s="2740" t="s">
        <v>22</v>
      </c>
      <c r="E138" s="2732" t="s">
        <v>27</v>
      </c>
      <c r="F138" s="2725" t="s">
        <v>22</v>
      </c>
      <c r="G138" s="2647" t="s">
        <v>27</v>
      </c>
      <c r="H138" s="2725" t="s">
        <v>22</v>
      </c>
      <c r="I138" s="2647" t="s">
        <v>27</v>
      </c>
      <c r="J138" s="2725" t="s">
        <v>22</v>
      </c>
      <c r="K138" s="2647" t="s">
        <v>27</v>
      </c>
      <c r="L138" s="2725" t="s">
        <v>22</v>
      </c>
      <c r="M138" s="2647" t="s">
        <v>27</v>
      </c>
      <c r="N138" s="2725" t="s">
        <v>22</v>
      </c>
      <c r="O138" s="2647" t="s">
        <v>27</v>
      </c>
      <c r="P138" s="2725" t="s">
        <v>22</v>
      </c>
      <c r="Q138" s="2647" t="s">
        <v>27</v>
      </c>
      <c r="R138" s="2725" t="s">
        <v>22</v>
      </c>
      <c r="S138" s="2647" t="s">
        <v>27</v>
      </c>
      <c r="T138" s="2725" t="s">
        <v>22</v>
      </c>
      <c r="U138" s="2647" t="s">
        <v>27</v>
      </c>
      <c r="V138" s="2725" t="s">
        <v>22</v>
      </c>
      <c r="W138" s="2647" t="s">
        <v>27</v>
      </c>
      <c r="X138" s="2725" t="s">
        <v>22</v>
      </c>
      <c r="Y138" s="2647" t="s">
        <v>27</v>
      </c>
      <c r="Z138" s="2725" t="s">
        <v>22</v>
      </c>
      <c r="AA138" s="2647" t="s">
        <v>27</v>
      </c>
      <c r="AB138" s="2725" t="s">
        <v>22</v>
      </c>
      <c r="AC138" s="2647" t="s">
        <v>27</v>
      </c>
      <c r="AD138" s="2725" t="s">
        <v>22</v>
      </c>
      <c r="AE138" s="2647" t="s">
        <v>27</v>
      </c>
      <c r="AF138" s="2725" t="s">
        <v>22</v>
      </c>
      <c r="AG138" s="2647" t="s">
        <v>27</v>
      </c>
      <c r="AH138" s="2725" t="s">
        <v>22</v>
      </c>
      <c r="AI138" s="2647" t="s">
        <v>27</v>
      </c>
      <c r="AJ138" s="2725" t="s">
        <v>22</v>
      </c>
      <c r="AK138" s="2647" t="s">
        <v>27</v>
      </c>
      <c r="AL138" s="2725" t="s">
        <v>22</v>
      </c>
      <c r="AM138" s="2741" t="s">
        <v>27</v>
      </c>
      <c r="AN138" s="7057"/>
      <c r="AO138" s="6927"/>
      <c r="AP138" s="7064"/>
      <c r="AQ138" s="7003"/>
      <c r="AR138" s="6927"/>
      <c r="BQ138"/>
      <c r="BR138"/>
      <c r="BS138"/>
      <c r="BT138"/>
      <c r="BU138"/>
      <c r="BV138"/>
      <c r="BW138"/>
      <c r="BX138"/>
      <c r="BZ138"/>
      <c r="CA138"/>
      <c r="CB138"/>
    </row>
    <row r="139" spans="1:82" ht="15" customHeight="1" x14ac:dyDescent="0.25">
      <c r="A139" s="7051" t="s">
        <v>1960</v>
      </c>
      <c r="B139" s="7052"/>
      <c r="C139" s="2253">
        <f>SUM(D139:E139)</f>
        <v>0</v>
      </c>
      <c r="D139" s="2254">
        <f>SUM(F139+H139+J139+L139+N139+P139+R139+T139+V139+X139+Z139+AB139+AD139+AF139+AH139+AJ139+AL139)</f>
        <v>0</v>
      </c>
      <c r="E139" s="2296">
        <f>SUM(G139+I139+K139+M139+O139+Q139+S139+U139+W139+Y139+AA139+AC139+AE139+AG139+AI139+AK139+AM139)</f>
        <v>0</v>
      </c>
      <c r="F139" s="2209"/>
      <c r="G139" s="2288"/>
      <c r="H139" s="2209"/>
      <c r="I139" s="2288"/>
      <c r="J139" s="2209"/>
      <c r="K139" s="2288"/>
      <c r="L139" s="2209"/>
      <c r="M139" s="2288"/>
      <c r="N139" s="2209"/>
      <c r="O139" s="2288"/>
      <c r="P139" s="2209"/>
      <c r="Q139" s="2288"/>
      <c r="R139" s="2209"/>
      <c r="S139" s="2288"/>
      <c r="T139" s="2209"/>
      <c r="U139" s="2288"/>
      <c r="V139" s="2209"/>
      <c r="W139" s="2288"/>
      <c r="X139" s="2209"/>
      <c r="Y139" s="2288"/>
      <c r="Z139" s="2209"/>
      <c r="AA139" s="2288"/>
      <c r="AB139" s="2209"/>
      <c r="AC139" s="2288"/>
      <c r="AD139" s="2209"/>
      <c r="AE139" s="2288"/>
      <c r="AF139" s="2209"/>
      <c r="AG139" s="2288"/>
      <c r="AH139" s="2209"/>
      <c r="AI139" s="2288"/>
      <c r="AJ139" s="2209"/>
      <c r="AK139" s="2288"/>
      <c r="AL139" s="2209"/>
      <c r="AM139" s="2289"/>
      <c r="AN139" s="2297"/>
      <c r="AO139" s="2291"/>
      <c r="AP139" s="2298"/>
      <c r="AQ139" s="2288"/>
      <c r="AR139" s="2255"/>
      <c r="AS139" t="str">
        <f>BQ139&amp;BR139</f>
        <v/>
      </c>
      <c r="BQ139" s="2553" t="str">
        <f>IF(AND(C139&gt;0,AQ139=""),"  * No olvide digitar la variable Pueblos originarios. Digite Cero si no tiene.",IF(AQ139&gt;C139,"  * La variable Pueblos originarios No puede ser mayor al Total.",""))</f>
        <v/>
      </c>
      <c r="BR139" s="2553" t="str">
        <f>IF(AND(C139&gt;0,AR139=""),"  * No olvide digitar la variable Migrantes. Digite Cero si no tiene.",IF(AR139&gt;C139,"  * La variable Migrantes No puede ser mayor al Total.",""))</f>
        <v/>
      </c>
      <c r="BZ139"/>
      <c r="CA139"/>
      <c r="CB139" s="1793">
        <f>IF(AND(C139&gt;0,AQ139=""),1,IF(AQ139&gt;C139,1,0))</f>
        <v>0</v>
      </c>
      <c r="CC139" s="1793">
        <f>IF(AND(C139&gt;0,AR139=""),1,IF(AR139&gt;C139,1,0))</f>
        <v>0</v>
      </c>
      <c r="CD139" s="1793"/>
    </row>
    <row r="140" spans="1:82" ht="15" customHeight="1" x14ac:dyDescent="0.25">
      <c r="A140" s="7012" t="s">
        <v>1961</v>
      </c>
      <c r="B140" s="7013"/>
      <c r="C140" s="2282">
        <f>SUM(D140:E140)</f>
        <v>0</v>
      </c>
      <c r="D140" s="2283">
        <f t="shared" ref="D140:E143" si="72">SUM(F140+H140+J140+L140+N140+P140+R140+T140+V140+X140+Z140+AB140+AD140+AF140+AH140+AJ140+AL140)</f>
        <v>0</v>
      </c>
      <c r="E140" s="2214">
        <f>SUM(G140+I140+K140+M140+O140+Q140+S140+U140+W140+Y140+AA140+AC140+AE140+AG140+AI140+AK140+AM140)</f>
        <v>0</v>
      </c>
      <c r="F140" s="9"/>
      <c r="G140" s="11"/>
      <c r="H140" s="9"/>
      <c r="I140" s="11"/>
      <c r="J140" s="9"/>
      <c r="K140" s="11"/>
      <c r="L140" s="9"/>
      <c r="M140" s="11"/>
      <c r="N140" s="9"/>
      <c r="O140" s="11"/>
      <c r="P140" s="9"/>
      <c r="Q140" s="11"/>
      <c r="R140" s="9"/>
      <c r="S140" s="11"/>
      <c r="T140" s="9"/>
      <c r="U140" s="11"/>
      <c r="V140" s="9"/>
      <c r="W140" s="11"/>
      <c r="X140" s="9"/>
      <c r="Y140" s="11"/>
      <c r="Z140" s="9"/>
      <c r="AA140" s="11"/>
      <c r="AB140" s="9"/>
      <c r="AC140" s="11"/>
      <c r="AD140" s="9"/>
      <c r="AE140" s="11"/>
      <c r="AF140" s="9"/>
      <c r="AG140" s="11"/>
      <c r="AH140" s="9"/>
      <c r="AI140" s="11"/>
      <c r="AJ140" s="9"/>
      <c r="AK140" s="11"/>
      <c r="AL140" s="9"/>
      <c r="AM140" s="1764"/>
      <c r="AN140" s="26"/>
      <c r="AO140" s="27"/>
      <c r="AP140" s="2299"/>
      <c r="AQ140" s="11"/>
      <c r="AR140" s="27"/>
      <c r="AS140" t="str">
        <f t="shared" ref="AS140:AS143" si="73">BQ140&amp;BR140</f>
        <v/>
      </c>
      <c r="BQ140" s="2553" t="str">
        <f t="shared" ref="BQ140:BQ143" si="74">IF(AND(C140&gt;0,AQ140=""),"  * No olvide digitar la variable Pueblos originarios. Digite Cero si no tiene.",IF(AQ140&gt;C140,"  * La variable Pueblos originarios No puede ser mayor al Total.",""))</f>
        <v/>
      </c>
      <c r="BR140" s="2553" t="str">
        <f t="shared" ref="BR140:BR143" si="75">IF(AND(C140&gt;0,AR140=""),"  * No olvide digitar la variable Migrantes. Digite Cero si no tiene.",IF(AR140&gt;C140,"  * La variable Migrantes No puede ser mayor al Total.",""))</f>
        <v/>
      </c>
      <c r="BZ140"/>
      <c r="CA140"/>
      <c r="CB140" s="1793">
        <f t="shared" ref="CB140:CB143" si="76">IF(AND(C140&gt;0,AQ140=""),1,IF(AQ140&gt;C140,1,0))</f>
        <v>0</v>
      </c>
      <c r="CC140" s="1793">
        <f t="shared" ref="CC140:CC143" si="77">IF(AND(C140&gt;0,AR140=""),1,IF(AR140&gt;C140,1,0))</f>
        <v>0</v>
      </c>
      <c r="CD140" s="1793"/>
    </row>
    <row r="141" spans="1:82" ht="15" customHeight="1" x14ac:dyDescent="0.25">
      <c r="A141" s="6798" t="s">
        <v>1962</v>
      </c>
      <c r="B141" s="2206" t="s">
        <v>1963</v>
      </c>
      <c r="C141" s="2253">
        <f>SUM(D141:E141)</f>
        <v>0</v>
      </c>
      <c r="D141" s="2254">
        <f t="shared" si="72"/>
        <v>0</v>
      </c>
      <c r="E141" s="2296">
        <f t="shared" si="72"/>
        <v>0</v>
      </c>
      <c r="F141" s="2209"/>
      <c r="G141" s="2288"/>
      <c r="H141" s="2209"/>
      <c r="I141" s="2288"/>
      <c r="J141" s="2209"/>
      <c r="K141" s="2288"/>
      <c r="L141" s="2209"/>
      <c r="M141" s="2288"/>
      <c r="N141" s="2209"/>
      <c r="O141" s="2288"/>
      <c r="P141" s="2209"/>
      <c r="Q141" s="2288"/>
      <c r="R141" s="2209"/>
      <c r="S141" s="2288"/>
      <c r="T141" s="2209"/>
      <c r="U141" s="2288"/>
      <c r="V141" s="2209"/>
      <c r="W141" s="2288"/>
      <c r="X141" s="2209"/>
      <c r="Y141" s="2288"/>
      <c r="Z141" s="2209"/>
      <c r="AA141" s="2288"/>
      <c r="AB141" s="2209"/>
      <c r="AC141" s="2288"/>
      <c r="AD141" s="2209"/>
      <c r="AE141" s="2288"/>
      <c r="AF141" s="2209"/>
      <c r="AG141" s="2288"/>
      <c r="AH141" s="2209"/>
      <c r="AI141" s="2288"/>
      <c r="AJ141" s="2209"/>
      <c r="AK141" s="2288"/>
      <c r="AL141" s="2209"/>
      <c r="AM141" s="2289"/>
      <c r="AN141" s="2297"/>
      <c r="AO141" s="2255"/>
      <c r="AP141" s="2298"/>
      <c r="AQ141" s="2288"/>
      <c r="AR141" s="2255"/>
      <c r="AS141" t="str">
        <f t="shared" si="73"/>
        <v/>
      </c>
      <c r="BQ141" s="2553" t="str">
        <f t="shared" si="74"/>
        <v/>
      </c>
      <c r="BR141" s="2553" t="str">
        <f t="shared" si="75"/>
        <v/>
      </c>
      <c r="BZ141"/>
      <c r="CA141"/>
      <c r="CB141" s="1793">
        <f t="shared" si="76"/>
        <v>0</v>
      </c>
      <c r="CC141" s="1793">
        <f t="shared" si="77"/>
        <v>0</v>
      </c>
      <c r="CD141" s="1793"/>
    </row>
    <row r="142" spans="1:82" ht="15" customHeight="1" x14ac:dyDescent="0.25">
      <c r="A142" s="6932"/>
      <c r="B142" s="1124" t="s">
        <v>1964</v>
      </c>
      <c r="C142" s="2294">
        <f>SUM(D142:E142)</f>
        <v>0</v>
      </c>
      <c r="D142" s="28">
        <f>SUM(F142+H142+J142+L142+N142+P142+R142+T142+V142+X142+Z142+AB142+AD142+AF142+AH142+AJ142+AL142)</f>
        <v>0</v>
      </c>
      <c r="E142" s="13">
        <f t="shared" si="72"/>
        <v>0</v>
      </c>
      <c r="F142" s="3"/>
      <c r="G142" s="12"/>
      <c r="H142" s="3"/>
      <c r="I142" s="12"/>
      <c r="J142" s="3"/>
      <c r="K142" s="12"/>
      <c r="L142" s="3"/>
      <c r="M142" s="12"/>
      <c r="N142" s="3"/>
      <c r="O142" s="12"/>
      <c r="P142" s="3"/>
      <c r="Q142" s="12"/>
      <c r="R142" s="3"/>
      <c r="S142" s="12"/>
      <c r="T142" s="3"/>
      <c r="U142" s="12"/>
      <c r="V142" s="3"/>
      <c r="W142" s="12"/>
      <c r="X142" s="3"/>
      <c r="Y142" s="12"/>
      <c r="Z142" s="3"/>
      <c r="AA142" s="12"/>
      <c r="AB142" s="3"/>
      <c r="AC142" s="12"/>
      <c r="AD142" s="3"/>
      <c r="AE142" s="12"/>
      <c r="AF142" s="3"/>
      <c r="AG142" s="12"/>
      <c r="AH142" s="3"/>
      <c r="AI142" s="12"/>
      <c r="AJ142" s="3"/>
      <c r="AK142" s="12"/>
      <c r="AL142" s="3"/>
      <c r="AM142" s="1766"/>
      <c r="AN142" s="29"/>
      <c r="AO142" s="30"/>
      <c r="AP142" s="1121"/>
      <c r="AQ142" s="12"/>
      <c r="AR142" s="30"/>
      <c r="AS142" t="str">
        <f t="shared" si="73"/>
        <v/>
      </c>
      <c r="BQ142" s="2553" t="str">
        <f t="shared" si="74"/>
        <v/>
      </c>
      <c r="BR142" s="2553" t="str">
        <f t="shared" si="75"/>
        <v/>
      </c>
      <c r="BZ142"/>
      <c r="CA142"/>
      <c r="CB142" s="1793">
        <f t="shared" si="76"/>
        <v>0</v>
      </c>
      <c r="CC142" s="1793">
        <f t="shared" si="77"/>
        <v>0</v>
      </c>
      <c r="CD142" s="1793"/>
    </row>
    <row r="143" spans="1:82" ht="15" customHeight="1" x14ac:dyDescent="0.25">
      <c r="A143" s="7048" t="s">
        <v>1965</v>
      </c>
      <c r="B143" s="7049"/>
      <c r="C143" s="2258">
        <f>SUM(D143:E143)</f>
        <v>0</v>
      </c>
      <c r="D143" s="2259">
        <f t="shared" si="72"/>
        <v>0</v>
      </c>
      <c r="E143" s="2300">
        <f>SUM(G143+I143+K143+M143+O143+Q143+S143+U143+W143+Y143+AA143+AC143+AE143+AG143+AI143+AK143+AM143)</f>
        <v>0</v>
      </c>
      <c r="F143" s="2241"/>
      <c r="G143" s="2301"/>
      <c r="H143" s="2241"/>
      <c r="I143" s="2301"/>
      <c r="J143" s="2241"/>
      <c r="K143" s="2301"/>
      <c r="L143" s="2241"/>
      <c r="M143" s="2301"/>
      <c r="N143" s="2241"/>
      <c r="O143" s="2301"/>
      <c r="P143" s="2241"/>
      <c r="Q143" s="2301"/>
      <c r="R143" s="2241"/>
      <c r="S143" s="2301"/>
      <c r="T143" s="2241"/>
      <c r="U143" s="2301"/>
      <c r="V143" s="2241"/>
      <c r="W143" s="2301"/>
      <c r="X143" s="2241"/>
      <c r="Y143" s="2301"/>
      <c r="Z143" s="2241"/>
      <c r="AA143" s="2301"/>
      <c r="AB143" s="2241"/>
      <c r="AC143" s="2301"/>
      <c r="AD143" s="2241"/>
      <c r="AE143" s="2301"/>
      <c r="AF143" s="2241"/>
      <c r="AG143" s="2301"/>
      <c r="AH143" s="2241"/>
      <c r="AI143" s="2301"/>
      <c r="AJ143" s="2241"/>
      <c r="AK143" s="2301"/>
      <c r="AL143" s="2241"/>
      <c r="AM143" s="2302"/>
      <c r="AN143" s="2303"/>
      <c r="AO143" s="2304"/>
      <c r="AP143" s="2305"/>
      <c r="AQ143" s="2301"/>
      <c r="AR143" s="2304"/>
      <c r="AS143" t="str">
        <f t="shared" si="73"/>
        <v/>
      </c>
      <c r="BQ143" s="2553" t="str">
        <f t="shared" si="74"/>
        <v/>
      </c>
      <c r="BR143" s="2553" t="str">
        <f t="shared" si="75"/>
        <v/>
      </c>
      <c r="BZ143"/>
      <c r="CA143"/>
      <c r="CB143" s="1793">
        <f t="shared" si="76"/>
        <v>0</v>
      </c>
      <c r="CC143" s="1793">
        <f t="shared" si="77"/>
        <v>0</v>
      </c>
      <c r="CD143" s="1793"/>
    </row>
    <row r="144" spans="1:82" s="17" customFormat="1" ht="18" customHeight="1" x14ac:dyDescent="0.2">
      <c r="A144" s="2734" t="s">
        <v>1966</v>
      </c>
      <c r="B144" s="273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746"/>
      <c r="N144" s="2747"/>
      <c r="O144" s="2748"/>
    </row>
    <row r="145" spans="1:82" ht="15" customHeight="1" x14ac:dyDescent="0.25">
      <c r="A145" s="6939" t="s">
        <v>0</v>
      </c>
      <c r="B145" s="6528"/>
      <c r="C145" s="6920" t="s">
        <v>24</v>
      </c>
      <c r="D145" s="6928"/>
      <c r="E145" s="6921"/>
      <c r="F145" s="6920" t="s">
        <v>20</v>
      </c>
      <c r="G145" s="6921"/>
      <c r="H145" s="6920" t="s">
        <v>70</v>
      </c>
      <c r="I145" s="6921"/>
      <c r="J145" s="6920" t="s">
        <v>71</v>
      </c>
      <c r="K145" s="6921"/>
      <c r="L145" s="6920" t="s">
        <v>32</v>
      </c>
      <c r="M145" s="6929"/>
      <c r="N145" s="7056" t="s">
        <v>2</v>
      </c>
      <c r="O145" s="6528" t="s">
        <v>3</v>
      </c>
      <c r="BQ145"/>
      <c r="BR145"/>
      <c r="BS145"/>
      <c r="BT145"/>
      <c r="BU145"/>
      <c r="BV145"/>
      <c r="BW145"/>
      <c r="BX145"/>
      <c r="BZ145"/>
      <c r="CA145"/>
      <c r="CB145"/>
    </row>
    <row r="146" spans="1:82" ht="15" customHeight="1" x14ac:dyDescent="0.25">
      <c r="A146" s="7002"/>
      <c r="B146" s="7003"/>
      <c r="C146" s="2753" t="s">
        <v>26</v>
      </c>
      <c r="D146" s="2754" t="s">
        <v>22</v>
      </c>
      <c r="E146" s="2751" t="s">
        <v>27</v>
      </c>
      <c r="F146" s="2753" t="s">
        <v>22</v>
      </c>
      <c r="G146" s="2751" t="s">
        <v>27</v>
      </c>
      <c r="H146" s="2753" t="s">
        <v>22</v>
      </c>
      <c r="I146" s="2751" t="s">
        <v>27</v>
      </c>
      <c r="J146" s="2753" t="s">
        <v>22</v>
      </c>
      <c r="K146" s="2751" t="s">
        <v>27</v>
      </c>
      <c r="L146" s="2753" t="s">
        <v>22</v>
      </c>
      <c r="M146" s="2752" t="s">
        <v>27</v>
      </c>
      <c r="N146" s="7057"/>
      <c r="O146" s="7003"/>
      <c r="BQ146"/>
      <c r="BR146"/>
      <c r="BS146"/>
      <c r="BT146"/>
      <c r="BU146"/>
      <c r="BV146"/>
      <c r="BW146"/>
      <c r="BX146"/>
      <c r="BZ146"/>
      <c r="CA146"/>
      <c r="CB146"/>
    </row>
    <row r="147" spans="1:82" ht="15" customHeight="1" x14ac:dyDescent="0.25">
      <c r="A147" s="6930" t="s">
        <v>1967</v>
      </c>
      <c r="B147" s="2306" t="s">
        <v>1968</v>
      </c>
      <c r="C147" s="2307">
        <f>SUM(D147:E147)</f>
        <v>0</v>
      </c>
      <c r="D147" s="2308">
        <f t="shared" ref="D147:E149" si="78">SUM(F147+H147+J147+L147)</f>
        <v>0</v>
      </c>
      <c r="E147" s="2309">
        <f t="shared" si="78"/>
        <v>0</v>
      </c>
      <c r="F147" s="2201"/>
      <c r="G147" s="1107"/>
      <c r="H147" s="2201"/>
      <c r="I147" s="1107"/>
      <c r="J147" s="2201"/>
      <c r="K147" s="1107"/>
      <c r="L147" s="2201"/>
      <c r="M147" s="2202"/>
      <c r="N147" s="1480"/>
      <c r="O147" s="1107"/>
      <c r="P147" t="str">
        <f>BQ147&amp;BR147</f>
        <v/>
      </c>
      <c r="BQ147" s="2553" t="str">
        <f>IF(AND(C147&gt;0,N147=""),"  * No olvide digitar la variable Pueblos originarios. Digite Cero si no tiene.",IF(N147&gt;C147,"  * La variable Pueblos originarios No puede ser mayor al Total.",""))</f>
        <v/>
      </c>
      <c r="BR147" s="2553" t="str">
        <f>IF(AND(C147&gt;0,O147=""),"  * No olvide digitar la variable Migrantes. Digite Cero si no tiene.",IF(O147&gt;C147,"  * La variable Pueblos Migrantes No puede ser mayor al Total.",""))</f>
        <v/>
      </c>
      <c r="BZ147"/>
      <c r="CA147"/>
      <c r="CB147" s="1793">
        <f>IF(AND(C147&gt;0,N147=""),1,IF(N147&gt;C147,1,0))</f>
        <v>0</v>
      </c>
      <c r="CC147" s="1793">
        <f>IF(AND(C147&gt;0,O147=""),1,IF(O147&gt;C147,1,0))</f>
        <v>0</v>
      </c>
      <c r="CD147" s="1793"/>
    </row>
    <row r="148" spans="1:82" ht="15" customHeight="1" x14ac:dyDescent="0.25">
      <c r="A148" s="6796"/>
      <c r="B148" s="1123" t="s">
        <v>1969</v>
      </c>
      <c r="C148" s="2256">
        <f>SUM(D148:E148)</f>
        <v>0</v>
      </c>
      <c r="D148" s="2257">
        <f t="shared" si="78"/>
        <v>0</v>
      </c>
      <c r="E148" s="1769">
        <f t="shared" si="78"/>
        <v>0</v>
      </c>
      <c r="F148" s="2201"/>
      <c r="G148" s="1107"/>
      <c r="H148" s="2201"/>
      <c r="I148" s="1107"/>
      <c r="J148" s="2201"/>
      <c r="K148" s="1107"/>
      <c r="L148" s="2201"/>
      <c r="M148" s="2202"/>
      <c r="N148" s="1480"/>
      <c r="O148" s="1107"/>
      <c r="P148" t="str">
        <f t="shared" ref="P148:P149" si="79">BQ148&amp;BR148</f>
        <v/>
      </c>
      <c r="BQ148" s="2553" t="str">
        <f t="shared" ref="BQ148:BQ154" si="80">IF(AND(C148&gt;0,N148=""),"  * No olvide digitar la variable Pueblos originarios. Digite Cero si no tiene.",IF(N148&gt;C148,"  * La variable Pueblos originarios No puede ser mayor al Total.",""))</f>
        <v/>
      </c>
      <c r="BR148" s="2553" t="str">
        <f t="shared" ref="BR148:BR154" si="81">IF(AND(C148&gt;0,O148=""),"  * No olvide digitar la variable Migrantes. Digite Cero si no tiene.",IF(O148&gt;C148,"  * La variable Pueblos Migrantes No puede ser mayor al Total.",""))</f>
        <v/>
      </c>
      <c r="BZ148"/>
      <c r="CA148"/>
      <c r="CB148" s="1793">
        <f t="shared" ref="CB148:CB154" si="82">IF(AND(C148&gt;0,N148=""),1,IF(N148&gt;C148,1,0))</f>
        <v>0</v>
      </c>
      <c r="CC148" s="1793">
        <f t="shared" ref="CC148:CC154" si="83">IF(AND(C148&gt;0,O148=""),1,IF(O148&gt;C148,1,0))</f>
        <v>0</v>
      </c>
      <c r="CD148" s="1793"/>
    </row>
    <row r="149" spans="1:82" ht="15" customHeight="1" x14ac:dyDescent="0.25">
      <c r="A149" s="6796"/>
      <c r="B149" s="2310" t="s">
        <v>1970</v>
      </c>
      <c r="C149" s="2282">
        <f>SUM(D149:E149)</f>
        <v>0</v>
      </c>
      <c r="D149" s="2283">
        <f t="shared" si="78"/>
        <v>0</v>
      </c>
      <c r="E149" s="2214">
        <f t="shared" si="78"/>
        <v>0</v>
      </c>
      <c r="F149" s="2201"/>
      <c r="G149" s="1107"/>
      <c r="H149" s="2201"/>
      <c r="I149" s="1107"/>
      <c r="J149" s="2201"/>
      <c r="K149" s="1107"/>
      <c r="L149" s="2201"/>
      <c r="M149" s="2202"/>
      <c r="N149" s="1480"/>
      <c r="O149" s="1107"/>
      <c r="P149" t="str">
        <f t="shared" si="79"/>
        <v/>
      </c>
      <c r="BQ149" s="2553" t="str">
        <f t="shared" si="80"/>
        <v/>
      </c>
      <c r="BR149" s="2553" t="str">
        <f t="shared" si="81"/>
        <v/>
      </c>
      <c r="BZ149"/>
      <c r="CA149"/>
      <c r="CB149" s="1793">
        <f t="shared" si="82"/>
        <v>0</v>
      </c>
      <c r="CC149" s="1793">
        <f t="shared" si="83"/>
        <v>0</v>
      </c>
      <c r="CD149" s="1793"/>
    </row>
    <row r="150" spans="1:82" s="1434" customFormat="1" ht="15" customHeight="1" x14ac:dyDescent="0.2">
      <c r="A150" s="7046" t="s">
        <v>1971</v>
      </c>
      <c r="B150" s="7046"/>
      <c r="C150" s="2311">
        <f>SUM(C147:C149)</f>
        <v>0</v>
      </c>
      <c r="D150" s="2312">
        <f>SUM(D147:D149)</f>
        <v>0</v>
      </c>
      <c r="E150" s="2313">
        <f>SUM(E147:E149)</f>
        <v>0</v>
      </c>
      <c r="F150" s="2311">
        <f>SUM(F147:F149)</f>
        <v>0</v>
      </c>
      <c r="G150" s="2313">
        <f t="shared" ref="G150:M150" si="84">SUM(G147:G149)</f>
        <v>0</v>
      </c>
      <c r="H150" s="2311">
        <f t="shared" si="84"/>
        <v>0</v>
      </c>
      <c r="I150" s="2313">
        <f t="shared" si="84"/>
        <v>0</v>
      </c>
      <c r="J150" s="2311">
        <f t="shared" si="84"/>
        <v>0</v>
      </c>
      <c r="K150" s="2313">
        <f t="shared" si="84"/>
        <v>0</v>
      </c>
      <c r="L150" s="2311">
        <f t="shared" si="84"/>
        <v>0</v>
      </c>
      <c r="M150" s="2758">
        <f t="shared" si="84"/>
        <v>0</v>
      </c>
      <c r="N150" s="2759">
        <f>SUM(N147:N149)</f>
        <v>0</v>
      </c>
      <c r="O150" s="2313">
        <f>SUM(O147:O149)</f>
        <v>0</v>
      </c>
    </row>
    <row r="151" spans="1:82" x14ac:dyDescent="0.25">
      <c r="A151" s="6930" t="s">
        <v>1972</v>
      </c>
      <c r="B151" s="1767" t="s">
        <v>1973</v>
      </c>
      <c r="C151" s="2278">
        <f>SUM(D151:E151)</f>
        <v>0</v>
      </c>
      <c r="D151" s="2279">
        <f t="shared" ref="D151:E154" si="85">SUM(F151+H151+J151+L151)</f>
        <v>0</v>
      </c>
      <c r="E151" s="2314">
        <f t="shared" si="85"/>
        <v>0</v>
      </c>
      <c r="F151" s="2201"/>
      <c r="G151" s="1107"/>
      <c r="H151" s="2201"/>
      <c r="I151" s="1107"/>
      <c r="J151" s="2201"/>
      <c r="K151" s="1107"/>
      <c r="L151" s="2201"/>
      <c r="M151" s="2202"/>
      <c r="N151" s="1480"/>
      <c r="O151" s="1107"/>
      <c r="P151" t="str">
        <f>BQ151&amp;BR151</f>
        <v/>
      </c>
      <c r="BQ151" s="2553" t="str">
        <f t="shared" si="80"/>
        <v/>
      </c>
      <c r="BR151" s="2553" t="str">
        <f t="shared" si="81"/>
        <v/>
      </c>
      <c r="BZ151"/>
      <c r="CA151"/>
      <c r="CB151" s="1793">
        <f t="shared" si="82"/>
        <v>0</v>
      </c>
      <c r="CC151" s="1793">
        <f t="shared" si="83"/>
        <v>0</v>
      </c>
      <c r="CD151" s="1793"/>
    </row>
    <row r="152" spans="1:82" x14ac:dyDescent="0.25">
      <c r="A152" s="6796"/>
      <c r="B152" s="1123" t="s">
        <v>1974</v>
      </c>
      <c r="C152" s="2256">
        <f>SUM(D152:E152)</f>
        <v>0</v>
      </c>
      <c r="D152" s="2257">
        <f t="shared" si="85"/>
        <v>0</v>
      </c>
      <c r="E152" s="1769">
        <f t="shared" si="85"/>
        <v>0</v>
      </c>
      <c r="F152" s="1113"/>
      <c r="G152" s="8"/>
      <c r="H152" s="1113"/>
      <c r="I152" s="8"/>
      <c r="J152" s="1113"/>
      <c r="K152" s="8"/>
      <c r="L152" s="1113"/>
      <c r="M152" s="2203"/>
      <c r="N152" s="1474"/>
      <c r="O152" s="8"/>
      <c r="P152" t="str">
        <f t="shared" ref="P152:P154" si="86">BQ152&amp;BR152</f>
        <v/>
      </c>
      <c r="BQ152" s="2553" t="str">
        <f t="shared" si="80"/>
        <v/>
      </c>
      <c r="BR152" s="2553" t="str">
        <f t="shared" si="81"/>
        <v/>
      </c>
      <c r="BZ152"/>
      <c r="CA152"/>
      <c r="CB152" s="1793">
        <f t="shared" si="82"/>
        <v>0</v>
      </c>
      <c r="CC152" s="1793">
        <f t="shared" si="83"/>
        <v>0</v>
      </c>
      <c r="CD152" s="1793"/>
    </row>
    <row r="153" spans="1:82" x14ac:dyDescent="0.25">
      <c r="A153" s="6796"/>
      <c r="B153" s="1123" t="s">
        <v>1975</v>
      </c>
      <c r="C153" s="2256">
        <f>SUM(D153:E153)</f>
        <v>0</v>
      </c>
      <c r="D153" s="2257">
        <f t="shared" si="85"/>
        <v>0</v>
      </c>
      <c r="E153" s="1769">
        <f t="shared" si="85"/>
        <v>0</v>
      </c>
      <c r="F153" s="1113"/>
      <c r="G153" s="8"/>
      <c r="H153" s="1113"/>
      <c r="I153" s="8"/>
      <c r="J153" s="1113"/>
      <c r="K153" s="8"/>
      <c r="L153" s="1113"/>
      <c r="M153" s="2203"/>
      <c r="N153" s="1474"/>
      <c r="O153" s="8"/>
      <c r="P153" t="str">
        <f t="shared" si="86"/>
        <v/>
      </c>
      <c r="BQ153" s="2553" t="str">
        <f t="shared" si="80"/>
        <v/>
      </c>
      <c r="BR153" s="2553" t="str">
        <f t="shared" si="81"/>
        <v/>
      </c>
      <c r="BZ153"/>
      <c r="CA153"/>
      <c r="CB153" s="1793">
        <f t="shared" si="82"/>
        <v>0</v>
      </c>
      <c r="CC153" s="1793">
        <f t="shared" si="83"/>
        <v>0</v>
      </c>
      <c r="CD153" s="1793"/>
    </row>
    <row r="154" spans="1:82" x14ac:dyDescent="0.25">
      <c r="A154" s="6932"/>
      <c r="B154" s="1768" t="s">
        <v>1976</v>
      </c>
      <c r="C154" s="2282">
        <f>SUM(D154:E154)</f>
        <v>0</v>
      </c>
      <c r="D154" s="2283">
        <f t="shared" si="85"/>
        <v>0</v>
      </c>
      <c r="E154" s="2214">
        <f t="shared" si="85"/>
        <v>0</v>
      </c>
      <c r="F154" s="9"/>
      <c r="G154" s="11"/>
      <c r="H154" s="9"/>
      <c r="I154" s="11"/>
      <c r="J154" s="9"/>
      <c r="K154" s="11"/>
      <c r="L154" s="9"/>
      <c r="M154" s="1764"/>
      <c r="N154" s="26"/>
      <c r="O154" s="11"/>
      <c r="P154" t="str">
        <f t="shared" si="86"/>
        <v/>
      </c>
      <c r="BQ154" s="2553" t="str">
        <f t="shared" si="80"/>
        <v/>
      </c>
      <c r="BR154" s="2553" t="str">
        <f t="shared" si="81"/>
        <v/>
      </c>
      <c r="BZ154"/>
      <c r="CA154"/>
      <c r="CB154" s="1793">
        <f t="shared" si="82"/>
        <v>0</v>
      </c>
      <c r="CC154" s="1793">
        <f t="shared" si="83"/>
        <v>0</v>
      </c>
      <c r="CD154" s="1793"/>
    </row>
    <row r="155" spans="1:82" s="1434" customFormat="1" ht="15" customHeight="1" x14ac:dyDescent="0.2">
      <c r="A155" s="7047" t="s">
        <v>1971</v>
      </c>
      <c r="B155" s="7046"/>
      <c r="C155" s="2311">
        <f>SUM(C151:C154)</f>
        <v>0</v>
      </c>
      <c r="D155" s="2312">
        <f>SUM(D151:D154)</f>
        <v>0</v>
      </c>
      <c r="E155" s="2313">
        <f>SUM(E151:E154)</f>
        <v>0</v>
      </c>
      <c r="F155" s="2311">
        <f>SUM(F151:F154)</f>
        <v>0</v>
      </c>
      <c r="G155" s="2313">
        <f t="shared" ref="G155:M155" si="87">SUM(G151:G154)</f>
        <v>0</v>
      </c>
      <c r="H155" s="2311">
        <f t="shared" si="87"/>
        <v>0</v>
      </c>
      <c r="I155" s="2313">
        <f t="shared" si="87"/>
        <v>0</v>
      </c>
      <c r="J155" s="2311">
        <f t="shared" si="87"/>
        <v>0</v>
      </c>
      <c r="K155" s="2313">
        <f t="shared" si="87"/>
        <v>0</v>
      </c>
      <c r="L155" s="2311">
        <f t="shared" si="87"/>
        <v>0</v>
      </c>
      <c r="M155" s="2758">
        <f t="shared" si="87"/>
        <v>0</v>
      </c>
      <c r="N155" s="2759">
        <f>SUM(N151:N154)</f>
        <v>0</v>
      </c>
      <c r="O155" s="2313">
        <f>SUM(O151:O154)</f>
        <v>0</v>
      </c>
    </row>
    <row r="156" spans="1:82" x14ac:dyDescent="0.25">
      <c r="A156" s="7047" t="s">
        <v>35</v>
      </c>
      <c r="B156" s="7047"/>
      <c r="C156" s="2258">
        <f>SUM(C150+C155)</f>
        <v>0</v>
      </c>
      <c r="D156" s="2259">
        <f>SUM(D150+D155)</f>
        <v>0</v>
      </c>
      <c r="E156" s="2300">
        <f>SUM(E150+E155)</f>
        <v>0</v>
      </c>
      <c r="F156" s="2258">
        <f>SUM(F150+F155)</f>
        <v>0</v>
      </c>
      <c r="G156" s="2300">
        <f>SUM(G150+G155)</f>
        <v>0</v>
      </c>
      <c r="H156" s="2258">
        <f t="shared" ref="H156:M156" si="88">SUM(H150+H155)</f>
        <v>0</v>
      </c>
      <c r="I156" s="2300">
        <f t="shared" si="88"/>
        <v>0</v>
      </c>
      <c r="J156" s="2258">
        <f t="shared" si="88"/>
        <v>0</v>
      </c>
      <c r="K156" s="2300">
        <f t="shared" si="88"/>
        <v>0</v>
      </c>
      <c r="L156" s="2258">
        <f t="shared" si="88"/>
        <v>0</v>
      </c>
      <c r="M156" s="2760">
        <f t="shared" si="88"/>
        <v>0</v>
      </c>
      <c r="N156" s="2761">
        <f>SUM(N150+N155)</f>
        <v>0</v>
      </c>
      <c r="O156" s="2300">
        <f>SUM(O150+O155)</f>
        <v>0</v>
      </c>
      <c r="BQ156"/>
      <c r="BR156"/>
      <c r="BS156"/>
      <c r="BT156"/>
      <c r="BU156"/>
      <c r="BV156"/>
      <c r="BW156"/>
      <c r="BX156"/>
      <c r="BZ156"/>
      <c r="CA156"/>
      <c r="CB156"/>
    </row>
    <row r="157" spans="1:82" s="17" customFormat="1" ht="18" customHeight="1" x14ac:dyDescent="0.2">
      <c r="A157" s="2734" t="s">
        <v>1977</v>
      </c>
      <c r="B157" s="2734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2755"/>
      <c r="R157" s="2756"/>
    </row>
    <row r="158" spans="1:82" x14ac:dyDescent="0.25">
      <c r="A158" s="6939" t="s">
        <v>0</v>
      </c>
      <c r="B158" s="6528"/>
      <c r="C158" s="6920" t="s">
        <v>24</v>
      </c>
      <c r="D158" s="6928"/>
      <c r="E158" s="6921"/>
      <c r="F158" s="6920" t="s">
        <v>20</v>
      </c>
      <c r="G158" s="6921"/>
      <c r="H158" s="6920" t="s">
        <v>70</v>
      </c>
      <c r="I158" s="6921"/>
      <c r="J158" s="6920" t="s">
        <v>71</v>
      </c>
      <c r="K158" s="6921"/>
      <c r="L158" s="6920" t="s">
        <v>32</v>
      </c>
      <c r="M158" s="6929"/>
      <c r="N158" s="7050" t="s">
        <v>1955</v>
      </c>
      <c r="O158" s="6928"/>
      <c r="P158" s="6929"/>
      <c r="Q158" s="6528" t="s">
        <v>2</v>
      </c>
      <c r="R158" s="6528" t="s">
        <v>3</v>
      </c>
      <c r="BQ158"/>
      <c r="BR158"/>
      <c r="BS158"/>
      <c r="BT158"/>
      <c r="BU158"/>
      <c r="BV158"/>
      <c r="BW158"/>
      <c r="BX158"/>
      <c r="BZ158"/>
      <c r="CA158"/>
      <c r="CB158"/>
    </row>
    <row r="159" spans="1:82" ht="21" x14ac:dyDescent="0.25">
      <c r="A159" s="7002"/>
      <c r="B159" s="7003"/>
      <c r="C159" s="2753" t="s">
        <v>26</v>
      </c>
      <c r="D159" s="2754" t="s">
        <v>22</v>
      </c>
      <c r="E159" s="2751" t="s">
        <v>27</v>
      </c>
      <c r="F159" s="2753" t="s">
        <v>22</v>
      </c>
      <c r="G159" s="2751" t="s">
        <v>27</v>
      </c>
      <c r="H159" s="2753" t="s">
        <v>22</v>
      </c>
      <c r="I159" s="2751" t="s">
        <v>27</v>
      </c>
      <c r="J159" s="2753" t="s">
        <v>22</v>
      </c>
      <c r="K159" s="2751" t="s">
        <v>27</v>
      </c>
      <c r="L159" s="2753" t="s">
        <v>22</v>
      </c>
      <c r="M159" s="2750" t="s">
        <v>27</v>
      </c>
      <c r="N159" s="2757" t="s">
        <v>1033</v>
      </c>
      <c r="O159" s="2754" t="s">
        <v>1178</v>
      </c>
      <c r="P159" s="2752" t="s">
        <v>1034</v>
      </c>
      <c r="Q159" s="7003"/>
      <c r="R159" s="7003"/>
      <c r="BQ159"/>
      <c r="BR159"/>
      <c r="BS159"/>
      <c r="BT159"/>
      <c r="BU159"/>
      <c r="BV159"/>
      <c r="BW159"/>
      <c r="BX159"/>
      <c r="BZ159"/>
      <c r="CA159"/>
      <c r="CB159"/>
    </row>
    <row r="160" spans="1:82" x14ac:dyDescent="0.25">
      <c r="A160" s="6930" t="s">
        <v>1967</v>
      </c>
      <c r="B160" s="2206" t="s">
        <v>1968</v>
      </c>
      <c r="C160" s="2315">
        <f>SUM(D160:E160)</f>
        <v>0</v>
      </c>
      <c r="D160" s="2316">
        <f t="shared" ref="D160:E162" si="89">SUM(F160+H160+J160+L160)</f>
        <v>0</v>
      </c>
      <c r="E160" s="2317">
        <f t="shared" si="89"/>
        <v>0</v>
      </c>
      <c r="F160" s="2209"/>
      <c r="G160" s="2318"/>
      <c r="H160" s="2209"/>
      <c r="I160" s="2318"/>
      <c r="J160" s="2209"/>
      <c r="K160" s="2318"/>
      <c r="L160" s="2209"/>
      <c r="M160" s="2319"/>
      <c r="N160" s="2320"/>
      <c r="O160" s="2321"/>
      <c r="P160" s="2289"/>
      <c r="Q160" s="2318"/>
      <c r="R160" s="2318"/>
      <c r="S160" t="str">
        <f>BQ160&amp;BR160&amp;BS160</f>
        <v/>
      </c>
      <c r="BQ160" s="2553" t="str">
        <f>IF(AND(C160&gt;0,Q160=""),"   * No olvide digitar la variable Pueblos originarios. Digite Cero si no tiene.",IF(Q160&gt;C160," *  La variable Pueblos originarios No puede ser mayor al Total.",""))</f>
        <v/>
      </c>
      <c r="BR160" s="2553" t="str">
        <f>IF(AND(C160&gt;0,R160=""),"   * No olvide digitar la variable Migrantes. Digite Cero si no tiene.",IF(R160&gt;C160," *  La variable Migrantes No puede ser mayor al Total.",""))</f>
        <v/>
      </c>
      <c r="BS160"/>
      <c r="BT160"/>
      <c r="BU160"/>
      <c r="BV160"/>
      <c r="BW160"/>
      <c r="BX160"/>
      <c r="BZ160"/>
      <c r="CA160"/>
      <c r="CB160" s="1793">
        <f>IF(AND(C160&gt;0,Q160=""),1,IF(Q160&gt;C160,1,0))</f>
        <v>0</v>
      </c>
      <c r="CC160" s="1793">
        <f>IF(AND(C160&gt;0,R160=""),1,IF(R160&gt;C160,1,0))</f>
        <v>0</v>
      </c>
    </row>
    <row r="161" spans="1:82" x14ac:dyDescent="0.25">
      <c r="A161" s="6796"/>
      <c r="B161" s="1123" t="s">
        <v>1969</v>
      </c>
      <c r="C161" s="1631">
        <f>SUM(D161:E161)</f>
        <v>0</v>
      </c>
      <c r="D161" s="1623">
        <f t="shared" si="89"/>
        <v>0</v>
      </c>
      <c r="E161" s="31">
        <f t="shared" si="89"/>
        <v>0</v>
      </c>
      <c r="F161" s="1113"/>
      <c r="G161" s="8"/>
      <c r="H161" s="1113"/>
      <c r="I161" s="8"/>
      <c r="J161" s="1113"/>
      <c r="K161" s="8"/>
      <c r="L161" s="1113"/>
      <c r="M161" s="1765"/>
      <c r="N161" s="2322"/>
      <c r="O161" s="1476"/>
      <c r="P161" s="2203"/>
      <c r="Q161" s="8"/>
      <c r="R161" s="8"/>
      <c r="S161" t="str">
        <f t="shared" ref="S161:S167" si="90">BQ161&amp;BR161&amp;BS161</f>
        <v/>
      </c>
      <c r="BQ161" s="2553" t="str">
        <f t="shared" ref="BQ161:BQ167" si="91">IF(AND(C161&gt;0,Q161=""),"   * No olvide digitar la variable Pueblos originarios. Digite Cero si no tiene.",IF(Q161&gt;C161," *  La variable Pueblos originarios No puede ser mayor al Total.",""))</f>
        <v/>
      </c>
      <c r="BR161" s="2553" t="str">
        <f t="shared" ref="BR161:BR167" si="92">IF(AND(C161&gt;0,R161=""),"   * No olvide digitar la variable Migrantes. Digite Cero si no tiene.",IF(R161&gt;C161," *  La variable Migrantes No puede ser mayor al Total.",""))</f>
        <v/>
      </c>
      <c r="BS161"/>
      <c r="BT161"/>
      <c r="BU161"/>
      <c r="BV161"/>
      <c r="BW161"/>
      <c r="BX161"/>
      <c r="BZ161"/>
      <c r="CA161"/>
      <c r="CB161" s="1793">
        <f t="shared" ref="CB161:CB167" si="93">IF(AND(C161&gt;0,Q161=""),1,IF(Q161&gt;C161,1,0))</f>
        <v>0</v>
      </c>
      <c r="CC161" s="1793">
        <f t="shared" ref="CC161:CC167" si="94">IF(AND(C161&gt;0,R161=""),1,IF(R161&gt;C161,1,0))</f>
        <v>0</v>
      </c>
    </row>
    <row r="162" spans="1:82" x14ac:dyDescent="0.25">
      <c r="A162" s="6796"/>
      <c r="B162" s="2310" t="s">
        <v>1970</v>
      </c>
      <c r="C162" s="2323">
        <f>SUM(D162:E162)</f>
        <v>0</v>
      </c>
      <c r="D162" s="2324">
        <f t="shared" si="89"/>
        <v>0</v>
      </c>
      <c r="E162" s="32">
        <f t="shared" si="89"/>
        <v>0</v>
      </c>
      <c r="F162" s="9"/>
      <c r="G162" s="11"/>
      <c r="H162" s="9"/>
      <c r="I162" s="11"/>
      <c r="J162" s="9"/>
      <c r="K162" s="11"/>
      <c r="L162" s="9"/>
      <c r="M162" s="2325"/>
      <c r="N162" s="2326"/>
      <c r="O162" s="10"/>
      <c r="P162" s="1764"/>
      <c r="Q162" s="11"/>
      <c r="R162" s="11"/>
      <c r="S162" t="str">
        <f t="shared" si="90"/>
        <v/>
      </c>
      <c r="BQ162" s="2553" t="str">
        <f t="shared" si="91"/>
        <v/>
      </c>
      <c r="BR162" s="2553" t="str">
        <f t="shared" si="92"/>
        <v/>
      </c>
      <c r="BS162"/>
      <c r="BT162"/>
      <c r="BU162"/>
      <c r="BV162"/>
      <c r="BW162"/>
      <c r="BX162"/>
      <c r="BZ162"/>
      <c r="CA162"/>
      <c r="CB162" s="1793">
        <f t="shared" si="93"/>
        <v>0</v>
      </c>
      <c r="CC162" s="1793">
        <f t="shared" si="94"/>
        <v>0</v>
      </c>
    </row>
    <row r="163" spans="1:82" ht="15" customHeight="1" x14ac:dyDescent="0.25">
      <c r="A163" s="7046" t="s">
        <v>1971</v>
      </c>
      <c r="B163" s="7046"/>
      <c r="C163" s="2762">
        <f>SUM(C160:C162)</f>
        <v>0</v>
      </c>
      <c r="D163" s="2763">
        <f>SUM(D160:D162)</f>
        <v>0</v>
      </c>
      <c r="E163" s="2764">
        <f>SUM(E160:E162)</f>
        <v>0</v>
      </c>
      <c r="F163" s="2762">
        <f>SUM(F160:F162)</f>
        <v>0</v>
      </c>
      <c r="G163" s="2764">
        <f t="shared" ref="G163:P163" si="95">SUM(G160:G162)</f>
        <v>0</v>
      </c>
      <c r="H163" s="2762">
        <f t="shared" si="95"/>
        <v>0</v>
      </c>
      <c r="I163" s="2764">
        <f t="shared" si="95"/>
        <v>0</v>
      </c>
      <c r="J163" s="2762">
        <f t="shared" si="95"/>
        <v>0</v>
      </c>
      <c r="K163" s="2764">
        <f t="shared" si="95"/>
        <v>0</v>
      </c>
      <c r="L163" s="2762">
        <f t="shared" si="95"/>
        <v>0</v>
      </c>
      <c r="M163" s="2765">
        <f t="shared" si="95"/>
        <v>0</v>
      </c>
      <c r="N163" s="2766">
        <f t="shared" si="95"/>
        <v>0</v>
      </c>
      <c r="O163" s="2763">
        <f t="shared" si="95"/>
        <v>0</v>
      </c>
      <c r="P163" s="2767">
        <f t="shared" si="95"/>
        <v>0</v>
      </c>
      <c r="Q163" s="2764">
        <f>SUM(Q160:Q162)</f>
        <v>0</v>
      </c>
      <c r="R163" s="2764">
        <f>SUM(R160:R162)</f>
        <v>0</v>
      </c>
      <c r="BQ163"/>
      <c r="BR163"/>
      <c r="BS163"/>
      <c r="BT163"/>
      <c r="BU163"/>
      <c r="BV163"/>
      <c r="BW163"/>
      <c r="BX163"/>
      <c r="BZ163"/>
      <c r="CA163"/>
      <c r="CB163"/>
    </row>
    <row r="164" spans="1:82" x14ac:dyDescent="0.25">
      <c r="A164" s="6930" t="s">
        <v>1972</v>
      </c>
      <c r="B164" s="1767" t="s">
        <v>1973</v>
      </c>
      <c r="C164" s="2327">
        <f>SUM(D164:E164)</f>
        <v>0</v>
      </c>
      <c r="D164" s="1630">
        <f>SUM(F164+H164+J164+L164)</f>
        <v>0</v>
      </c>
      <c r="E164" s="33">
        <f>SUM(G164+I164+K164+M164)</f>
        <v>0</v>
      </c>
      <c r="F164" s="2201"/>
      <c r="G164" s="1107"/>
      <c r="H164" s="2201"/>
      <c r="I164" s="1107"/>
      <c r="J164" s="2201"/>
      <c r="K164" s="1107"/>
      <c r="L164" s="2201"/>
      <c r="M164" s="2328"/>
      <c r="N164" s="1641"/>
      <c r="O164" s="1487"/>
      <c r="P164" s="2202"/>
      <c r="Q164" s="1107"/>
      <c r="R164" s="1107"/>
      <c r="S164" t="str">
        <f t="shared" si="90"/>
        <v/>
      </c>
      <c r="BQ164" s="2553" t="str">
        <f t="shared" si="91"/>
        <v/>
      </c>
      <c r="BR164" s="2553" t="str">
        <f t="shared" si="92"/>
        <v/>
      </c>
      <c r="BS164"/>
      <c r="BT164"/>
      <c r="BU164"/>
      <c r="BV164"/>
      <c r="BW164"/>
      <c r="BX164"/>
      <c r="BZ164"/>
      <c r="CA164"/>
      <c r="CB164" s="1793">
        <f t="shared" si="93"/>
        <v>0</v>
      </c>
      <c r="CC164" s="1793">
        <f t="shared" si="94"/>
        <v>0</v>
      </c>
    </row>
    <row r="165" spans="1:82" x14ac:dyDescent="0.25">
      <c r="A165" s="6796"/>
      <c r="B165" s="1123" t="s">
        <v>1974</v>
      </c>
      <c r="C165" s="1631">
        <f>SUM(D165:E165)</f>
        <v>0</v>
      </c>
      <c r="D165" s="1623">
        <f t="shared" ref="D165:E167" si="96">SUM(F165+H165+J165+L165)</f>
        <v>0</v>
      </c>
      <c r="E165" s="31">
        <f t="shared" si="96"/>
        <v>0</v>
      </c>
      <c r="F165" s="1113"/>
      <c r="G165" s="8"/>
      <c r="H165" s="1113"/>
      <c r="I165" s="8"/>
      <c r="J165" s="1113"/>
      <c r="K165" s="8"/>
      <c r="L165" s="1113"/>
      <c r="M165" s="1765"/>
      <c r="N165" s="2322"/>
      <c r="O165" s="1476"/>
      <c r="P165" s="2203"/>
      <c r="Q165" s="8"/>
      <c r="R165" s="8"/>
      <c r="S165" t="str">
        <f t="shared" si="90"/>
        <v/>
      </c>
      <c r="BQ165" s="2553" t="str">
        <f t="shared" si="91"/>
        <v/>
      </c>
      <c r="BR165" s="2553" t="str">
        <f t="shared" si="92"/>
        <v/>
      </c>
      <c r="BS165"/>
      <c r="BT165"/>
      <c r="BU165"/>
      <c r="BV165"/>
      <c r="BW165"/>
      <c r="BX165"/>
      <c r="BZ165"/>
      <c r="CA165"/>
      <c r="CB165" s="1793">
        <f t="shared" si="93"/>
        <v>0</v>
      </c>
      <c r="CC165" s="1793">
        <f t="shared" si="94"/>
        <v>0</v>
      </c>
    </row>
    <row r="166" spans="1:82" x14ac:dyDescent="0.25">
      <c r="A166" s="6796"/>
      <c r="B166" s="1123" t="s">
        <v>1975</v>
      </c>
      <c r="C166" s="1631">
        <f>SUM(D166:E166)</f>
        <v>0</v>
      </c>
      <c r="D166" s="1623">
        <f t="shared" si="96"/>
        <v>0</v>
      </c>
      <c r="E166" s="31">
        <f t="shared" si="96"/>
        <v>0</v>
      </c>
      <c r="F166" s="1113"/>
      <c r="G166" s="8"/>
      <c r="H166" s="1113"/>
      <c r="I166" s="8"/>
      <c r="J166" s="1113"/>
      <c r="K166" s="8"/>
      <c r="L166" s="1113"/>
      <c r="M166" s="1765"/>
      <c r="N166" s="2322"/>
      <c r="O166" s="1476"/>
      <c r="P166" s="2203"/>
      <c r="Q166" s="8"/>
      <c r="R166" s="8"/>
      <c r="S166" t="str">
        <f t="shared" si="90"/>
        <v/>
      </c>
      <c r="BQ166" s="2553" t="str">
        <f t="shared" si="91"/>
        <v/>
      </c>
      <c r="BR166" s="2553" t="str">
        <f t="shared" si="92"/>
        <v/>
      </c>
      <c r="BS166"/>
      <c r="BT166"/>
      <c r="BU166"/>
      <c r="BV166"/>
      <c r="BW166"/>
      <c r="BX166"/>
      <c r="BZ166"/>
      <c r="CA166"/>
      <c r="CB166" s="1793">
        <f t="shared" si="93"/>
        <v>0</v>
      </c>
      <c r="CC166" s="1793">
        <f t="shared" si="94"/>
        <v>0</v>
      </c>
    </row>
    <row r="167" spans="1:82" x14ac:dyDescent="0.25">
      <c r="A167" s="6932"/>
      <c r="B167" s="1768" t="s">
        <v>1976</v>
      </c>
      <c r="C167" s="2323">
        <f>SUM(D167:E167)</f>
        <v>0</v>
      </c>
      <c r="D167" s="2324">
        <f t="shared" si="96"/>
        <v>0</v>
      </c>
      <c r="E167" s="32">
        <f t="shared" si="96"/>
        <v>0</v>
      </c>
      <c r="F167" s="9"/>
      <c r="G167" s="11"/>
      <c r="H167" s="9"/>
      <c r="I167" s="11"/>
      <c r="J167" s="9"/>
      <c r="K167" s="11"/>
      <c r="L167" s="9"/>
      <c r="M167" s="2325"/>
      <c r="N167" s="2326"/>
      <c r="O167" s="10"/>
      <c r="P167" s="1764"/>
      <c r="Q167" s="11"/>
      <c r="R167" s="11"/>
      <c r="S167" t="str">
        <f t="shared" si="90"/>
        <v/>
      </c>
      <c r="BQ167" s="2553" t="str">
        <f t="shared" si="91"/>
        <v/>
      </c>
      <c r="BR167" s="2553" t="str">
        <f t="shared" si="92"/>
        <v/>
      </c>
      <c r="BS167"/>
      <c r="BT167"/>
      <c r="BU167"/>
      <c r="BV167"/>
      <c r="BW167"/>
      <c r="BX167"/>
      <c r="BZ167"/>
      <c r="CA167"/>
      <c r="CB167" s="1793">
        <f t="shared" si="93"/>
        <v>0</v>
      </c>
      <c r="CC167" s="1793">
        <f t="shared" si="94"/>
        <v>0</v>
      </c>
    </row>
    <row r="168" spans="1:82" ht="15" customHeight="1" x14ac:dyDescent="0.25">
      <c r="A168" s="7047" t="s">
        <v>1971</v>
      </c>
      <c r="B168" s="7046"/>
      <c r="C168" s="2762">
        <f>SUM(C164:C167)</f>
        <v>0</v>
      </c>
      <c r="D168" s="2763">
        <f>SUM(D164:D167)</f>
        <v>0</v>
      </c>
      <c r="E168" s="2764">
        <f>SUM(E164:E167)</f>
        <v>0</v>
      </c>
      <c r="F168" s="2762">
        <f>SUM(F164:F167)</f>
        <v>0</v>
      </c>
      <c r="G168" s="2764">
        <f t="shared" ref="G168:P168" si="97">SUM(G164:G167)</f>
        <v>0</v>
      </c>
      <c r="H168" s="2762">
        <f t="shared" si="97"/>
        <v>0</v>
      </c>
      <c r="I168" s="2764">
        <f t="shared" si="97"/>
        <v>0</v>
      </c>
      <c r="J168" s="2762">
        <f t="shared" si="97"/>
        <v>0</v>
      </c>
      <c r="K168" s="2764">
        <f t="shared" si="97"/>
        <v>0</v>
      </c>
      <c r="L168" s="2762">
        <f t="shared" si="97"/>
        <v>0</v>
      </c>
      <c r="M168" s="2765">
        <f t="shared" si="97"/>
        <v>0</v>
      </c>
      <c r="N168" s="2766">
        <f t="shared" si="97"/>
        <v>0</v>
      </c>
      <c r="O168" s="2763">
        <f t="shared" si="97"/>
        <v>0</v>
      </c>
      <c r="P168" s="2767">
        <f t="shared" si="97"/>
        <v>0</v>
      </c>
      <c r="Q168" s="2764">
        <f>SUM(Q164:Q167)</f>
        <v>0</v>
      </c>
      <c r="R168" s="2764">
        <f>SUM(R164:R167)</f>
        <v>0</v>
      </c>
      <c r="BQ168"/>
      <c r="BR168"/>
      <c r="BS168"/>
      <c r="BT168"/>
      <c r="BU168"/>
      <c r="BV168"/>
      <c r="BW168"/>
      <c r="BX168"/>
      <c r="BZ168"/>
      <c r="CA168"/>
      <c r="CB168"/>
    </row>
    <row r="169" spans="1:82" x14ac:dyDescent="0.25">
      <c r="A169" s="7047" t="s">
        <v>35</v>
      </c>
      <c r="B169" s="7047"/>
      <c r="C169" s="2768">
        <f>SUM(C163+C168)</f>
        <v>0</v>
      </c>
      <c r="D169" s="2769">
        <f t="shared" ref="D169:P169" si="98">SUM(D163+D168)</f>
        <v>0</v>
      </c>
      <c r="E169" s="2770">
        <f t="shared" si="98"/>
        <v>0</v>
      </c>
      <c r="F169" s="2768">
        <f t="shared" si="98"/>
        <v>0</v>
      </c>
      <c r="G169" s="2770">
        <f t="shared" si="98"/>
        <v>0</v>
      </c>
      <c r="H169" s="2768">
        <f t="shared" si="98"/>
        <v>0</v>
      </c>
      <c r="I169" s="2770">
        <f t="shared" si="98"/>
        <v>0</v>
      </c>
      <c r="J169" s="2768">
        <f t="shared" si="98"/>
        <v>0</v>
      </c>
      <c r="K169" s="2770">
        <f t="shared" si="98"/>
        <v>0</v>
      </c>
      <c r="L169" s="2768">
        <f t="shared" si="98"/>
        <v>0</v>
      </c>
      <c r="M169" s="2771">
        <f t="shared" si="98"/>
        <v>0</v>
      </c>
      <c r="N169" s="2772">
        <f t="shared" si="98"/>
        <v>0</v>
      </c>
      <c r="O169" s="2769">
        <f t="shared" si="98"/>
        <v>0</v>
      </c>
      <c r="P169" s="2773">
        <f t="shared" si="98"/>
        <v>0</v>
      </c>
      <c r="Q169" s="2770">
        <f>SUM(Q163+Q168)</f>
        <v>0</v>
      </c>
      <c r="R169" s="2770">
        <f>SUM(R163+R168)</f>
        <v>0</v>
      </c>
      <c r="BQ169"/>
      <c r="BR169"/>
      <c r="BS169"/>
      <c r="BT169"/>
      <c r="BU169"/>
      <c r="BV169"/>
      <c r="BW169"/>
      <c r="BX169"/>
      <c r="BZ169"/>
      <c r="CA169"/>
      <c r="CB169"/>
    </row>
    <row r="170" spans="1:82" s="17" customFormat="1" ht="18" customHeight="1" x14ac:dyDescent="0.2">
      <c r="A170" s="2734" t="s">
        <v>1978</v>
      </c>
      <c r="B170" s="2734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pans="1:82" ht="15" customHeight="1" x14ac:dyDescent="0.25">
      <c r="A171" s="6939" t="s">
        <v>0</v>
      </c>
      <c r="B171" s="6528"/>
      <c r="C171" s="6928" t="s">
        <v>24</v>
      </c>
      <c r="D171" s="6928"/>
      <c r="E171" s="6921"/>
      <c r="F171" s="6920" t="s">
        <v>19</v>
      </c>
      <c r="G171" s="6921"/>
      <c r="H171" s="6920" t="s">
        <v>20</v>
      </c>
      <c r="I171" s="6921"/>
      <c r="J171" s="6920" t="s">
        <v>70</v>
      </c>
      <c r="K171" s="6921"/>
      <c r="L171" s="6920" t="s">
        <v>71</v>
      </c>
      <c r="M171" s="6921"/>
      <c r="N171" s="6920" t="s">
        <v>32</v>
      </c>
      <c r="O171" s="6929"/>
      <c r="P171" s="6528" t="s">
        <v>2</v>
      </c>
      <c r="Q171" s="6528" t="s">
        <v>3</v>
      </c>
      <c r="BQ171"/>
      <c r="BR171"/>
      <c r="BS171"/>
      <c r="BT171"/>
      <c r="BU171"/>
      <c r="BV171"/>
      <c r="BW171"/>
      <c r="BX171"/>
      <c r="BZ171"/>
      <c r="CA171"/>
      <c r="CB171"/>
    </row>
    <row r="172" spans="1:82" ht="15" customHeight="1" x14ac:dyDescent="0.25">
      <c r="A172" s="7002"/>
      <c r="B172" s="7003"/>
      <c r="C172" s="2753" t="s">
        <v>26</v>
      </c>
      <c r="D172" s="2754" t="s">
        <v>22</v>
      </c>
      <c r="E172" s="2751" t="s">
        <v>27</v>
      </c>
      <c r="F172" s="2753" t="s">
        <v>22</v>
      </c>
      <c r="G172" s="2751" t="s">
        <v>27</v>
      </c>
      <c r="H172" s="2753" t="s">
        <v>22</v>
      </c>
      <c r="I172" s="2751" t="s">
        <v>27</v>
      </c>
      <c r="J172" s="2753" t="s">
        <v>22</v>
      </c>
      <c r="K172" s="2751" t="s">
        <v>27</v>
      </c>
      <c r="L172" s="2753" t="s">
        <v>22</v>
      </c>
      <c r="M172" s="2751" t="s">
        <v>27</v>
      </c>
      <c r="N172" s="2753" t="s">
        <v>22</v>
      </c>
      <c r="O172" s="2774" t="s">
        <v>27</v>
      </c>
      <c r="P172" s="7003"/>
      <c r="Q172" s="7003"/>
      <c r="BQ172"/>
      <c r="BR172"/>
      <c r="BS172"/>
      <c r="BT172"/>
      <c r="BU172"/>
      <c r="BV172"/>
      <c r="BW172"/>
      <c r="BX172"/>
      <c r="BZ172"/>
      <c r="CA172"/>
      <c r="CB172"/>
    </row>
    <row r="173" spans="1:82" ht="15" customHeight="1" x14ac:dyDescent="0.25">
      <c r="A173" s="7043" t="s">
        <v>1109</v>
      </c>
      <c r="B173" s="5641" t="s">
        <v>1968</v>
      </c>
      <c r="C173" s="5654">
        <f>SUM(D173+E173)</f>
        <v>0</v>
      </c>
      <c r="D173" s="5655">
        <f>SUM(F173+H173+J173+L173+N173)</f>
        <v>0</v>
      </c>
      <c r="E173" s="5656">
        <f>SUM(G173+I173+K173+M173+O173)</f>
        <v>0</v>
      </c>
      <c r="F173" s="5642"/>
      <c r="G173" s="5646"/>
      <c r="H173" s="5642"/>
      <c r="I173" s="5646"/>
      <c r="J173" s="5642"/>
      <c r="K173" s="5646"/>
      <c r="L173" s="5642"/>
      <c r="M173" s="5646"/>
      <c r="N173" s="5642"/>
      <c r="O173" s="5657"/>
      <c r="P173" s="5646"/>
      <c r="Q173" s="5646"/>
      <c r="R173" t="str">
        <f>BQ173&amp;BR173</f>
        <v/>
      </c>
      <c r="BQ173" s="2553" t="str">
        <f>IF(AND(C173&gt;0,P173=""),"   * No olvide digitar la variable Pueblos originarios. Digite Cero si no tiene.",IF(P173&gt;C173," *  La variable Pueblos originarios No puede ser mayor al Total.",""))</f>
        <v/>
      </c>
      <c r="BR173" s="2553" t="str">
        <f>IF(AND(C173&gt;0,Q173=""),"   * No olvide digitar la variable Migrantes. Digite Cero si no tiene.",IF(Q173&gt;C173," *  La variable Migrantes No puede ser mayor al Total.",""))</f>
        <v/>
      </c>
      <c r="BZ173"/>
      <c r="CA173"/>
      <c r="CB173" s="1793">
        <f>IF(AND(C173&gt;0,P173=""),1,IF(P173&gt;C173,1,0))</f>
        <v>0</v>
      </c>
      <c r="CC173" s="1793">
        <f>IF(AND(C173&gt;0,Q173=""),1,IF(Q173&gt;C173,1,0))</f>
        <v>0</v>
      </c>
      <c r="CD173" s="1793"/>
    </row>
    <row r="174" spans="1:82" ht="15" customHeight="1" x14ac:dyDescent="0.25">
      <c r="A174" s="7044"/>
      <c r="B174" s="4107" t="s">
        <v>1969</v>
      </c>
      <c r="C174" s="2256">
        <f>SUM(D174+E174)</f>
        <v>0</v>
      </c>
      <c r="D174" s="5658">
        <f>SUM(H174+J174+L174+N174)</f>
        <v>0</v>
      </c>
      <c r="E174" s="4188">
        <f>SUM(I174+K174+M174+O174)</f>
        <v>0</v>
      </c>
      <c r="F174" s="1598"/>
      <c r="G174" s="5109"/>
      <c r="H174" s="1318"/>
      <c r="I174" s="4544"/>
      <c r="J174" s="1318"/>
      <c r="K174" s="4544"/>
      <c r="L174" s="1318"/>
      <c r="M174" s="4544"/>
      <c r="N174" s="1318"/>
      <c r="O174" s="5653"/>
      <c r="P174" s="4544"/>
      <c r="Q174" s="4544"/>
      <c r="R174" t="str">
        <f t="shared" ref="R174:R180" si="99">BQ174&amp;BR174</f>
        <v/>
      </c>
      <c r="BQ174" s="2553" t="str">
        <f t="shared" ref="BQ174:BQ180" si="100">IF(AND(C174&gt;0,P174=""),"   * No olvide digitar la variable Pueblos originarios. Digite Cero si no tiene.",IF(P174&gt;C174," *  La variable Pueblos originarios No puede ser mayor al Total.",""))</f>
        <v/>
      </c>
      <c r="BR174" s="2553" t="str">
        <f t="shared" ref="BR174:BR180" si="101">IF(AND(C174&gt;0,Q174=""),"   * No olvide digitar la variable Migrantes. Digite Cero si no tiene.",IF(Q174&gt;C174," *  La variable Migrantes No puede ser mayor al Total.",""))</f>
        <v/>
      </c>
      <c r="BZ174"/>
      <c r="CA174"/>
      <c r="CB174" s="1793">
        <f t="shared" ref="CB174:CB180" si="102">IF(AND(C174&gt;0,P174=""),1,IF(P174&gt;C174,1,0))</f>
        <v>0</v>
      </c>
      <c r="CC174" s="1793">
        <f t="shared" ref="CC174:CC180" si="103">IF(AND(C174&gt;0,Q174=""),1,IF(Q174&gt;C174,1,0))</f>
        <v>0</v>
      </c>
      <c r="CD174" s="1793"/>
    </row>
    <row r="175" spans="1:82" ht="15" customHeight="1" x14ac:dyDescent="0.25">
      <c r="A175" s="7044"/>
      <c r="B175" s="1768" t="s">
        <v>1970</v>
      </c>
      <c r="C175" s="5659">
        <f>SUM(D175+E175)</f>
        <v>0</v>
      </c>
      <c r="D175" s="5057">
        <f>SUM(H175+J175+L175+N175)</f>
        <v>0</v>
      </c>
      <c r="E175" s="5660">
        <f>SUM(I175+K175+M175+O175)</f>
        <v>0</v>
      </c>
      <c r="F175" s="5106"/>
      <c r="G175" s="5661"/>
      <c r="H175" s="4431"/>
      <c r="I175" s="2849"/>
      <c r="J175" s="4431"/>
      <c r="K175" s="2849"/>
      <c r="L175" s="4431"/>
      <c r="M175" s="2849"/>
      <c r="N175" s="4431"/>
      <c r="O175" s="4074"/>
      <c r="P175" s="2849"/>
      <c r="Q175" s="2849"/>
      <c r="R175" t="str">
        <f t="shared" si="99"/>
        <v/>
      </c>
      <c r="BQ175" s="2553" t="str">
        <f t="shared" si="100"/>
        <v/>
      </c>
      <c r="BR175" s="2553" t="str">
        <f t="shared" si="101"/>
        <v/>
      </c>
      <c r="BZ175"/>
      <c r="CA175"/>
      <c r="CB175" s="1793">
        <f t="shared" si="102"/>
        <v>0</v>
      </c>
      <c r="CC175" s="1793">
        <f t="shared" si="103"/>
        <v>0</v>
      </c>
      <c r="CD175" s="1793"/>
    </row>
    <row r="176" spans="1:82" ht="15" customHeight="1" x14ac:dyDescent="0.25">
      <c r="A176" s="7045"/>
      <c r="B176" s="5662" t="s">
        <v>1979</v>
      </c>
      <c r="C176" s="5663">
        <f>SUM(C173:C175)</f>
        <v>0</v>
      </c>
      <c r="D176" s="5664">
        <f>SUM(D173:D175)</f>
        <v>0</v>
      </c>
      <c r="E176" s="5665">
        <f>SUM(E173:E175)</f>
        <v>0</v>
      </c>
      <c r="F176" s="5663">
        <f>SUM(F173:F175)</f>
        <v>0</v>
      </c>
      <c r="G176" s="5665">
        <f t="shared" ref="G176:O176" si="104">SUM(G173:G175)</f>
        <v>0</v>
      </c>
      <c r="H176" s="5663">
        <f t="shared" si="104"/>
        <v>0</v>
      </c>
      <c r="I176" s="5665">
        <f t="shared" si="104"/>
        <v>0</v>
      </c>
      <c r="J176" s="5663">
        <f t="shared" si="104"/>
        <v>0</v>
      </c>
      <c r="K176" s="5665">
        <f t="shared" si="104"/>
        <v>0</v>
      </c>
      <c r="L176" s="5663">
        <f t="shared" si="104"/>
        <v>0</v>
      </c>
      <c r="M176" s="5665">
        <f t="shared" si="104"/>
        <v>0</v>
      </c>
      <c r="N176" s="5663">
        <f t="shared" si="104"/>
        <v>0</v>
      </c>
      <c r="O176" s="5666">
        <f t="shared" si="104"/>
        <v>0</v>
      </c>
      <c r="P176" s="5665">
        <f>SUM(P173:P175)</f>
        <v>0</v>
      </c>
      <c r="Q176" s="5665">
        <f>SUM(Q173:Q175)</f>
        <v>0</v>
      </c>
      <c r="BQ176"/>
      <c r="BR176"/>
      <c r="BS176"/>
      <c r="BT176"/>
      <c r="BU176"/>
      <c r="BV176"/>
      <c r="BW176"/>
      <c r="BX176"/>
      <c r="BZ176"/>
      <c r="CA176"/>
      <c r="CB176"/>
    </row>
    <row r="177" spans="1:89" ht="15" customHeight="1" x14ac:dyDescent="0.25">
      <c r="A177" s="7044" t="s">
        <v>1177</v>
      </c>
      <c r="B177" s="5637" t="s">
        <v>1980</v>
      </c>
      <c r="C177" s="5648">
        <f>SUM(D177+E177)</f>
        <v>0</v>
      </c>
      <c r="D177" s="5649">
        <f>SUM(F177+H177+J177+L177+N177)</f>
        <v>0</v>
      </c>
      <c r="E177" s="5650">
        <f>SUM(G177+I177+K177+M177+O177)</f>
        <v>0</v>
      </c>
      <c r="F177" s="1321"/>
      <c r="G177" s="5651"/>
      <c r="H177" s="2330"/>
      <c r="I177" s="5651"/>
      <c r="J177" s="1318"/>
      <c r="K177" s="4544"/>
      <c r="L177" s="1318"/>
      <c r="M177" s="4544"/>
      <c r="N177" s="5652"/>
      <c r="O177" s="5653"/>
      <c r="P177" s="1305"/>
      <c r="Q177" s="4544"/>
      <c r="R177" t="str">
        <f t="shared" si="99"/>
        <v/>
      </c>
      <c r="BQ177" s="2553" t="str">
        <f t="shared" si="100"/>
        <v/>
      </c>
      <c r="BR177" s="2553" t="str">
        <f t="shared" si="101"/>
        <v/>
      </c>
      <c r="BZ177"/>
      <c r="CA177"/>
      <c r="CB177" s="1793">
        <f t="shared" si="102"/>
        <v>0</v>
      </c>
      <c r="CC177" s="1793">
        <f t="shared" si="103"/>
        <v>0</v>
      </c>
      <c r="CD177" s="1793"/>
    </row>
    <row r="178" spans="1:89" ht="15" customHeight="1" x14ac:dyDescent="0.25">
      <c r="A178" s="6796"/>
      <c r="B178" s="1123" t="s">
        <v>1033</v>
      </c>
      <c r="C178" s="2331">
        <f>SUM(D178+E178)</f>
        <v>0</v>
      </c>
      <c r="D178" s="1630">
        <f t="shared" ref="D178:E180" si="105">SUM(F178+H178+J178+L178+N178)</f>
        <v>0</v>
      </c>
      <c r="E178" s="33">
        <f t="shared" si="105"/>
        <v>0</v>
      </c>
      <c r="F178" s="2201"/>
      <c r="G178" s="1107"/>
      <c r="H178" s="1113"/>
      <c r="I178" s="1107"/>
      <c r="J178" s="1113"/>
      <c r="K178" s="1107"/>
      <c r="L178" s="2201"/>
      <c r="M178" s="1107"/>
      <c r="N178" s="1113"/>
      <c r="O178" s="1322"/>
      <c r="P178" s="8"/>
      <c r="Q178" s="1107"/>
      <c r="R178" t="str">
        <f t="shared" si="99"/>
        <v/>
      </c>
      <c r="BQ178" s="2553" t="str">
        <f t="shared" si="100"/>
        <v/>
      </c>
      <c r="BR178" s="2553" t="str">
        <f t="shared" si="101"/>
        <v/>
      </c>
      <c r="BZ178"/>
      <c r="CA178"/>
      <c r="CB178" s="1793">
        <f>IF(AND(C178&gt;0,P178=""),1,IF(P178&gt;C178,1,0))</f>
        <v>0</v>
      </c>
      <c r="CC178" s="1793">
        <f t="shared" si="103"/>
        <v>0</v>
      </c>
      <c r="CD178" s="1793"/>
    </row>
    <row r="179" spans="1:89" ht="15" customHeight="1" x14ac:dyDescent="0.25">
      <c r="A179" s="6796"/>
      <c r="B179" s="1123" t="s">
        <v>1178</v>
      </c>
      <c r="C179" s="1631">
        <f>SUM(D179+E179)</f>
        <v>0</v>
      </c>
      <c r="D179" s="1623">
        <f t="shared" si="105"/>
        <v>0</v>
      </c>
      <c r="E179" s="31">
        <f t="shared" si="105"/>
        <v>0</v>
      </c>
      <c r="F179" s="1113"/>
      <c r="G179" s="8"/>
      <c r="H179" s="1113"/>
      <c r="I179" s="8"/>
      <c r="J179" s="1113"/>
      <c r="K179" s="8"/>
      <c r="L179" s="1113"/>
      <c r="M179" s="8"/>
      <c r="N179" s="1113"/>
      <c r="O179" s="1118"/>
      <c r="P179" s="8"/>
      <c r="Q179" s="8"/>
      <c r="R179" t="str">
        <f t="shared" si="99"/>
        <v/>
      </c>
      <c r="BQ179" s="2553" t="str">
        <f t="shared" si="100"/>
        <v/>
      </c>
      <c r="BR179" s="2553" t="str">
        <f t="shared" si="101"/>
        <v/>
      </c>
      <c r="BZ179"/>
      <c r="CA179"/>
      <c r="CB179" s="1793">
        <f t="shared" si="102"/>
        <v>0</v>
      </c>
      <c r="CC179" s="1793">
        <f t="shared" si="103"/>
        <v>0</v>
      </c>
      <c r="CD179" s="1793"/>
    </row>
    <row r="180" spans="1:89" ht="15" customHeight="1" x14ac:dyDescent="0.25">
      <c r="A180" s="6932"/>
      <c r="B180" s="1124" t="s">
        <v>1034</v>
      </c>
      <c r="C180" s="1637">
        <f>SUM(D180+E180)</f>
        <v>0</v>
      </c>
      <c r="D180" s="1638">
        <f t="shared" si="105"/>
        <v>0</v>
      </c>
      <c r="E180" s="37">
        <f t="shared" si="105"/>
        <v>0</v>
      </c>
      <c r="F180" s="3"/>
      <c r="G180" s="12"/>
      <c r="H180" s="3"/>
      <c r="I180" s="12"/>
      <c r="J180" s="3"/>
      <c r="K180" s="12"/>
      <c r="L180" s="3"/>
      <c r="M180" s="12"/>
      <c r="N180" s="3"/>
      <c r="O180" s="5"/>
      <c r="P180" s="12"/>
      <c r="Q180" s="12"/>
      <c r="R180" t="str">
        <f t="shared" si="99"/>
        <v/>
      </c>
      <c r="BQ180" s="2553" t="str">
        <f t="shared" si="100"/>
        <v/>
      </c>
      <c r="BR180" s="2553" t="str">
        <f t="shared" si="101"/>
        <v/>
      </c>
      <c r="BZ180"/>
      <c r="CA180"/>
      <c r="CB180" s="1793">
        <f t="shared" si="102"/>
        <v>0</v>
      </c>
      <c r="CC180" s="1793">
        <f t="shared" si="103"/>
        <v>0</v>
      </c>
      <c r="CD180" s="1793"/>
    </row>
    <row r="181" spans="1:89" x14ac:dyDescent="0.25">
      <c r="A181" s="1125" t="s">
        <v>1981</v>
      </c>
      <c r="B181" s="1125"/>
      <c r="C181" s="2585"/>
      <c r="D181" s="2585"/>
      <c r="E181" s="2585"/>
      <c r="F181" s="2585"/>
      <c r="G181" s="2585"/>
      <c r="H181" s="2585"/>
      <c r="BQ181"/>
      <c r="BR181"/>
      <c r="BS181"/>
      <c r="BT181"/>
      <c r="BU181"/>
      <c r="BV181"/>
      <c r="BW181"/>
      <c r="BX181"/>
      <c r="BZ181"/>
      <c r="CA181"/>
      <c r="CB181"/>
    </row>
    <row r="182" spans="1:89" x14ac:dyDescent="0.25">
      <c r="A182" s="1125" t="s">
        <v>3764</v>
      </c>
      <c r="B182" s="1125"/>
      <c r="C182" s="2585"/>
      <c r="D182" s="2585"/>
      <c r="E182" s="2585"/>
      <c r="F182" s="2585"/>
      <c r="G182" s="2585"/>
      <c r="H182" s="2585"/>
      <c r="BQ182"/>
      <c r="BR182"/>
      <c r="BS182"/>
      <c r="BT182"/>
      <c r="BU182"/>
      <c r="BV182"/>
      <c r="BW182"/>
      <c r="BX182"/>
      <c r="BZ182"/>
      <c r="CA182"/>
      <c r="CB182"/>
    </row>
    <row r="183" spans="1:89" s="17" customFormat="1" ht="18" customHeight="1" x14ac:dyDescent="0.2">
      <c r="A183" s="2734" t="s">
        <v>1982</v>
      </c>
      <c r="B183" s="2734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2775"/>
      <c r="AV183" s="2775"/>
      <c r="AW183" s="2775"/>
    </row>
    <row r="184" spans="1:89" x14ac:dyDescent="0.25">
      <c r="A184" s="6939" t="s">
        <v>1983</v>
      </c>
      <c r="B184" s="6528"/>
      <c r="C184" s="6923" t="s">
        <v>24</v>
      </c>
      <c r="D184" s="6923"/>
      <c r="E184" s="6923"/>
      <c r="F184" s="6923" t="s">
        <v>36</v>
      </c>
      <c r="G184" s="6923"/>
      <c r="H184" s="6923" t="s">
        <v>37</v>
      </c>
      <c r="I184" s="6923"/>
      <c r="J184" s="6923" t="s">
        <v>38</v>
      </c>
      <c r="K184" s="6923"/>
      <c r="L184" s="6923" t="s">
        <v>4</v>
      </c>
      <c r="M184" s="6923"/>
      <c r="N184" s="6974" t="s">
        <v>5</v>
      </c>
      <c r="O184" s="6975"/>
      <c r="P184" s="6922" t="s">
        <v>6</v>
      </c>
      <c r="Q184" s="6922"/>
      <c r="R184" s="6922" t="s">
        <v>7</v>
      </c>
      <c r="S184" s="6922"/>
      <c r="T184" s="6922" t="s">
        <v>8</v>
      </c>
      <c r="U184" s="6922"/>
      <c r="V184" s="6922" t="s">
        <v>9</v>
      </c>
      <c r="W184" s="6922"/>
      <c r="X184" s="6922" t="s">
        <v>10</v>
      </c>
      <c r="Y184" s="6922"/>
      <c r="Z184" s="6922" t="s">
        <v>11</v>
      </c>
      <c r="AA184" s="6922"/>
      <c r="AB184" s="6922" t="s">
        <v>18</v>
      </c>
      <c r="AC184" s="6922"/>
      <c r="AD184" s="6922" t="s">
        <v>19</v>
      </c>
      <c r="AE184" s="6922"/>
      <c r="AF184" s="6922" t="s">
        <v>20</v>
      </c>
      <c r="AG184" s="6922"/>
      <c r="AH184" s="6922" t="s">
        <v>70</v>
      </c>
      <c r="AI184" s="6922"/>
      <c r="AJ184" s="6922" t="s">
        <v>71</v>
      </c>
      <c r="AK184" s="6922"/>
      <c r="AL184" s="6922" t="s">
        <v>32</v>
      </c>
      <c r="AM184" s="6920"/>
      <c r="AN184" s="7041" t="s">
        <v>39</v>
      </c>
      <c r="AO184" s="7038" t="s">
        <v>1984</v>
      </c>
      <c r="AP184" s="6920" t="s">
        <v>2</v>
      </c>
      <c r="AQ184" s="6921"/>
      <c r="AR184" s="6925" t="s">
        <v>40</v>
      </c>
      <c r="AS184" s="6925" t="s">
        <v>1985</v>
      </c>
      <c r="AT184" s="6920" t="s">
        <v>3</v>
      </c>
      <c r="AU184" s="6921"/>
      <c r="AV184" s="6974" t="s">
        <v>48</v>
      </c>
      <c r="AW184" s="6975" t="s">
        <v>1986</v>
      </c>
      <c r="BQ184"/>
      <c r="BR184"/>
      <c r="BS184"/>
      <c r="BT184"/>
      <c r="BU184"/>
      <c r="BV184"/>
      <c r="BW184"/>
      <c r="BX184"/>
      <c r="BZ184"/>
      <c r="CA184"/>
      <c r="CB184"/>
    </row>
    <row r="185" spans="1:89" ht="39" customHeight="1" x14ac:dyDescent="0.25">
      <c r="A185" s="7002"/>
      <c r="B185" s="7003"/>
      <c r="C185" s="2779" t="s">
        <v>26</v>
      </c>
      <c r="D185" s="2780" t="s">
        <v>22</v>
      </c>
      <c r="E185" s="2781" t="s">
        <v>27</v>
      </c>
      <c r="F185" s="2779" t="s">
        <v>22</v>
      </c>
      <c r="G185" s="2781" t="s">
        <v>27</v>
      </c>
      <c r="H185" s="2779" t="s">
        <v>22</v>
      </c>
      <c r="I185" s="2781" t="s">
        <v>27</v>
      </c>
      <c r="J185" s="2779" t="s">
        <v>22</v>
      </c>
      <c r="K185" s="2781" t="s">
        <v>27</v>
      </c>
      <c r="L185" s="2779" t="s">
        <v>22</v>
      </c>
      <c r="M185" s="2781" t="s">
        <v>27</v>
      </c>
      <c r="N185" s="2779" t="s">
        <v>22</v>
      </c>
      <c r="O185" s="2781" t="s">
        <v>27</v>
      </c>
      <c r="P185" s="2779" t="s">
        <v>22</v>
      </c>
      <c r="Q185" s="2781" t="s">
        <v>27</v>
      </c>
      <c r="R185" s="2779" t="s">
        <v>22</v>
      </c>
      <c r="S185" s="2781" t="s">
        <v>27</v>
      </c>
      <c r="T185" s="2779" t="s">
        <v>22</v>
      </c>
      <c r="U185" s="2781" t="s">
        <v>27</v>
      </c>
      <c r="V185" s="2779" t="s">
        <v>22</v>
      </c>
      <c r="W185" s="2781" t="s">
        <v>27</v>
      </c>
      <c r="X185" s="2779" t="s">
        <v>22</v>
      </c>
      <c r="Y185" s="2781" t="s">
        <v>27</v>
      </c>
      <c r="Z185" s="2779" t="s">
        <v>22</v>
      </c>
      <c r="AA185" s="2781" t="s">
        <v>27</v>
      </c>
      <c r="AB185" s="2779" t="s">
        <v>22</v>
      </c>
      <c r="AC185" s="2781" t="s">
        <v>27</v>
      </c>
      <c r="AD185" s="2779" t="s">
        <v>22</v>
      </c>
      <c r="AE185" s="2781" t="s">
        <v>27</v>
      </c>
      <c r="AF185" s="2779" t="s">
        <v>22</v>
      </c>
      <c r="AG185" s="2781" t="s">
        <v>27</v>
      </c>
      <c r="AH185" s="2779" t="s">
        <v>22</v>
      </c>
      <c r="AI185" s="2781" t="s">
        <v>27</v>
      </c>
      <c r="AJ185" s="2779" t="s">
        <v>22</v>
      </c>
      <c r="AK185" s="2781" t="s">
        <v>27</v>
      </c>
      <c r="AL185" s="2779" t="s">
        <v>22</v>
      </c>
      <c r="AM185" s="2782" t="s">
        <v>27</v>
      </c>
      <c r="AN185" s="7042"/>
      <c r="AO185" s="7039"/>
      <c r="AP185" s="2779" t="s">
        <v>22</v>
      </c>
      <c r="AQ185" s="2781" t="s">
        <v>27</v>
      </c>
      <c r="AR185" s="6927"/>
      <c r="AS185" s="6927"/>
      <c r="AT185" s="2779" t="s">
        <v>22</v>
      </c>
      <c r="AU185" s="2781" t="s">
        <v>27</v>
      </c>
      <c r="AV185" s="2783" t="s">
        <v>41</v>
      </c>
      <c r="AW185" s="2726" t="s">
        <v>42</v>
      </c>
      <c r="BQ185"/>
      <c r="BR185"/>
      <c r="BS185"/>
      <c r="BT185"/>
      <c r="BU185"/>
      <c r="BV185"/>
      <c r="BW185"/>
      <c r="BX185"/>
      <c r="BZ185"/>
      <c r="CA185"/>
      <c r="CB185"/>
    </row>
    <row r="186" spans="1:89" s="17" customFormat="1" ht="18" customHeight="1" x14ac:dyDescent="0.2">
      <c r="A186" s="7040" t="s">
        <v>1987</v>
      </c>
      <c r="B186" s="7033"/>
      <c r="C186" s="2347">
        <f>SUM(D186+E186)</f>
        <v>0</v>
      </c>
      <c r="D186" s="2348">
        <f>SUM(F186+H186+J186+L186+N186+P186+R186+T186+V186+X186+Z186+AB186+AD186+AF186+AH186+AJ186+AL186)</f>
        <v>0</v>
      </c>
      <c r="E186" s="2358">
        <f>SUM(G186+I186+K186+M186+O186+Q186+S186+U186+W186+Y186+AA186+AC186+AE186+AG186+AI186+AK186+AM186)</f>
        <v>0</v>
      </c>
      <c r="F186" s="2349"/>
      <c r="G186" s="1305"/>
      <c r="H186" s="2349"/>
      <c r="I186" s="1305"/>
      <c r="J186" s="2349"/>
      <c r="K186" s="1305"/>
      <c r="L186" s="2349"/>
      <c r="M186" s="1305"/>
      <c r="N186" s="2349"/>
      <c r="O186" s="1305"/>
      <c r="P186" s="2349"/>
      <c r="Q186" s="1305"/>
      <c r="R186" s="2349"/>
      <c r="S186" s="1305"/>
      <c r="T186" s="2349"/>
      <c r="U186" s="1305"/>
      <c r="V186" s="2349"/>
      <c r="W186" s="1305"/>
      <c r="X186" s="2349"/>
      <c r="Y186" s="1305"/>
      <c r="Z186" s="2349"/>
      <c r="AA186" s="1305"/>
      <c r="AB186" s="2349"/>
      <c r="AC186" s="1305"/>
      <c r="AD186" s="2241"/>
      <c r="AE186" s="1305"/>
      <c r="AF186" s="2241"/>
      <c r="AG186" s="1305"/>
      <c r="AH186" s="2241"/>
      <c r="AI186" s="1305"/>
      <c r="AJ186" s="2241"/>
      <c r="AK186" s="1305"/>
      <c r="AL186" s="2241"/>
      <c r="AM186" s="2330"/>
      <c r="AN186" s="2352"/>
      <c r="AO186" s="2405"/>
      <c r="AP186" s="2241"/>
      <c r="AQ186" s="1305"/>
      <c r="AR186" s="2350"/>
      <c r="AS186" s="2350"/>
      <c r="AT186" s="2743"/>
      <c r="AU186" s="2788"/>
      <c r="AV186" s="2743"/>
      <c r="AW186" s="2788"/>
      <c r="AX186" s="17" t="str">
        <f>BQ186&amp;BR186&amp;BS186&amp;BT186&amp;BU186&amp;BV186&amp;BW186&amp;BX186&amp;BY186&amp;BZ186</f>
        <v/>
      </c>
      <c r="BQ186" s="2553" t="str">
        <f>IF(AND(E186&gt;0,AN186=""), "* No olvide digitar la variable Gestantes. Digite Cero si no tiene.",IF(AN186&gt;E186,"  * La variable Gestantes No puede ser mayor al Total Mujeres.",""))</f>
        <v/>
      </c>
      <c r="BR186" s="2553" t="str">
        <f>IF(AND(E186&gt;0,AO186=""), "* No olvide digitar la variable Madre de hijo menor de 5 años. Digite Cero si no tiene.",IF(AO186&gt;E186,"  * La variable Madre de hijo menor de 5 años No puede ser mayor al Total de Mujeres.",""))</f>
        <v/>
      </c>
      <c r="BS186" s="2553" t="str">
        <f>IF(AND(D186&gt;0,OR(AP186="")), "* No olvide digitar la variable Pueblos originarios - Hombres. Digite Cero si no tiene.",IF((AP186)&gt;D186,"  * La variable Pueblos originarios - Hombres No puede ser mayor al Total.",""))</f>
        <v/>
      </c>
      <c r="BT186" s="2553" t="str">
        <f>IF(AND(E186&gt;0,OR(AQ186="")), "* No olvide digitar la variable Pueblos originarios - Mujeres. Digite Cero si no tiene.",IF((AQ186)&gt;E186,"  * La variable Pueblos originarios - Mujeres No puede ser mayor al Total.",""))</f>
        <v/>
      </c>
      <c r="BU186" s="2553" t="str">
        <f>IF(AND(C186&gt;0,AR186=""), "* No olvide digitar la variable Niños, niñas, adolescentes y jóvenes SENAME. Digite Cero si no tiene.",IF(AR186&gt;C186,"  * La variable Niños, niñas, adolescentes y jóvenes SENAME No puede ser mayor al Total.",""))</f>
        <v/>
      </c>
      <c r="BV186" s="2553" t="str">
        <f>IF(AND(C186&gt;0,AS186=""), "* No olvide digitar la variable Niños, niñas, adolescentes y jóvenes Mejor Niñez. Digite Cero si no tiene.",IF(AS186&gt;C186,"  * La variable Niños, niñas, adolescentes y jóvenes Mejor Niñez No puede ser mayor al Total.",""))</f>
        <v/>
      </c>
      <c r="BW186" s="2553" t="str">
        <f>IF(AND(D186&gt;0,OR(AT186="")), "* No olvide digitar la variable Migrantes - Hombres. Digite Cero si no tiene.",IF((AT186+AT186)&gt;D186,"  * La variable Migrantes - Hombres No puede ser mayor al Total.",""))</f>
        <v/>
      </c>
      <c r="BX186" s="2553" t="str">
        <f>IF(AND(E186&gt;0,OR(AU186="")), "* No olvide digitar la variable Migrantes - Mujeres. Digite Cero si no tiene.",IF((AU186)&gt;E186,"  * La variable Migrantes - Mujeres No puede ser mayor al Total.",""))</f>
        <v/>
      </c>
      <c r="BY186" s="2553" t="str">
        <f>IF(AND(D186&gt;0,OR(AW186="")), "* No olvide digitar la variable Trans (Femenino). Digite Cero si no tiene.",IF((AW186)&gt;D186,"  * La variable Trans (Femenino) No puede ser mayor al Total Hombres.",""))</f>
        <v/>
      </c>
      <c r="BZ186" s="2553" t="str">
        <f>IF(AND(E186&gt;0,OR(AV186="")), "* No olvide digitar la variable Trans (Masculino). Digite Cero si no tiene.",IF((AV186)&gt;E186,"  * La variable Trans (Masculino) No puede ser mayor al Total Mujeres.",""))</f>
        <v/>
      </c>
      <c r="CB186" s="1792">
        <f>IF(AND(E186&gt;0,AN186=""),1,IF(AN186&gt;E186,1,0))</f>
        <v>0</v>
      </c>
      <c r="CC186" s="1792">
        <f>IF(AND(E186&gt;0,AO186=""),1,IF(AO186&gt;E186,1,0))</f>
        <v>0</v>
      </c>
      <c r="CD186" s="1792">
        <f>IF(AND(D186&gt;0,OR(AP186="")),1,IF((AP186)&gt;D186,1,0))</f>
        <v>0</v>
      </c>
      <c r="CE186" s="1792">
        <f>IF(AND(E186&gt;0,OR(AQ186="")),1,IF((AQ186)&gt;E186,1,0))</f>
        <v>0</v>
      </c>
      <c r="CF186" s="1792">
        <f>IF(AND(C186&gt;0,AR186=""),1,IF(AR186&gt;C186,1,0))</f>
        <v>0</v>
      </c>
      <c r="CG186" s="1792">
        <f>IF(AND(C186&gt;0,AS186=""),1,IF(AS186&gt;C186,1,0))</f>
        <v>0</v>
      </c>
      <c r="CH186" s="1792">
        <f>IF(AND(D186&gt;0,OR(AT186="")),1,IF((AT186)&gt;D186,1,0))</f>
        <v>0</v>
      </c>
      <c r="CI186" s="1792">
        <f>IF(AND(E186&gt;0,OR(AU186="")),1,IF((AU186)&gt;E186,1,0))</f>
        <v>0</v>
      </c>
      <c r="CJ186" s="1792">
        <f>IF(AND(D186&gt;0,OR(AW186="")),1,IF((AW186)&gt;D186,1,0))</f>
        <v>0</v>
      </c>
      <c r="CK186" s="1792">
        <f>IF(AND(E186&gt;0,OR(AV186="")),1,IF((AV186)&gt;E186,1,0))</f>
        <v>0</v>
      </c>
    </row>
    <row r="187" spans="1:89" s="17" customFormat="1" ht="18" customHeight="1" x14ac:dyDescent="0.2">
      <c r="A187" s="7028" t="s">
        <v>1988</v>
      </c>
      <c r="B187" s="7029"/>
      <c r="C187" s="2335"/>
      <c r="D187" s="2336"/>
      <c r="E187" s="2336"/>
      <c r="F187" s="2336"/>
      <c r="G187" s="2336"/>
      <c r="H187" s="2336"/>
      <c r="I187" s="2336"/>
      <c r="J187" s="2336"/>
      <c r="K187" s="2336"/>
      <c r="L187" s="2336"/>
      <c r="M187" s="2336"/>
      <c r="N187" s="2336"/>
      <c r="O187" s="2336"/>
      <c r="P187" s="2336"/>
      <c r="Q187" s="2336"/>
      <c r="R187" s="2336"/>
      <c r="S187" s="2336"/>
      <c r="T187" s="2336"/>
      <c r="U187" s="2336"/>
      <c r="V187" s="2336"/>
      <c r="W187" s="2336"/>
      <c r="X187" s="2336"/>
      <c r="Y187" s="2336"/>
      <c r="Z187" s="2336"/>
      <c r="AA187" s="2336"/>
      <c r="AB187" s="2336"/>
      <c r="AC187" s="2336"/>
      <c r="AD187" s="2336"/>
      <c r="AE187" s="2336"/>
      <c r="AF187" s="2336"/>
      <c r="AG187" s="2336"/>
      <c r="AH187" s="2336"/>
      <c r="AI187" s="2336"/>
      <c r="AJ187" s="2336"/>
      <c r="AK187" s="2336"/>
      <c r="AL187" s="2336"/>
      <c r="AM187" s="2336"/>
      <c r="AN187" s="2336"/>
      <c r="AO187" s="2336"/>
      <c r="AP187" s="2336"/>
      <c r="AQ187" s="2336"/>
      <c r="AR187" s="2336"/>
      <c r="AS187" s="2336"/>
      <c r="AT187" s="2336"/>
      <c r="AU187" s="2336"/>
      <c r="AV187" s="2336"/>
      <c r="AW187" s="2337"/>
    </row>
    <row r="188" spans="1:89" x14ac:dyDescent="0.25">
      <c r="A188" s="6930" t="s">
        <v>1989</v>
      </c>
      <c r="B188" s="2338" t="s">
        <v>1990</v>
      </c>
      <c r="C188" s="2339">
        <f>SUM(D188+E188)</f>
        <v>0</v>
      </c>
      <c r="D188" s="2340">
        <f t="shared" ref="D188:E196" si="106">SUM(F188+H188+J188+L188+N188+P188+R188+T188+V188+X188+Z188+AB188+AD188+AF188+AH188+AJ188+AL188)</f>
        <v>0</v>
      </c>
      <c r="E188" s="2338">
        <f t="shared" si="106"/>
        <v>0</v>
      </c>
      <c r="F188" s="2209"/>
      <c r="G188" s="2318"/>
      <c r="H188" s="2209"/>
      <c r="I188" s="2318"/>
      <c r="J188" s="2209"/>
      <c r="K188" s="2318"/>
      <c r="L188" s="2209"/>
      <c r="M188" s="2318"/>
      <c r="N188" s="2209"/>
      <c r="O188" s="2318"/>
      <c r="P188" s="2209"/>
      <c r="Q188" s="2318"/>
      <c r="R188" s="2209"/>
      <c r="S188" s="2318"/>
      <c r="T188" s="2209"/>
      <c r="U188" s="2318"/>
      <c r="V188" s="2209"/>
      <c r="W188" s="2318"/>
      <c r="X188" s="2209"/>
      <c r="Y188" s="2318"/>
      <c r="Z188" s="2209"/>
      <c r="AA188" s="2318"/>
      <c r="AB188" s="2209"/>
      <c r="AC188" s="2318"/>
      <c r="AD188" s="2209"/>
      <c r="AE188" s="2318"/>
      <c r="AF188" s="2209"/>
      <c r="AG188" s="2318"/>
      <c r="AH188" s="2209"/>
      <c r="AI188" s="2318"/>
      <c r="AJ188" s="2209"/>
      <c r="AK188" s="2318"/>
      <c r="AL188" s="2209"/>
      <c r="AM188" s="2319"/>
      <c r="AN188" s="2341"/>
      <c r="AO188" s="2255"/>
      <c r="AP188" s="2209"/>
      <c r="AQ188" s="2318"/>
      <c r="AR188" s="2318"/>
      <c r="AS188" s="2318"/>
      <c r="AT188" s="2742"/>
      <c r="AU188" s="2221"/>
      <c r="AV188" s="2742"/>
      <c r="AW188" s="2221"/>
      <c r="AX188" s="17" t="str">
        <f t="shared" ref="AX188:AX230" si="107">BQ188&amp;BR188&amp;BS188&amp;BT188&amp;BU188&amp;BV188&amp;BW188&amp;BX188&amp;BY188&amp;BZ188</f>
        <v/>
      </c>
      <c r="BQ188" s="2553" t="str">
        <f>IF(AND(E188&gt;0,AN188=""), "* No olvide digitar la variable Gestantes. Digite Cero si no tiene.",IF(AN188&gt;E188,"  * La  variable Gestantes No puede ser mayor al Total Mujeres.",""))</f>
        <v/>
      </c>
      <c r="BR188" s="2553" t="str">
        <f>IF(AND(E188&gt;0,AO188=""), "* No olvide digitar la variable Madre de hijo menor de 5 años. Digite Cero si no tiene.",IF(AO188&gt;E188,"  * La variable Madre de hijo menor de 5 años No puede ser mayor al Total Mujeres.",""))</f>
        <v/>
      </c>
      <c r="BS188" s="2553" t="str">
        <f>IF(AND(D188&gt;0,OR(AP188="")), "* No olvide digitar la variable Pueblos originarios - Hombres. Digite Cero si no tiene.",IF((AP188)&gt;D188,"  * La variable Pueblos originarios - Hombres No puede ser mayor al Total.",""))</f>
        <v/>
      </c>
      <c r="BT188" s="2553" t="str">
        <f t="shared" ref="BT188:BT196" si="108">IF(AND(E188&gt;0,OR(AQ188="")), "* No olvide digitar la variable Pueblos originarios - Mujeres. Digite Cero si no tiene.",IF((AQ188)&gt;E188,"  * La variable Pueblos originarios - Mujeres No puede ser mayor al Total.",""))</f>
        <v/>
      </c>
      <c r="BU188" s="2553" t="str">
        <f t="shared" ref="BU188:BU196" si="109">IF(AND(C188&gt;0,AR188=""), "* No olvide digitar la variable Niños, niñas, adolescentes y jóvenes SENAME. Digite Cero si no tiene.",IF(AR188&gt;C188,"  * La variable Niños, niñas, adolescentes y jóvenes SENAME No puede ser mayor al Total.",""))</f>
        <v/>
      </c>
      <c r="BV188" s="2553" t="str">
        <f t="shared" ref="BV188:BV196" si="110">IF(AND(C188&gt;0,AS188=""), "* No olvide digitar la variable Niños, niñas, adolescentes y jóvenes Mejor Niñez. Digite Cero si no tiene.",IF(AS188&gt;C188,"  * La variable Niños, niñas, adolescentes y jóvenes Mejor Niñez No puede ser mayor al Total.",""))</f>
        <v/>
      </c>
      <c r="BW188" s="2553" t="str">
        <f t="shared" ref="BW188:BW196" si="111">IF(AND(D188&gt;0,OR(AT188="")), "* No olvide digitar la variable Migrantes - Hombres. Digite Cero si no tiene.",IF((AT188+AT188)&gt;D188,"  * La variable Migrantes - Hombres No puede ser mayor al Total.",""))</f>
        <v/>
      </c>
      <c r="BX188" s="2553" t="str">
        <f t="shared" ref="BX188:BX196" si="112">IF(AND(E188&gt;0,OR(AU188="")), "* No olvide digitar la variable Migrantes - Mujeres. Digite Cero si no tiene.",IF((AU188)&gt;E188,"  * La variable Migrantes - Mujeres No puede ser mayor al Total.",""))</f>
        <v/>
      </c>
      <c r="BY188" s="2553" t="str">
        <f>IF(AND(D188&gt;0,OR(AW188="")), "* No olvide digitar la variable Trans (Femenino). Digite Cero si no tiene.",IF((AW188)&gt;D188,"  * La variable Trans (Femenino) No puede ser mayor al Total Hombres.",""))</f>
        <v/>
      </c>
      <c r="BZ188" s="2553" t="str">
        <f t="shared" ref="BZ188:BZ196" si="113">IF(AND(E188&gt;0,OR(AV188="")), "* No olvide digitar la variable Trans (Masculino). Digite Cero si no tiene.",IF((AV188)&gt;E188,"  * La variable Trans (Masculino) No puede ser mayor al Total Mujeres.",""))</f>
        <v/>
      </c>
      <c r="CA188" s="17"/>
      <c r="CB188" s="1792">
        <f t="shared" ref="CB188:CB230" si="114">IF(AND(E188&gt;0,AN188=""),1,IF(AN188&gt;E188,1,0))</f>
        <v>0</v>
      </c>
      <c r="CC188" s="1792">
        <f t="shared" ref="CC188:CC230" si="115">IF(AND(E188&gt;0,AO188=""),1,IF(AO188&gt;E188,1,0))</f>
        <v>0</v>
      </c>
      <c r="CD188" s="1792">
        <f t="shared" ref="CD188:CD230" si="116">IF(AND(D188&gt;0,OR(AP188="")),1,IF((AP188)&gt;D188,1,0))</f>
        <v>0</v>
      </c>
      <c r="CE188" s="1792">
        <f t="shared" ref="CE188:CE230" si="117">IF(AND(E188&gt;0,OR(AQ188="")),1,IF((AQ188)&gt;E188,1,0))</f>
        <v>0</v>
      </c>
      <c r="CF188" s="1792">
        <f t="shared" ref="CF188:CF230" si="118">IF(AND(C188&gt;0,AR188=""),1,IF(AR188&gt;C188,1,0))</f>
        <v>0</v>
      </c>
      <c r="CG188" s="1792">
        <f t="shared" ref="CG188:CG230" si="119">IF(AND(C188&gt;0,AS188=""),1,IF(AS188&gt;C188,1,0))</f>
        <v>0</v>
      </c>
      <c r="CH188" s="1792">
        <f t="shared" ref="CH188:CH230" si="120">IF(AND(D188&gt;0,OR(AT188="")),1,IF((AT188)&gt;D188,1,0))</f>
        <v>0</v>
      </c>
      <c r="CI188" s="1792">
        <f t="shared" ref="CI188:CI230" si="121">IF(AND(E188&gt;0,OR(AU188="")),1,IF((AU188)&gt;E188,1,0))</f>
        <v>0</v>
      </c>
      <c r="CJ188" s="1792">
        <f t="shared" ref="CJ188:CJ230" si="122">IF(AND(D188&gt;0,OR(AW188="")),1,IF((AW188)&gt;D188,1,0))</f>
        <v>0</v>
      </c>
      <c r="CK188" s="1792">
        <f t="shared" ref="CK188:CK230" si="123">IF(AND(E188&gt;0,OR(AV188="")),1,IF((AV188)&gt;E188,1,0))</f>
        <v>0</v>
      </c>
    </row>
    <row r="189" spans="1:89" x14ac:dyDescent="0.25">
      <c r="A189" s="6932"/>
      <c r="B189" s="2" t="s">
        <v>1991</v>
      </c>
      <c r="C189" s="2342">
        <f>SUM(D189+E189)</f>
        <v>0</v>
      </c>
      <c r="D189" s="2343">
        <f t="shared" si="106"/>
        <v>0</v>
      </c>
      <c r="E189" s="2344">
        <f t="shared" si="106"/>
        <v>0</v>
      </c>
      <c r="F189" s="2241"/>
      <c r="G189" s="2301"/>
      <c r="H189" s="2241"/>
      <c r="I189" s="2301"/>
      <c r="J189" s="2241"/>
      <c r="K189" s="2301"/>
      <c r="L189" s="2241"/>
      <c r="M189" s="2301"/>
      <c r="N189" s="2241"/>
      <c r="O189" s="2301"/>
      <c r="P189" s="2241"/>
      <c r="Q189" s="2301"/>
      <c r="R189" s="2241"/>
      <c r="S189" s="2301"/>
      <c r="T189" s="2241"/>
      <c r="U189" s="2301"/>
      <c r="V189" s="2241"/>
      <c r="W189" s="2301"/>
      <c r="X189" s="2241"/>
      <c r="Y189" s="2301"/>
      <c r="Z189" s="2241"/>
      <c r="AA189" s="2301"/>
      <c r="AB189" s="2241"/>
      <c r="AC189" s="2301"/>
      <c r="AD189" s="2241"/>
      <c r="AE189" s="2301"/>
      <c r="AF189" s="2241"/>
      <c r="AG189" s="2301"/>
      <c r="AH189" s="2241"/>
      <c r="AI189" s="2301"/>
      <c r="AJ189" s="2241"/>
      <c r="AK189" s="2301"/>
      <c r="AL189" s="2241"/>
      <c r="AM189" s="2345"/>
      <c r="AN189" s="2303"/>
      <c r="AO189" s="2304"/>
      <c r="AP189" s="2241"/>
      <c r="AQ189" s="2301"/>
      <c r="AR189" s="2301"/>
      <c r="AS189" s="2301"/>
      <c r="AT189" s="2786"/>
      <c r="AU189" s="2456"/>
      <c r="AV189" s="2786"/>
      <c r="AW189" s="2456"/>
      <c r="AX189" s="17" t="str">
        <f t="shared" si="107"/>
        <v/>
      </c>
      <c r="BQ189" s="2553" t="str">
        <f t="shared" ref="BQ189:BQ211" si="124">IF(AND(E189&gt;0,AN189=""), "* No olvide digitar la variable Gestantes. Digite Cero si no tiene.",IF(AN189&gt;E189,"  * La  variable Gestantes No puede ser mayor al Total Mujeres.",""))</f>
        <v/>
      </c>
      <c r="BR189" s="2553" t="str">
        <f t="shared" ref="BR189:BR206" si="125">IF(AND(E189&gt;0,AO189=""), "* No olvide digitar la variable Madre de hijo menor de 5 años. Digite Cero si no tiene.",IF(AO189&gt;E189,"  * La variable Madre de hijo menor de 5 años No puede ser mayor al Total Mujeres.",""))</f>
        <v/>
      </c>
      <c r="BS189" s="2553" t="str">
        <f t="shared" ref="BS189:BS196" si="126">IF(AND(D189&gt;0,OR(AP189="")), "* No olvide digitar la variable Pueblos originarios - Hombres. Digite Cero si no tiene.",IF((AP189)&gt;D189,"  * La variable Pueblos originarios - Hombres No puede ser mayor al Total.",""))</f>
        <v/>
      </c>
      <c r="BT189" s="2553" t="str">
        <f t="shared" si="108"/>
        <v/>
      </c>
      <c r="BU189" s="2553" t="str">
        <f t="shared" si="109"/>
        <v/>
      </c>
      <c r="BV189" s="2553" t="str">
        <f t="shared" si="110"/>
        <v/>
      </c>
      <c r="BW189" s="2553" t="str">
        <f t="shared" si="111"/>
        <v/>
      </c>
      <c r="BX189" s="2553" t="str">
        <f t="shared" si="112"/>
        <v/>
      </c>
      <c r="BY189" s="2553" t="str">
        <f t="shared" ref="BY189:BY230" si="127">IF(AND(D189&gt;0,OR(AW189="")), "* No olvide digitar la variable Trans (Femenino). Digite Cero si no tiene.",IF((AW189)&gt;D189,"  * La variable Trans (Femenino) No puede ser mayor al Total Hombres.",""))</f>
        <v/>
      </c>
      <c r="BZ189" s="2553" t="str">
        <f t="shared" si="113"/>
        <v/>
      </c>
      <c r="CA189" s="17"/>
      <c r="CB189" s="1792">
        <f t="shared" si="114"/>
        <v>0</v>
      </c>
      <c r="CC189" s="1792">
        <f t="shared" si="115"/>
        <v>0</v>
      </c>
      <c r="CD189" s="1792">
        <f t="shared" si="116"/>
        <v>0</v>
      </c>
      <c r="CE189" s="1792">
        <f t="shared" si="117"/>
        <v>0</v>
      </c>
      <c r="CF189" s="1792">
        <f t="shared" si="118"/>
        <v>0</v>
      </c>
      <c r="CG189" s="1792">
        <f t="shared" si="119"/>
        <v>0</v>
      </c>
      <c r="CH189" s="1792">
        <f t="shared" si="120"/>
        <v>0</v>
      </c>
      <c r="CI189" s="1792">
        <f t="shared" si="121"/>
        <v>0</v>
      </c>
      <c r="CJ189" s="1792">
        <f t="shared" si="122"/>
        <v>0</v>
      </c>
      <c r="CK189" s="1792">
        <f t="shared" si="123"/>
        <v>0</v>
      </c>
    </row>
    <row r="190" spans="1:89" x14ac:dyDescent="0.25">
      <c r="A190" s="7030" t="s">
        <v>1992</v>
      </c>
      <c r="B190" s="7031"/>
      <c r="C190" s="2347">
        <f t="shared" ref="C190:C230" si="128">SUM(D190+E190)</f>
        <v>0</v>
      </c>
      <c r="D190" s="2348">
        <f t="shared" si="106"/>
        <v>0</v>
      </c>
      <c r="E190" s="2346">
        <f t="shared" si="106"/>
        <v>0</v>
      </c>
      <c r="F190" s="2349"/>
      <c r="G190" s="2350"/>
      <c r="H190" s="2349"/>
      <c r="I190" s="2350"/>
      <c r="J190" s="2349"/>
      <c r="K190" s="2350"/>
      <c r="L190" s="2349"/>
      <c r="M190" s="2350"/>
      <c r="N190" s="2349"/>
      <c r="O190" s="2350"/>
      <c r="P190" s="2349"/>
      <c r="Q190" s="2350"/>
      <c r="R190" s="2349"/>
      <c r="S190" s="2350"/>
      <c r="T190" s="2349"/>
      <c r="U190" s="2350"/>
      <c r="V190" s="2349"/>
      <c r="W190" s="2350"/>
      <c r="X190" s="2349"/>
      <c r="Y190" s="2350"/>
      <c r="Z190" s="2349"/>
      <c r="AA190" s="2350"/>
      <c r="AB190" s="2349"/>
      <c r="AC190" s="2350"/>
      <c r="AD190" s="2349"/>
      <c r="AE190" s="2350"/>
      <c r="AF190" s="2349"/>
      <c r="AG190" s="2350"/>
      <c r="AH190" s="2349"/>
      <c r="AI190" s="2350"/>
      <c r="AJ190" s="2349"/>
      <c r="AK190" s="2350"/>
      <c r="AL190" s="2349"/>
      <c r="AM190" s="2351"/>
      <c r="AN190" s="2352"/>
      <c r="AO190" s="2353"/>
      <c r="AP190" s="2349"/>
      <c r="AQ190" s="2350"/>
      <c r="AR190" s="2350"/>
      <c r="AS190" s="2350"/>
      <c r="AT190" s="2743"/>
      <c r="AU190" s="2788"/>
      <c r="AV190" s="2743"/>
      <c r="AW190" s="2788"/>
      <c r="AX190" s="17" t="str">
        <f t="shared" si="107"/>
        <v/>
      </c>
      <c r="BQ190" s="2553" t="str">
        <f t="shared" si="124"/>
        <v/>
      </c>
      <c r="BR190" s="2553" t="str">
        <f t="shared" si="125"/>
        <v/>
      </c>
      <c r="BS190" s="2553" t="str">
        <f t="shared" si="126"/>
        <v/>
      </c>
      <c r="BT190" s="2553" t="str">
        <f t="shared" si="108"/>
        <v/>
      </c>
      <c r="BU190" s="2553" t="str">
        <f t="shared" si="109"/>
        <v/>
      </c>
      <c r="BV190" s="2553" t="str">
        <f t="shared" si="110"/>
        <v/>
      </c>
      <c r="BW190" s="2553" t="str">
        <f t="shared" si="111"/>
        <v/>
      </c>
      <c r="BX190" s="2553" t="str">
        <f t="shared" si="112"/>
        <v/>
      </c>
      <c r="BY190" s="2553" t="str">
        <f t="shared" si="127"/>
        <v/>
      </c>
      <c r="BZ190" s="2553" t="str">
        <f t="shared" si="113"/>
        <v/>
      </c>
      <c r="CA190" s="17"/>
      <c r="CB190" s="1792">
        <f t="shared" si="114"/>
        <v>0</v>
      </c>
      <c r="CC190" s="1792">
        <f t="shared" si="115"/>
        <v>0</v>
      </c>
      <c r="CD190" s="1792">
        <f t="shared" si="116"/>
        <v>0</v>
      </c>
      <c r="CE190" s="1792">
        <f t="shared" si="117"/>
        <v>0</v>
      </c>
      <c r="CF190" s="1792">
        <f t="shared" si="118"/>
        <v>0</v>
      </c>
      <c r="CG190" s="1792">
        <f t="shared" si="119"/>
        <v>0</v>
      </c>
      <c r="CH190" s="1792">
        <f t="shared" si="120"/>
        <v>0</v>
      </c>
      <c r="CI190" s="1792">
        <f t="shared" si="121"/>
        <v>0</v>
      </c>
      <c r="CJ190" s="1792">
        <f t="shared" si="122"/>
        <v>0</v>
      </c>
      <c r="CK190" s="1792">
        <f t="shared" si="123"/>
        <v>0</v>
      </c>
    </row>
    <row r="191" spans="1:89" x14ac:dyDescent="0.25">
      <c r="A191" s="6930" t="s">
        <v>1993</v>
      </c>
      <c r="B191" s="2338" t="s">
        <v>1994</v>
      </c>
      <c r="C191" s="2339">
        <f t="shared" si="128"/>
        <v>0</v>
      </c>
      <c r="D191" s="2340">
        <f>SUM(H191+J191+L191+N191+P191+R191+T191+V191+X191+Z191+AB191+AD191+AF191+AH191+AJ191+AL191)</f>
        <v>0</v>
      </c>
      <c r="E191" s="2338">
        <f>SUM(I191+K191+M191+O191+Q191+S191+U191+W191+Y191+AA191+AC191+AE191+AG191+AI191+AK191+AM191)</f>
        <v>0</v>
      </c>
      <c r="F191" s="2354"/>
      <c r="G191" s="2355"/>
      <c r="H191" s="2209"/>
      <c r="I191" s="2318"/>
      <c r="J191" s="2209"/>
      <c r="K191" s="2318"/>
      <c r="L191" s="2209"/>
      <c r="M191" s="2318"/>
      <c r="N191" s="2209"/>
      <c r="O191" s="2318"/>
      <c r="P191" s="2209"/>
      <c r="Q191" s="2318"/>
      <c r="R191" s="2209"/>
      <c r="S191" s="2318"/>
      <c r="T191" s="2209"/>
      <c r="U191" s="2318"/>
      <c r="V191" s="2209"/>
      <c r="W191" s="2318"/>
      <c r="X191" s="2209"/>
      <c r="Y191" s="2318"/>
      <c r="Z191" s="2209"/>
      <c r="AA191" s="2318"/>
      <c r="AB191" s="2209"/>
      <c r="AC191" s="2318"/>
      <c r="AD191" s="2209"/>
      <c r="AE191" s="2318"/>
      <c r="AF191" s="2209"/>
      <c r="AG191" s="2318"/>
      <c r="AH191" s="2209"/>
      <c r="AI191" s="2318"/>
      <c r="AJ191" s="2209"/>
      <c r="AK191" s="2318"/>
      <c r="AL191" s="2209"/>
      <c r="AM191" s="2319"/>
      <c r="AN191" s="2341"/>
      <c r="AO191" s="2255"/>
      <c r="AP191" s="2209"/>
      <c r="AQ191" s="2318"/>
      <c r="AR191" s="2318"/>
      <c r="AS191" s="2318"/>
      <c r="AT191" s="2742"/>
      <c r="AU191" s="2221"/>
      <c r="AV191" s="2742"/>
      <c r="AW191" s="2221"/>
      <c r="AX191" s="17" t="str">
        <f t="shared" si="107"/>
        <v/>
      </c>
      <c r="BQ191" s="2553" t="str">
        <f t="shared" si="124"/>
        <v/>
      </c>
      <c r="BR191" s="2553" t="str">
        <f t="shared" si="125"/>
        <v/>
      </c>
      <c r="BS191" s="2553" t="str">
        <f t="shared" si="126"/>
        <v/>
      </c>
      <c r="BT191" s="2553" t="str">
        <f t="shared" si="108"/>
        <v/>
      </c>
      <c r="BU191" s="2553" t="str">
        <f t="shared" si="109"/>
        <v/>
      </c>
      <c r="BV191" s="2553" t="str">
        <f t="shared" si="110"/>
        <v/>
      </c>
      <c r="BW191" s="2553" t="str">
        <f t="shared" si="111"/>
        <v/>
      </c>
      <c r="BX191" s="2553" t="str">
        <f t="shared" si="112"/>
        <v/>
      </c>
      <c r="BY191" s="2553" t="str">
        <f t="shared" si="127"/>
        <v/>
      </c>
      <c r="BZ191" s="2553" t="str">
        <f t="shared" si="113"/>
        <v/>
      </c>
      <c r="CA191" s="17"/>
      <c r="CB191" s="1792">
        <f t="shared" si="114"/>
        <v>0</v>
      </c>
      <c r="CC191" s="1792">
        <f t="shared" si="115"/>
        <v>0</v>
      </c>
      <c r="CD191" s="1792">
        <f t="shared" si="116"/>
        <v>0</v>
      </c>
      <c r="CE191" s="1792">
        <f t="shared" si="117"/>
        <v>0</v>
      </c>
      <c r="CF191" s="1792">
        <f t="shared" si="118"/>
        <v>0</v>
      </c>
      <c r="CG191" s="1792">
        <f t="shared" si="119"/>
        <v>0</v>
      </c>
      <c r="CH191" s="1792">
        <f t="shared" si="120"/>
        <v>0</v>
      </c>
      <c r="CI191" s="1792">
        <f t="shared" si="121"/>
        <v>0</v>
      </c>
      <c r="CJ191" s="1792">
        <f t="shared" si="122"/>
        <v>0</v>
      </c>
      <c r="CK191" s="1792">
        <f t="shared" si="123"/>
        <v>0</v>
      </c>
    </row>
    <row r="192" spans="1:89" x14ac:dyDescent="0.25">
      <c r="A192" s="6932"/>
      <c r="B192" s="2" t="s">
        <v>1995</v>
      </c>
      <c r="C192" s="2356">
        <f t="shared" si="128"/>
        <v>0</v>
      </c>
      <c r="D192" s="2357">
        <f>SUM(H192+J192+L192+N192+P192+R192+T192+V192+X192+Z192+AB192+AD192+AF192+AH192+AJ192+AL192)</f>
        <v>0</v>
      </c>
      <c r="E192" s="2358">
        <f>SUM(I192+K192+M192+O192+Q192+S192+U192+W192+Y192+AA192+AC192+AE192+AG192+AI192+AK192+AM192)</f>
        <v>0</v>
      </c>
      <c r="F192" s="2359"/>
      <c r="G192" s="2360"/>
      <c r="H192" s="2361"/>
      <c r="I192" s="1305"/>
      <c r="J192" s="2361"/>
      <c r="K192" s="1305"/>
      <c r="L192" s="2241"/>
      <c r="M192" s="2301"/>
      <c r="N192" s="2361"/>
      <c r="O192" s="1305"/>
      <c r="P192" s="2361"/>
      <c r="Q192" s="1305"/>
      <c r="R192" s="2361"/>
      <c r="S192" s="1305"/>
      <c r="T192" s="2361"/>
      <c r="U192" s="1305"/>
      <c r="V192" s="2361"/>
      <c r="W192" s="1305"/>
      <c r="X192" s="2361"/>
      <c r="Y192" s="1305"/>
      <c r="Z192" s="2361"/>
      <c r="AA192" s="1305"/>
      <c r="AB192" s="2361"/>
      <c r="AC192" s="1305"/>
      <c r="AD192" s="2361"/>
      <c r="AE192" s="1305"/>
      <c r="AF192" s="2361"/>
      <c r="AG192" s="1305"/>
      <c r="AH192" s="2361"/>
      <c r="AI192" s="1305"/>
      <c r="AJ192" s="2361"/>
      <c r="AK192" s="1305"/>
      <c r="AL192" s="2361"/>
      <c r="AM192" s="2330"/>
      <c r="AN192" s="2303"/>
      <c r="AO192" s="2304"/>
      <c r="AP192" s="2241"/>
      <c r="AQ192" s="2301"/>
      <c r="AR192" s="2301"/>
      <c r="AS192" s="2301"/>
      <c r="AT192" s="2786"/>
      <c r="AU192" s="2456"/>
      <c r="AV192" s="2786"/>
      <c r="AW192" s="2456"/>
      <c r="AX192" s="17" t="str">
        <f t="shared" si="107"/>
        <v/>
      </c>
      <c r="BQ192" s="2553" t="str">
        <f t="shared" si="124"/>
        <v/>
      </c>
      <c r="BR192" s="2553" t="str">
        <f t="shared" si="125"/>
        <v/>
      </c>
      <c r="BS192" s="2553" t="str">
        <f t="shared" si="126"/>
        <v/>
      </c>
      <c r="BT192" s="2553" t="str">
        <f t="shared" si="108"/>
        <v/>
      </c>
      <c r="BU192" s="2553" t="str">
        <f t="shared" si="109"/>
        <v/>
      </c>
      <c r="BV192" s="2553" t="str">
        <f t="shared" si="110"/>
        <v/>
      </c>
      <c r="BW192" s="2553" t="str">
        <f t="shared" si="111"/>
        <v/>
      </c>
      <c r="BX192" s="2553" t="str">
        <f t="shared" si="112"/>
        <v/>
      </c>
      <c r="BY192" s="2553" t="str">
        <f t="shared" si="127"/>
        <v/>
      </c>
      <c r="BZ192" s="2553" t="str">
        <f t="shared" si="113"/>
        <v/>
      </c>
      <c r="CA192" s="17"/>
      <c r="CB192" s="1792">
        <f t="shared" si="114"/>
        <v>0</v>
      </c>
      <c r="CC192" s="1792">
        <f t="shared" si="115"/>
        <v>0</v>
      </c>
      <c r="CD192" s="1792">
        <f t="shared" si="116"/>
        <v>0</v>
      </c>
      <c r="CE192" s="1792">
        <f t="shared" si="117"/>
        <v>0</v>
      </c>
      <c r="CF192" s="1792">
        <f t="shared" si="118"/>
        <v>0</v>
      </c>
      <c r="CG192" s="1792">
        <f t="shared" si="119"/>
        <v>0</v>
      </c>
      <c r="CH192" s="1792">
        <f t="shared" si="120"/>
        <v>0</v>
      </c>
      <c r="CI192" s="1792">
        <f t="shared" si="121"/>
        <v>0</v>
      </c>
      <c r="CJ192" s="1792">
        <f t="shared" si="122"/>
        <v>0</v>
      </c>
      <c r="CK192" s="1792">
        <f t="shared" si="123"/>
        <v>0</v>
      </c>
    </row>
    <row r="193" spans="1:89" s="17" customFormat="1" ht="18" customHeight="1" x14ac:dyDescent="0.2">
      <c r="A193" s="2362" t="s">
        <v>1996</v>
      </c>
      <c r="B193" s="2332"/>
      <c r="C193" s="2311">
        <f t="shared" si="128"/>
        <v>0</v>
      </c>
      <c r="D193" s="2312">
        <f t="shared" si="106"/>
        <v>0</v>
      </c>
      <c r="E193" s="2313">
        <f t="shared" si="106"/>
        <v>0</v>
      </c>
      <c r="F193" s="2349"/>
      <c r="G193" s="2350"/>
      <c r="H193" s="2349"/>
      <c r="I193" s="2350"/>
      <c r="J193" s="2349"/>
      <c r="K193" s="2350"/>
      <c r="L193" s="2349"/>
      <c r="M193" s="2350"/>
      <c r="N193" s="2349"/>
      <c r="O193" s="2350"/>
      <c r="P193" s="2349"/>
      <c r="Q193" s="2350"/>
      <c r="R193" s="2349"/>
      <c r="S193" s="2350"/>
      <c r="T193" s="2349"/>
      <c r="U193" s="2350"/>
      <c r="V193" s="2349"/>
      <c r="W193" s="2350"/>
      <c r="X193" s="2349"/>
      <c r="Y193" s="2350"/>
      <c r="Z193" s="2349"/>
      <c r="AA193" s="2350"/>
      <c r="AB193" s="2349"/>
      <c r="AC193" s="2350"/>
      <c r="AD193" s="2349"/>
      <c r="AE193" s="2350"/>
      <c r="AF193" s="2349"/>
      <c r="AG193" s="2350"/>
      <c r="AH193" s="2349"/>
      <c r="AI193" s="2350"/>
      <c r="AJ193" s="2349"/>
      <c r="AK193" s="2350"/>
      <c r="AL193" s="2349"/>
      <c r="AM193" s="2351"/>
      <c r="AN193" s="2352"/>
      <c r="AO193" s="2353"/>
      <c r="AP193" s="2241"/>
      <c r="AQ193" s="2350"/>
      <c r="AR193" s="2350"/>
      <c r="AS193" s="2350"/>
      <c r="AT193" s="2743"/>
      <c r="AU193" s="2788"/>
      <c r="AV193" s="2743"/>
      <c r="AW193" s="2788"/>
      <c r="AX193" s="17" t="str">
        <f t="shared" si="107"/>
        <v/>
      </c>
      <c r="BQ193" s="2553" t="str">
        <f t="shared" si="124"/>
        <v/>
      </c>
      <c r="BR193" s="2553" t="str">
        <f t="shared" si="125"/>
        <v/>
      </c>
      <c r="BS193" s="2553" t="str">
        <f t="shared" si="126"/>
        <v/>
      </c>
      <c r="BT193" s="2553" t="str">
        <f t="shared" si="108"/>
        <v/>
      </c>
      <c r="BU193" s="2553" t="str">
        <f t="shared" si="109"/>
        <v/>
      </c>
      <c r="BV193" s="2553" t="str">
        <f t="shared" si="110"/>
        <v/>
      </c>
      <c r="BW193" s="2553" t="str">
        <f t="shared" si="111"/>
        <v/>
      </c>
      <c r="BX193" s="2553" t="str">
        <f t="shared" si="112"/>
        <v/>
      </c>
      <c r="BY193" s="2553" t="str">
        <f t="shared" si="127"/>
        <v/>
      </c>
      <c r="BZ193" s="2553" t="str">
        <f t="shared" si="113"/>
        <v/>
      </c>
      <c r="CB193" s="1792">
        <f t="shared" si="114"/>
        <v>0</v>
      </c>
      <c r="CC193" s="1792">
        <f t="shared" si="115"/>
        <v>0</v>
      </c>
      <c r="CD193" s="1792">
        <f t="shared" si="116"/>
        <v>0</v>
      </c>
      <c r="CE193" s="1792">
        <f t="shared" si="117"/>
        <v>0</v>
      </c>
      <c r="CF193" s="1792">
        <f t="shared" si="118"/>
        <v>0</v>
      </c>
      <c r="CG193" s="1792">
        <f t="shared" si="119"/>
        <v>0</v>
      </c>
      <c r="CH193" s="1792">
        <f t="shared" si="120"/>
        <v>0</v>
      </c>
      <c r="CI193" s="1792">
        <f t="shared" si="121"/>
        <v>0</v>
      </c>
      <c r="CJ193" s="1792">
        <f t="shared" si="122"/>
        <v>0</v>
      </c>
      <c r="CK193" s="1792">
        <f t="shared" si="123"/>
        <v>0</v>
      </c>
    </row>
    <row r="194" spans="1:89" ht="15" customHeight="1" x14ac:dyDescent="0.25">
      <c r="A194" s="6930" t="s">
        <v>1997</v>
      </c>
      <c r="B194" s="2363" t="s">
        <v>1998</v>
      </c>
      <c r="C194" s="2364">
        <f t="shared" si="128"/>
        <v>0</v>
      </c>
      <c r="D194" s="2365">
        <f t="shared" si="106"/>
        <v>0</v>
      </c>
      <c r="E194" s="2363">
        <f t="shared" si="106"/>
        <v>0</v>
      </c>
      <c r="F194" s="2201"/>
      <c r="G194" s="1107"/>
      <c r="H194" s="2201"/>
      <c r="I194" s="1107"/>
      <c r="J194" s="2201"/>
      <c r="K194" s="1107"/>
      <c r="L194" s="2201"/>
      <c r="M194" s="1107"/>
      <c r="N194" s="2201"/>
      <c r="O194" s="1107"/>
      <c r="P194" s="2201"/>
      <c r="Q194" s="1107"/>
      <c r="R194" s="2201"/>
      <c r="S194" s="1107"/>
      <c r="T194" s="2201"/>
      <c r="U194" s="1107"/>
      <c r="V194" s="2201"/>
      <c r="W194" s="1107"/>
      <c r="X194" s="2201"/>
      <c r="Y194" s="1107"/>
      <c r="Z194" s="2201"/>
      <c r="AA194" s="1107"/>
      <c r="AB194" s="2201"/>
      <c r="AC194" s="1107"/>
      <c r="AD194" s="2201"/>
      <c r="AE194" s="1107"/>
      <c r="AF194" s="2201"/>
      <c r="AG194" s="1107"/>
      <c r="AH194" s="2201"/>
      <c r="AI194" s="1107"/>
      <c r="AJ194" s="2201"/>
      <c r="AK194" s="1107"/>
      <c r="AL194" s="2201"/>
      <c r="AM194" s="2328"/>
      <c r="AN194" s="1480"/>
      <c r="AO194" s="1761"/>
      <c r="AP194" s="2201"/>
      <c r="AQ194" s="1305"/>
      <c r="AR194" s="1305"/>
      <c r="AS194" s="1305"/>
      <c r="AT194" s="2330"/>
      <c r="AU194" s="2789"/>
      <c r="AV194" s="2330"/>
      <c r="AW194" s="2789"/>
      <c r="AX194" s="17" t="str">
        <f t="shared" si="107"/>
        <v/>
      </c>
      <c r="BQ194" s="2553" t="str">
        <f t="shared" si="124"/>
        <v/>
      </c>
      <c r="BR194" s="2553" t="str">
        <f t="shared" si="125"/>
        <v/>
      </c>
      <c r="BS194" s="2553" t="str">
        <f t="shared" si="126"/>
        <v/>
      </c>
      <c r="BT194" s="2553" t="str">
        <f t="shared" si="108"/>
        <v/>
      </c>
      <c r="BU194" s="2553" t="str">
        <f t="shared" si="109"/>
        <v/>
      </c>
      <c r="BV194" s="2553" t="str">
        <f t="shared" si="110"/>
        <v/>
      </c>
      <c r="BW194" s="2553" t="str">
        <f t="shared" si="111"/>
        <v/>
      </c>
      <c r="BX194" s="2553" t="str">
        <f t="shared" si="112"/>
        <v/>
      </c>
      <c r="BY194" s="2553" t="str">
        <f t="shared" si="127"/>
        <v/>
      </c>
      <c r="BZ194" s="2553" t="str">
        <f t="shared" si="113"/>
        <v/>
      </c>
      <c r="CA194" s="17"/>
      <c r="CB194" s="1792">
        <f t="shared" si="114"/>
        <v>0</v>
      </c>
      <c r="CC194" s="1792">
        <f t="shared" si="115"/>
        <v>0</v>
      </c>
      <c r="CD194" s="1792">
        <f t="shared" si="116"/>
        <v>0</v>
      </c>
      <c r="CE194" s="1792">
        <f t="shared" si="117"/>
        <v>0</v>
      </c>
      <c r="CF194" s="1792">
        <f t="shared" si="118"/>
        <v>0</v>
      </c>
      <c r="CG194" s="1792">
        <f t="shared" si="119"/>
        <v>0</v>
      </c>
      <c r="CH194" s="1792">
        <f t="shared" si="120"/>
        <v>0</v>
      </c>
      <c r="CI194" s="1792">
        <f t="shared" si="121"/>
        <v>0</v>
      </c>
      <c r="CJ194" s="1792">
        <f t="shared" si="122"/>
        <v>0</v>
      </c>
      <c r="CK194" s="1792">
        <f t="shared" si="123"/>
        <v>0</v>
      </c>
    </row>
    <row r="195" spans="1:89" ht="15" customHeight="1" x14ac:dyDescent="0.25">
      <c r="A195" s="6931"/>
      <c r="B195" s="1" t="s">
        <v>1999</v>
      </c>
      <c r="C195" s="2366">
        <f t="shared" si="128"/>
        <v>0</v>
      </c>
      <c r="D195" s="2367">
        <f t="shared" si="106"/>
        <v>0</v>
      </c>
      <c r="E195" s="1">
        <f t="shared" si="106"/>
        <v>0</v>
      </c>
      <c r="F195" s="1113"/>
      <c r="G195" s="8"/>
      <c r="H195" s="1113"/>
      <c r="I195" s="8"/>
      <c r="J195" s="1113"/>
      <c r="K195" s="8"/>
      <c r="L195" s="1113"/>
      <c r="M195" s="8"/>
      <c r="N195" s="1113"/>
      <c r="O195" s="8"/>
      <c r="P195" s="1113"/>
      <c r="Q195" s="8"/>
      <c r="R195" s="1113"/>
      <c r="S195" s="8"/>
      <c r="T195" s="1113"/>
      <c r="U195" s="8"/>
      <c r="V195" s="1113"/>
      <c r="W195" s="8"/>
      <c r="X195" s="1113"/>
      <c r="Y195" s="8"/>
      <c r="Z195" s="1113"/>
      <c r="AA195" s="8"/>
      <c r="AB195" s="1113"/>
      <c r="AC195" s="8"/>
      <c r="AD195" s="1113"/>
      <c r="AE195" s="8"/>
      <c r="AF195" s="1113"/>
      <c r="AG195" s="8"/>
      <c r="AH195" s="1113"/>
      <c r="AI195" s="8"/>
      <c r="AJ195" s="1113"/>
      <c r="AK195" s="8"/>
      <c r="AL195" s="1113"/>
      <c r="AM195" s="1765"/>
      <c r="AN195" s="1474"/>
      <c r="AO195" s="1110"/>
      <c r="AP195" s="1113"/>
      <c r="AQ195" s="11"/>
      <c r="AR195" s="11"/>
      <c r="AS195" s="11"/>
      <c r="AT195" s="2325"/>
      <c r="AU195" s="25"/>
      <c r="AV195" s="2325"/>
      <c r="AW195" s="25"/>
      <c r="AX195" s="17" t="str">
        <f t="shared" si="107"/>
        <v/>
      </c>
      <c r="BQ195" s="2553" t="str">
        <f t="shared" si="124"/>
        <v/>
      </c>
      <c r="BR195" s="2553" t="str">
        <f t="shared" si="125"/>
        <v/>
      </c>
      <c r="BS195" s="2553" t="str">
        <f t="shared" si="126"/>
        <v/>
      </c>
      <c r="BT195" s="2553" t="str">
        <f t="shared" si="108"/>
        <v/>
      </c>
      <c r="BU195" s="2553" t="str">
        <f t="shared" si="109"/>
        <v/>
      </c>
      <c r="BV195" s="2553" t="str">
        <f t="shared" si="110"/>
        <v/>
      </c>
      <c r="BW195" s="2553" t="str">
        <f t="shared" si="111"/>
        <v/>
      </c>
      <c r="BX195" s="2553" t="str">
        <f t="shared" si="112"/>
        <v/>
      </c>
      <c r="BY195" s="2553" t="str">
        <f t="shared" si="127"/>
        <v/>
      </c>
      <c r="BZ195" s="2553" t="str">
        <f t="shared" si="113"/>
        <v/>
      </c>
      <c r="CA195" s="17"/>
      <c r="CB195" s="1792">
        <f t="shared" si="114"/>
        <v>0</v>
      </c>
      <c r="CC195" s="1792">
        <f t="shared" si="115"/>
        <v>0</v>
      </c>
      <c r="CD195" s="1792">
        <f t="shared" si="116"/>
        <v>0</v>
      </c>
      <c r="CE195" s="1792">
        <f t="shared" si="117"/>
        <v>0</v>
      </c>
      <c r="CF195" s="1792">
        <f t="shared" si="118"/>
        <v>0</v>
      </c>
      <c r="CG195" s="1792">
        <f t="shared" si="119"/>
        <v>0</v>
      </c>
      <c r="CH195" s="1792">
        <f t="shared" si="120"/>
        <v>0</v>
      </c>
      <c r="CI195" s="1792">
        <f t="shared" si="121"/>
        <v>0</v>
      </c>
      <c r="CJ195" s="1792">
        <f t="shared" si="122"/>
        <v>0</v>
      </c>
      <c r="CK195" s="1792">
        <f t="shared" si="123"/>
        <v>0</v>
      </c>
    </row>
    <row r="196" spans="1:89" ht="15" customHeight="1" x14ac:dyDescent="0.25">
      <c r="A196" s="6931"/>
      <c r="B196" s="1" t="s">
        <v>2000</v>
      </c>
      <c r="C196" s="2366">
        <f t="shared" si="128"/>
        <v>0</v>
      </c>
      <c r="D196" s="2368">
        <f t="shared" si="106"/>
        <v>0</v>
      </c>
      <c r="E196" s="1">
        <f t="shared" si="106"/>
        <v>0</v>
      </c>
      <c r="F196" s="9"/>
      <c r="G196" s="11"/>
      <c r="H196" s="9"/>
      <c r="I196" s="11"/>
      <c r="J196" s="9"/>
      <c r="K196" s="11"/>
      <c r="L196" s="9"/>
      <c r="M196" s="11"/>
      <c r="N196" s="9"/>
      <c r="O196" s="11"/>
      <c r="P196" s="9"/>
      <c r="Q196" s="11"/>
      <c r="R196" s="9"/>
      <c r="S196" s="11"/>
      <c r="T196" s="9"/>
      <c r="U196" s="11"/>
      <c r="V196" s="9"/>
      <c r="W196" s="11"/>
      <c r="X196" s="9"/>
      <c r="Y196" s="11"/>
      <c r="Z196" s="9"/>
      <c r="AA196" s="11"/>
      <c r="AB196" s="9"/>
      <c r="AC196" s="11"/>
      <c r="AD196" s="9"/>
      <c r="AE196" s="11"/>
      <c r="AF196" s="9"/>
      <c r="AG196" s="11"/>
      <c r="AH196" s="9"/>
      <c r="AI196" s="11"/>
      <c r="AJ196" s="9"/>
      <c r="AK196" s="11"/>
      <c r="AL196" s="9"/>
      <c r="AM196" s="2325"/>
      <c r="AN196" s="26"/>
      <c r="AO196" s="27"/>
      <c r="AP196" s="9"/>
      <c r="AQ196" s="11"/>
      <c r="AR196" s="11"/>
      <c r="AS196" s="11"/>
      <c r="AT196" s="2325"/>
      <c r="AU196" s="25"/>
      <c r="AV196" s="2325"/>
      <c r="AW196" s="25"/>
      <c r="AX196" s="17" t="str">
        <f t="shared" si="107"/>
        <v/>
      </c>
      <c r="BQ196" s="2553" t="str">
        <f t="shared" si="124"/>
        <v/>
      </c>
      <c r="BR196" s="2553" t="str">
        <f t="shared" si="125"/>
        <v/>
      </c>
      <c r="BS196" s="2553" t="str">
        <f t="shared" si="126"/>
        <v/>
      </c>
      <c r="BT196" s="2553" t="str">
        <f t="shared" si="108"/>
        <v/>
      </c>
      <c r="BU196" s="2553" t="str">
        <f t="shared" si="109"/>
        <v/>
      </c>
      <c r="BV196" s="2553" t="str">
        <f t="shared" si="110"/>
        <v/>
      </c>
      <c r="BW196" s="2553" t="str">
        <f t="shared" si="111"/>
        <v/>
      </c>
      <c r="BX196" s="2553" t="str">
        <f t="shared" si="112"/>
        <v/>
      </c>
      <c r="BY196" s="2553" t="str">
        <f t="shared" si="127"/>
        <v/>
      </c>
      <c r="BZ196" s="2553" t="str">
        <f t="shared" si="113"/>
        <v/>
      </c>
      <c r="CA196" s="17"/>
      <c r="CB196" s="1792">
        <f t="shared" si="114"/>
        <v>0</v>
      </c>
      <c r="CC196" s="1792">
        <f t="shared" si="115"/>
        <v>0</v>
      </c>
      <c r="CD196" s="1792">
        <f t="shared" si="116"/>
        <v>0</v>
      </c>
      <c r="CE196" s="1792">
        <f t="shared" si="117"/>
        <v>0</v>
      </c>
      <c r="CF196" s="1792">
        <f t="shared" si="118"/>
        <v>0</v>
      </c>
      <c r="CG196" s="1792">
        <f t="shared" si="119"/>
        <v>0</v>
      </c>
      <c r="CH196" s="1792">
        <f t="shared" si="120"/>
        <v>0</v>
      </c>
      <c r="CI196" s="1792">
        <f t="shared" si="121"/>
        <v>0</v>
      </c>
      <c r="CJ196" s="1792">
        <f t="shared" si="122"/>
        <v>0</v>
      </c>
      <c r="CK196" s="1792">
        <f t="shared" si="123"/>
        <v>0</v>
      </c>
    </row>
    <row r="197" spans="1:89" ht="15" customHeight="1" x14ac:dyDescent="0.25">
      <c r="A197" s="6931"/>
      <c r="B197" s="2369" t="s">
        <v>2001</v>
      </c>
      <c r="C197" s="2366">
        <f t="shared" si="128"/>
        <v>0</v>
      </c>
      <c r="D197" s="2370"/>
      <c r="E197" s="1">
        <f>SUM(K197+M197+O197+Q197+S197+U197+W197+Y197+AA197+AC197+AE197+AG197+AI197+AK197+AM197)</f>
        <v>0</v>
      </c>
      <c r="F197" s="1598"/>
      <c r="G197" s="34"/>
      <c r="H197" s="1598"/>
      <c r="I197" s="34"/>
      <c r="J197" s="1598"/>
      <c r="K197" s="8"/>
      <c r="L197" s="1598"/>
      <c r="M197" s="8"/>
      <c r="N197" s="1598"/>
      <c r="O197" s="8"/>
      <c r="P197" s="1598"/>
      <c r="Q197" s="8"/>
      <c r="R197" s="1598"/>
      <c r="S197" s="8"/>
      <c r="T197" s="1598"/>
      <c r="U197" s="8"/>
      <c r="V197" s="1598"/>
      <c r="W197" s="8"/>
      <c r="X197" s="1598"/>
      <c r="Y197" s="8"/>
      <c r="Z197" s="1598"/>
      <c r="AA197" s="8"/>
      <c r="AB197" s="1598"/>
      <c r="AC197" s="8"/>
      <c r="AD197" s="1598"/>
      <c r="AE197" s="8"/>
      <c r="AF197" s="1598"/>
      <c r="AG197" s="8"/>
      <c r="AH197" s="1598"/>
      <c r="AI197" s="8"/>
      <c r="AJ197" s="1598"/>
      <c r="AK197" s="8"/>
      <c r="AL197" s="1598"/>
      <c r="AM197" s="1765"/>
      <c r="AN197" s="1474"/>
      <c r="AO197" s="1110"/>
      <c r="AP197" s="1598"/>
      <c r="AQ197" s="8"/>
      <c r="AR197" s="8"/>
      <c r="AS197" s="8"/>
      <c r="AT197" s="1598"/>
      <c r="AU197" s="1117"/>
      <c r="AV197" s="1765"/>
      <c r="AW197" s="1598"/>
      <c r="AX197" s="17" t="str">
        <f t="shared" si="107"/>
        <v/>
      </c>
      <c r="BQ197" s="2553" t="str">
        <f t="shared" si="124"/>
        <v/>
      </c>
      <c r="BR197" s="2553" t="str">
        <f t="shared" si="125"/>
        <v/>
      </c>
      <c r="BS197" s="170"/>
      <c r="BT197" s="2553" t="str">
        <f t="shared" ref="BT197" si="129">IF(AND(E197&gt;0,OR(AQ197="")), "* No olvide digitar la variable Pueblos originarios - Mujeres. Digite Cero si no tiene.",IF((AQ197)&gt;E197,"  * La variable Pueblos originarios - Mujeres No puede ser mayor al Total.",""))</f>
        <v/>
      </c>
      <c r="BU197" s="2553" t="str">
        <f t="shared" ref="BU197" si="130">IF(AND(C197&gt;0,AR197=""), "* No olvide digitar la variable Niños, niñas, adolescentes y jóvenes SENAME. Digite Cero si no tiene.",IF(AR197&gt;C197,"  * La variable Niños, niñas, adolescentes y jóvenes SENAME No puede ser mayor al Total.",""))</f>
        <v/>
      </c>
      <c r="BV197" s="2553" t="str">
        <f t="shared" ref="BV197" si="131">IF(AND(C197&gt;0,AS197=""), "* No olvide digitar la variable Niños, niñas, adolescentes y jóvenes Mejor Niñez. Digite Cero si no tiene.",IF(AS197&gt;C197,"  * La variable Niños, niñas, adolescentes y jóvenes Mejor Niñez No puede ser mayor al Total.",""))</f>
        <v/>
      </c>
      <c r="BW197" s="2554"/>
      <c r="BX197" s="2553" t="str">
        <f t="shared" ref="BX197" si="132">IF(AND(E197&gt;0,OR(AU197="")), "* No olvide digitar la variable Migrantes - Mujeres. Digite Cero si no tiene.",IF((AU197)&gt;E197,"  * La variable Migrantes - Mujeres No puede ser mayor al Total.",""))</f>
        <v/>
      </c>
      <c r="BY197" s="2554"/>
      <c r="BZ197" s="2553" t="str">
        <f t="shared" ref="BZ197" si="133">IF(AND(E197&gt;0,OR(AV197="")), "* No olvide digitar la variable Trans (Masculino). Digite Cero si no tiene.",IF((AV197)&gt;E197,"  * La variable Trans (Masculino) No puede ser mayor al Total Mujeres.",""))</f>
        <v/>
      </c>
      <c r="CA197" s="17"/>
      <c r="CB197" s="1792">
        <f t="shared" si="114"/>
        <v>0</v>
      </c>
      <c r="CC197" s="1792">
        <f>IF(AND(E197&gt;0,AO197=""),1,IF(AO197&gt;E197,1,0))</f>
        <v>0</v>
      </c>
      <c r="CD197" s="17"/>
      <c r="CE197" s="1792">
        <f t="shared" si="117"/>
        <v>0</v>
      </c>
      <c r="CF197" s="1792">
        <f t="shared" si="118"/>
        <v>0</v>
      </c>
      <c r="CG197" s="1792">
        <f t="shared" si="119"/>
        <v>0</v>
      </c>
      <c r="CH197" s="17"/>
      <c r="CI197" s="1792">
        <f t="shared" si="121"/>
        <v>0</v>
      </c>
      <c r="CJ197" s="17"/>
      <c r="CK197" s="1792">
        <f t="shared" si="123"/>
        <v>0</v>
      </c>
    </row>
    <row r="198" spans="1:89" ht="15" customHeight="1" x14ac:dyDescent="0.25">
      <c r="A198" s="6931"/>
      <c r="B198" s="1" t="s">
        <v>2002</v>
      </c>
      <c r="C198" s="2366">
        <f t="shared" si="128"/>
        <v>0</v>
      </c>
      <c r="D198" s="2365">
        <f t="shared" ref="D198:E206" si="134">SUM(F198+H198+J198+L198+N198+P198+R198+T198+V198+X198+Z198+AB198+AD198+AF198+AH198+AJ198+AL198)</f>
        <v>0</v>
      </c>
      <c r="E198" s="1">
        <f t="shared" si="134"/>
        <v>0</v>
      </c>
      <c r="F198" s="2201"/>
      <c r="G198" s="1107"/>
      <c r="H198" s="2201"/>
      <c r="I198" s="1107"/>
      <c r="J198" s="2201"/>
      <c r="K198" s="1107"/>
      <c r="L198" s="2201"/>
      <c r="M198" s="1107"/>
      <c r="N198" s="2201"/>
      <c r="O198" s="1107"/>
      <c r="P198" s="2201"/>
      <c r="Q198" s="1107"/>
      <c r="R198" s="2201"/>
      <c r="S198" s="1107"/>
      <c r="T198" s="2201"/>
      <c r="U198" s="1107"/>
      <c r="V198" s="2201"/>
      <c r="W198" s="1107"/>
      <c r="X198" s="2201"/>
      <c r="Y198" s="1107"/>
      <c r="Z198" s="2201"/>
      <c r="AA198" s="1107"/>
      <c r="AB198" s="2201"/>
      <c r="AC198" s="1107"/>
      <c r="AD198" s="2201"/>
      <c r="AE198" s="1107"/>
      <c r="AF198" s="2201"/>
      <c r="AG198" s="1107"/>
      <c r="AH198" s="2201"/>
      <c r="AI198" s="1107"/>
      <c r="AJ198" s="2201"/>
      <c r="AK198" s="1107"/>
      <c r="AL198" s="2201"/>
      <c r="AM198" s="2328"/>
      <c r="AN198" s="1480"/>
      <c r="AO198" s="1761"/>
      <c r="AP198" s="2201"/>
      <c r="AQ198" s="1107"/>
      <c r="AR198" s="1107"/>
      <c r="AS198" s="1107"/>
      <c r="AT198" s="2328"/>
      <c r="AU198" s="1320"/>
      <c r="AV198" s="2328"/>
      <c r="AW198" s="1320"/>
      <c r="AX198" s="17" t="str">
        <f t="shared" si="107"/>
        <v/>
      </c>
      <c r="BQ198" s="2553" t="str">
        <f t="shared" si="124"/>
        <v/>
      </c>
      <c r="BR198" s="2553" t="str">
        <f t="shared" si="125"/>
        <v/>
      </c>
      <c r="BS198" s="2553" t="str">
        <f t="shared" ref="BS198:BS206" si="135">IF(AND(D198&gt;0,OR(AP198="")), "* No olvide digitar la variable Pueblos originarios - Hombres. Digite Cero si no tiene.",IF((AP198)&gt;D198,"  * La variable Pueblos originarios - Hombres No puede ser mayor al Total.",""))</f>
        <v/>
      </c>
      <c r="BT198" s="2553" t="str">
        <f t="shared" ref="BT198:BT206" si="136">IF(AND(E198&gt;0,OR(AQ198="")), "* No olvide digitar la variable Pueblos originarios - Mujeres. Digite Cero si no tiene.",IF((AQ198)&gt;E198,"  * La variable Pueblos originarios - Mujeres No puede ser mayor al Total.",""))</f>
        <v/>
      </c>
      <c r="BU198" s="2553" t="str">
        <f t="shared" ref="BU198:BU206" si="137">IF(AND(C198&gt;0,AR198=""), "* No olvide digitar la variable Niños, niñas, adolescentes y jóvenes SENAME. Digite Cero si no tiene.",IF(AR198&gt;C198,"  * La variable Niños, niñas, adolescentes y jóvenes SENAME No puede ser mayor al Total.",""))</f>
        <v/>
      </c>
      <c r="BV198" s="2553" t="str">
        <f t="shared" ref="BV198:BV206" si="138">IF(AND(C198&gt;0,AS198=""), "* No olvide digitar la variable Niños, niñas, adolescentes y jóvenes Mejor Niñez. Digite Cero si no tiene.",IF(AS198&gt;C198,"  * La variable Niños, niñas, adolescentes y jóvenes Mejor Niñez No puede ser mayor al Total.",""))</f>
        <v/>
      </c>
      <c r="BW198" s="2553" t="str">
        <f t="shared" ref="BW198:BW206" si="139">IF(AND(D198&gt;0,OR(AT198="")), "* No olvide digitar la variable Migrantes - Hombres. Digite Cero si no tiene.",IF((AT198+AT198)&gt;D198,"  * La variable Migrantes - Hombres No puede ser mayor al Total.",""))</f>
        <v/>
      </c>
      <c r="BX198" s="2553" t="str">
        <f t="shared" ref="BX198:BX206" si="140">IF(AND(E198&gt;0,OR(AU198="")), "* No olvide digitar la variable Migrantes - Mujeres. Digite Cero si no tiene.",IF((AU198)&gt;E198,"  * La variable Migrantes - Mujeres No puede ser mayor al Total.",""))</f>
        <v/>
      </c>
      <c r="BY198" s="2553" t="str">
        <f t="shared" si="127"/>
        <v/>
      </c>
      <c r="BZ198" s="2553" t="str">
        <f t="shared" ref="BZ198:BZ206" si="141">IF(AND(E198&gt;0,OR(AV198="")), "* No olvide digitar la variable Trans (Masculino). Digite Cero si no tiene.",IF((AV198)&gt;E198,"  * La variable Trans (Masculino) No puede ser mayor al Total Mujeres.",""))</f>
        <v/>
      </c>
      <c r="CA198" s="17"/>
      <c r="CB198" s="1792">
        <f t="shared" si="114"/>
        <v>0</v>
      </c>
      <c r="CC198" s="1792">
        <f t="shared" si="115"/>
        <v>0</v>
      </c>
      <c r="CD198" s="1792">
        <f t="shared" si="116"/>
        <v>0</v>
      </c>
      <c r="CE198" s="1792">
        <f t="shared" si="117"/>
        <v>0</v>
      </c>
      <c r="CF198" s="1792">
        <f t="shared" si="118"/>
        <v>0</v>
      </c>
      <c r="CG198" s="1792">
        <f t="shared" si="119"/>
        <v>0</v>
      </c>
      <c r="CH198" s="1792">
        <f t="shared" si="120"/>
        <v>0</v>
      </c>
      <c r="CI198" s="1792">
        <f t="shared" si="121"/>
        <v>0</v>
      </c>
      <c r="CJ198" s="1792">
        <f t="shared" si="122"/>
        <v>0</v>
      </c>
      <c r="CK198" s="1792">
        <f t="shared" si="123"/>
        <v>0</v>
      </c>
    </row>
    <row r="199" spans="1:89" ht="15" customHeight="1" x14ac:dyDescent="0.25">
      <c r="A199" s="6931"/>
      <c r="B199" s="2371" t="s">
        <v>2003</v>
      </c>
      <c r="C199" s="2366">
        <f t="shared" si="128"/>
        <v>0</v>
      </c>
      <c r="D199" s="2367">
        <f t="shared" si="134"/>
        <v>0</v>
      </c>
      <c r="E199" s="1">
        <f t="shared" si="134"/>
        <v>0</v>
      </c>
      <c r="F199" s="1113"/>
      <c r="G199" s="8"/>
      <c r="H199" s="1113"/>
      <c r="I199" s="8"/>
      <c r="J199" s="1113"/>
      <c r="K199" s="8"/>
      <c r="L199" s="1113"/>
      <c r="M199" s="8"/>
      <c r="N199" s="1113"/>
      <c r="O199" s="8"/>
      <c r="P199" s="1113"/>
      <c r="Q199" s="8"/>
      <c r="R199" s="1113"/>
      <c r="S199" s="8"/>
      <c r="T199" s="1113"/>
      <c r="U199" s="8"/>
      <c r="V199" s="1113"/>
      <c r="W199" s="8"/>
      <c r="X199" s="1113"/>
      <c r="Y199" s="8"/>
      <c r="Z199" s="1113"/>
      <c r="AA199" s="8"/>
      <c r="AB199" s="1113"/>
      <c r="AC199" s="8"/>
      <c r="AD199" s="1113"/>
      <c r="AE199" s="8"/>
      <c r="AF199" s="1113"/>
      <c r="AG199" s="8"/>
      <c r="AH199" s="1113"/>
      <c r="AI199" s="8"/>
      <c r="AJ199" s="1113"/>
      <c r="AK199" s="8"/>
      <c r="AL199" s="1113"/>
      <c r="AM199" s="1765"/>
      <c r="AN199" s="1474"/>
      <c r="AO199" s="1110"/>
      <c r="AP199" s="1113"/>
      <c r="AQ199" s="1305"/>
      <c r="AR199" s="1305"/>
      <c r="AS199" s="1305"/>
      <c r="AT199" s="2330"/>
      <c r="AU199" s="2789"/>
      <c r="AV199" s="2330"/>
      <c r="AW199" s="2789"/>
      <c r="AX199" s="17" t="str">
        <f t="shared" si="107"/>
        <v/>
      </c>
      <c r="BQ199" s="2553" t="str">
        <f t="shared" si="124"/>
        <v/>
      </c>
      <c r="BR199" s="2553" t="str">
        <f t="shared" si="125"/>
        <v/>
      </c>
      <c r="BS199" s="2553" t="str">
        <f t="shared" si="135"/>
        <v/>
      </c>
      <c r="BT199" s="2553" t="str">
        <f t="shared" si="136"/>
        <v/>
      </c>
      <c r="BU199" s="2553" t="str">
        <f t="shared" si="137"/>
        <v/>
      </c>
      <c r="BV199" s="2553" t="str">
        <f t="shared" si="138"/>
        <v/>
      </c>
      <c r="BW199" s="2553" t="str">
        <f t="shared" si="139"/>
        <v/>
      </c>
      <c r="BX199" s="2553" t="str">
        <f t="shared" si="140"/>
        <v/>
      </c>
      <c r="BY199" s="2553" t="str">
        <f t="shared" si="127"/>
        <v/>
      </c>
      <c r="BZ199" s="2553" t="str">
        <f t="shared" si="141"/>
        <v/>
      </c>
      <c r="CA199" s="17"/>
      <c r="CB199" s="1792">
        <f t="shared" si="114"/>
        <v>0</v>
      </c>
      <c r="CC199" s="1792">
        <f t="shared" si="115"/>
        <v>0</v>
      </c>
      <c r="CD199" s="1792">
        <f t="shared" si="116"/>
        <v>0</v>
      </c>
      <c r="CE199" s="1792">
        <f t="shared" si="117"/>
        <v>0</v>
      </c>
      <c r="CF199" s="1792">
        <f t="shared" si="118"/>
        <v>0</v>
      </c>
      <c r="CG199" s="1792">
        <f t="shared" si="119"/>
        <v>0</v>
      </c>
      <c r="CH199" s="1792">
        <f t="shared" si="120"/>
        <v>0</v>
      </c>
      <c r="CI199" s="1792">
        <f t="shared" si="121"/>
        <v>0</v>
      </c>
      <c r="CJ199" s="1792">
        <f t="shared" si="122"/>
        <v>0</v>
      </c>
      <c r="CK199" s="1792">
        <f t="shared" si="123"/>
        <v>0</v>
      </c>
    </row>
    <row r="200" spans="1:89" ht="15" customHeight="1" x14ac:dyDescent="0.25">
      <c r="A200" s="6931"/>
      <c r="B200" s="2372" t="s">
        <v>2004</v>
      </c>
      <c r="C200" s="2366">
        <f t="shared" si="128"/>
        <v>0</v>
      </c>
      <c r="D200" s="2367">
        <f t="shared" si="134"/>
        <v>0</v>
      </c>
      <c r="E200" s="1">
        <f t="shared" si="134"/>
        <v>0</v>
      </c>
      <c r="F200" s="1113"/>
      <c r="G200" s="8"/>
      <c r="H200" s="1113"/>
      <c r="I200" s="8"/>
      <c r="J200" s="1113"/>
      <c r="K200" s="8"/>
      <c r="L200" s="1113"/>
      <c r="M200" s="8"/>
      <c r="N200" s="1113"/>
      <c r="O200" s="8"/>
      <c r="P200" s="1113"/>
      <c r="Q200" s="8"/>
      <c r="R200" s="1113"/>
      <c r="S200" s="8"/>
      <c r="T200" s="1113"/>
      <c r="U200" s="8"/>
      <c r="V200" s="1113"/>
      <c r="W200" s="8"/>
      <c r="X200" s="1113"/>
      <c r="Y200" s="8"/>
      <c r="Z200" s="1113"/>
      <c r="AA200" s="8"/>
      <c r="AB200" s="1113"/>
      <c r="AC200" s="8"/>
      <c r="AD200" s="1113"/>
      <c r="AE200" s="8"/>
      <c r="AF200" s="1113"/>
      <c r="AG200" s="8"/>
      <c r="AH200" s="1113"/>
      <c r="AI200" s="8"/>
      <c r="AJ200" s="1113"/>
      <c r="AK200" s="8"/>
      <c r="AL200" s="1113"/>
      <c r="AM200" s="1765"/>
      <c r="AN200" s="1474"/>
      <c r="AO200" s="1110"/>
      <c r="AP200" s="1113"/>
      <c r="AQ200" s="11"/>
      <c r="AR200" s="11"/>
      <c r="AS200" s="11"/>
      <c r="AT200" s="2325"/>
      <c r="AU200" s="25"/>
      <c r="AV200" s="2325"/>
      <c r="AW200" s="25"/>
      <c r="AX200" s="17" t="str">
        <f>BQ200&amp;BR200&amp;BS200&amp;BT200&amp;BU200&amp;BV200&amp;BW200&amp;BX200&amp;BY200&amp;BZ200</f>
        <v/>
      </c>
      <c r="BQ200" s="2553" t="str">
        <f t="shared" si="124"/>
        <v/>
      </c>
      <c r="BR200" s="2553" t="str">
        <f t="shared" si="125"/>
        <v/>
      </c>
      <c r="BS200" s="2553" t="str">
        <f t="shared" si="135"/>
        <v/>
      </c>
      <c r="BT200" s="2553" t="str">
        <f t="shared" si="136"/>
        <v/>
      </c>
      <c r="BU200" s="2553" t="str">
        <f t="shared" si="137"/>
        <v/>
      </c>
      <c r="BV200" s="2553" t="str">
        <f t="shared" si="138"/>
        <v/>
      </c>
      <c r="BW200" s="2553" t="str">
        <f t="shared" si="139"/>
        <v/>
      </c>
      <c r="BX200" s="2553" t="str">
        <f t="shared" si="140"/>
        <v/>
      </c>
      <c r="BY200" s="2553" t="str">
        <f t="shared" si="127"/>
        <v/>
      </c>
      <c r="BZ200" s="2553" t="str">
        <f t="shared" si="141"/>
        <v/>
      </c>
      <c r="CA200" s="17"/>
      <c r="CB200" s="1792">
        <f t="shared" si="114"/>
        <v>0</v>
      </c>
      <c r="CC200" s="1792">
        <f t="shared" si="115"/>
        <v>0</v>
      </c>
      <c r="CD200" s="1792">
        <f t="shared" si="116"/>
        <v>0</v>
      </c>
      <c r="CE200" s="1792">
        <f t="shared" si="117"/>
        <v>0</v>
      </c>
      <c r="CF200" s="1792">
        <f t="shared" si="118"/>
        <v>0</v>
      </c>
      <c r="CG200" s="1792">
        <f t="shared" si="119"/>
        <v>0</v>
      </c>
      <c r="CH200" s="1792">
        <f t="shared" si="120"/>
        <v>0</v>
      </c>
      <c r="CI200" s="1792">
        <f t="shared" si="121"/>
        <v>0</v>
      </c>
      <c r="CJ200" s="1792">
        <f t="shared" si="122"/>
        <v>0</v>
      </c>
      <c r="CK200" s="1792">
        <f t="shared" si="123"/>
        <v>0</v>
      </c>
    </row>
    <row r="201" spans="1:89" ht="15" customHeight="1" x14ac:dyDescent="0.25">
      <c r="A201" s="6932"/>
      <c r="B201" s="2373" t="s">
        <v>2005</v>
      </c>
      <c r="C201" s="2374">
        <f t="shared" si="128"/>
        <v>0</v>
      </c>
      <c r="D201" s="2368">
        <f t="shared" si="134"/>
        <v>0</v>
      </c>
      <c r="E201" s="1763">
        <f t="shared" si="134"/>
        <v>0</v>
      </c>
      <c r="F201" s="9"/>
      <c r="G201" s="11"/>
      <c r="H201" s="9"/>
      <c r="I201" s="11"/>
      <c r="J201" s="9"/>
      <c r="K201" s="11"/>
      <c r="L201" s="9"/>
      <c r="M201" s="11"/>
      <c r="N201" s="9"/>
      <c r="O201" s="11"/>
      <c r="P201" s="9"/>
      <c r="Q201" s="11"/>
      <c r="R201" s="9"/>
      <c r="S201" s="11"/>
      <c r="T201" s="9"/>
      <c r="U201" s="11"/>
      <c r="V201" s="9"/>
      <c r="W201" s="11"/>
      <c r="X201" s="9"/>
      <c r="Y201" s="11"/>
      <c r="Z201" s="9"/>
      <c r="AA201" s="11"/>
      <c r="AB201" s="9"/>
      <c r="AC201" s="11"/>
      <c r="AD201" s="9"/>
      <c r="AE201" s="11"/>
      <c r="AF201" s="9"/>
      <c r="AG201" s="11"/>
      <c r="AH201" s="9"/>
      <c r="AI201" s="11"/>
      <c r="AJ201" s="9"/>
      <c r="AK201" s="11"/>
      <c r="AL201" s="9"/>
      <c r="AM201" s="2325"/>
      <c r="AN201" s="26"/>
      <c r="AO201" s="27"/>
      <c r="AP201" s="9"/>
      <c r="AQ201" s="12"/>
      <c r="AR201" s="12"/>
      <c r="AS201" s="12"/>
      <c r="AT201" s="2379"/>
      <c r="AU201" s="6"/>
      <c r="AV201" s="2379"/>
      <c r="AW201" s="6"/>
      <c r="AX201" s="17" t="str">
        <f t="shared" si="107"/>
        <v/>
      </c>
      <c r="BQ201" s="2553" t="str">
        <f t="shared" si="124"/>
        <v/>
      </c>
      <c r="BR201" s="2553" t="str">
        <f t="shared" si="125"/>
        <v/>
      </c>
      <c r="BS201" s="2553" t="str">
        <f t="shared" si="135"/>
        <v/>
      </c>
      <c r="BT201" s="2553" t="str">
        <f t="shared" si="136"/>
        <v/>
      </c>
      <c r="BU201" s="2553" t="str">
        <f t="shared" si="137"/>
        <v/>
      </c>
      <c r="BV201" s="2553" t="str">
        <f t="shared" si="138"/>
        <v/>
      </c>
      <c r="BW201" s="2553" t="str">
        <f t="shared" si="139"/>
        <v/>
      </c>
      <c r="BX201" s="2553" t="str">
        <f t="shared" si="140"/>
        <v/>
      </c>
      <c r="BY201" s="2553" t="str">
        <f t="shared" si="127"/>
        <v/>
      </c>
      <c r="BZ201" s="2553" t="str">
        <f t="shared" si="141"/>
        <v/>
      </c>
      <c r="CA201" s="17"/>
      <c r="CB201" s="1792">
        <f t="shared" si="114"/>
        <v>0</v>
      </c>
      <c r="CC201" s="1792">
        <f t="shared" si="115"/>
        <v>0</v>
      </c>
      <c r="CD201" s="1792">
        <f t="shared" si="116"/>
        <v>0</v>
      </c>
      <c r="CE201" s="1792">
        <f t="shared" si="117"/>
        <v>0</v>
      </c>
      <c r="CF201" s="1792">
        <f t="shared" si="118"/>
        <v>0</v>
      </c>
      <c r="CG201" s="1792">
        <f t="shared" si="119"/>
        <v>0</v>
      </c>
      <c r="CH201" s="1792">
        <f t="shared" si="120"/>
        <v>0</v>
      </c>
      <c r="CI201" s="1792">
        <f t="shared" si="121"/>
        <v>0</v>
      </c>
      <c r="CJ201" s="1792">
        <f t="shared" si="122"/>
        <v>0</v>
      </c>
      <c r="CK201" s="1792">
        <f t="shared" si="123"/>
        <v>0</v>
      </c>
    </row>
    <row r="202" spans="1:89" ht="15" customHeight="1" x14ac:dyDescent="0.25">
      <c r="A202" s="6930" t="s">
        <v>2006</v>
      </c>
      <c r="B202" s="2375" t="s">
        <v>2007</v>
      </c>
      <c r="C202" s="2339">
        <f t="shared" si="128"/>
        <v>0</v>
      </c>
      <c r="D202" s="2340">
        <f t="shared" si="134"/>
        <v>0</v>
      </c>
      <c r="E202" s="2338">
        <f t="shared" si="134"/>
        <v>0</v>
      </c>
      <c r="F202" s="2209"/>
      <c r="G202" s="2318"/>
      <c r="H202" s="2209"/>
      <c r="I202" s="2318"/>
      <c r="J202" s="2209"/>
      <c r="K202" s="2318"/>
      <c r="L202" s="2209"/>
      <c r="M202" s="2318"/>
      <c r="N202" s="2209"/>
      <c r="O202" s="2318"/>
      <c r="P202" s="2209"/>
      <c r="Q202" s="2318"/>
      <c r="R202" s="2209"/>
      <c r="S202" s="2318"/>
      <c r="T202" s="2209"/>
      <c r="U202" s="2318"/>
      <c r="V202" s="2209"/>
      <c r="W202" s="2318"/>
      <c r="X202" s="2209"/>
      <c r="Y202" s="2318"/>
      <c r="Z202" s="2209"/>
      <c r="AA202" s="2318"/>
      <c r="AB202" s="2209"/>
      <c r="AC202" s="2318"/>
      <c r="AD202" s="2209"/>
      <c r="AE202" s="2318"/>
      <c r="AF202" s="2209"/>
      <c r="AG202" s="2318"/>
      <c r="AH202" s="2209"/>
      <c r="AI202" s="2318"/>
      <c r="AJ202" s="2209"/>
      <c r="AK202" s="2318"/>
      <c r="AL202" s="2209"/>
      <c r="AM202" s="2319"/>
      <c r="AN202" s="2341"/>
      <c r="AO202" s="2255"/>
      <c r="AP202" s="2209"/>
      <c r="AQ202" s="2376"/>
      <c r="AR202" s="2376"/>
      <c r="AS202" s="2376"/>
      <c r="AT202" s="2787"/>
      <c r="AU202" s="2790"/>
      <c r="AV202" s="2787"/>
      <c r="AW202" s="2790"/>
      <c r="AX202" s="17" t="str">
        <f t="shared" si="107"/>
        <v/>
      </c>
      <c r="BQ202" s="2553" t="str">
        <f t="shared" si="124"/>
        <v/>
      </c>
      <c r="BR202" s="2553" t="str">
        <f t="shared" si="125"/>
        <v/>
      </c>
      <c r="BS202" s="2553" t="str">
        <f t="shared" si="135"/>
        <v/>
      </c>
      <c r="BT202" s="2553" t="str">
        <f t="shared" si="136"/>
        <v/>
      </c>
      <c r="BU202" s="2553" t="str">
        <f t="shared" si="137"/>
        <v/>
      </c>
      <c r="BV202" s="2553" t="str">
        <f t="shared" si="138"/>
        <v/>
      </c>
      <c r="BW202" s="2553" t="str">
        <f t="shared" si="139"/>
        <v/>
      </c>
      <c r="BX202" s="2553" t="str">
        <f t="shared" si="140"/>
        <v/>
      </c>
      <c r="BY202" s="2553" t="str">
        <f t="shared" si="127"/>
        <v/>
      </c>
      <c r="BZ202" s="2553" t="str">
        <f t="shared" si="141"/>
        <v/>
      </c>
      <c r="CA202" s="17"/>
      <c r="CB202" s="1792">
        <f t="shared" si="114"/>
        <v>0</v>
      </c>
      <c r="CC202" s="1792">
        <f t="shared" si="115"/>
        <v>0</v>
      </c>
      <c r="CD202" s="1792">
        <f t="shared" si="116"/>
        <v>0</v>
      </c>
      <c r="CE202" s="1792">
        <f t="shared" si="117"/>
        <v>0</v>
      </c>
      <c r="CF202" s="1792">
        <f t="shared" si="118"/>
        <v>0</v>
      </c>
      <c r="CG202" s="1792">
        <f t="shared" si="119"/>
        <v>0</v>
      </c>
      <c r="CH202" s="1792">
        <f t="shared" si="120"/>
        <v>0</v>
      </c>
      <c r="CI202" s="1792">
        <f t="shared" si="121"/>
        <v>0</v>
      </c>
      <c r="CJ202" s="1792">
        <f t="shared" si="122"/>
        <v>0</v>
      </c>
      <c r="CK202" s="1792">
        <f t="shared" si="123"/>
        <v>0</v>
      </c>
    </row>
    <row r="203" spans="1:89" ht="15" customHeight="1" x14ac:dyDescent="0.25">
      <c r="A203" s="6931"/>
      <c r="B203" s="1" t="s">
        <v>2008</v>
      </c>
      <c r="C203" s="2366">
        <f t="shared" si="128"/>
        <v>0</v>
      </c>
      <c r="D203" s="2367">
        <f>SUM(F203+H203+J203+L203+N203+P203+R203+T203+V203+X203+Z203+AB203+AD203+AF203+AH203+AJ203+AL203)</f>
        <v>0</v>
      </c>
      <c r="E203" s="1">
        <f t="shared" si="134"/>
        <v>0</v>
      </c>
      <c r="F203" s="1113"/>
      <c r="G203" s="8"/>
      <c r="H203" s="1113"/>
      <c r="I203" s="8"/>
      <c r="J203" s="1113"/>
      <c r="K203" s="8"/>
      <c r="L203" s="1113"/>
      <c r="M203" s="8"/>
      <c r="N203" s="1113"/>
      <c r="O203" s="8"/>
      <c r="P203" s="1113"/>
      <c r="Q203" s="8"/>
      <c r="R203" s="1113"/>
      <c r="S203" s="8"/>
      <c r="T203" s="1113"/>
      <c r="U203" s="8"/>
      <c r="V203" s="1113"/>
      <c r="W203" s="8"/>
      <c r="X203" s="1113"/>
      <c r="Y203" s="8"/>
      <c r="Z203" s="1113"/>
      <c r="AA203" s="8"/>
      <c r="AB203" s="1113"/>
      <c r="AC203" s="8"/>
      <c r="AD203" s="1113"/>
      <c r="AE203" s="8"/>
      <c r="AF203" s="1113"/>
      <c r="AG203" s="8"/>
      <c r="AH203" s="1113"/>
      <c r="AI203" s="8"/>
      <c r="AJ203" s="1113"/>
      <c r="AK203" s="8"/>
      <c r="AL203" s="1113"/>
      <c r="AM203" s="1765"/>
      <c r="AN203" s="1474"/>
      <c r="AO203" s="1110"/>
      <c r="AP203" s="1113"/>
      <c r="AQ203" s="11"/>
      <c r="AR203" s="11"/>
      <c r="AS203" s="11"/>
      <c r="AT203" s="2325"/>
      <c r="AU203" s="25"/>
      <c r="AV203" s="2325"/>
      <c r="AW203" s="25"/>
      <c r="AX203" s="17" t="str">
        <f t="shared" si="107"/>
        <v/>
      </c>
      <c r="BQ203" s="2553" t="str">
        <f t="shared" si="124"/>
        <v/>
      </c>
      <c r="BR203" s="2553" t="str">
        <f t="shared" si="125"/>
        <v/>
      </c>
      <c r="BS203" s="2553" t="str">
        <f t="shared" si="135"/>
        <v/>
      </c>
      <c r="BT203" s="2553" t="str">
        <f t="shared" si="136"/>
        <v/>
      </c>
      <c r="BU203" s="2553" t="str">
        <f t="shared" si="137"/>
        <v/>
      </c>
      <c r="BV203" s="2553" t="str">
        <f t="shared" si="138"/>
        <v/>
      </c>
      <c r="BW203" s="2553" t="str">
        <f t="shared" si="139"/>
        <v/>
      </c>
      <c r="BX203" s="2553" t="str">
        <f t="shared" si="140"/>
        <v/>
      </c>
      <c r="BY203" s="2553" t="str">
        <f t="shared" si="127"/>
        <v/>
      </c>
      <c r="BZ203" s="2553" t="str">
        <f t="shared" si="141"/>
        <v/>
      </c>
      <c r="CA203" s="17"/>
      <c r="CB203" s="1792">
        <f t="shared" si="114"/>
        <v>0</v>
      </c>
      <c r="CC203" s="1792">
        <f t="shared" si="115"/>
        <v>0</v>
      </c>
      <c r="CD203" s="1792">
        <f t="shared" si="116"/>
        <v>0</v>
      </c>
      <c r="CE203" s="1792">
        <f t="shared" si="117"/>
        <v>0</v>
      </c>
      <c r="CF203" s="1792">
        <f t="shared" si="118"/>
        <v>0</v>
      </c>
      <c r="CG203" s="1792">
        <f t="shared" si="119"/>
        <v>0</v>
      </c>
      <c r="CH203" s="1792">
        <f t="shared" si="120"/>
        <v>0</v>
      </c>
      <c r="CI203" s="1792">
        <f t="shared" si="121"/>
        <v>0</v>
      </c>
      <c r="CJ203" s="1792">
        <f t="shared" si="122"/>
        <v>0</v>
      </c>
      <c r="CK203" s="1792">
        <f t="shared" si="123"/>
        <v>0</v>
      </c>
    </row>
    <row r="204" spans="1:89" ht="15" customHeight="1" x14ac:dyDescent="0.25">
      <c r="A204" s="6931"/>
      <c r="B204" s="1763" t="s">
        <v>2009</v>
      </c>
      <c r="C204" s="2374">
        <f t="shared" si="128"/>
        <v>0</v>
      </c>
      <c r="D204" s="2368">
        <f>SUM(F204+H204+J204+L204+N204+P204+R204+T204+V204+X204+Z204+AB204+AD204+AF204+AH204+AJ204+AL204)</f>
        <v>0</v>
      </c>
      <c r="E204" s="1763">
        <f>SUM(G204+I204+K204+M204+O204+Q204+S204+U204+W204+Y204+AA204+AC204+AE204+AG204+AI204+AK204+AM204)</f>
        <v>0</v>
      </c>
      <c r="F204" s="9"/>
      <c r="G204" s="11"/>
      <c r="H204" s="9"/>
      <c r="I204" s="11"/>
      <c r="J204" s="9"/>
      <c r="K204" s="11"/>
      <c r="L204" s="9"/>
      <c r="M204" s="11"/>
      <c r="N204" s="9"/>
      <c r="O204" s="11"/>
      <c r="P204" s="9"/>
      <c r="Q204" s="11"/>
      <c r="R204" s="9"/>
      <c r="S204" s="11"/>
      <c r="T204" s="9"/>
      <c r="U204" s="11"/>
      <c r="V204" s="9"/>
      <c r="W204" s="11"/>
      <c r="X204" s="9"/>
      <c r="Y204" s="11"/>
      <c r="Z204" s="9"/>
      <c r="AA204" s="11"/>
      <c r="AB204" s="9"/>
      <c r="AC204" s="11"/>
      <c r="AD204" s="9"/>
      <c r="AE204" s="11"/>
      <c r="AF204" s="9"/>
      <c r="AG204" s="11"/>
      <c r="AH204" s="9"/>
      <c r="AI204" s="11"/>
      <c r="AJ204" s="9"/>
      <c r="AK204" s="11"/>
      <c r="AL204" s="9"/>
      <c r="AM204" s="2325"/>
      <c r="AN204" s="26"/>
      <c r="AO204" s="27"/>
      <c r="AP204" s="9"/>
      <c r="AQ204" s="11"/>
      <c r="AR204" s="11"/>
      <c r="AS204" s="11"/>
      <c r="AT204" s="2325"/>
      <c r="AU204" s="25"/>
      <c r="AV204" s="2325"/>
      <c r="AW204" s="25"/>
      <c r="AX204" s="17" t="str">
        <f t="shared" si="107"/>
        <v/>
      </c>
      <c r="BQ204" s="2553" t="str">
        <f t="shared" si="124"/>
        <v/>
      </c>
      <c r="BR204" s="2553" t="str">
        <f t="shared" si="125"/>
        <v/>
      </c>
      <c r="BS204" s="2553" t="str">
        <f t="shared" si="135"/>
        <v/>
      </c>
      <c r="BT204" s="2553" t="str">
        <f t="shared" si="136"/>
        <v/>
      </c>
      <c r="BU204" s="2553" t="str">
        <f t="shared" si="137"/>
        <v/>
      </c>
      <c r="BV204" s="2553" t="str">
        <f t="shared" si="138"/>
        <v/>
      </c>
      <c r="BW204" s="2553" t="str">
        <f t="shared" si="139"/>
        <v/>
      </c>
      <c r="BX204" s="2553" t="str">
        <f t="shared" si="140"/>
        <v/>
      </c>
      <c r="BY204" s="2553" t="str">
        <f t="shared" si="127"/>
        <v/>
      </c>
      <c r="BZ204" s="2553" t="str">
        <f t="shared" si="141"/>
        <v/>
      </c>
      <c r="CA204" s="17"/>
      <c r="CB204" s="1792">
        <f t="shared" si="114"/>
        <v>0</v>
      </c>
      <c r="CC204" s="1792">
        <f t="shared" si="115"/>
        <v>0</v>
      </c>
      <c r="CD204" s="1792">
        <f t="shared" si="116"/>
        <v>0</v>
      </c>
      <c r="CE204" s="1792">
        <f t="shared" si="117"/>
        <v>0</v>
      </c>
      <c r="CF204" s="1792">
        <f t="shared" si="118"/>
        <v>0</v>
      </c>
      <c r="CG204" s="1792">
        <f t="shared" si="119"/>
        <v>0</v>
      </c>
      <c r="CH204" s="1792">
        <f t="shared" si="120"/>
        <v>0</v>
      </c>
      <c r="CI204" s="1792">
        <f t="shared" si="121"/>
        <v>0</v>
      </c>
      <c r="CJ204" s="1792">
        <f t="shared" si="122"/>
        <v>0</v>
      </c>
      <c r="CK204" s="1792">
        <f t="shared" si="123"/>
        <v>0</v>
      </c>
    </row>
    <row r="205" spans="1:89" ht="15" customHeight="1" x14ac:dyDescent="0.25">
      <c r="A205" s="6931"/>
      <c r="B205" s="1763" t="s">
        <v>2010</v>
      </c>
      <c r="C205" s="2374">
        <f t="shared" si="128"/>
        <v>0</v>
      </c>
      <c r="D205" s="2368">
        <f>SUM(F205+H205+J205+L205+N205+P205+R205+T205+V205+X205+Z205+AB205+AD205+AF205+AH205+AJ205+AL205)</f>
        <v>0</v>
      </c>
      <c r="E205" s="1763">
        <f>SUM(G205+I205+K205+M205+O205+Q205+S205+U205+W205+Y205+AA205+AC205+AE205+AG205+AI205+AK205+AM205)</f>
        <v>0</v>
      </c>
      <c r="F205" s="9"/>
      <c r="G205" s="11"/>
      <c r="H205" s="9"/>
      <c r="I205" s="11"/>
      <c r="J205" s="9"/>
      <c r="K205" s="11"/>
      <c r="L205" s="9"/>
      <c r="M205" s="11"/>
      <c r="N205" s="9"/>
      <c r="O205" s="11"/>
      <c r="P205" s="9"/>
      <c r="Q205" s="11"/>
      <c r="R205" s="9"/>
      <c r="S205" s="11"/>
      <c r="T205" s="9"/>
      <c r="U205" s="11"/>
      <c r="V205" s="9"/>
      <c r="W205" s="11"/>
      <c r="X205" s="9"/>
      <c r="Y205" s="11"/>
      <c r="Z205" s="9"/>
      <c r="AA205" s="11"/>
      <c r="AB205" s="9"/>
      <c r="AC205" s="11"/>
      <c r="AD205" s="9"/>
      <c r="AE205" s="11"/>
      <c r="AF205" s="9"/>
      <c r="AG205" s="11"/>
      <c r="AH205" s="9"/>
      <c r="AI205" s="11"/>
      <c r="AJ205" s="9"/>
      <c r="AK205" s="11"/>
      <c r="AL205" s="9"/>
      <c r="AM205" s="2325"/>
      <c r="AN205" s="26"/>
      <c r="AO205" s="27"/>
      <c r="AP205" s="9"/>
      <c r="AQ205" s="11"/>
      <c r="AR205" s="11"/>
      <c r="AS205" s="11"/>
      <c r="AT205" s="2325"/>
      <c r="AU205" s="25"/>
      <c r="AV205" s="2325"/>
      <c r="AW205" s="25"/>
      <c r="AX205" s="17" t="str">
        <f t="shared" si="107"/>
        <v/>
      </c>
      <c r="BQ205" s="2553" t="str">
        <f t="shared" si="124"/>
        <v/>
      </c>
      <c r="BR205" s="2553" t="str">
        <f t="shared" si="125"/>
        <v/>
      </c>
      <c r="BS205" s="2553" t="str">
        <f t="shared" si="135"/>
        <v/>
      </c>
      <c r="BT205" s="2553" t="str">
        <f t="shared" si="136"/>
        <v/>
      </c>
      <c r="BU205" s="2553" t="str">
        <f t="shared" si="137"/>
        <v/>
      </c>
      <c r="BV205" s="2553" t="str">
        <f t="shared" si="138"/>
        <v/>
      </c>
      <c r="BW205" s="2553" t="str">
        <f t="shared" si="139"/>
        <v/>
      </c>
      <c r="BX205" s="2553" t="str">
        <f t="shared" si="140"/>
        <v/>
      </c>
      <c r="BY205" s="2553" t="str">
        <f t="shared" si="127"/>
        <v/>
      </c>
      <c r="BZ205" s="2553" t="str">
        <f t="shared" si="141"/>
        <v/>
      </c>
      <c r="CA205" s="17"/>
      <c r="CB205" s="1792">
        <f t="shared" si="114"/>
        <v>0</v>
      </c>
      <c r="CC205" s="1792">
        <f t="shared" si="115"/>
        <v>0</v>
      </c>
      <c r="CD205" s="1792">
        <f t="shared" si="116"/>
        <v>0</v>
      </c>
      <c r="CE205" s="1792">
        <f t="shared" si="117"/>
        <v>0</v>
      </c>
      <c r="CF205" s="1792">
        <f t="shared" si="118"/>
        <v>0</v>
      </c>
      <c r="CG205" s="1792">
        <f t="shared" si="119"/>
        <v>0</v>
      </c>
      <c r="CH205" s="1792">
        <f t="shared" si="120"/>
        <v>0</v>
      </c>
      <c r="CI205" s="1792">
        <f t="shared" si="121"/>
        <v>0</v>
      </c>
      <c r="CJ205" s="1792">
        <f t="shared" si="122"/>
        <v>0</v>
      </c>
      <c r="CK205" s="1792">
        <f t="shared" si="123"/>
        <v>0</v>
      </c>
    </row>
    <row r="206" spans="1:89" ht="15" customHeight="1" x14ac:dyDescent="0.25">
      <c r="A206" s="6932"/>
      <c r="B206" s="2" t="s">
        <v>2011</v>
      </c>
      <c r="C206" s="2377">
        <f t="shared" si="128"/>
        <v>0</v>
      </c>
      <c r="D206" s="2378">
        <f>SUM(F206+H206+J206+L206+N206+P206+R206+T206+V206+X206+Z206+AB206+AD206+AF206+AH206+AJ206+AL206)</f>
        <v>0</v>
      </c>
      <c r="E206" s="2">
        <f t="shared" si="134"/>
        <v>0</v>
      </c>
      <c r="F206" s="3"/>
      <c r="G206" s="12"/>
      <c r="H206" s="3"/>
      <c r="I206" s="12"/>
      <c r="J206" s="3"/>
      <c r="K206" s="12"/>
      <c r="L206" s="3"/>
      <c r="M206" s="12"/>
      <c r="N206" s="3"/>
      <c r="O206" s="12"/>
      <c r="P206" s="3"/>
      <c r="Q206" s="12"/>
      <c r="R206" s="3"/>
      <c r="S206" s="12"/>
      <c r="T206" s="3"/>
      <c r="U206" s="12"/>
      <c r="V206" s="3"/>
      <c r="W206" s="12"/>
      <c r="X206" s="3"/>
      <c r="Y206" s="12"/>
      <c r="Z206" s="3"/>
      <c r="AA206" s="12"/>
      <c r="AB206" s="3"/>
      <c r="AC206" s="12"/>
      <c r="AD206" s="3"/>
      <c r="AE206" s="12"/>
      <c r="AF206" s="3"/>
      <c r="AG206" s="12"/>
      <c r="AH206" s="3"/>
      <c r="AI206" s="12"/>
      <c r="AJ206" s="3"/>
      <c r="AK206" s="12"/>
      <c r="AL206" s="3"/>
      <c r="AM206" s="2379"/>
      <c r="AN206" s="29"/>
      <c r="AO206" s="30"/>
      <c r="AP206" s="3"/>
      <c r="AQ206" s="12"/>
      <c r="AR206" s="12"/>
      <c r="AS206" s="12"/>
      <c r="AT206" s="2379"/>
      <c r="AU206" s="6"/>
      <c r="AV206" s="2379"/>
      <c r="AW206" s="6"/>
      <c r="AX206" s="17" t="str">
        <f t="shared" si="107"/>
        <v/>
      </c>
      <c r="BQ206" s="2553" t="str">
        <f t="shared" si="124"/>
        <v/>
      </c>
      <c r="BR206" s="2553" t="str">
        <f t="shared" si="125"/>
        <v/>
      </c>
      <c r="BS206" s="2553" t="str">
        <f t="shared" si="135"/>
        <v/>
      </c>
      <c r="BT206" s="2553" t="str">
        <f t="shared" si="136"/>
        <v/>
      </c>
      <c r="BU206" s="2553" t="str">
        <f t="shared" si="137"/>
        <v/>
      </c>
      <c r="BV206" s="2553" t="str">
        <f t="shared" si="138"/>
        <v/>
      </c>
      <c r="BW206" s="2553" t="str">
        <f t="shared" si="139"/>
        <v/>
      </c>
      <c r="BX206" s="2553" t="str">
        <f t="shared" si="140"/>
        <v/>
      </c>
      <c r="BY206" s="2553" t="str">
        <f t="shared" si="127"/>
        <v/>
      </c>
      <c r="BZ206" s="2553" t="str">
        <f t="shared" si="141"/>
        <v/>
      </c>
      <c r="CA206" s="17"/>
      <c r="CB206" s="1792">
        <f t="shared" si="114"/>
        <v>0</v>
      </c>
      <c r="CC206" s="1792">
        <f t="shared" si="115"/>
        <v>0</v>
      </c>
      <c r="CD206" s="1792">
        <f t="shared" si="116"/>
        <v>0</v>
      </c>
      <c r="CE206" s="1792">
        <f t="shared" si="117"/>
        <v>0</v>
      </c>
      <c r="CF206" s="1792">
        <f t="shared" si="118"/>
        <v>0</v>
      </c>
      <c r="CG206" s="1792">
        <f t="shared" si="119"/>
        <v>0</v>
      </c>
      <c r="CH206" s="1792">
        <f t="shared" si="120"/>
        <v>0</v>
      </c>
      <c r="CI206" s="1792">
        <f t="shared" si="121"/>
        <v>0</v>
      </c>
      <c r="CJ206" s="1792">
        <f t="shared" si="122"/>
        <v>0</v>
      </c>
      <c r="CK206" s="1792">
        <f t="shared" si="123"/>
        <v>0</v>
      </c>
    </row>
    <row r="207" spans="1:89" ht="15" customHeight="1" x14ac:dyDescent="0.25">
      <c r="A207" s="6930" t="s">
        <v>2012</v>
      </c>
      <c r="B207" s="2338" t="s">
        <v>2013</v>
      </c>
      <c r="C207" s="2339">
        <f t="shared" si="128"/>
        <v>0</v>
      </c>
      <c r="D207" s="2340">
        <f>SUM(F207+H207+J207+L207+N207)</f>
        <v>0</v>
      </c>
      <c r="E207" s="2338">
        <f t="shared" ref="D207:E210" si="142">SUM(G207+I207+K207+M207+O207)</f>
        <v>0</v>
      </c>
      <c r="F207" s="2209"/>
      <c r="G207" s="2318"/>
      <c r="H207" s="2209"/>
      <c r="I207" s="2318"/>
      <c r="J207" s="2209"/>
      <c r="K207" s="2318"/>
      <c r="L207" s="2209"/>
      <c r="M207" s="2318"/>
      <c r="N207" s="2209"/>
      <c r="O207" s="2318"/>
      <c r="P207" s="2380"/>
      <c r="Q207" s="2381"/>
      <c r="R207" s="2381"/>
      <c r="S207" s="2381"/>
      <c r="T207" s="2381"/>
      <c r="U207" s="2381"/>
      <c r="V207" s="2381"/>
      <c r="W207" s="2381"/>
      <c r="X207" s="2381"/>
      <c r="Y207" s="2381"/>
      <c r="Z207" s="2381"/>
      <c r="AA207" s="2381"/>
      <c r="AB207" s="2381"/>
      <c r="AC207" s="2381"/>
      <c r="AD207" s="2381"/>
      <c r="AE207" s="2381"/>
      <c r="AF207" s="2381"/>
      <c r="AG207" s="2381"/>
      <c r="AH207" s="2381"/>
      <c r="AI207" s="2381"/>
      <c r="AJ207" s="2381"/>
      <c r="AK207" s="2381"/>
      <c r="AL207" s="2381"/>
      <c r="AM207" s="2382"/>
      <c r="AN207" s="2341"/>
      <c r="AO207" s="2383"/>
      <c r="AP207" s="2209"/>
      <c r="AQ207" s="2376"/>
      <c r="AR207" s="2376"/>
      <c r="AS207" s="2376"/>
      <c r="AT207" s="2787"/>
      <c r="AU207" s="2790"/>
      <c r="AV207" s="2787"/>
      <c r="AW207" s="2790"/>
      <c r="AX207" s="17" t="str">
        <f t="shared" si="107"/>
        <v/>
      </c>
      <c r="BQ207" s="2553" t="str">
        <f t="shared" si="124"/>
        <v/>
      </c>
      <c r="BR207" s="170"/>
      <c r="BS207" s="2553" t="str">
        <f t="shared" ref="BS207:BS210" si="143">IF(AND(D207&gt;0,OR(AP207="")), "* No olvide digitar la variable Pueblos originarios - Hombres. Digite Cero si no tiene.",IF((AP207)&gt;D207,"  * La variable Pueblos originarios - Hombres No puede ser mayor al Total.",""))</f>
        <v/>
      </c>
      <c r="BT207" s="2553" t="str">
        <f t="shared" ref="BT207:BT210" si="144">IF(AND(E207&gt;0,OR(AQ207="")), "* No olvide digitar la variable Pueblos originarios - Mujeres. Digite Cero si no tiene.",IF((AQ207)&gt;E207,"  * La variable Pueblos originarios - Mujeres No puede ser mayor al Total.",""))</f>
        <v/>
      </c>
      <c r="BU207" s="2553" t="str">
        <f t="shared" ref="BU207:BU210" si="145">IF(AND(C207&gt;0,AR207=""), "* No olvide digitar la variable Niños, niñas, adolescentes y jóvenes SENAME. Digite Cero si no tiene.",IF(AR207&gt;C207,"  * La variable Niños, niñas, adolescentes y jóvenes SENAME No puede ser mayor al Total.",""))</f>
        <v/>
      </c>
      <c r="BV207" s="2553" t="str">
        <f t="shared" ref="BV207:BV210" si="146">IF(AND(C207&gt;0,AS207=""), "* No olvide digitar la variable Niños, niñas, adolescentes y jóvenes Mejor Niñez. Digite Cero si no tiene.",IF(AS207&gt;C207,"  * La variable Niños, niñas, adolescentes y jóvenes Mejor Niñez No puede ser mayor al Total.",""))</f>
        <v/>
      </c>
      <c r="BW207" s="2553" t="str">
        <f t="shared" ref="BW207:BW210" si="147">IF(AND(D207&gt;0,OR(AT207="")), "* No olvide digitar la variable Migrantes - Hombres. Digite Cero si no tiene.",IF((AT207+AT207)&gt;D207,"  * La variable Migrantes - Hombres No puede ser mayor al Total.",""))</f>
        <v/>
      </c>
      <c r="BX207" s="2553" t="str">
        <f t="shared" ref="BX207:BX210" si="148">IF(AND(E207&gt;0,OR(AU207="")), "* No olvide digitar la variable Migrantes - Mujeres. Digite Cero si no tiene.",IF((AU207)&gt;E207,"  * La variable Migrantes - Mujeres No puede ser mayor al Total.",""))</f>
        <v/>
      </c>
      <c r="BY207" s="2553" t="str">
        <f t="shared" si="127"/>
        <v/>
      </c>
      <c r="BZ207" s="2553" t="str">
        <f t="shared" ref="BZ207:BZ210" si="149">IF(AND(E207&gt;0,OR(AV207="")), "* No olvide digitar la variable Trans (Masculino). Digite Cero si no tiene.",IF((AV207)&gt;E207,"  * La variable Trans (Masculino) No puede ser mayor al Total Mujeres.",""))</f>
        <v/>
      </c>
      <c r="CA207" s="17"/>
      <c r="CB207" s="1792">
        <f t="shared" si="114"/>
        <v>0</v>
      </c>
      <c r="CC207" s="17"/>
      <c r="CD207" s="1792">
        <f t="shared" si="116"/>
        <v>0</v>
      </c>
      <c r="CE207" s="1792">
        <f t="shared" si="117"/>
        <v>0</v>
      </c>
      <c r="CF207" s="1792">
        <f t="shared" si="118"/>
        <v>0</v>
      </c>
      <c r="CG207" s="1792">
        <f t="shared" si="119"/>
        <v>0</v>
      </c>
      <c r="CH207" s="1792">
        <f t="shared" si="120"/>
        <v>0</v>
      </c>
      <c r="CI207" s="1792">
        <f t="shared" si="121"/>
        <v>0</v>
      </c>
      <c r="CJ207" s="1792">
        <f t="shared" si="122"/>
        <v>0</v>
      </c>
      <c r="CK207" s="1792">
        <f t="shared" si="123"/>
        <v>0</v>
      </c>
    </row>
    <row r="208" spans="1:89" ht="23.25" customHeight="1" x14ac:dyDescent="0.25">
      <c r="A208" s="6931"/>
      <c r="B208" s="1" t="s">
        <v>2014</v>
      </c>
      <c r="C208" s="2366">
        <f t="shared" si="128"/>
        <v>0</v>
      </c>
      <c r="D208" s="2367">
        <f>SUM(F208+H208+J208+L208+N208)</f>
        <v>0</v>
      </c>
      <c r="E208" s="1">
        <f t="shared" si="142"/>
        <v>0</v>
      </c>
      <c r="F208" s="1113"/>
      <c r="G208" s="8"/>
      <c r="H208" s="1113"/>
      <c r="I208" s="8"/>
      <c r="J208" s="1113"/>
      <c r="K208" s="8"/>
      <c r="L208" s="1113"/>
      <c r="M208" s="8"/>
      <c r="N208" s="1113"/>
      <c r="O208" s="8"/>
      <c r="P208" s="2384"/>
      <c r="Q208" s="2385"/>
      <c r="R208" s="2385"/>
      <c r="S208" s="2385"/>
      <c r="T208" s="2385"/>
      <c r="U208" s="2385"/>
      <c r="V208" s="2385"/>
      <c r="W208" s="2385"/>
      <c r="X208" s="2385"/>
      <c r="Y208" s="2385"/>
      <c r="Z208" s="2385"/>
      <c r="AA208" s="2385"/>
      <c r="AB208" s="2385"/>
      <c r="AC208" s="2385"/>
      <c r="AD208" s="2385"/>
      <c r="AE208" s="2385"/>
      <c r="AF208" s="2385"/>
      <c r="AG208" s="2385"/>
      <c r="AH208" s="2385"/>
      <c r="AI208" s="2385"/>
      <c r="AJ208" s="2385"/>
      <c r="AK208" s="2385"/>
      <c r="AL208" s="2385"/>
      <c r="AM208" s="2386"/>
      <c r="AN208" s="1474"/>
      <c r="AO208" s="2387"/>
      <c r="AP208" s="1113"/>
      <c r="AQ208" s="11"/>
      <c r="AR208" s="11"/>
      <c r="AS208" s="11"/>
      <c r="AT208" s="2325"/>
      <c r="AU208" s="25"/>
      <c r="AV208" s="2325"/>
      <c r="AW208" s="25"/>
      <c r="AX208" s="17" t="str">
        <f t="shared" si="107"/>
        <v/>
      </c>
      <c r="BQ208" s="2553" t="str">
        <f t="shared" si="124"/>
        <v/>
      </c>
      <c r="BR208" s="170"/>
      <c r="BS208" s="2553" t="str">
        <f t="shared" si="143"/>
        <v/>
      </c>
      <c r="BT208" s="2553" t="str">
        <f t="shared" si="144"/>
        <v/>
      </c>
      <c r="BU208" s="2553" t="str">
        <f t="shared" si="145"/>
        <v/>
      </c>
      <c r="BV208" s="2553" t="str">
        <f t="shared" si="146"/>
        <v/>
      </c>
      <c r="BW208" s="2553" t="str">
        <f t="shared" si="147"/>
        <v/>
      </c>
      <c r="BX208" s="2553" t="str">
        <f t="shared" si="148"/>
        <v/>
      </c>
      <c r="BY208" s="2553" t="str">
        <f t="shared" si="127"/>
        <v/>
      </c>
      <c r="BZ208" s="2553" t="str">
        <f t="shared" si="149"/>
        <v/>
      </c>
      <c r="CA208" s="17"/>
      <c r="CB208" s="1792">
        <f t="shared" si="114"/>
        <v>0</v>
      </c>
      <c r="CC208" s="17"/>
      <c r="CD208" s="1792">
        <f t="shared" si="116"/>
        <v>0</v>
      </c>
      <c r="CE208" s="1792">
        <f t="shared" si="117"/>
        <v>0</v>
      </c>
      <c r="CF208" s="1792">
        <f t="shared" si="118"/>
        <v>0</v>
      </c>
      <c r="CG208" s="1792">
        <f t="shared" si="119"/>
        <v>0</v>
      </c>
      <c r="CH208" s="1792">
        <f t="shared" si="120"/>
        <v>0</v>
      </c>
      <c r="CI208" s="1792">
        <f t="shared" si="121"/>
        <v>0</v>
      </c>
      <c r="CJ208" s="1792">
        <f t="shared" si="122"/>
        <v>0</v>
      </c>
      <c r="CK208" s="1792">
        <f t="shared" si="123"/>
        <v>0</v>
      </c>
    </row>
    <row r="209" spans="1:89" ht="23.25" customHeight="1" x14ac:dyDescent="0.25">
      <c r="A209" s="6931"/>
      <c r="B209" s="1" t="s">
        <v>2015</v>
      </c>
      <c r="C209" s="2366">
        <f t="shared" si="128"/>
        <v>0</v>
      </c>
      <c r="D209" s="2367">
        <f t="shared" si="142"/>
        <v>0</v>
      </c>
      <c r="E209" s="1">
        <f t="shared" si="142"/>
        <v>0</v>
      </c>
      <c r="F209" s="1113"/>
      <c r="G209" s="8"/>
      <c r="H209" s="1113"/>
      <c r="I209" s="8"/>
      <c r="J209" s="1113"/>
      <c r="K209" s="8"/>
      <c r="L209" s="1113"/>
      <c r="M209" s="8"/>
      <c r="N209" s="1113"/>
      <c r="O209" s="8"/>
      <c r="P209" s="2384"/>
      <c r="Q209" s="2385"/>
      <c r="R209" s="2385"/>
      <c r="S209" s="2385"/>
      <c r="T209" s="2385"/>
      <c r="U209" s="2385"/>
      <c r="V209" s="2385"/>
      <c r="W209" s="2385"/>
      <c r="X209" s="2385"/>
      <c r="Y209" s="2385"/>
      <c r="Z209" s="2385"/>
      <c r="AA209" s="2385"/>
      <c r="AB209" s="2385"/>
      <c r="AC209" s="2385"/>
      <c r="AD209" s="2385"/>
      <c r="AE209" s="2385"/>
      <c r="AF209" s="2385"/>
      <c r="AG209" s="2385"/>
      <c r="AH209" s="2385"/>
      <c r="AI209" s="2385"/>
      <c r="AJ209" s="2385"/>
      <c r="AK209" s="2385"/>
      <c r="AL209" s="2385"/>
      <c r="AM209" s="2386"/>
      <c r="AN209" s="1474"/>
      <c r="AO209" s="2387"/>
      <c r="AP209" s="1113"/>
      <c r="AQ209" s="11"/>
      <c r="AR209" s="11"/>
      <c r="AS209" s="11"/>
      <c r="AT209" s="2325"/>
      <c r="AU209" s="25"/>
      <c r="AV209" s="2325"/>
      <c r="AW209" s="25"/>
      <c r="AX209" s="17" t="str">
        <f t="shared" si="107"/>
        <v/>
      </c>
      <c r="BQ209" s="2553" t="str">
        <f t="shared" si="124"/>
        <v/>
      </c>
      <c r="BR209" s="170"/>
      <c r="BS209" s="2553" t="str">
        <f t="shared" si="143"/>
        <v/>
      </c>
      <c r="BT209" s="2553" t="str">
        <f t="shared" si="144"/>
        <v/>
      </c>
      <c r="BU209" s="2553" t="str">
        <f t="shared" si="145"/>
        <v/>
      </c>
      <c r="BV209" s="2553" t="str">
        <f t="shared" si="146"/>
        <v/>
      </c>
      <c r="BW209" s="2553" t="str">
        <f t="shared" si="147"/>
        <v/>
      </c>
      <c r="BX209" s="2553" t="str">
        <f t="shared" si="148"/>
        <v/>
      </c>
      <c r="BY209" s="2553" t="str">
        <f t="shared" si="127"/>
        <v/>
      </c>
      <c r="BZ209" s="2553" t="str">
        <f t="shared" si="149"/>
        <v/>
      </c>
      <c r="CA209" s="17"/>
      <c r="CB209" s="1792">
        <f t="shared" si="114"/>
        <v>0</v>
      </c>
      <c r="CC209" s="17"/>
      <c r="CD209" s="1792">
        <f t="shared" si="116"/>
        <v>0</v>
      </c>
      <c r="CE209" s="1792">
        <f t="shared" si="117"/>
        <v>0</v>
      </c>
      <c r="CF209" s="1792">
        <f t="shared" si="118"/>
        <v>0</v>
      </c>
      <c r="CG209" s="1792">
        <f t="shared" si="119"/>
        <v>0</v>
      </c>
      <c r="CH209" s="1792">
        <f t="shared" si="120"/>
        <v>0</v>
      </c>
      <c r="CI209" s="1792">
        <f t="shared" si="121"/>
        <v>0</v>
      </c>
      <c r="CJ209" s="1792">
        <f t="shared" si="122"/>
        <v>0</v>
      </c>
      <c r="CK209" s="1792">
        <f t="shared" si="123"/>
        <v>0</v>
      </c>
    </row>
    <row r="210" spans="1:89" ht="36" customHeight="1" x14ac:dyDescent="0.25">
      <c r="A210" s="6932"/>
      <c r="B210" s="2" t="s">
        <v>2016</v>
      </c>
      <c r="C210" s="2377">
        <f t="shared" si="128"/>
        <v>0</v>
      </c>
      <c r="D210" s="2378">
        <f t="shared" si="142"/>
        <v>0</v>
      </c>
      <c r="E210" s="2">
        <f t="shared" si="142"/>
        <v>0</v>
      </c>
      <c r="F210" s="3"/>
      <c r="G210" s="12"/>
      <c r="H210" s="3"/>
      <c r="I210" s="12"/>
      <c r="J210" s="3"/>
      <c r="K210" s="12"/>
      <c r="L210" s="3"/>
      <c r="M210" s="12"/>
      <c r="N210" s="3"/>
      <c r="O210" s="12"/>
      <c r="P210" s="2388"/>
      <c r="Q210" s="2389"/>
      <c r="R210" s="2389"/>
      <c r="S210" s="2389"/>
      <c r="T210" s="2389"/>
      <c r="U210" s="2389"/>
      <c r="V210" s="2389"/>
      <c r="W210" s="2389"/>
      <c r="X210" s="2389"/>
      <c r="Y210" s="2389"/>
      <c r="Z210" s="2389"/>
      <c r="AA210" s="2389"/>
      <c r="AB210" s="2389"/>
      <c r="AC210" s="2389"/>
      <c r="AD210" s="2389"/>
      <c r="AE210" s="2389"/>
      <c r="AF210" s="2389"/>
      <c r="AG210" s="2389"/>
      <c r="AH210" s="2389"/>
      <c r="AI210" s="2389"/>
      <c r="AJ210" s="2389"/>
      <c r="AK210" s="2389"/>
      <c r="AL210" s="2389"/>
      <c r="AM210" s="2390"/>
      <c r="AN210" s="29"/>
      <c r="AO210" s="2391"/>
      <c r="AP210" s="3"/>
      <c r="AQ210" s="12"/>
      <c r="AR210" s="12"/>
      <c r="AS210" s="12"/>
      <c r="AT210" s="2379"/>
      <c r="AU210" s="6"/>
      <c r="AV210" s="2379"/>
      <c r="AW210" s="6"/>
      <c r="AX210" s="17" t="str">
        <f t="shared" si="107"/>
        <v/>
      </c>
      <c r="BQ210" s="2553" t="str">
        <f t="shared" si="124"/>
        <v/>
      </c>
      <c r="BR210" s="170"/>
      <c r="BS210" s="2553" t="str">
        <f t="shared" si="143"/>
        <v/>
      </c>
      <c r="BT210" s="2553" t="str">
        <f t="shared" si="144"/>
        <v/>
      </c>
      <c r="BU210" s="2553" t="str">
        <f t="shared" si="145"/>
        <v/>
      </c>
      <c r="BV210" s="2553" t="str">
        <f t="shared" si="146"/>
        <v/>
      </c>
      <c r="BW210" s="2553" t="str">
        <f t="shared" si="147"/>
        <v/>
      </c>
      <c r="BX210" s="2553" t="str">
        <f t="shared" si="148"/>
        <v/>
      </c>
      <c r="BY210" s="2553" t="str">
        <f t="shared" si="127"/>
        <v/>
      </c>
      <c r="BZ210" s="2553" t="str">
        <f t="shared" si="149"/>
        <v/>
      </c>
      <c r="CA210" s="17"/>
      <c r="CB210" s="1792">
        <f t="shared" si="114"/>
        <v>0</v>
      </c>
      <c r="CC210" s="17"/>
      <c r="CD210" s="1792">
        <f t="shared" si="116"/>
        <v>0</v>
      </c>
      <c r="CE210" s="1792">
        <f t="shared" si="117"/>
        <v>0</v>
      </c>
      <c r="CF210" s="1792">
        <f t="shared" si="118"/>
        <v>0</v>
      </c>
      <c r="CG210" s="1792">
        <f t="shared" si="119"/>
        <v>0</v>
      </c>
      <c r="CH210" s="1792">
        <f t="shared" si="120"/>
        <v>0</v>
      </c>
      <c r="CI210" s="1792">
        <f t="shared" si="121"/>
        <v>0</v>
      </c>
      <c r="CJ210" s="1792">
        <f t="shared" si="122"/>
        <v>0</v>
      </c>
      <c r="CK210" s="1792">
        <f t="shared" si="123"/>
        <v>0</v>
      </c>
    </row>
    <row r="211" spans="1:89" ht="15" customHeight="1" x14ac:dyDescent="0.25">
      <c r="A211" s="7022" t="s">
        <v>3927</v>
      </c>
      <c r="B211" s="2392" t="s">
        <v>2018</v>
      </c>
      <c r="C211" s="2364">
        <f t="shared" si="128"/>
        <v>0</v>
      </c>
      <c r="D211" s="2365">
        <f t="shared" ref="D211:E230" si="150">SUM(F211+H211+J211+L211+N211+P211+R211+T211+V211+X211+Z211+AB211+AD211+AF211+AH211+AJ211+AL211)</f>
        <v>0</v>
      </c>
      <c r="E211" s="2363">
        <f t="shared" si="150"/>
        <v>0</v>
      </c>
      <c r="F211" s="2201"/>
      <c r="G211" s="1107"/>
      <c r="H211" s="2201"/>
      <c r="I211" s="1107"/>
      <c r="J211" s="2201"/>
      <c r="K211" s="1107"/>
      <c r="L211" s="2201"/>
      <c r="M211" s="1107"/>
      <c r="N211" s="2201"/>
      <c r="O211" s="1107"/>
      <c r="P211" s="2201"/>
      <c r="Q211" s="1107"/>
      <c r="R211" s="2201"/>
      <c r="S211" s="1107"/>
      <c r="T211" s="2201"/>
      <c r="U211" s="1107"/>
      <c r="V211" s="2201"/>
      <c r="W211" s="1107"/>
      <c r="X211" s="2201"/>
      <c r="Y211" s="1107"/>
      <c r="Z211" s="2201"/>
      <c r="AA211" s="1107"/>
      <c r="AB211" s="2201"/>
      <c r="AC211" s="1107"/>
      <c r="AD211" s="2201"/>
      <c r="AE211" s="1107"/>
      <c r="AF211" s="2201"/>
      <c r="AG211" s="1107"/>
      <c r="AH211" s="2201"/>
      <c r="AI211" s="1107"/>
      <c r="AJ211" s="2201"/>
      <c r="AK211" s="1107"/>
      <c r="AL211" s="2201"/>
      <c r="AM211" s="1322"/>
      <c r="AN211" s="1107"/>
      <c r="AO211" s="2255"/>
      <c r="AP211" s="2393"/>
      <c r="AQ211" s="1107"/>
      <c r="AR211" s="1107"/>
      <c r="AS211" s="1107"/>
      <c r="AT211" s="2328"/>
      <c r="AU211" s="1320"/>
      <c r="AV211" s="1321"/>
      <c r="AW211" s="1320"/>
      <c r="AX211" s="17" t="str">
        <f t="shared" si="107"/>
        <v/>
      </c>
      <c r="BQ211" s="2553" t="str">
        <f t="shared" si="124"/>
        <v/>
      </c>
      <c r="BR211" s="2553" t="str">
        <f>IF(AND(E211&gt;0,AO211=""), "* No olvide digitar la variable Madre de hijo menor de 5 años. Digite Cero si no tiene.",IF(AO211&gt;E211,"  * La variable Madre de hijo menor de 5 años No puede ser mayor al Total Mujeres.",""))</f>
        <v/>
      </c>
      <c r="BS211" s="2553" t="str">
        <f t="shared" ref="BS211:BS218" si="151">IF(AND(D211&gt;0,OR(AP211="")), "* No olvide digitar la variable Pueblos originarios - Hombres. Digite Cero si no tiene.",IF((AP211)&gt;D211,"  * La variable Pueblos originarios - Hombres No puede ser mayor al Total.",""))</f>
        <v/>
      </c>
      <c r="BT211" s="2553" t="str">
        <f t="shared" ref="BT211:BT218" si="152">IF(AND(E211&gt;0,OR(AQ211="")), "* No olvide digitar la variable Pueblos originarios - Mujeres. Digite Cero si no tiene.",IF((AQ211)&gt;E211,"  * La variable Pueblos originarios - Mujeres No puede ser mayor al Total.",""))</f>
        <v/>
      </c>
      <c r="BU211" s="2553" t="str">
        <f t="shared" ref="BU211:BU218" si="153">IF(AND(C211&gt;0,AR211=""), "* No olvide digitar la variable Niños, niñas, adolescentes y jóvenes SENAME. Digite Cero si no tiene.",IF(AR211&gt;C211,"  * La variable Niños, niñas, adolescentes y jóvenes SENAME No puede ser mayor al Total.",""))</f>
        <v/>
      </c>
      <c r="BV211" s="2553" t="str">
        <f t="shared" ref="BV211:BV218" si="154">IF(AND(C211&gt;0,AS211=""), "* No olvide digitar la variable Niños, niñas, adolescentes y jóvenes Mejor Niñez. Digite Cero si no tiene.",IF(AS211&gt;C211,"  * La variable Niños, niñas, adolescentes y jóvenes Mejor Niñez No puede ser mayor al Total.",""))</f>
        <v/>
      </c>
      <c r="BW211" s="2553" t="str">
        <f t="shared" ref="BW211:BW218" si="155">IF(AND(D211&gt;0,OR(AT211="")), "* No olvide digitar la variable Migrantes - Hombres. Digite Cero si no tiene.",IF((AT211+AT211)&gt;D211,"  * La variable Migrantes - Hombres No puede ser mayor al Total.",""))</f>
        <v/>
      </c>
      <c r="BX211" s="2553" t="str">
        <f t="shared" ref="BX211:BX218" si="156">IF(AND(E211&gt;0,OR(AU211="")), "* No olvide digitar la variable Migrantes - Mujeres. Digite Cero si no tiene.",IF((AU211)&gt;E211,"  * La variable Migrantes - Mujeres No puede ser mayor al Total.",""))</f>
        <v/>
      </c>
      <c r="BY211" s="2553" t="str">
        <f t="shared" si="127"/>
        <v/>
      </c>
      <c r="BZ211" s="2553" t="str">
        <f t="shared" ref="BZ211:BZ215" si="157">IF(AND(E211&gt;0,OR(AV211="")), "* No olvide digitar la variable Trans (Masculino). Digite Cero si no tiene.",IF((AV211)&gt;E211,"  * La variable Trans (Masculino) No puede ser mayor al Total Mujeres.",""))</f>
        <v/>
      </c>
      <c r="CA211" s="17"/>
      <c r="CB211" s="1792">
        <f t="shared" si="114"/>
        <v>0</v>
      </c>
      <c r="CC211" s="1792">
        <f t="shared" si="115"/>
        <v>0</v>
      </c>
      <c r="CD211" s="1792">
        <f t="shared" si="116"/>
        <v>0</v>
      </c>
      <c r="CE211" s="1792">
        <f t="shared" si="117"/>
        <v>0</v>
      </c>
      <c r="CF211" s="1792">
        <f t="shared" si="118"/>
        <v>0</v>
      </c>
      <c r="CG211" s="1792">
        <f t="shared" si="119"/>
        <v>0</v>
      </c>
      <c r="CH211" s="1792">
        <f t="shared" si="120"/>
        <v>0</v>
      </c>
      <c r="CI211" s="1792">
        <f t="shared" si="121"/>
        <v>0</v>
      </c>
      <c r="CJ211" s="1792">
        <f t="shared" si="122"/>
        <v>0</v>
      </c>
      <c r="CK211" s="1792">
        <f t="shared" si="123"/>
        <v>0</v>
      </c>
    </row>
    <row r="212" spans="1:89" ht="15" customHeight="1" x14ac:dyDescent="0.25">
      <c r="A212" s="7023"/>
      <c r="B212" s="2394" t="s">
        <v>2019</v>
      </c>
      <c r="C212" s="2366">
        <f t="shared" si="128"/>
        <v>0</v>
      </c>
      <c r="D212" s="2367">
        <f t="shared" si="150"/>
        <v>0</v>
      </c>
      <c r="E212" s="1">
        <f t="shared" si="150"/>
        <v>0</v>
      </c>
      <c r="F212" s="1113"/>
      <c r="G212" s="8"/>
      <c r="H212" s="1113"/>
      <c r="I212" s="8"/>
      <c r="J212" s="1113"/>
      <c r="K212" s="8"/>
      <c r="L212" s="1113"/>
      <c r="M212" s="8"/>
      <c r="N212" s="1113"/>
      <c r="O212" s="8"/>
      <c r="P212" s="1113"/>
      <c r="Q212" s="8"/>
      <c r="R212" s="1113"/>
      <c r="S212" s="8"/>
      <c r="T212" s="1113"/>
      <c r="U212" s="8"/>
      <c r="V212" s="1113"/>
      <c r="W212" s="8"/>
      <c r="X212" s="1113"/>
      <c r="Y212" s="8"/>
      <c r="Z212" s="1113"/>
      <c r="AA212" s="8"/>
      <c r="AB212" s="1113"/>
      <c r="AC212" s="8"/>
      <c r="AD212" s="1113"/>
      <c r="AE212" s="8"/>
      <c r="AF212" s="1113"/>
      <c r="AG212" s="8"/>
      <c r="AH212" s="1113"/>
      <c r="AI212" s="8"/>
      <c r="AJ212" s="1113"/>
      <c r="AK212" s="8"/>
      <c r="AL212" s="1113"/>
      <c r="AM212" s="1118"/>
      <c r="AN212" s="8"/>
      <c r="AO212" s="1110"/>
      <c r="AP212" s="2204"/>
      <c r="AQ212" s="8"/>
      <c r="AR212" s="8"/>
      <c r="AS212" s="8"/>
      <c r="AT212" s="1765"/>
      <c r="AU212" s="1117"/>
      <c r="AV212" s="1302"/>
      <c r="AW212" s="1117"/>
      <c r="AX212" s="17" t="str">
        <f t="shared" si="107"/>
        <v/>
      </c>
      <c r="BQ212" s="2553" t="str">
        <f t="shared" ref="BQ212:BQ215" si="158">IF(AND(E212&gt;0,AN212=""), "* No olvide digitar la variable Gestantes. Digite Cero si no tiene.",IF(AN212&gt;E212,"  * La  variable Gestantes No puede ser mayor al Total Mujeres.",""))</f>
        <v/>
      </c>
      <c r="BR212" s="2553" t="str">
        <f t="shared" ref="BR212:BR215" si="159">IF(AND(E212&gt;0,AO212=""), "* No olvide digitar la variable Madre de hijo menor de 5 años. Digite Cero si no tiene.",IF(AO212&gt;E212,"  * La variable Madre de hijo menor de 5 años No puede ser mayor al Total Mujeres.",""))</f>
        <v/>
      </c>
      <c r="BS212" s="2553" t="str">
        <f t="shared" si="151"/>
        <v/>
      </c>
      <c r="BT212" s="2553" t="str">
        <f t="shared" si="152"/>
        <v/>
      </c>
      <c r="BU212" s="2553" t="str">
        <f t="shared" si="153"/>
        <v/>
      </c>
      <c r="BV212" s="2553" t="str">
        <f t="shared" si="154"/>
        <v/>
      </c>
      <c r="BW212" s="2553" t="str">
        <f t="shared" si="155"/>
        <v/>
      </c>
      <c r="BX212" s="2553" t="str">
        <f t="shared" si="156"/>
        <v/>
      </c>
      <c r="BY212" s="2553" t="str">
        <f t="shared" si="127"/>
        <v/>
      </c>
      <c r="BZ212" s="2553" t="str">
        <f t="shared" si="157"/>
        <v/>
      </c>
      <c r="CA212" s="17"/>
      <c r="CB212" s="1792">
        <f t="shared" si="114"/>
        <v>0</v>
      </c>
      <c r="CC212" s="1792">
        <f t="shared" si="115"/>
        <v>0</v>
      </c>
      <c r="CD212" s="1792">
        <f t="shared" si="116"/>
        <v>0</v>
      </c>
      <c r="CE212" s="1792">
        <f t="shared" si="117"/>
        <v>0</v>
      </c>
      <c r="CF212" s="1792">
        <f t="shared" si="118"/>
        <v>0</v>
      </c>
      <c r="CG212" s="1792">
        <f t="shared" si="119"/>
        <v>0</v>
      </c>
      <c r="CH212" s="1792">
        <f t="shared" si="120"/>
        <v>0</v>
      </c>
      <c r="CI212" s="1792">
        <f t="shared" si="121"/>
        <v>0</v>
      </c>
      <c r="CJ212" s="1792">
        <f t="shared" si="122"/>
        <v>0</v>
      </c>
      <c r="CK212" s="1792">
        <f t="shared" si="123"/>
        <v>0</v>
      </c>
    </row>
    <row r="213" spans="1:89" ht="15" customHeight="1" x14ac:dyDescent="0.25">
      <c r="A213" s="7023"/>
      <c r="B213" s="2369" t="s">
        <v>2020</v>
      </c>
      <c r="C213" s="2366">
        <f t="shared" si="128"/>
        <v>0</v>
      </c>
      <c r="D213" s="2367">
        <f t="shared" si="150"/>
        <v>0</v>
      </c>
      <c r="E213" s="1">
        <f t="shared" si="150"/>
        <v>0</v>
      </c>
      <c r="F213" s="1113"/>
      <c r="G213" s="8"/>
      <c r="H213" s="1113"/>
      <c r="I213" s="8"/>
      <c r="J213" s="1113"/>
      <c r="K213" s="8"/>
      <c r="L213" s="1113"/>
      <c r="M213" s="8"/>
      <c r="N213" s="1113"/>
      <c r="O213" s="8"/>
      <c r="P213" s="1113"/>
      <c r="Q213" s="8"/>
      <c r="R213" s="1113"/>
      <c r="S213" s="8"/>
      <c r="T213" s="1113"/>
      <c r="U213" s="8"/>
      <c r="V213" s="1113"/>
      <c r="W213" s="8"/>
      <c r="X213" s="1113"/>
      <c r="Y213" s="8"/>
      <c r="Z213" s="1113"/>
      <c r="AA213" s="8"/>
      <c r="AB213" s="1113"/>
      <c r="AC213" s="8"/>
      <c r="AD213" s="1113"/>
      <c r="AE213" s="8"/>
      <c r="AF213" s="1113"/>
      <c r="AG213" s="8"/>
      <c r="AH213" s="1113"/>
      <c r="AI213" s="8"/>
      <c r="AJ213" s="1113"/>
      <c r="AK213" s="8"/>
      <c r="AL213" s="1113"/>
      <c r="AM213" s="1118"/>
      <c r="AN213" s="8"/>
      <c r="AO213" s="1110"/>
      <c r="AP213" s="2204"/>
      <c r="AQ213" s="8"/>
      <c r="AR213" s="8"/>
      <c r="AS213" s="8"/>
      <c r="AT213" s="1765"/>
      <c r="AU213" s="1117"/>
      <c r="AV213" s="1302"/>
      <c r="AW213" s="1117"/>
      <c r="AX213" s="17" t="str">
        <f t="shared" si="107"/>
        <v/>
      </c>
      <c r="BQ213" s="2553" t="str">
        <f t="shared" si="158"/>
        <v/>
      </c>
      <c r="BR213" s="2553" t="str">
        <f t="shared" si="159"/>
        <v/>
      </c>
      <c r="BS213" s="2553" t="str">
        <f t="shared" si="151"/>
        <v/>
      </c>
      <c r="BT213" s="2553" t="str">
        <f t="shared" si="152"/>
        <v/>
      </c>
      <c r="BU213" s="2553" t="str">
        <f t="shared" si="153"/>
        <v/>
      </c>
      <c r="BV213" s="2553" t="str">
        <f t="shared" si="154"/>
        <v/>
      </c>
      <c r="BW213" s="2553" t="str">
        <f t="shared" si="155"/>
        <v/>
      </c>
      <c r="BX213" s="2553" t="str">
        <f t="shared" si="156"/>
        <v/>
      </c>
      <c r="BY213" s="2553" t="str">
        <f t="shared" si="127"/>
        <v/>
      </c>
      <c r="BZ213" s="2553" t="str">
        <f t="shared" si="157"/>
        <v/>
      </c>
      <c r="CA213" s="17"/>
      <c r="CB213" s="1792">
        <f t="shared" si="114"/>
        <v>0</v>
      </c>
      <c r="CC213" s="1792">
        <f t="shared" si="115"/>
        <v>0</v>
      </c>
      <c r="CD213" s="1792">
        <f t="shared" si="116"/>
        <v>0</v>
      </c>
      <c r="CE213" s="1792">
        <f t="shared" si="117"/>
        <v>0</v>
      </c>
      <c r="CF213" s="1792">
        <f t="shared" si="118"/>
        <v>0</v>
      </c>
      <c r="CG213" s="1792">
        <f t="shared" si="119"/>
        <v>0</v>
      </c>
      <c r="CH213" s="1792">
        <f t="shared" si="120"/>
        <v>0</v>
      </c>
      <c r="CI213" s="1792">
        <f t="shared" si="121"/>
        <v>0</v>
      </c>
      <c r="CJ213" s="1792">
        <f t="shared" si="122"/>
        <v>0</v>
      </c>
      <c r="CK213" s="1792">
        <f t="shared" si="123"/>
        <v>0</v>
      </c>
    </row>
    <row r="214" spans="1:89" ht="15" customHeight="1" x14ac:dyDescent="0.25">
      <c r="A214" s="7023"/>
      <c r="B214" s="2369" t="s">
        <v>2021</v>
      </c>
      <c r="C214" s="2366">
        <f t="shared" si="128"/>
        <v>0</v>
      </c>
      <c r="D214" s="2367">
        <f t="shared" si="150"/>
        <v>0</v>
      </c>
      <c r="E214" s="1">
        <f t="shared" si="150"/>
        <v>0</v>
      </c>
      <c r="F214" s="1113"/>
      <c r="G214" s="8"/>
      <c r="H214" s="1113"/>
      <c r="I214" s="8"/>
      <c r="J214" s="1113"/>
      <c r="K214" s="8"/>
      <c r="L214" s="1113"/>
      <c r="M214" s="8"/>
      <c r="N214" s="1113"/>
      <c r="O214" s="8"/>
      <c r="P214" s="1113"/>
      <c r="Q214" s="8"/>
      <c r="R214" s="1113"/>
      <c r="S214" s="8"/>
      <c r="T214" s="1113"/>
      <c r="U214" s="8"/>
      <c r="V214" s="1113"/>
      <c r="W214" s="8"/>
      <c r="X214" s="1113"/>
      <c r="Y214" s="8"/>
      <c r="Z214" s="1113"/>
      <c r="AA214" s="8"/>
      <c r="AB214" s="1113"/>
      <c r="AC214" s="8"/>
      <c r="AD214" s="1113"/>
      <c r="AE214" s="8"/>
      <c r="AF214" s="1113"/>
      <c r="AG214" s="8"/>
      <c r="AH214" s="1113"/>
      <c r="AI214" s="8"/>
      <c r="AJ214" s="1113"/>
      <c r="AK214" s="8"/>
      <c r="AL214" s="1113"/>
      <c r="AM214" s="1118"/>
      <c r="AN214" s="8"/>
      <c r="AO214" s="1110"/>
      <c r="AP214" s="2204"/>
      <c r="AQ214" s="8"/>
      <c r="AR214" s="8"/>
      <c r="AS214" s="8"/>
      <c r="AT214" s="1765"/>
      <c r="AU214" s="1117"/>
      <c r="AV214" s="1302"/>
      <c r="AW214" s="1117"/>
      <c r="AX214" s="17" t="str">
        <f t="shared" si="107"/>
        <v/>
      </c>
      <c r="BQ214" s="2553" t="str">
        <f t="shared" si="158"/>
        <v/>
      </c>
      <c r="BR214" s="2553" t="str">
        <f t="shared" si="159"/>
        <v/>
      </c>
      <c r="BS214" s="2553" t="str">
        <f t="shared" si="151"/>
        <v/>
      </c>
      <c r="BT214" s="2553" t="str">
        <f t="shared" si="152"/>
        <v/>
      </c>
      <c r="BU214" s="2553" t="str">
        <f t="shared" si="153"/>
        <v/>
      </c>
      <c r="BV214" s="2553" t="str">
        <f t="shared" si="154"/>
        <v/>
      </c>
      <c r="BW214" s="2553" t="str">
        <f t="shared" si="155"/>
        <v/>
      </c>
      <c r="BX214" s="2553" t="str">
        <f t="shared" si="156"/>
        <v/>
      </c>
      <c r="BY214" s="2553" t="str">
        <f t="shared" si="127"/>
        <v/>
      </c>
      <c r="BZ214" s="2553" t="str">
        <f t="shared" si="157"/>
        <v/>
      </c>
      <c r="CA214" s="17"/>
      <c r="CB214" s="1792">
        <f t="shared" si="114"/>
        <v>0</v>
      </c>
      <c r="CC214" s="1792">
        <f t="shared" si="115"/>
        <v>0</v>
      </c>
      <c r="CD214" s="1792">
        <f t="shared" si="116"/>
        <v>0</v>
      </c>
      <c r="CE214" s="1792">
        <f t="shared" si="117"/>
        <v>0</v>
      </c>
      <c r="CF214" s="1792">
        <f t="shared" si="118"/>
        <v>0</v>
      </c>
      <c r="CG214" s="1792">
        <f t="shared" si="119"/>
        <v>0</v>
      </c>
      <c r="CH214" s="1792">
        <f t="shared" si="120"/>
        <v>0</v>
      </c>
      <c r="CI214" s="1792">
        <f t="shared" si="121"/>
        <v>0</v>
      </c>
      <c r="CJ214" s="1792">
        <f t="shared" si="122"/>
        <v>0</v>
      </c>
      <c r="CK214" s="1792">
        <f t="shared" si="123"/>
        <v>0</v>
      </c>
    </row>
    <row r="215" spans="1:89" ht="15" customHeight="1" x14ac:dyDescent="0.25">
      <c r="A215" s="6457"/>
      <c r="B215" s="2395" t="s">
        <v>2022</v>
      </c>
      <c r="C215" s="2356">
        <f t="shared" si="128"/>
        <v>0</v>
      </c>
      <c r="D215" s="2357">
        <f t="shared" si="150"/>
        <v>0</v>
      </c>
      <c r="E215" s="2358">
        <f t="shared" si="150"/>
        <v>0</v>
      </c>
      <c r="F215" s="1113"/>
      <c r="G215" s="8"/>
      <c r="H215" s="1113"/>
      <c r="I215" s="8"/>
      <c r="J215" s="1113"/>
      <c r="K215" s="8"/>
      <c r="L215" s="1113"/>
      <c r="M215" s="8"/>
      <c r="N215" s="1113"/>
      <c r="O215" s="8"/>
      <c r="P215" s="1113"/>
      <c r="Q215" s="8"/>
      <c r="R215" s="1113"/>
      <c r="S215" s="8"/>
      <c r="T215" s="1113"/>
      <c r="U215" s="8"/>
      <c r="V215" s="1113"/>
      <c r="W215" s="8"/>
      <c r="X215" s="1113"/>
      <c r="Y215" s="8"/>
      <c r="Z215" s="1113"/>
      <c r="AA215" s="8"/>
      <c r="AB215" s="1113"/>
      <c r="AC215" s="8"/>
      <c r="AD215" s="1113"/>
      <c r="AE215" s="8"/>
      <c r="AF215" s="1113"/>
      <c r="AG215" s="8"/>
      <c r="AH215" s="1113"/>
      <c r="AI215" s="8"/>
      <c r="AJ215" s="1113"/>
      <c r="AK215" s="8"/>
      <c r="AL215" s="3"/>
      <c r="AM215" s="5"/>
      <c r="AN215" s="12"/>
      <c r="AO215" s="30"/>
      <c r="AP215" s="21"/>
      <c r="AQ215" s="12"/>
      <c r="AR215" s="12"/>
      <c r="AS215" s="12"/>
      <c r="AT215" s="2379"/>
      <c r="AU215" s="6"/>
      <c r="AV215" s="22"/>
      <c r="AW215" s="6"/>
      <c r="AX215" s="17" t="str">
        <f t="shared" si="107"/>
        <v/>
      </c>
      <c r="BQ215" s="2553" t="str">
        <f t="shared" si="158"/>
        <v/>
      </c>
      <c r="BR215" s="2553" t="str">
        <f t="shared" si="159"/>
        <v/>
      </c>
      <c r="BS215" s="2553" t="str">
        <f t="shared" si="151"/>
        <v/>
      </c>
      <c r="BT215" s="2553" t="str">
        <f t="shared" si="152"/>
        <v/>
      </c>
      <c r="BU215" s="2553" t="str">
        <f t="shared" si="153"/>
        <v/>
      </c>
      <c r="BV215" s="2553" t="str">
        <f t="shared" si="154"/>
        <v/>
      </c>
      <c r="BW215" s="2553" t="str">
        <f t="shared" si="155"/>
        <v/>
      </c>
      <c r="BX215" s="2553" t="str">
        <f t="shared" si="156"/>
        <v/>
      </c>
      <c r="BY215" s="2553" t="str">
        <f t="shared" si="127"/>
        <v/>
      </c>
      <c r="BZ215" s="2553" t="str">
        <f t="shared" si="157"/>
        <v/>
      </c>
      <c r="CA215" s="17"/>
      <c r="CB215" s="1792">
        <f t="shared" si="114"/>
        <v>0</v>
      </c>
      <c r="CC215" s="1792">
        <f t="shared" si="115"/>
        <v>0</v>
      </c>
      <c r="CD215" s="1792">
        <f t="shared" si="116"/>
        <v>0</v>
      </c>
      <c r="CE215" s="1792">
        <f t="shared" si="117"/>
        <v>0</v>
      </c>
      <c r="CF215" s="1792">
        <f t="shared" si="118"/>
        <v>0</v>
      </c>
      <c r="CG215" s="1792">
        <f t="shared" si="119"/>
        <v>0</v>
      </c>
      <c r="CH215" s="1792">
        <f t="shared" si="120"/>
        <v>0</v>
      </c>
      <c r="CI215" s="1792">
        <f t="shared" si="121"/>
        <v>0</v>
      </c>
      <c r="CJ215" s="1792">
        <f t="shared" si="122"/>
        <v>0</v>
      </c>
      <c r="CK215" s="1792">
        <f t="shared" si="123"/>
        <v>0</v>
      </c>
    </row>
    <row r="216" spans="1:89" ht="15" customHeight="1" x14ac:dyDescent="0.25">
      <c r="A216" s="6930" t="s">
        <v>2023</v>
      </c>
      <c r="B216" s="2375" t="s">
        <v>1019</v>
      </c>
      <c r="C216" s="2339">
        <f t="shared" si="128"/>
        <v>0</v>
      </c>
      <c r="D216" s="2340">
        <f t="shared" si="150"/>
        <v>0</v>
      </c>
      <c r="E216" s="2338">
        <f t="shared" si="150"/>
        <v>0</v>
      </c>
      <c r="F216" s="2209"/>
      <c r="G216" s="2318"/>
      <c r="H216" s="2209"/>
      <c r="I216" s="2318"/>
      <c r="J216" s="2209"/>
      <c r="K216" s="2318"/>
      <c r="L216" s="2209"/>
      <c r="M216" s="2318"/>
      <c r="N216" s="2209"/>
      <c r="O216" s="2318"/>
      <c r="P216" s="2209"/>
      <c r="Q216" s="2318"/>
      <c r="R216" s="2209"/>
      <c r="S216" s="2318"/>
      <c r="T216" s="2209"/>
      <c r="U216" s="2318"/>
      <c r="V216" s="2209"/>
      <c r="W216" s="2318"/>
      <c r="X216" s="2209"/>
      <c r="Y216" s="2318"/>
      <c r="Z216" s="2209"/>
      <c r="AA216" s="2318"/>
      <c r="AB216" s="2209"/>
      <c r="AC216" s="2318"/>
      <c r="AD216" s="2209"/>
      <c r="AE216" s="2318"/>
      <c r="AF216" s="2209"/>
      <c r="AG216" s="2318"/>
      <c r="AH216" s="2209"/>
      <c r="AI216" s="2318"/>
      <c r="AJ216" s="2209"/>
      <c r="AK216" s="2318"/>
      <c r="AL216" s="2209"/>
      <c r="AM216" s="2329"/>
      <c r="AN216" s="2396"/>
      <c r="AO216" s="2397"/>
      <c r="AP216" s="2393"/>
      <c r="AQ216" s="2376"/>
      <c r="AR216" s="2376"/>
      <c r="AS216" s="2376"/>
      <c r="AT216" s="2787"/>
      <c r="AU216" s="2790"/>
      <c r="AV216" s="2787"/>
      <c r="AW216" s="2790"/>
      <c r="AX216" s="17" t="str">
        <f t="shared" si="107"/>
        <v/>
      </c>
      <c r="BQ216" s="170"/>
      <c r="BR216" s="170"/>
      <c r="BS216" s="2553" t="str">
        <f t="shared" si="151"/>
        <v/>
      </c>
      <c r="BT216" s="2553" t="str">
        <f t="shared" si="152"/>
        <v/>
      </c>
      <c r="BU216" s="2553" t="str">
        <f t="shared" si="153"/>
        <v/>
      </c>
      <c r="BV216" s="2553" t="str">
        <f t="shared" si="154"/>
        <v/>
      </c>
      <c r="BW216" s="2553" t="str">
        <f t="shared" si="155"/>
        <v/>
      </c>
      <c r="BX216" s="2553" t="str">
        <f t="shared" si="156"/>
        <v/>
      </c>
      <c r="BY216" s="2553" t="str">
        <f t="shared" si="127"/>
        <v/>
      </c>
      <c r="BZ216" s="2553" t="str">
        <f t="shared" ref="BZ216:BZ218" si="160">IF(AND(E216&gt;0,OR(AV216="")), "* No olvide digitar la variable Trans (Masculino). Digite Cero si no tiene.",IF((AV216)&gt;E216,"  * La variable Trans (Masculino) No puede ser mayor al Total Mujeres.",""))</f>
        <v/>
      </c>
      <c r="CA216" s="17"/>
      <c r="CB216" s="17"/>
      <c r="CC216" s="17"/>
      <c r="CD216" s="1792">
        <f t="shared" si="116"/>
        <v>0</v>
      </c>
      <c r="CE216" s="1792">
        <f t="shared" si="117"/>
        <v>0</v>
      </c>
      <c r="CF216" s="1792">
        <f t="shared" si="118"/>
        <v>0</v>
      </c>
      <c r="CG216" s="1792">
        <f t="shared" si="119"/>
        <v>0</v>
      </c>
      <c r="CH216" s="1792">
        <f t="shared" si="120"/>
        <v>0</v>
      </c>
      <c r="CI216" s="1792">
        <f t="shared" si="121"/>
        <v>0</v>
      </c>
      <c r="CJ216" s="1792">
        <f t="shared" si="122"/>
        <v>0</v>
      </c>
      <c r="CK216" s="1792">
        <f t="shared" si="123"/>
        <v>0</v>
      </c>
    </row>
    <row r="217" spans="1:89" ht="15" customHeight="1" x14ac:dyDescent="0.25">
      <c r="A217" s="6931"/>
      <c r="B217" s="2369" t="s">
        <v>1020</v>
      </c>
      <c r="C217" s="2366">
        <f t="shared" si="128"/>
        <v>0</v>
      </c>
      <c r="D217" s="2367">
        <f>SUM(F217+H217+J217+L217+N217+P217+R217+T217+V217+X217+Z217+AB217+AD217+AF217+AH217+AJ217+AL217)</f>
        <v>0</v>
      </c>
      <c r="E217" s="1">
        <f t="shared" si="150"/>
        <v>0</v>
      </c>
      <c r="F217" s="1113"/>
      <c r="G217" s="8"/>
      <c r="H217" s="1113"/>
      <c r="I217" s="8"/>
      <c r="J217" s="1113"/>
      <c r="K217" s="8"/>
      <c r="L217" s="1113"/>
      <c r="M217" s="8"/>
      <c r="N217" s="1113"/>
      <c r="O217" s="8"/>
      <c r="P217" s="1113"/>
      <c r="Q217" s="8"/>
      <c r="R217" s="1113"/>
      <c r="S217" s="8"/>
      <c r="T217" s="1113"/>
      <c r="U217" s="8"/>
      <c r="V217" s="1113"/>
      <c r="W217" s="8"/>
      <c r="X217" s="1113"/>
      <c r="Y217" s="8"/>
      <c r="Z217" s="1113"/>
      <c r="AA217" s="8"/>
      <c r="AB217" s="1113"/>
      <c r="AC217" s="8"/>
      <c r="AD217" s="1113"/>
      <c r="AE217" s="8"/>
      <c r="AF217" s="1113"/>
      <c r="AG217" s="8"/>
      <c r="AH217" s="1113"/>
      <c r="AI217" s="8"/>
      <c r="AJ217" s="1113"/>
      <c r="AK217" s="8"/>
      <c r="AL217" s="1113"/>
      <c r="AM217" s="1118"/>
      <c r="AN217" s="2398"/>
      <c r="AO217" s="2399"/>
      <c r="AP217" s="1113"/>
      <c r="AQ217" s="11"/>
      <c r="AR217" s="11"/>
      <c r="AS217" s="11"/>
      <c r="AT217" s="2325"/>
      <c r="AU217" s="25"/>
      <c r="AV217" s="2325"/>
      <c r="AW217" s="25"/>
      <c r="AX217" s="17" t="str">
        <f t="shared" si="107"/>
        <v/>
      </c>
      <c r="BQ217" s="170"/>
      <c r="BR217" s="170"/>
      <c r="BS217" s="2553" t="str">
        <f t="shared" si="151"/>
        <v/>
      </c>
      <c r="BT217" s="2553" t="str">
        <f t="shared" si="152"/>
        <v/>
      </c>
      <c r="BU217" s="2553" t="str">
        <f t="shared" si="153"/>
        <v/>
      </c>
      <c r="BV217" s="2553" t="str">
        <f t="shared" si="154"/>
        <v/>
      </c>
      <c r="BW217" s="2553" t="str">
        <f t="shared" si="155"/>
        <v/>
      </c>
      <c r="BX217" s="2553" t="str">
        <f t="shared" si="156"/>
        <v/>
      </c>
      <c r="BY217" s="2553" t="str">
        <f t="shared" si="127"/>
        <v/>
      </c>
      <c r="BZ217" s="2553" t="str">
        <f t="shared" si="160"/>
        <v/>
      </c>
      <c r="CA217" s="17"/>
      <c r="CB217" s="17"/>
      <c r="CC217" s="17"/>
      <c r="CD217" s="1792">
        <f t="shared" si="116"/>
        <v>0</v>
      </c>
      <c r="CE217" s="1792">
        <f t="shared" si="117"/>
        <v>0</v>
      </c>
      <c r="CF217" s="1792">
        <f t="shared" si="118"/>
        <v>0</v>
      </c>
      <c r="CG217" s="1792">
        <f t="shared" si="119"/>
        <v>0</v>
      </c>
      <c r="CH217" s="1792">
        <f t="shared" si="120"/>
        <v>0</v>
      </c>
      <c r="CI217" s="1792">
        <f t="shared" si="121"/>
        <v>0</v>
      </c>
      <c r="CJ217" s="1792">
        <f t="shared" si="122"/>
        <v>0</v>
      </c>
      <c r="CK217" s="1792">
        <f t="shared" si="123"/>
        <v>0</v>
      </c>
    </row>
    <row r="218" spans="1:89" ht="15" customHeight="1" x14ac:dyDescent="0.25">
      <c r="A218" s="6932"/>
      <c r="B218" s="2400" t="s">
        <v>43</v>
      </c>
      <c r="C218" s="2377">
        <f t="shared" si="128"/>
        <v>0</v>
      </c>
      <c r="D218" s="2378">
        <f t="shared" si="150"/>
        <v>0</v>
      </c>
      <c r="E218" s="2">
        <f t="shared" si="150"/>
        <v>0</v>
      </c>
      <c r="F218" s="3"/>
      <c r="G218" s="12"/>
      <c r="H218" s="3"/>
      <c r="I218" s="12"/>
      <c r="J218" s="3"/>
      <c r="K218" s="12"/>
      <c r="L218" s="3"/>
      <c r="M218" s="12"/>
      <c r="N218" s="3"/>
      <c r="O218" s="12"/>
      <c r="P218" s="3"/>
      <c r="Q218" s="12"/>
      <c r="R218" s="3"/>
      <c r="S218" s="12"/>
      <c r="T218" s="3"/>
      <c r="U218" s="12"/>
      <c r="V218" s="3"/>
      <c r="W218" s="12"/>
      <c r="X218" s="3"/>
      <c r="Y218" s="12"/>
      <c r="Z218" s="3"/>
      <c r="AA218" s="12"/>
      <c r="AB218" s="3"/>
      <c r="AC218" s="12"/>
      <c r="AD218" s="3"/>
      <c r="AE218" s="12"/>
      <c r="AF218" s="3"/>
      <c r="AG218" s="12"/>
      <c r="AH218" s="3"/>
      <c r="AI218" s="12"/>
      <c r="AJ218" s="3"/>
      <c r="AK218" s="12"/>
      <c r="AL218" s="3"/>
      <c r="AM218" s="5"/>
      <c r="AN218" s="2401"/>
      <c r="AO218" s="2402"/>
      <c r="AP218" s="3"/>
      <c r="AQ218" s="12"/>
      <c r="AR218" s="12"/>
      <c r="AS218" s="12"/>
      <c r="AT218" s="2379"/>
      <c r="AU218" s="6"/>
      <c r="AV218" s="2379"/>
      <c r="AW218" s="6"/>
      <c r="AX218" s="17" t="str">
        <f t="shared" si="107"/>
        <v/>
      </c>
      <c r="BQ218" s="170"/>
      <c r="BR218" s="170"/>
      <c r="BS218" s="2553" t="str">
        <f t="shared" si="151"/>
        <v/>
      </c>
      <c r="BT218" s="2553" t="str">
        <f t="shared" si="152"/>
        <v/>
      </c>
      <c r="BU218" s="2553" t="str">
        <f t="shared" si="153"/>
        <v/>
      </c>
      <c r="BV218" s="2553" t="str">
        <f t="shared" si="154"/>
        <v/>
      </c>
      <c r="BW218" s="2553" t="str">
        <f t="shared" si="155"/>
        <v/>
      </c>
      <c r="BX218" s="2553" t="str">
        <f t="shared" si="156"/>
        <v/>
      </c>
      <c r="BY218" s="2553" t="str">
        <f t="shared" si="127"/>
        <v/>
      </c>
      <c r="BZ218" s="2553" t="str">
        <f t="shared" si="160"/>
        <v/>
      </c>
      <c r="CA218" s="17"/>
      <c r="CB218" s="17"/>
      <c r="CC218" s="17"/>
      <c r="CD218" s="1792">
        <f t="shared" si="116"/>
        <v>0</v>
      </c>
      <c r="CE218" s="1792">
        <f t="shared" si="117"/>
        <v>0</v>
      </c>
      <c r="CF218" s="1792">
        <f t="shared" si="118"/>
        <v>0</v>
      </c>
      <c r="CG218" s="1792">
        <f t="shared" si="119"/>
        <v>0</v>
      </c>
      <c r="CH218" s="1792">
        <f t="shared" si="120"/>
        <v>0</v>
      </c>
      <c r="CI218" s="1792">
        <f t="shared" si="121"/>
        <v>0</v>
      </c>
      <c r="CJ218" s="1792">
        <f t="shared" si="122"/>
        <v>0</v>
      </c>
      <c r="CK218" s="1792">
        <f t="shared" si="123"/>
        <v>0</v>
      </c>
    </row>
    <row r="219" spans="1:89" ht="15" customHeight="1" x14ac:dyDescent="0.25">
      <c r="A219" s="7024" t="s">
        <v>2024</v>
      </c>
      <c r="B219" s="7025"/>
      <c r="C219" s="2339">
        <f>SUM(D219+E219)</f>
        <v>0</v>
      </c>
      <c r="D219" s="2340">
        <f>SUM(F219+H219+J219+L219+N219+P219+R219+T219+V219+X219+Z219+AB219+AD219+AF219+AH219+AJ219+AL219)</f>
        <v>0</v>
      </c>
      <c r="E219" s="2338">
        <f>SUM(G219+I219+K219+M219+O219+Q219+S219+U219+W219+Y219+AA219+AC219+AE219+AG219+AI219+AK219+AM219)</f>
        <v>0</v>
      </c>
      <c r="F219" s="2209"/>
      <c r="G219" s="2318"/>
      <c r="H219" s="2209"/>
      <c r="I219" s="2318"/>
      <c r="J219" s="2209"/>
      <c r="K219" s="2318"/>
      <c r="L219" s="2209"/>
      <c r="M219" s="2318"/>
      <c r="N219" s="2209"/>
      <c r="O219" s="2318"/>
      <c r="P219" s="2209"/>
      <c r="Q219" s="2318"/>
      <c r="R219" s="2209"/>
      <c r="S219" s="2318"/>
      <c r="T219" s="2209"/>
      <c r="U219" s="2318"/>
      <c r="V219" s="2209"/>
      <c r="W219" s="2318"/>
      <c r="X219" s="2209"/>
      <c r="Y219" s="2318"/>
      <c r="Z219" s="2209"/>
      <c r="AA219" s="2318"/>
      <c r="AB219" s="2209"/>
      <c r="AC219" s="2318"/>
      <c r="AD219" s="2209"/>
      <c r="AE219" s="2318"/>
      <c r="AF219" s="2209"/>
      <c r="AG219" s="2318"/>
      <c r="AH219" s="2209"/>
      <c r="AI219" s="2318"/>
      <c r="AJ219" s="2209"/>
      <c r="AK219" s="2318"/>
      <c r="AL219" s="2209"/>
      <c r="AM219" s="2329"/>
      <c r="AN219" s="1474"/>
      <c r="AO219" s="1110"/>
      <c r="AP219" s="2209"/>
      <c r="AQ219" s="2318"/>
      <c r="AR219" s="2318"/>
      <c r="AS219" s="2318"/>
      <c r="AT219" s="2742"/>
      <c r="AU219" s="2221"/>
      <c r="AV219" s="2742"/>
      <c r="AW219" s="2221"/>
      <c r="AX219" s="17" t="str">
        <f t="shared" si="107"/>
        <v/>
      </c>
      <c r="BQ219" s="2553" t="str">
        <f t="shared" ref="BQ219:BQ230" si="161">IF(AND(E219&gt;0,AN219=""), "* No olvide digitar la variable Gestantes. Digite Cero si no tiene.",IF(AN219&gt;E219,"  * La  variable Gestantes No puede ser mayor al Total Mujeres.",""))</f>
        <v/>
      </c>
      <c r="BR219" s="2553" t="str">
        <f>IF(AND(E219&gt;0,AO219=""), "* No olvide digitar la variable Madre de hijo menor de 5 años. Digite Cero si no tiene.",IF(AO219&gt;E219,"  * La variable Madre de hijo menor de 5 años No puede ser mayor al Total Mujeres.",""))</f>
        <v/>
      </c>
      <c r="BS219" s="2553" t="str">
        <f t="shared" ref="BS219:BS230" si="162">IF(AND(D219&gt;0,OR(AP219="")), "* No olvide digitar la variable Pueblos originarios - Hombres. Digite Cero si no tiene.",IF((AP219)&gt;D219,"  * La variable Pueblos originarios - Hombres No puede ser mayor al Total.",""))</f>
        <v/>
      </c>
      <c r="BT219" s="2553" t="str">
        <f t="shared" ref="BT219:BT230" si="163">IF(AND(E219&gt;0,OR(AQ219="")), "* No olvide digitar la variable Pueblos originarios - Mujeres. Digite Cero si no tiene.",IF((AQ219)&gt;E219,"  * La variable Pueblos originarios - Mujeres No puede ser mayor al Total.",""))</f>
        <v/>
      </c>
      <c r="BU219" s="2553" t="str">
        <f t="shared" ref="BU219:BU230" si="164">IF(AND(C219&gt;0,AR219=""), "* No olvide digitar la variable Niños, niñas, adolescentes y jóvenes SENAME. Digite Cero si no tiene.",IF(AR219&gt;C219,"  * La variable Niños, niñas, adolescentes y jóvenes SENAME No puede ser mayor al Total.",""))</f>
        <v/>
      </c>
      <c r="BV219" s="2553" t="str">
        <f t="shared" ref="BV219:BV230" si="165">IF(AND(C219&gt;0,AS219=""), "* No olvide digitar la variable Niños, niñas, adolescentes y jóvenes Mejor Niñez. Digite Cero si no tiene.",IF(AS219&gt;C219,"  * La variable Niños, niñas, adolescentes y jóvenes Mejor Niñez No puede ser mayor al Total.",""))</f>
        <v/>
      </c>
      <c r="BW219" s="2553" t="str">
        <f t="shared" ref="BW219:BW230" si="166">IF(AND(D219&gt;0,OR(AT219="")), "* No olvide digitar la variable Migrantes - Hombres. Digite Cero si no tiene.",IF((AT219+AT219)&gt;D219,"  * La variable Migrantes - Hombres No puede ser mayor al Total.",""))</f>
        <v/>
      </c>
      <c r="BX219" s="2553" t="str">
        <f t="shared" ref="BX219:BX230" si="167">IF(AND(E219&gt;0,OR(AU219="")), "* No olvide digitar la variable Migrantes - Mujeres. Digite Cero si no tiene.",IF((AU219)&gt;E219,"  * La variable Migrantes - Mujeres No puede ser mayor al Total.",""))</f>
        <v/>
      </c>
      <c r="BY219" s="2553" t="str">
        <f t="shared" si="127"/>
        <v/>
      </c>
      <c r="BZ219" s="2553" t="str">
        <f t="shared" ref="BZ219:BZ230" si="168">IF(AND(E219&gt;0,OR(AV219="")), "* No olvide digitar la variable Trans (Masculino). Digite Cero si no tiene.",IF((AV219)&gt;E219,"  * La variable Trans (Masculino) No puede ser mayor al Total Mujeres.",""))</f>
        <v/>
      </c>
      <c r="CA219" s="17"/>
      <c r="CB219" s="1792">
        <f t="shared" si="114"/>
        <v>0</v>
      </c>
      <c r="CC219" s="1792">
        <f t="shared" si="115"/>
        <v>0</v>
      </c>
      <c r="CD219" s="1792">
        <f t="shared" si="116"/>
        <v>0</v>
      </c>
      <c r="CE219" s="1792">
        <f t="shared" si="117"/>
        <v>0</v>
      </c>
      <c r="CF219" s="1792">
        <f t="shared" si="118"/>
        <v>0</v>
      </c>
      <c r="CG219" s="1792">
        <f t="shared" si="119"/>
        <v>0</v>
      </c>
      <c r="CH219" s="1792">
        <f t="shared" si="120"/>
        <v>0</v>
      </c>
      <c r="CI219" s="1792">
        <f t="shared" si="121"/>
        <v>0</v>
      </c>
      <c r="CJ219" s="1792">
        <f t="shared" si="122"/>
        <v>0</v>
      </c>
      <c r="CK219" s="1792">
        <f t="shared" si="123"/>
        <v>0</v>
      </c>
    </row>
    <row r="220" spans="1:89" ht="15" customHeight="1" x14ac:dyDescent="0.25">
      <c r="A220" s="7026" t="s">
        <v>2025</v>
      </c>
      <c r="B220" s="7027"/>
      <c r="C220" s="2364">
        <f>SUM(D220+E220)</f>
        <v>0</v>
      </c>
      <c r="D220" s="2365">
        <f>SUM(F220+H220+J220+L220+N220+P220+R220+T220+V220+X220+Z220+AB220+AD220+AF220+AH220+AJ220+AL220)</f>
        <v>0</v>
      </c>
      <c r="E220" s="2363">
        <f>SUM(G220+I220+K220+M220+O220+Q220+S220+U220+W220+Y220+AA220+AC220+AE220+AG220+AI220+AK220+AM220)</f>
        <v>0</v>
      </c>
      <c r="F220" s="2201"/>
      <c r="G220" s="1107"/>
      <c r="H220" s="2201"/>
      <c r="I220" s="1107"/>
      <c r="J220" s="2201"/>
      <c r="K220" s="1107"/>
      <c r="L220" s="2201"/>
      <c r="M220" s="1107"/>
      <c r="N220" s="2201"/>
      <c r="O220" s="1107"/>
      <c r="P220" s="2201"/>
      <c r="Q220" s="1107"/>
      <c r="R220" s="2201"/>
      <c r="S220" s="1107"/>
      <c r="T220" s="2201"/>
      <c r="U220" s="1107"/>
      <c r="V220" s="2201"/>
      <c r="W220" s="1107"/>
      <c r="X220" s="2201"/>
      <c r="Y220" s="1107"/>
      <c r="Z220" s="2201"/>
      <c r="AA220" s="1107"/>
      <c r="AB220" s="2201"/>
      <c r="AC220" s="1107"/>
      <c r="AD220" s="2201"/>
      <c r="AE220" s="1107"/>
      <c r="AF220" s="2201"/>
      <c r="AG220" s="1107"/>
      <c r="AH220" s="2201"/>
      <c r="AI220" s="1107"/>
      <c r="AJ220" s="2201"/>
      <c r="AK220" s="1107"/>
      <c r="AL220" s="2201"/>
      <c r="AM220" s="2328"/>
      <c r="AN220" s="1474"/>
      <c r="AO220" s="1110"/>
      <c r="AP220" s="1113"/>
      <c r="AQ220" s="8"/>
      <c r="AR220" s="8"/>
      <c r="AS220" s="8"/>
      <c r="AT220" s="1765"/>
      <c r="AU220" s="1117"/>
      <c r="AV220" s="1765"/>
      <c r="AW220" s="1117"/>
      <c r="AX220" s="17" t="str">
        <f t="shared" si="107"/>
        <v/>
      </c>
      <c r="BQ220" s="2553" t="str">
        <f t="shared" si="161"/>
        <v/>
      </c>
      <c r="BR220" s="2553" t="str">
        <f t="shared" ref="BR220:BR230" si="169">IF(AND(E220&gt;0,AO220=""), "* No olvide digitar la variable Madre de hijo menor de 5 años. Digite Cero si no tiene.",IF(AO220&gt;E220,"  * La variable Madre de hijo menor de 5 años No puede ser mayor al Total Mujeres.",""))</f>
        <v/>
      </c>
      <c r="BS220" s="2553" t="str">
        <f t="shared" si="162"/>
        <v/>
      </c>
      <c r="BT220" s="2553" t="str">
        <f t="shared" si="163"/>
        <v/>
      </c>
      <c r="BU220" s="2553" t="str">
        <f t="shared" si="164"/>
        <v/>
      </c>
      <c r="BV220" s="2553" t="str">
        <f t="shared" si="165"/>
        <v/>
      </c>
      <c r="BW220" s="2553" t="str">
        <f t="shared" si="166"/>
        <v/>
      </c>
      <c r="BX220" s="2553" t="str">
        <f t="shared" si="167"/>
        <v/>
      </c>
      <c r="BY220" s="2553" t="str">
        <f t="shared" si="127"/>
        <v/>
      </c>
      <c r="BZ220" s="2553" t="str">
        <f t="shared" si="168"/>
        <v/>
      </c>
      <c r="CA220" s="17"/>
      <c r="CB220" s="1792">
        <f t="shared" si="114"/>
        <v>0</v>
      </c>
      <c r="CC220" s="1792">
        <f t="shared" si="115"/>
        <v>0</v>
      </c>
      <c r="CD220" s="1792">
        <f t="shared" si="116"/>
        <v>0</v>
      </c>
      <c r="CE220" s="1792">
        <f t="shared" si="117"/>
        <v>0</v>
      </c>
      <c r="CF220" s="1792">
        <f t="shared" si="118"/>
        <v>0</v>
      </c>
      <c r="CG220" s="1792">
        <f t="shared" si="119"/>
        <v>0</v>
      </c>
      <c r="CH220" s="1792">
        <f t="shared" si="120"/>
        <v>0</v>
      </c>
      <c r="CI220" s="1792">
        <f t="shared" si="121"/>
        <v>0</v>
      </c>
      <c r="CJ220" s="1792">
        <f t="shared" si="122"/>
        <v>0</v>
      </c>
      <c r="CK220" s="1792">
        <f t="shared" si="123"/>
        <v>0</v>
      </c>
    </row>
    <row r="221" spans="1:89" ht="15" customHeight="1" x14ac:dyDescent="0.25">
      <c r="A221" s="7010" t="s">
        <v>2026</v>
      </c>
      <c r="B221" s="7011"/>
      <c r="C221" s="2366">
        <f t="shared" si="128"/>
        <v>0</v>
      </c>
      <c r="D221" s="2367">
        <f t="shared" si="150"/>
        <v>0</v>
      </c>
      <c r="E221" s="1">
        <f t="shared" si="150"/>
        <v>0</v>
      </c>
      <c r="F221" s="1113"/>
      <c r="G221" s="8"/>
      <c r="H221" s="1113"/>
      <c r="I221" s="8"/>
      <c r="J221" s="1113"/>
      <c r="K221" s="8"/>
      <c r="L221" s="1113"/>
      <c r="M221" s="8"/>
      <c r="N221" s="1113"/>
      <c r="O221" s="8"/>
      <c r="P221" s="1113"/>
      <c r="Q221" s="8"/>
      <c r="R221" s="1113"/>
      <c r="S221" s="8"/>
      <c r="T221" s="1113"/>
      <c r="U221" s="8"/>
      <c r="V221" s="1113"/>
      <c r="W221" s="8"/>
      <c r="X221" s="1113"/>
      <c r="Y221" s="8"/>
      <c r="Z221" s="1113"/>
      <c r="AA221" s="8"/>
      <c r="AB221" s="1113"/>
      <c r="AC221" s="8"/>
      <c r="AD221" s="1113"/>
      <c r="AE221" s="8"/>
      <c r="AF221" s="1113"/>
      <c r="AG221" s="8"/>
      <c r="AH221" s="1113"/>
      <c r="AI221" s="8"/>
      <c r="AJ221" s="1113"/>
      <c r="AK221" s="8"/>
      <c r="AL221" s="1113"/>
      <c r="AM221" s="1765"/>
      <c r="AN221" s="1474"/>
      <c r="AO221" s="1110"/>
      <c r="AP221" s="1113"/>
      <c r="AQ221" s="8"/>
      <c r="AR221" s="8"/>
      <c r="AS221" s="8"/>
      <c r="AT221" s="1765"/>
      <c r="AU221" s="1117"/>
      <c r="AV221" s="1765"/>
      <c r="AW221" s="1117"/>
      <c r="AX221" s="17" t="str">
        <f t="shared" si="107"/>
        <v/>
      </c>
      <c r="BQ221" s="2553" t="str">
        <f t="shared" si="161"/>
        <v/>
      </c>
      <c r="BR221" s="2553" t="str">
        <f t="shared" si="169"/>
        <v/>
      </c>
      <c r="BS221" s="2553" t="str">
        <f t="shared" si="162"/>
        <v/>
      </c>
      <c r="BT221" s="2553" t="str">
        <f t="shared" si="163"/>
        <v/>
      </c>
      <c r="BU221" s="2553" t="str">
        <f t="shared" si="164"/>
        <v/>
      </c>
      <c r="BV221" s="2553" t="str">
        <f t="shared" si="165"/>
        <v/>
      </c>
      <c r="BW221" s="2553" t="str">
        <f t="shared" si="166"/>
        <v/>
      </c>
      <c r="BX221" s="2553" t="str">
        <f t="shared" si="167"/>
        <v/>
      </c>
      <c r="BY221" s="2553" t="str">
        <f t="shared" si="127"/>
        <v/>
      </c>
      <c r="BZ221" s="2553" t="str">
        <f t="shared" si="168"/>
        <v/>
      </c>
      <c r="CA221" s="17"/>
      <c r="CB221" s="1792">
        <f t="shared" si="114"/>
        <v>0</v>
      </c>
      <c r="CC221" s="1792">
        <f t="shared" si="115"/>
        <v>0</v>
      </c>
      <c r="CD221" s="1792">
        <f t="shared" si="116"/>
        <v>0</v>
      </c>
      <c r="CE221" s="1792">
        <f t="shared" si="117"/>
        <v>0</v>
      </c>
      <c r="CF221" s="1792">
        <f t="shared" si="118"/>
        <v>0</v>
      </c>
      <c r="CG221" s="1792">
        <f t="shared" si="119"/>
        <v>0</v>
      </c>
      <c r="CH221" s="1792">
        <f t="shared" si="120"/>
        <v>0</v>
      </c>
      <c r="CI221" s="1792">
        <f t="shared" si="121"/>
        <v>0</v>
      </c>
      <c r="CJ221" s="1792">
        <f t="shared" si="122"/>
        <v>0</v>
      </c>
      <c r="CK221" s="1792">
        <f t="shared" si="123"/>
        <v>0</v>
      </c>
    </row>
    <row r="222" spans="1:89" ht="15" customHeight="1" x14ac:dyDescent="0.25">
      <c r="A222" s="7010" t="s">
        <v>2027</v>
      </c>
      <c r="B222" s="7011"/>
      <c r="C222" s="2366">
        <f t="shared" si="128"/>
        <v>0</v>
      </c>
      <c r="D222" s="2367">
        <f t="shared" si="150"/>
        <v>0</v>
      </c>
      <c r="E222" s="1">
        <f t="shared" si="150"/>
        <v>0</v>
      </c>
      <c r="F222" s="1113"/>
      <c r="G222" s="8"/>
      <c r="H222" s="1113"/>
      <c r="I222" s="8"/>
      <c r="J222" s="1113"/>
      <c r="K222" s="8"/>
      <c r="L222" s="1113"/>
      <c r="M222" s="8"/>
      <c r="N222" s="1113"/>
      <c r="O222" s="8"/>
      <c r="P222" s="1113"/>
      <c r="Q222" s="8"/>
      <c r="R222" s="1113"/>
      <c r="S222" s="8"/>
      <c r="T222" s="1113"/>
      <c r="U222" s="8"/>
      <c r="V222" s="1113"/>
      <c r="W222" s="8"/>
      <c r="X222" s="1113"/>
      <c r="Y222" s="8"/>
      <c r="Z222" s="1113"/>
      <c r="AA222" s="8"/>
      <c r="AB222" s="1113"/>
      <c r="AC222" s="8"/>
      <c r="AD222" s="1113"/>
      <c r="AE222" s="8"/>
      <c r="AF222" s="1113"/>
      <c r="AG222" s="8"/>
      <c r="AH222" s="1113"/>
      <c r="AI222" s="8"/>
      <c r="AJ222" s="1113"/>
      <c r="AK222" s="8"/>
      <c r="AL222" s="1113"/>
      <c r="AM222" s="1765"/>
      <c r="AN222" s="1474"/>
      <c r="AO222" s="1110"/>
      <c r="AP222" s="1113"/>
      <c r="AQ222" s="8"/>
      <c r="AR222" s="8"/>
      <c r="AS222" s="8"/>
      <c r="AT222" s="1765"/>
      <c r="AU222" s="1117"/>
      <c r="AV222" s="1765"/>
      <c r="AW222" s="1117"/>
      <c r="AX222" s="17" t="str">
        <f t="shared" si="107"/>
        <v/>
      </c>
      <c r="BQ222" s="2553" t="str">
        <f t="shared" si="161"/>
        <v/>
      </c>
      <c r="BR222" s="2553" t="str">
        <f t="shared" si="169"/>
        <v/>
      </c>
      <c r="BS222" s="2553" t="str">
        <f t="shared" si="162"/>
        <v/>
      </c>
      <c r="BT222" s="2553" t="str">
        <f t="shared" si="163"/>
        <v/>
      </c>
      <c r="BU222" s="2553" t="str">
        <f t="shared" si="164"/>
        <v/>
      </c>
      <c r="BV222" s="2553" t="str">
        <f t="shared" si="165"/>
        <v/>
      </c>
      <c r="BW222" s="2553" t="str">
        <f t="shared" si="166"/>
        <v/>
      </c>
      <c r="BX222" s="2553" t="str">
        <f t="shared" si="167"/>
        <v/>
      </c>
      <c r="BY222" s="2553" t="str">
        <f t="shared" si="127"/>
        <v/>
      </c>
      <c r="BZ222" s="2553" t="str">
        <f t="shared" si="168"/>
        <v/>
      </c>
      <c r="CA222" s="17"/>
      <c r="CB222" s="1792">
        <f t="shared" si="114"/>
        <v>0</v>
      </c>
      <c r="CC222" s="1792">
        <f t="shared" si="115"/>
        <v>0</v>
      </c>
      <c r="CD222" s="1792">
        <f t="shared" si="116"/>
        <v>0</v>
      </c>
      <c r="CE222" s="1792">
        <f t="shared" si="117"/>
        <v>0</v>
      </c>
      <c r="CF222" s="1792">
        <f t="shared" si="118"/>
        <v>0</v>
      </c>
      <c r="CG222" s="1792">
        <f t="shared" si="119"/>
        <v>0</v>
      </c>
      <c r="CH222" s="1792">
        <f t="shared" si="120"/>
        <v>0</v>
      </c>
      <c r="CI222" s="1792">
        <f t="shared" si="121"/>
        <v>0</v>
      </c>
      <c r="CJ222" s="1792">
        <f t="shared" si="122"/>
        <v>0</v>
      </c>
      <c r="CK222" s="1792">
        <f t="shared" si="123"/>
        <v>0</v>
      </c>
    </row>
    <row r="223" spans="1:89" ht="15" customHeight="1" x14ac:dyDescent="0.25">
      <c r="A223" s="7012" t="s">
        <v>2028</v>
      </c>
      <c r="B223" s="7013"/>
      <c r="C223" s="2374">
        <f t="shared" si="128"/>
        <v>0</v>
      </c>
      <c r="D223" s="2368">
        <f t="shared" si="150"/>
        <v>0</v>
      </c>
      <c r="E223" s="1763">
        <f t="shared" si="150"/>
        <v>0</v>
      </c>
      <c r="F223" s="3"/>
      <c r="G223" s="12"/>
      <c r="H223" s="3"/>
      <c r="I223" s="12"/>
      <c r="J223" s="3"/>
      <c r="K223" s="12"/>
      <c r="L223" s="3"/>
      <c r="M223" s="12"/>
      <c r="N223" s="3"/>
      <c r="O223" s="12"/>
      <c r="P223" s="3"/>
      <c r="Q223" s="12"/>
      <c r="R223" s="3"/>
      <c r="S223" s="12"/>
      <c r="T223" s="3"/>
      <c r="U223" s="12"/>
      <c r="V223" s="3"/>
      <c r="W223" s="12"/>
      <c r="X223" s="3"/>
      <c r="Y223" s="12"/>
      <c r="Z223" s="3"/>
      <c r="AA223" s="12"/>
      <c r="AB223" s="3"/>
      <c r="AC223" s="12"/>
      <c r="AD223" s="3"/>
      <c r="AE223" s="12"/>
      <c r="AF223" s="3"/>
      <c r="AG223" s="12"/>
      <c r="AH223" s="3"/>
      <c r="AI223" s="12"/>
      <c r="AJ223" s="3"/>
      <c r="AK223" s="12"/>
      <c r="AL223" s="3"/>
      <c r="AM223" s="2379"/>
      <c r="AN223" s="29"/>
      <c r="AO223" s="30"/>
      <c r="AP223" s="3"/>
      <c r="AQ223" s="12"/>
      <c r="AR223" s="12"/>
      <c r="AS223" s="12"/>
      <c r="AT223" s="2379"/>
      <c r="AU223" s="6"/>
      <c r="AV223" s="2379"/>
      <c r="AW223" s="6"/>
      <c r="AX223" s="17" t="str">
        <f t="shared" si="107"/>
        <v/>
      </c>
      <c r="BQ223" s="2553" t="str">
        <f t="shared" si="161"/>
        <v/>
      </c>
      <c r="BR223" s="2553" t="str">
        <f t="shared" si="169"/>
        <v/>
      </c>
      <c r="BS223" s="2553" t="str">
        <f t="shared" si="162"/>
        <v/>
      </c>
      <c r="BT223" s="2553" t="str">
        <f t="shared" si="163"/>
        <v/>
      </c>
      <c r="BU223" s="2553" t="str">
        <f t="shared" si="164"/>
        <v/>
      </c>
      <c r="BV223" s="2553" t="str">
        <f t="shared" si="165"/>
        <v/>
      </c>
      <c r="BW223" s="2553" t="str">
        <f t="shared" si="166"/>
        <v/>
      </c>
      <c r="BX223" s="2553" t="str">
        <f t="shared" si="167"/>
        <v/>
      </c>
      <c r="BY223" s="2553" t="str">
        <f t="shared" si="127"/>
        <v/>
      </c>
      <c r="BZ223" s="2553" t="str">
        <f t="shared" si="168"/>
        <v/>
      </c>
      <c r="CA223" s="17"/>
      <c r="CB223" s="1792">
        <f t="shared" si="114"/>
        <v>0</v>
      </c>
      <c r="CC223" s="1792">
        <f t="shared" si="115"/>
        <v>0</v>
      </c>
      <c r="CD223" s="1792">
        <f t="shared" si="116"/>
        <v>0</v>
      </c>
      <c r="CE223" s="1792">
        <f t="shared" si="117"/>
        <v>0</v>
      </c>
      <c r="CF223" s="1792">
        <f t="shared" si="118"/>
        <v>0</v>
      </c>
      <c r="CG223" s="1792">
        <f t="shared" si="119"/>
        <v>0</v>
      </c>
      <c r="CH223" s="1792">
        <f t="shared" si="120"/>
        <v>0</v>
      </c>
      <c r="CI223" s="1792">
        <f t="shared" si="121"/>
        <v>0</v>
      </c>
      <c r="CJ223" s="1792">
        <f t="shared" si="122"/>
        <v>0</v>
      </c>
      <c r="CK223" s="1792">
        <f t="shared" si="123"/>
        <v>0</v>
      </c>
    </row>
    <row r="224" spans="1:89" ht="15" customHeight="1" x14ac:dyDescent="0.25">
      <c r="A224" s="6930" t="s">
        <v>2029</v>
      </c>
      <c r="B224" s="2392" t="s">
        <v>2030</v>
      </c>
      <c r="C224" s="2339">
        <f t="shared" si="128"/>
        <v>0</v>
      </c>
      <c r="D224" s="2340">
        <f t="shared" si="150"/>
        <v>0</v>
      </c>
      <c r="E224" s="2403">
        <f t="shared" si="150"/>
        <v>0</v>
      </c>
      <c r="F224" s="1379"/>
      <c r="G224" s="1305"/>
      <c r="H224" s="1379"/>
      <c r="I224" s="1305"/>
      <c r="J224" s="1379"/>
      <c r="K224" s="1305"/>
      <c r="L224" s="1379"/>
      <c r="M224" s="1305"/>
      <c r="N224" s="1379"/>
      <c r="O224" s="1305"/>
      <c r="P224" s="1379"/>
      <c r="Q224" s="1305"/>
      <c r="R224" s="1379"/>
      <c r="S224" s="1305"/>
      <c r="T224" s="1379"/>
      <c r="U224" s="1305"/>
      <c r="V224" s="1379"/>
      <c r="W224" s="1305"/>
      <c r="X224" s="1379"/>
      <c r="Y224" s="1305"/>
      <c r="Z224" s="1379"/>
      <c r="AA224" s="1305"/>
      <c r="AB224" s="1379"/>
      <c r="AC224" s="1305"/>
      <c r="AD224" s="1379"/>
      <c r="AE224" s="1305"/>
      <c r="AF224" s="1379"/>
      <c r="AG224" s="1305"/>
      <c r="AH224" s="1379"/>
      <c r="AI224" s="1305"/>
      <c r="AJ224" s="1379"/>
      <c r="AK224" s="1305"/>
      <c r="AL224" s="1379"/>
      <c r="AM224" s="2330"/>
      <c r="AN224" s="2404"/>
      <c r="AO224" s="2405"/>
      <c r="AP224" s="1379"/>
      <c r="AQ224" s="1305"/>
      <c r="AR224" s="1305"/>
      <c r="AS224" s="1305"/>
      <c r="AT224" s="2330"/>
      <c r="AU224" s="2789"/>
      <c r="AV224" s="2330"/>
      <c r="AW224" s="2789"/>
      <c r="AX224" s="17" t="str">
        <f t="shared" si="107"/>
        <v/>
      </c>
      <c r="BQ224" s="2553" t="str">
        <f t="shared" si="161"/>
        <v/>
      </c>
      <c r="BR224" s="2553" t="str">
        <f t="shared" si="169"/>
        <v/>
      </c>
      <c r="BS224" s="2553" t="str">
        <f t="shared" si="162"/>
        <v/>
      </c>
      <c r="BT224" s="2553" t="str">
        <f t="shared" si="163"/>
        <v/>
      </c>
      <c r="BU224" s="2553" t="str">
        <f t="shared" si="164"/>
        <v/>
      </c>
      <c r="BV224" s="2553" t="str">
        <f t="shared" si="165"/>
        <v/>
      </c>
      <c r="BW224" s="2553" t="str">
        <f t="shared" si="166"/>
        <v/>
      </c>
      <c r="BX224" s="2553" t="str">
        <f t="shared" si="167"/>
        <v/>
      </c>
      <c r="BY224" s="2553" t="str">
        <f t="shared" si="127"/>
        <v/>
      </c>
      <c r="BZ224" s="2553" t="str">
        <f t="shared" si="168"/>
        <v/>
      </c>
      <c r="CA224" s="17"/>
      <c r="CB224" s="1792">
        <f t="shared" si="114"/>
        <v>0</v>
      </c>
      <c r="CC224" s="1792">
        <f t="shared" si="115"/>
        <v>0</v>
      </c>
      <c r="CD224" s="1792">
        <f t="shared" si="116"/>
        <v>0</v>
      </c>
      <c r="CE224" s="1792">
        <f t="shared" si="117"/>
        <v>0</v>
      </c>
      <c r="CF224" s="1792">
        <f t="shared" si="118"/>
        <v>0</v>
      </c>
      <c r="CG224" s="1792">
        <f t="shared" si="119"/>
        <v>0</v>
      </c>
      <c r="CH224" s="1792">
        <f t="shared" si="120"/>
        <v>0</v>
      </c>
      <c r="CI224" s="1792">
        <f t="shared" si="121"/>
        <v>0</v>
      </c>
      <c r="CJ224" s="1792">
        <f t="shared" si="122"/>
        <v>0</v>
      </c>
      <c r="CK224" s="1792">
        <f t="shared" si="123"/>
        <v>0</v>
      </c>
    </row>
    <row r="225" spans="1:89" ht="15" customHeight="1" x14ac:dyDescent="0.25">
      <c r="A225" s="6931"/>
      <c r="B225" s="1112" t="s">
        <v>2031</v>
      </c>
      <c r="C225" s="2366">
        <f t="shared" si="128"/>
        <v>0</v>
      </c>
      <c r="D225" s="2367">
        <f t="shared" si="150"/>
        <v>0</v>
      </c>
      <c r="E225" s="2406">
        <f t="shared" si="150"/>
        <v>0</v>
      </c>
      <c r="F225" s="9"/>
      <c r="G225" s="11"/>
      <c r="H225" s="9"/>
      <c r="I225" s="11"/>
      <c r="J225" s="9"/>
      <c r="K225" s="11"/>
      <c r="L225" s="9"/>
      <c r="M225" s="11"/>
      <c r="N225" s="9"/>
      <c r="O225" s="11"/>
      <c r="P225" s="9"/>
      <c r="Q225" s="11"/>
      <c r="R225" s="9"/>
      <c r="S225" s="11"/>
      <c r="T225" s="9"/>
      <c r="U225" s="11"/>
      <c r="V225" s="9"/>
      <c r="W225" s="11"/>
      <c r="X225" s="9"/>
      <c r="Y225" s="11"/>
      <c r="Z225" s="9"/>
      <c r="AA225" s="11"/>
      <c r="AB225" s="9"/>
      <c r="AC225" s="11"/>
      <c r="AD225" s="9"/>
      <c r="AE225" s="11"/>
      <c r="AF225" s="9"/>
      <c r="AG225" s="11"/>
      <c r="AH225" s="9"/>
      <c r="AI225" s="11"/>
      <c r="AJ225" s="9"/>
      <c r="AK225" s="11"/>
      <c r="AL225" s="9"/>
      <c r="AM225" s="2325"/>
      <c r="AN225" s="26"/>
      <c r="AO225" s="27"/>
      <c r="AP225" s="9"/>
      <c r="AQ225" s="11"/>
      <c r="AR225" s="11"/>
      <c r="AS225" s="11"/>
      <c r="AT225" s="2325"/>
      <c r="AU225" s="25"/>
      <c r="AV225" s="2325"/>
      <c r="AW225" s="25"/>
      <c r="AX225" s="17" t="str">
        <f t="shared" si="107"/>
        <v/>
      </c>
      <c r="BQ225" s="2553" t="str">
        <f t="shared" si="161"/>
        <v/>
      </c>
      <c r="BR225" s="2553" t="str">
        <f t="shared" si="169"/>
        <v/>
      </c>
      <c r="BS225" s="2553" t="str">
        <f t="shared" si="162"/>
        <v/>
      </c>
      <c r="BT225" s="2553" t="str">
        <f t="shared" si="163"/>
        <v/>
      </c>
      <c r="BU225" s="2553" t="str">
        <f t="shared" si="164"/>
        <v/>
      </c>
      <c r="BV225" s="2553" t="str">
        <f t="shared" si="165"/>
        <v/>
      </c>
      <c r="BW225" s="2553" t="str">
        <f t="shared" si="166"/>
        <v/>
      </c>
      <c r="BX225" s="2553" t="str">
        <f t="shared" si="167"/>
        <v/>
      </c>
      <c r="BY225" s="2553" t="str">
        <f t="shared" si="127"/>
        <v/>
      </c>
      <c r="BZ225" s="2553" t="str">
        <f t="shared" si="168"/>
        <v/>
      </c>
      <c r="CA225" s="17"/>
      <c r="CB225" s="1792">
        <f t="shared" si="114"/>
        <v>0</v>
      </c>
      <c r="CC225" s="1792">
        <f t="shared" si="115"/>
        <v>0</v>
      </c>
      <c r="CD225" s="1792">
        <f t="shared" si="116"/>
        <v>0</v>
      </c>
      <c r="CE225" s="1792">
        <f t="shared" si="117"/>
        <v>0</v>
      </c>
      <c r="CF225" s="1792">
        <f t="shared" si="118"/>
        <v>0</v>
      </c>
      <c r="CG225" s="1792">
        <f t="shared" si="119"/>
        <v>0</v>
      </c>
      <c r="CH225" s="1792">
        <f t="shared" si="120"/>
        <v>0</v>
      </c>
      <c r="CI225" s="1792">
        <f t="shared" si="121"/>
        <v>0</v>
      </c>
      <c r="CJ225" s="1792">
        <f t="shared" si="122"/>
        <v>0</v>
      </c>
      <c r="CK225" s="1792">
        <f t="shared" si="123"/>
        <v>0</v>
      </c>
    </row>
    <row r="226" spans="1:89" ht="15" customHeight="1" x14ac:dyDescent="0.25">
      <c r="A226" s="6931"/>
      <c r="B226" s="1112" t="s">
        <v>2032</v>
      </c>
      <c r="C226" s="2366">
        <f t="shared" si="128"/>
        <v>0</v>
      </c>
      <c r="D226" s="2367">
        <f t="shared" si="150"/>
        <v>0</v>
      </c>
      <c r="E226" s="2406">
        <f t="shared" si="150"/>
        <v>0</v>
      </c>
      <c r="F226" s="9"/>
      <c r="G226" s="11"/>
      <c r="H226" s="9"/>
      <c r="I226" s="11"/>
      <c r="J226" s="9"/>
      <c r="K226" s="11"/>
      <c r="L226" s="9"/>
      <c r="M226" s="11"/>
      <c r="N226" s="9"/>
      <c r="O226" s="11"/>
      <c r="P226" s="9"/>
      <c r="Q226" s="11"/>
      <c r="R226" s="9"/>
      <c r="S226" s="11"/>
      <c r="T226" s="9"/>
      <c r="U226" s="11"/>
      <c r="V226" s="9"/>
      <c r="W226" s="11"/>
      <c r="X226" s="9"/>
      <c r="Y226" s="11"/>
      <c r="Z226" s="9"/>
      <c r="AA226" s="11"/>
      <c r="AB226" s="9"/>
      <c r="AC226" s="11"/>
      <c r="AD226" s="9"/>
      <c r="AE226" s="11"/>
      <c r="AF226" s="9"/>
      <c r="AG226" s="11"/>
      <c r="AH226" s="9"/>
      <c r="AI226" s="11"/>
      <c r="AJ226" s="9"/>
      <c r="AK226" s="11"/>
      <c r="AL226" s="9"/>
      <c r="AM226" s="2325"/>
      <c r="AN226" s="26"/>
      <c r="AO226" s="27"/>
      <c r="AP226" s="9"/>
      <c r="AQ226" s="11"/>
      <c r="AR226" s="11"/>
      <c r="AS226" s="11"/>
      <c r="AT226" s="2325"/>
      <c r="AU226" s="25"/>
      <c r="AV226" s="2325"/>
      <c r="AW226" s="25"/>
      <c r="AX226" s="17" t="str">
        <f t="shared" si="107"/>
        <v/>
      </c>
      <c r="BQ226" s="2553" t="str">
        <f t="shared" si="161"/>
        <v/>
      </c>
      <c r="BR226" s="2553" t="str">
        <f t="shared" si="169"/>
        <v/>
      </c>
      <c r="BS226" s="2553" t="str">
        <f t="shared" si="162"/>
        <v/>
      </c>
      <c r="BT226" s="2553" t="str">
        <f t="shared" si="163"/>
        <v/>
      </c>
      <c r="BU226" s="2553" t="str">
        <f t="shared" si="164"/>
        <v/>
      </c>
      <c r="BV226" s="2553" t="str">
        <f t="shared" si="165"/>
        <v/>
      </c>
      <c r="BW226" s="2553" t="str">
        <f t="shared" si="166"/>
        <v/>
      </c>
      <c r="BX226" s="2553" t="str">
        <f t="shared" si="167"/>
        <v/>
      </c>
      <c r="BY226" s="2553" t="str">
        <f t="shared" si="127"/>
        <v/>
      </c>
      <c r="BZ226" s="2553" t="str">
        <f t="shared" si="168"/>
        <v/>
      </c>
      <c r="CA226" s="17"/>
      <c r="CB226" s="1792">
        <f t="shared" si="114"/>
        <v>0</v>
      </c>
      <c r="CC226" s="1792">
        <f t="shared" si="115"/>
        <v>0</v>
      </c>
      <c r="CD226" s="1792">
        <f t="shared" si="116"/>
        <v>0</v>
      </c>
      <c r="CE226" s="1792">
        <f t="shared" si="117"/>
        <v>0</v>
      </c>
      <c r="CF226" s="1792">
        <f t="shared" si="118"/>
        <v>0</v>
      </c>
      <c r="CG226" s="1792">
        <f t="shared" si="119"/>
        <v>0</v>
      </c>
      <c r="CH226" s="1792">
        <f t="shared" si="120"/>
        <v>0</v>
      </c>
      <c r="CI226" s="1792">
        <f t="shared" si="121"/>
        <v>0</v>
      </c>
      <c r="CJ226" s="1792">
        <f t="shared" si="122"/>
        <v>0</v>
      </c>
      <c r="CK226" s="1792">
        <f t="shared" si="123"/>
        <v>0</v>
      </c>
    </row>
    <row r="227" spans="1:89" ht="15" customHeight="1" x14ac:dyDescent="0.25">
      <c r="A227" s="6931"/>
      <c r="B227" s="1112" t="s">
        <v>2033</v>
      </c>
      <c r="C227" s="2366">
        <f t="shared" si="128"/>
        <v>0</v>
      </c>
      <c r="D227" s="2367">
        <f t="shared" si="150"/>
        <v>0</v>
      </c>
      <c r="E227" s="2406">
        <f t="shared" si="150"/>
        <v>0</v>
      </c>
      <c r="F227" s="9"/>
      <c r="G227" s="11"/>
      <c r="H227" s="9"/>
      <c r="I227" s="11"/>
      <c r="J227" s="9"/>
      <c r="K227" s="11"/>
      <c r="L227" s="9"/>
      <c r="M227" s="11"/>
      <c r="N227" s="9"/>
      <c r="O227" s="11"/>
      <c r="P227" s="9"/>
      <c r="Q227" s="11"/>
      <c r="R227" s="9"/>
      <c r="S227" s="11"/>
      <c r="T227" s="9"/>
      <c r="U227" s="11"/>
      <c r="V227" s="9"/>
      <c r="W227" s="11"/>
      <c r="X227" s="9"/>
      <c r="Y227" s="11"/>
      <c r="Z227" s="9"/>
      <c r="AA227" s="11"/>
      <c r="AB227" s="9"/>
      <c r="AC227" s="11"/>
      <c r="AD227" s="9"/>
      <c r="AE227" s="11"/>
      <c r="AF227" s="9"/>
      <c r="AG227" s="11"/>
      <c r="AH227" s="9"/>
      <c r="AI227" s="11"/>
      <c r="AJ227" s="9"/>
      <c r="AK227" s="11"/>
      <c r="AL227" s="9"/>
      <c r="AM227" s="2325"/>
      <c r="AN227" s="26"/>
      <c r="AO227" s="27"/>
      <c r="AP227" s="9"/>
      <c r="AQ227" s="11"/>
      <c r="AR227" s="11"/>
      <c r="AS227" s="11"/>
      <c r="AT227" s="2325"/>
      <c r="AU227" s="25"/>
      <c r="AV227" s="2325"/>
      <c r="AW227" s="25"/>
      <c r="AX227" s="17" t="str">
        <f t="shared" si="107"/>
        <v/>
      </c>
      <c r="BQ227" s="2553" t="str">
        <f t="shared" si="161"/>
        <v/>
      </c>
      <c r="BR227" s="2553" t="str">
        <f t="shared" si="169"/>
        <v/>
      </c>
      <c r="BS227" s="2553" t="str">
        <f t="shared" si="162"/>
        <v/>
      </c>
      <c r="BT227" s="2553" t="str">
        <f t="shared" si="163"/>
        <v/>
      </c>
      <c r="BU227" s="2553" t="str">
        <f t="shared" si="164"/>
        <v/>
      </c>
      <c r="BV227" s="2553" t="str">
        <f t="shared" si="165"/>
        <v/>
      </c>
      <c r="BW227" s="2553" t="str">
        <f t="shared" si="166"/>
        <v/>
      </c>
      <c r="BX227" s="2553" t="str">
        <f t="shared" si="167"/>
        <v/>
      </c>
      <c r="BY227" s="2553" t="str">
        <f t="shared" si="127"/>
        <v/>
      </c>
      <c r="BZ227" s="2553" t="str">
        <f t="shared" si="168"/>
        <v/>
      </c>
      <c r="CA227" s="17"/>
      <c r="CB227" s="1792">
        <f t="shared" si="114"/>
        <v>0</v>
      </c>
      <c r="CC227" s="1792">
        <f t="shared" si="115"/>
        <v>0</v>
      </c>
      <c r="CD227" s="1792">
        <f t="shared" si="116"/>
        <v>0</v>
      </c>
      <c r="CE227" s="1792">
        <f t="shared" si="117"/>
        <v>0</v>
      </c>
      <c r="CF227" s="1792">
        <f t="shared" si="118"/>
        <v>0</v>
      </c>
      <c r="CG227" s="1792">
        <f t="shared" si="119"/>
        <v>0</v>
      </c>
      <c r="CH227" s="1792">
        <f t="shared" si="120"/>
        <v>0</v>
      </c>
      <c r="CI227" s="1792">
        <f t="shared" si="121"/>
        <v>0</v>
      </c>
      <c r="CJ227" s="1792">
        <f t="shared" si="122"/>
        <v>0</v>
      </c>
      <c r="CK227" s="1792">
        <f t="shared" si="123"/>
        <v>0</v>
      </c>
    </row>
    <row r="228" spans="1:89" ht="24" customHeight="1" x14ac:dyDescent="0.25">
      <c r="A228" s="6932"/>
      <c r="B228" s="38" t="s">
        <v>2034</v>
      </c>
      <c r="C228" s="2377">
        <f t="shared" si="128"/>
        <v>0</v>
      </c>
      <c r="D228" s="2378">
        <f t="shared" si="150"/>
        <v>0</v>
      </c>
      <c r="E228" s="2407">
        <f t="shared" si="150"/>
        <v>0</v>
      </c>
      <c r="F228" s="3"/>
      <c r="G228" s="12"/>
      <c r="H228" s="3"/>
      <c r="I228" s="12"/>
      <c r="J228" s="3"/>
      <c r="K228" s="12"/>
      <c r="L228" s="3"/>
      <c r="M228" s="12"/>
      <c r="N228" s="3"/>
      <c r="O228" s="12"/>
      <c r="P228" s="3"/>
      <c r="Q228" s="12"/>
      <c r="R228" s="3"/>
      <c r="S228" s="12"/>
      <c r="T228" s="3"/>
      <c r="U228" s="12"/>
      <c r="V228" s="3"/>
      <c r="W228" s="12"/>
      <c r="X228" s="3"/>
      <c r="Y228" s="12"/>
      <c r="Z228" s="3"/>
      <c r="AA228" s="12"/>
      <c r="AB228" s="3"/>
      <c r="AC228" s="12"/>
      <c r="AD228" s="3"/>
      <c r="AE228" s="12"/>
      <c r="AF228" s="3"/>
      <c r="AG228" s="12"/>
      <c r="AH228" s="3"/>
      <c r="AI228" s="12"/>
      <c r="AJ228" s="3"/>
      <c r="AK228" s="12"/>
      <c r="AL228" s="3"/>
      <c r="AM228" s="2379"/>
      <c r="AN228" s="29"/>
      <c r="AO228" s="30"/>
      <c r="AP228" s="3"/>
      <c r="AQ228" s="12"/>
      <c r="AR228" s="12"/>
      <c r="AS228" s="12"/>
      <c r="AT228" s="2379"/>
      <c r="AU228" s="6"/>
      <c r="AV228" s="2379"/>
      <c r="AW228" s="6"/>
      <c r="AX228" s="17" t="str">
        <f t="shared" si="107"/>
        <v/>
      </c>
      <c r="BQ228" s="2553" t="str">
        <f t="shared" si="161"/>
        <v/>
      </c>
      <c r="BR228" s="2553" t="str">
        <f t="shared" si="169"/>
        <v/>
      </c>
      <c r="BS228" s="2553" t="str">
        <f t="shared" si="162"/>
        <v/>
      </c>
      <c r="BT228" s="2553" t="str">
        <f t="shared" si="163"/>
        <v/>
      </c>
      <c r="BU228" s="2553" t="str">
        <f t="shared" si="164"/>
        <v/>
      </c>
      <c r="BV228" s="2553" t="str">
        <f t="shared" si="165"/>
        <v/>
      </c>
      <c r="BW228" s="2553" t="str">
        <f t="shared" si="166"/>
        <v/>
      </c>
      <c r="BX228" s="2553" t="str">
        <f t="shared" si="167"/>
        <v/>
      </c>
      <c r="BY228" s="2553" t="str">
        <f t="shared" si="127"/>
        <v/>
      </c>
      <c r="BZ228" s="2553" t="str">
        <f t="shared" si="168"/>
        <v/>
      </c>
      <c r="CA228" s="17"/>
      <c r="CB228" s="1792">
        <f t="shared" si="114"/>
        <v>0</v>
      </c>
      <c r="CC228" s="1792">
        <f t="shared" si="115"/>
        <v>0</v>
      </c>
      <c r="CD228" s="1792">
        <f t="shared" si="116"/>
        <v>0</v>
      </c>
      <c r="CE228" s="1792">
        <f t="shared" si="117"/>
        <v>0</v>
      </c>
      <c r="CF228" s="1792">
        <f t="shared" si="118"/>
        <v>0</v>
      </c>
      <c r="CG228" s="1792">
        <f t="shared" si="119"/>
        <v>0</v>
      </c>
      <c r="CH228" s="1792">
        <f t="shared" si="120"/>
        <v>0</v>
      </c>
      <c r="CI228" s="1792">
        <f t="shared" si="121"/>
        <v>0</v>
      </c>
      <c r="CJ228" s="1792">
        <f t="shared" si="122"/>
        <v>0</v>
      </c>
      <c r="CK228" s="1792">
        <f t="shared" si="123"/>
        <v>0</v>
      </c>
    </row>
    <row r="229" spans="1:89" ht="15" customHeight="1" x14ac:dyDescent="0.25">
      <c r="A229" s="6976" t="s">
        <v>2035</v>
      </c>
      <c r="B229" s="6977"/>
      <c r="C229" s="2408">
        <f t="shared" si="128"/>
        <v>0</v>
      </c>
      <c r="D229" s="2357">
        <f t="shared" si="150"/>
        <v>0</v>
      </c>
      <c r="E229" s="2358">
        <f t="shared" si="150"/>
        <v>0</v>
      </c>
      <c r="F229" s="1379"/>
      <c r="G229" s="1305"/>
      <c r="H229" s="1379"/>
      <c r="I229" s="1305"/>
      <c r="J229" s="1379"/>
      <c r="K229" s="1305"/>
      <c r="L229" s="1379"/>
      <c r="M229" s="1305"/>
      <c r="N229" s="1379"/>
      <c r="O229" s="1305"/>
      <c r="P229" s="1379"/>
      <c r="Q229" s="1305"/>
      <c r="R229" s="1379"/>
      <c r="S229" s="1305"/>
      <c r="T229" s="1379"/>
      <c r="U229" s="1305"/>
      <c r="V229" s="1379"/>
      <c r="W229" s="1305"/>
      <c r="X229" s="1379"/>
      <c r="Y229" s="1305"/>
      <c r="Z229" s="1379"/>
      <c r="AA229" s="1305"/>
      <c r="AB229" s="1379"/>
      <c r="AC229" s="1305"/>
      <c r="AD229" s="1379"/>
      <c r="AE229" s="1305"/>
      <c r="AF229" s="1379"/>
      <c r="AG229" s="1305"/>
      <c r="AH229" s="1379"/>
      <c r="AI229" s="1305"/>
      <c r="AJ229" s="1379"/>
      <c r="AK229" s="1305"/>
      <c r="AL229" s="1379"/>
      <c r="AM229" s="2330"/>
      <c r="AN229" s="2404"/>
      <c r="AO229" s="2405"/>
      <c r="AP229" s="1379"/>
      <c r="AQ229" s="1305"/>
      <c r="AR229" s="1305"/>
      <c r="AS229" s="1305"/>
      <c r="AT229" s="2330"/>
      <c r="AU229" s="2789"/>
      <c r="AV229" s="2330"/>
      <c r="AW229" s="2789"/>
      <c r="AX229" s="17" t="str">
        <f t="shared" si="107"/>
        <v/>
      </c>
      <c r="BQ229" s="2553" t="str">
        <f t="shared" si="161"/>
        <v/>
      </c>
      <c r="BR229" s="2553" t="str">
        <f t="shared" si="169"/>
        <v/>
      </c>
      <c r="BS229" s="2553" t="str">
        <f t="shared" si="162"/>
        <v/>
      </c>
      <c r="BT229" s="2553" t="str">
        <f t="shared" si="163"/>
        <v/>
      </c>
      <c r="BU229" s="2553" t="str">
        <f t="shared" si="164"/>
        <v/>
      </c>
      <c r="BV229" s="2553" t="str">
        <f t="shared" si="165"/>
        <v/>
      </c>
      <c r="BW229" s="2553" t="str">
        <f t="shared" si="166"/>
        <v/>
      </c>
      <c r="BX229" s="2553" t="str">
        <f t="shared" si="167"/>
        <v/>
      </c>
      <c r="BY229" s="2553" t="str">
        <f t="shared" si="127"/>
        <v/>
      </c>
      <c r="BZ229" s="2553" t="str">
        <f t="shared" si="168"/>
        <v/>
      </c>
      <c r="CA229" s="17"/>
      <c r="CB229" s="1792">
        <f t="shared" si="114"/>
        <v>0</v>
      </c>
      <c r="CC229" s="1792">
        <f t="shared" si="115"/>
        <v>0</v>
      </c>
      <c r="CD229" s="1792">
        <f t="shared" si="116"/>
        <v>0</v>
      </c>
      <c r="CE229" s="1792">
        <f t="shared" si="117"/>
        <v>0</v>
      </c>
      <c r="CF229" s="1792">
        <f t="shared" si="118"/>
        <v>0</v>
      </c>
      <c r="CG229" s="1792">
        <f t="shared" si="119"/>
        <v>0</v>
      </c>
      <c r="CH229" s="1792">
        <f t="shared" si="120"/>
        <v>0</v>
      </c>
      <c r="CI229" s="1792">
        <f t="shared" si="121"/>
        <v>0</v>
      </c>
      <c r="CJ229" s="1792">
        <f t="shared" si="122"/>
        <v>0</v>
      </c>
      <c r="CK229" s="1792">
        <f t="shared" si="123"/>
        <v>0</v>
      </c>
    </row>
    <row r="230" spans="1:89" ht="15" customHeight="1" x14ac:dyDescent="0.25">
      <c r="A230" s="7014" t="s">
        <v>44</v>
      </c>
      <c r="B230" s="7015"/>
      <c r="C230" s="2377">
        <f t="shared" si="128"/>
        <v>0</v>
      </c>
      <c r="D230" s="2378">
        <f t="shared" si="150"/>
        <v>0</v>
      </c>
      <c r="E230" s="2">
        <f t="shared" si="150"/>
        <v>0</v>
      </c>
      <c r="F230" s="3"/>
      <c r="G230" s="12"/>
      <c r="H230" s="3"/>
      <c r="I230" s="12"/>
      <c r="J230" s="3"/>
      <c r="K230" s="12"/>
      <c r="L230" s="3"/>
      <c r="M230" s="12"/>
      <c r="N230" s="3"/>
      <c r="O230" s="12"/>
      <c r="P230" s="3"/>
      <c r="Q230" s="12"/>
      <c r="R230" s="3"/>
      <c r="S230" s="12"/>
      <c r="T230" s="3"/>
      <c r="U230" s="12"/>
      <c r="V230" s="3"/>
      <c r="W230" s="12"/>
      <c r="X230" s="3"/>
      <c r="Y230" s="12"/>
      <c r="Z230" s="3"/>
      <c r="AA230" s="12"/>
      <c r="AB230" s="3"/>
      <c r="AC230" s="12"/>
      <c r="AD230" s="3"/>
      <c r="AE230" s="12"/>
      <c r="AF230" s="3"/>
      <c r="AG230" s="12"/>
      <c r="AH230" s="3"/>
      <c r="AI230" s="12"/>
      <c r="AJ230" s="3"/>
      <c r="AK230" s="12"/>
      <c r="AL230" s="3"/>
      <c r="AM230" s="2379"/>
      <c r="AN230" s="2409"/>
      <c r="AO230" s="2410"/>
      <c r="AP230" s="3"/>
      <c r="AQ230" s="12"/>
      <c r="AR230" s="12"/>
      <c r="AS230" s="12"/>
      <c r="AT230" s="2379"/>
      <c r="AU230" s="6"/>
      <c r="AV230" s="2379"/>
      <c r="AW230" s="6"/>
      <c r="AX230" s="17" t="str">
        <f t="shared" si="107"/>
        <v/>
      </c>
      <c r="BQ230" s="2553" t="str">
        <f t="shared" si="161"/>
        <v/>
      </c>
      <c r="BR230" s="2553" t="str">
        <f t="shared" si="169"/>
        <v/>
      </c>
      <c r="BS230" s="2553" t="str">
        <f t="shared" si="162"/>
        <v/>
      </c>
      <c r="BT230" s="2553" t="str">
        <f t="shared" si="163"/>
        <v/>
      </c>
      <c r="BU230" s="2553" t="str">
        <f t="shared" si="164"/>
        <v/>
      </c>
      <c r="BV230" s="2553" t="str">
        <f t="shared" si="165"/>
        <v/>
      </c>
      <c r="BW230" s="2553" t="str">
        <f t="shared" si="166"/>
        <v/>
      </c>
      <c r="BX230" s="2553" t="str">
        <f t="shared" si="167"/>
        <v/>
      </c>
      <c r="BY230" s="2553" t="str">
        <f t="shared" si="127"/>
        <v/>
      </c>
      <c r="BZ230" s="2553" t="str">
        <f t="shared" si="168"/>
        <v/>
      </c>
      <c r="CA230" s="17"/>
      <c r="CB230" s="1792">
        <f t="shared" si="114"/>
        <v>0</v>
      </c>
      <c r="CC230" s="1792">
        <f t="shared" si="115"/>
        <v>0</v>
      </c>
      <c r="CD230" s="1792">
        <f t="shared" si="116"/>
        <v>0</v>
      </c>
      <c r="CE230" s="1792">
        <f t="shared" si="117"/>
        <v>0</v>
      </c>
      <c r="CF230" s="1792">
        <f t="shared" si="118"/>
        <v>0</v>
      </c>
      <c r="CG230" s="1792">
        <f t="shared" si="119"/>
        <v>0</v>
      </c>
      <c r="CH230" s="1792">
        <f t="shared" si="120"/>
        <v>0</v>
      </c>
      <c r="CI230" s="1792">
        <f t="shared" si="121"/>
        <v>0</v>
      </c>
      <c r="CJ230" s="1792">
        <f t="shared" si="122"/>
        <v>0</v>
      </c>
      <c r="CK230" s="1792">
        <f t="shared" si="123"/>
        <v>0</v>
      </c>
    </row>
    <row r="231" spans="1:89" s="17" customFormat="1" ht="18" customHeight="1" x14ac:dyDescent="0.2">
      <c r="A231" s="2734" t="s">
        <v>2036</v>
      </c>
      <c r="B231" s="2734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</row>
    <row r="232" spans="1:89" x14ac:dyDescent="0.25">
      <c r="A232" s="6939" t="s">
        <v>2037</v>
      </c>
      <c r="B232" s="6528"/>
      <c r="C232" s="6923" t="s">
        <v>24</v>
      </c>
      <c r="D232" s="6923"/>
      <c r="E232" s="6923"/>
      <c r="F232" s="6923" t="s">
        <v>36</v>
      </c>
      <c r="G232" s="6923"/>
      <c r="H232" s="6923" t="s">
        <v>37</v>
      </c>
      <c r="I232" s="6923"/>
      <c r="J232" s="6923" t="s">
        <v>38</v>
      </c>
      <c r="K232" s="6923"/>
      <c r="L232" s="6923" t="s">
        <v>4</v>
      </c>
      <c r="M232" s="6923"/>
      <c r="N232" s="6974" t="s">
        <v>5</v>
      </c>
      <c r="O232" s="6975"/>
      <c r="P232" s="6922" t="s">
        <v>6</v>
      </c>
      <c r="Q232" s="6922"/>
      <c r="R232" s="6922" t="s">
        <v>7</v>
      </c>
      <c r="S232" s="6922"/>
      <c r="T232" s="6922" t="s">
        <v>8</v>
      </c>
      <c r="U232" s="6922"/>
      <c r="V232" s="6922" t="s">
        <v>9</v>
      </c>
      <c r="W232" s="6922"/>
      <c r="X232" s="6922" t="s">
        <v>10</v>
      </c>
      <c r="Y232" s="6922"/>
      <c r="Z232" s="6922" t="s">
        <v>11</v>
      </c>
      <c r="AA232" s="6922"/>
      <c r="AB232" s="6922" t="s">
        <v>18</v>
      </c>
      <c r="AC232" s="6922"/>
      <c r="AD232" s="6922" t="s">
        <v>19</v>
      </c>
      <c r="AE232" s="6922"/>
      <c r="AF232" s="6922" t="s">
        <v>20</v>
      </c>
      <c r="AG232" s="6922"/>
      <c r="AH232" s="6922" t="s">
        <v>70</v>
      </c>
      <c r="AI232" s="6922"/>
      <c r="AJ232" s="6922" t="s">
        <v>71</v>
      </c>
      <c r="AK232" s="6922"/>
      <c r="AL232" s="6922" t="s">
        <v>32</v>
      </c>
      <c r="AM232" s="6920"/>
      <c r="AN232" s="7034" t="s">
        <v>1467</v>
      </c>
      <c r="AO232" s="6958"/>
      <c r="AP232" s="7035"/>
      <c r="AQ232" s="7036" t="s">
        <v>39</v>
      </c>
      <c r="AR232" s="7038" t="s">
        <v>1984</v>
      </c>
      <c r="AS232" s="6922" t="s">
        <v>2</v>
      </c>
      <c r="AT232" s="6922"/>
      <c r="AU232" s="6925" t="s">
        <v>40</v>
      </c>
      <c r="AV232" s="6925" t="s">
        <v>45</v>
      </c>
      <c r="AW232" s="6925" t="s">
        <v>3</v>
      </c>
      <c r="AX232" s="6925" t="s">
        <v>2038</v>
      </c>
      <c r="BQ232"/>
      <c r="BR232"/>
      <c r="BS232"/>
      <c r="BT232"/>
      <c r="BU232"/>
      <c r="BV232"/>
      <c r="BW232"/>
      <c r="BX232"/>
      <c r="BZ232"/>
      <c r="CA232"/>
      <c r="CB232"/>
    </row>
    <row r="233" spans="1:89" ht="27" customHeight="1" x14ac:dyDescent="0.25">
      <c r="A233" s="7002"/>
      <c r="B233" s="7003"/>
      <c r="C233" s="2753" t="s">
        <v>26</v>
      </c>
      <c r="D233" s="2784" t="s">
        <v>22</v>
      </c>
      <c r="E233" s="2781" t="s">
        <v>27</v>
      </c>
      <c r="F233" s="2779" t="s">
        <v>22</v>
      </c>
      <c r="G233" s="2781" t="s">
        <v>27</v>
      </c>
      <c r="H233" s="2779" t="s">
        <v>22</v>
      </c>
      <c r="I233" s="2781" t="s">
        <v>27</v>
      </c>
      <c r="J233" s="2779" t="s">
        <v>22</v>
      </c>
      <c r="K233" s="2781" t="s">
        <v>27</v>
      </c>
      <c r="L233" s="2779" t="s">
        <v>22</v>
      </c>
      <c r="M233" s="2781" t="s">
        <v>27</v>
      </c>
      <c r="N233" s="2779" t="s">
        <v>22</v>
      </c>
      <c r="O233" s="2781" t="s">
        <v>27</v>
      </c>
      <c r="P233" s="2779" t="s">
        <v>22</v>
      </c>
      <c r="Q233" s="2781" t="s">
        <v>27</v>
      </c>
      <c r="R233" s="2779" t="s">
        <v>22</v>
      </c>
      <c r="S233" s="2781" t="s">
        <v>27</v>
      </c>
      <c r="T233" s="2779" t="s">
        <v>22</v>
      </c>
      <c r="U233" s="2781" t="s">
        <v>27</v>
      </c>
      <c r="V233" s="2779" t="s">
        <v>22</v>
      </c>
      <c r="W233" s="2781" t="s">
        <v>27</v>
      </c>
      <c r="X233" s="2779" t="s">
        <v>22</v>
      </c>
      <c r="Y233" s="2781" t="s">
        <v>27</v>
      </c>
      <c r="Z233" s="2779" t="s">
        <v>22</v>
      </c>
      <c r="AA233" s="2781" t="s">
        <v>27</v>
      </c>
      <c r="AB233" s="2779" t="s">
        <v>22</v>
      </c>
      <c r="AC233" s="2781" t="s">
        <v>27</v>
      </c>
      <c r="AD233" s="2779" t="s">
        <v>22</v>
      </c>
      <c r="AE233" s="2781" t="s">
        <v>27</v>
      </c>
      <c r="AF233" s="2779" t="s">
        <v>22</v>
      </c>
      <c r="AG233" s="2781" t="s">
        <v>27</v>
      </c>
      <c r="AH233" s="2779" t="s">
        <v>22</v>
      </c>
      <c r="AI233" s="2781" t="s">
        <v>27</v>
      </c>
      <c r="AJ233" s="2779" t="s">
        <v>22</v>
      </c>
      <c r="AK233" s="2781" t="s">
        <v>27</v>
      </c>
      <c r="AL233" s="2779" t="s">
        <v>22</v>
      </c>
      <c r="AM233" s="2782" t="s">
        <v>27</v>
      </c>
      <c r="AN233" s="5908" t="s">
        <v>1033</v>
      </c>
      <c r="AO233" s="5909" t="s">
        <v>1034</v>
      </c>
      <c r="AP233" s="5907" t="s">
        <v>2039</v>
      </c>
      <c r="AQ233" s="7037"/>
      <c r="AR233" s="7039"/>
      <c r="AS233" s="2779" t="s">
        <v>22</v>
      </c>
      <c r="AT233" s="2781" t="s">
        <v>27</v>
      </c>
      <c r="AU233" s="6927"/>
      <c r="AV233" s="6927"/>
      <c r="AW233" s="6927"/>
      <c r="AX233" s="6927"/>
      <c r="BQ233"/>
      <c r="BR233"/>
      <c r="BS233"/>
      <c r="BT233"/>
      <c r="BU233"/>
      <c r="BV233"/>
      <c r="BW233"/>
      <c r="BX233"/>
      <c r="BZ233"/>
      <c r="CA233"/>
      <c r="CB233"/>
    </row>
    <row r="234" spans="1:89" s="17" customFormat="1" ht="18" customHeight="1" x14ac:dyDescent="0.25">
      <c r="A234" s="7032" t="s">
        <v>2040</v>
      </c>
      <c r="B234" s="7033"/>
      <c r="C234" s="2347">
        <f>SUM(D234+E234)</f>
        <v>0</v>
      </c>
      <c r="D234" s="2348">
        <f>SUM(F234+H234+J234+L234+N234+P234+R234+T234+V234+X234+Z234+AB234+AD234+AF234+AH234+AJ234+AL234)</f>
        <v>0</v>
      </c>
      <c r="E234" s="2358">
        <f>SUM(G234+I234+K234+M234+O234+Q234+S234+U234+W234+Y234+AA234+AC234+AE234+AG234+AI234+AK234+AM234)</f>
        <v>0</v>
      </c>
      <c r="F234" s="2349"/>
      <c r="G234" s="2350"/>
      <c r="H234" s="2349"/>
      <c r="I234" s="2350"/>
      <c r="J234" s="2349"/>
      <c r="K234" s="2350"/>
      <c r="L234" s="2349"/>
      <c r="M234" s="2350"/>
      <c r="N234" s="2349"/>
      <c r="O234" s="2350"/>
      <c r="P234" s="2349"/>
      <c r="Q234" s="2350"/>
      <c r="R234" s="2349"/>
      <c r="S234" s="2350"/>
      <c r="T234" s="2349"/>
      <c r="U234" s="2350"/>
      <c r="V234" s="2349"/>
      <c r="W234" s="2350"/>
      <c r="X234" s="2349"/>
      <c r="Y234" s="2350"/>
      <c r="Z234" s="2349"/>
      <c r="AA234" s="2350"/>
      <c r="AB234" s="2349"/>
      <c r="AC234" s="2350"/>
      <c r="AD234" s="2349"/>
      <c r="AE234" s="2350"/>
      <c r="AF234" s="2349"/>
      <c r="AG234" s="2350"/>
      <c r="AH234" s="2349"/>
      <c r="AI234" s="2350"/>
      <c r="AJ234" s="2349"/>
      <c r="AK234" s="2350"/>
      <c r="AL234" s="2349"/>
      <c r="AM234" s="2351"/>
      <c r="AN234" s="5910"/>
      <c r="AO234" s="5911"/>
      <c r="AP234" s="1766"/>
      <c r="AQ234" s="5902"/>
      <c r="AR234" s="2353"/>
      <c r="AS234" s="2349"/>
      <c r="AT234" s="2350"/>
      <c r="AU234" s="2350"/>
      <c r="AV234" s="2350"/>
      <c r="AW234" s="2350"/>
      <c r="AX234" s="2350"/>
      <c r="AY234" s="17" t="str">
        <f>BQ234&amp;BR234&amp;BS234&amp;BT234&amp;BU234&amp;BV234&amp;BW234&amp;BX234&amp;BY234</f>
        <v/>
      </c>
      <c r="BQ234" s="170"/>
      <c r="BR234" s="2553" t="str">
        <f>IF(AND(E234&gt;0,AQ234=""), "* No olvide digitar la variable Gestantes. Digite Cero si no tiene.",IF(AQ234&gt;E234,"  * La variable Gestantes No puede ser mayor al Total Mujeres.",""))</f>
        <v/>
      </c>
      <c r="BS234" s="2553" t="str">
        <f>IF(AND(E234&gt;0,AR234=""), "* No olvide digitar la variable Madre de hijo menor de 5 años. Digite Cero si no tiene.",IF(AR234&gt;E234,"  * La variable Madre de hijo menor de 5 años No puede ser mayor al Total Mujeres.",""))</f>
        <v/>
      </c>
      <c r="BT234" s="2553" t="str">
        <f>IF(AND(D234&gt;0,OR(AS234="")), "* No olvide digitar la variable Pueblos originarios Hombres. Digite Cero si no tiene.",IF(AS234&gt;D234,"  * La variable Pueblos originarios Hombres No puede ser mayor al Total Hombres.",""))</f>
        <v/>
      </c>
      <c r="BU234" s="2553" t="str">
        <f>IF(AND(E234&gt;0,OR(AT234="")), "* No olvide digitar la variable Pueblos originarios Mujeres. Digite Cero si no tiene.",IF(AT234&gt;E234,"  * La variable Pueblos originarios Mujeres No puede ser mayor al Total Mujeres.",""))</f>
        <v/>
      </c>
      <c r="BV234" s="2553" t="str">
        <f>IF(AND(C234&gt;0,AU234=""), "* No olvide digitar la variable Niños, niñas, adolescentes y jóvenes SENAME. Digite Cero si no tiene.",IF(AU234&gt;C234,"  * La variable Niños, niñas, adolescentes y jóvenes SENAME No puede ser mayor al Total.",""))</f>
        <v/>
      </c>
      <c r="BW234" s="2553" t="str">
        <f>IF(AND(C234&gt;0,AV234=""), "* No olvide digitar la variable Niños, niñas, adolescentes y jóvenes Mejor Niñez. Digite Cero si no tiene.",IF(AV234&gt;C234,"  * La variable Niños, niñas, adolescentes y jóvenes Mejor Niñez No puede ser mayor al Total.",""))</f>
        <v/>
      </c>
      <c r="BX234" s="2553" t="str">
        <f>IF(AND(C234&gt;0,AW234=""), "* No olvide digitar la variable Migrantes. Digite Cero si no tiene.",IF(AW234&gt;C234,"  * La variable Migrantes No puede ser mayor al Total.",""))</f>
        <v/>
      </c>
      <c r="BY234" s="2553" t="str">
        <f>IF(AND(C234&gt;0,AX234=""), "* No olvide digitar la variable Trans (Masculino/ Femenino). Digite Cero si no tiene.",IF(AX234&gt;C234,"  * La variable Trans (Masculino/Femenino) No puede ser mayor al Total Ambos Sexos.",""))</f>
        <v/>
      </c>
      <c r="CA234"/>
      <c r="CB234" s="1792">
        <f>IF(AND(E234&gt;0,AQ234=""),1,IF(AQ234&gt;E234,1,0))</f>
        <v>0</v>
      </c>
      <c r="CC234" s="1792">
        <f>IF(AND(E234&gt;0,AR234=""),1,IF(AR234&gt;E234,1,0))</f>
        <v>0</v>
      </c>
      <c r="CD234" s="1792">
        <f>IF(AND(D234&gt;0,OR(AS234="")),1,IF(AS234&gt;D234,1,0))</f>
        <v>0</v>
      </c>
      <c r="CE234" s="1792">
        <f>IF(AND(E234&gt;0,OR(AT234="")),1,IF(AT234&gt;E234,1,0))</f>
        <v>0</v>
      </c>
      <c r="CF234" s="1792">
        <f>IF(AND(C234&gt;0,AU234=""),1,IF(AU234&gt;C234,1,0))</f>
        <v>0</v>
      </c>
      <c r="CG234" s="1792">
        <f>IF(AND(C234&gt;0,AV234=""),1,IF(AV234&gt;C234,1,0))</f>
        <v>0</v>
      </c>
      <c r="CH234" s="1792">
        <f>IF(AND(C234&gt;0,AW234=""),1,IF(AW234&gt;C234,1,0))</f>
        <v>0</v>
      </c>
      <c r="CI234" s="1792">
        <f>IF(AND(C234&gt;0,AX234=""),1,IF(AX234&gt;C234,1,0))</f>
        <v>0</v>
      </c>
    </row>
    <row r="235" spans="1:89" s="17" customFormat="1" ht="18" customHeight="1" x14ac:dyDescent="0.2">
      <c r="A235" s="7028" t="s">
        <v>1988</v>
      </c>
      <c r="B235" s="7029"/>
      <c r="C235" s="4576"/>
      <c r="D235" s="4577"/>
      <c r="E235" s="4577"/>
      <c r="F235" s="2411"/>
      <c r="G235" s="2411"/>
      <c r="H235" s="2411"/>
      <c r="I235" s="2411"/>
      <c r="J235" s="2411"/>
      <c r="K235" s="2411"/>
      <c r="L235" s="2411"/>
      <c r="M235" s="2411"/>
      <c r="N235" s="2411"/>
      <c r="O235" s="2411"/>
      <c r="P235" s="2411"/>
      <c r="Q235" s="2411"/>
      <c r="R235" s="2411"/>
      <c r="S235" s="2411"/>
      <c r="T235" s="2411"/>
      <c r="U235" s="2411"/>
      <c r="V235" s="2411"/>
      <c r="W235" s="2411"/>
      <c r="X235" s="2411"/>
      <c r="Y235" s="2411"/>
      <c r="Z235" s="2411"/>
      <c r="AA235" s="2411"/>
      <c r="AB235" s="2411"/>
      <c r="AC235" s="2411"/>
      <c r="AD235" s="2411"/>
      <c r="AE235" s="2411"/>
      <c r="AF235" s="2411"/>
      <c r="AG235" s="2411"/>
      <c r="AH235" s="2411"/>
      <c r="AI235" s="2411"/>
      <c r="AJ235" s="2411"/>
      <c r="AK235" s="2411"/>
      <c r="AL235" s="2411"/>
      <c r="AM235" s="2412"/>
      <c r="AN235" s="5903"/>
      <c r="AO235" s="5903"/>
      <c r="AP235" s="5912"/>
      <c r="AQ235" s="5903"/>
      <c r="AR235" s="2412"/>
      <c r="AS235" s="2412"/>
      <c r="AT235" s="2412"/>
      <c r="AU235" s="2412"/>
      <c r="AV235" s="2412"/>
      <c r="AW235" s="2412"/>
      <c r="AX235" s="2413"/>
    </row>
    <row r="236" spans="1:89" x14ac:dyDescent="0.25">
      <c r="A236" s="6930" t="s">
        <v>1989</v>
      </c>
      <c r="B236" s="2338" t="s">
        <v>1990</v>
      </c>
      <c r="C236" s="2339">
        <f>SUM(D236+E236)</f>
        <v>0</v>
      </c>
      <c r="D236" s="2340">
        <f t="shared" ref="D236:E244" si="170">SUM(F236+H236+J236+L236+N236+P236+R236+T236+V236+X236+Z236+AB236+AD236+AF236+AH236+AJ236+AL236)</f>
        <v>0</v>
      </c>
      <c r="E236" s="2338">
        <f t="shared" si="170"/>
        <v>0</v>
      </c>
      <c r="F236" s="2209"/>
      <c r="G236" s="2318"/>
      <c r="H236" s="2209"/>
      <c r="I236" s="2318"/>
      <c r="J236" s="2209"/>
      <c r="K236" s="2318"/>
      <c r="L236" s="2209"/>
      <c r="M236" s="2318"/>
      <c r="N236" s="2209"/>
      <c r="O236" s="2318"/>
      <c r="P236" s="2209"/>
      <c r="Q236" s="2318"/>
      <c r="R236" s="2209"/>
      <c r="S236" s="2318"/>
      <c r="T236" s="2209"/>
      <c r="U236" s="2318"/>
      <c r="V236" s="2209"/>
      <c r="W236" s="2318"/>
      <c r="X236" s="2209"/>
      <c r="Y236" s="2318"/>
      <c r="Z236" s="2209"/>
      <c r="AA236" s="2318"/>
      <c r="AB236" s="2209"/>
      <c r="AC236" s="2318"/>
      <c r="AD236" s="2209"/>
      <c r="AE236" s="2318"/>
      <c r="AF236" s="2209"/>
      <c r="AG236" s="2318"/>
      <c r="AH236" s="2209"/>
      <c r="AI236" s="2318"/>
      <c r="AJ236" s="2209"/>
      <c r="AK236" s="2318"/>
      <c r="AL236" s="2209"/>
      <c r="AM236" s="2319"/>
      <c r="AN236" s="5913"/>
      <c r="AO236" s="5914"/>
      <c r="AP236" s="5915"/>
      <c r="AQ236" s="5902"/>
      <c r="AR236" s="2353"/>
      <c r="AS236" s="2349"/>
      <c r="AT236" s="2350"/>
      <c r="AU236" s="2350"/>
      <c r="AV236" s="2350"/>
      <c r="AW236" s="2350"/>
      <c r="AX236" s="2350"/>
      <c r="AY236" s="17" t="str">
        <f>BQ236&amp;BR236&amp;BS236&amp;BT236&amp;BU236&amp;BV236&amp;BW236&amp;BX236&amp;BY236</f>
        <v/>
      </c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Q236" s="170"/>
      <c r="BR236" s="2553" t="str">
        <f>IF(AND(E236&gt;0,AQ236=""), "* No olvide digitar la variable Gestantes. Digite Cero si no tiene.",IF(AQ236&gt;E236,"  * La variable Gestantes No puede ser mayor al Total.",""))</f>
        <v/>
      </c>
      <c r="BS236" s="2553" t="str">
        <f t="shared" ref="BS236:BS278" si="171">IF(AND(E236&gt;0,AR236=""), "* No olvide digitar la variable Madre de hijo menor de 5 años. Digite Cero si no tiene.",IF(AR236&gt;E236,"  * La variable Madre de hijo menor de 5 años No puede ser mayor al Total.",""))</f>
        <v/>
      </c>
      <c r="BT236" s="2553" t="str">
        <f t="shared" ref="BT236:BT278" si="172">IF(AND(D236&gt;0,OR(AS236="")), "* No olvide digitar la variable Pueblos originarios Hombres. Digite Cero si no tiene.",IF(AS236&gt;D236,"  * La variable Pueblos originarios Hombres No puede ser mayor al Total Hombres.",""))</f>
        <v/>
      </c>
      <c r="BU236" s="2553" t="str">
        <f t="shared" ref="BU236:BU278" si="173">IF(AND(E236&gt;0,OR(AT236="")), "* No olvide digitar la variable Pueblos originarios Mujeres. Digite Cero si no tiene.",IF(AT236&gt;E236,"  * La variable Pueblos originarios Mujeres No puede ser mayor al Total Mujeres.",""))</f>
        <v/>
      </c>
      <c r="BV236" s="2553" t="str">
        <f t="shared" ref="BV236:BV278" si="174">IF(AND(C236&gt;0,AU236=""), "* No olvide digitar la variable Niños, niñas, adolescentes y jóvenes SENAME. Digite Cero si no tiene.",IF(AU236&gt;C236,"  * La variable Niños, niñas, adolescentes y jóvenes SENAME No puede ser mayor al Total.",""))</f>
        <v/>
      </c>
      <c r="BW236" s="2553" t="str">
        <f t="shared" ref="BW236:BW278" si="175">IF(AND(C236&gt;0,AV236=""), "* No olvide digitar la variable Niños, niñas, adolescentes y jóvenes Mejor Niñez. Digite Cero si no tiene.",IF(AV236&gt;C236,"  * La variable Niños, niñas, adolescentes y jóvenes Mejor Niñez No puede ser mayor al Total.",""))</f>
        <v/>
      </c>
      <c r="BX236" s="2553" t="str">
        <f t="shared" ref="BX236:BX278" si="176">IF(AND(C236&gt;0,AW236=""), "* No olvide digitar la variable Migrantes. Digite Cero si no tiene.",IF(AW236&gt;C236,"  * La variable Migrantes No puede ser mayor al Total.",""))</f>
        <v/>
      </c>
      <c r="BY236" s="2553" t="str">
        <f t="shared" ref="BY236:BY278" si="177">IF(AND(C236&gt;0,AX236=""), "* No olvide digitar la variable Trans (Masculino/ Femenino). Digite Cero si no tiene.",IF(AX236&gt;C236,"  * La variable Trans (Masculino/Femenino) No puede ser mayor al Total Ambos Sexos.",""))</f>
        <v/>
      </c>
      <c r="BZ236"/>
      <c r="CA236"/>
      <c r="CB236" s="1792">
        <f t="shared" ref="CB236:CB278" si="178">IF(AND(E236&gt;0,AQ236=""),1,IF(AQ236&gt;E236,1,0))</f>
        <v>0</v>
      </c>
      <c r="CC236" s="1792">
        <f t="shared" ref="CC236:CC278" si="179">IF(AND(E236&gt;0,AR236=""),1,IF(AR236&gt;E236,1,0))</f>
        <v>0</v>
      </c>
      <c r="CD236" s="1792">
        <f t="shared" ref="CD236:CD278" si="180">IF(AND(D236&gt;0,OR(AS236="")),1,IF(AS236&gt;D236,1,0))</f>
        <v>0</v>
      </c>
      <c r="CE236" s="1792">
        <f t="shared" ref="CE236:CE278" si="181">IF(AND(E236&gt;0,OR(AT236="")),1,IF(AT236&gt;E236,1,0))</f>
        <v>0</v>
      </c>
      <c r="CF236" s="1792">
        <f t="shared" ref="CF236:CF278" si="182">IF(AND(C236&gt;0,AU236=""),1,IF(AU236&gt;C236,1,0))</f>
        <v>0</v>
      </c>
      <c r="CG236" s="1792">
        <f t="shared" ref="CG236:CG278" si="183">IF(AND(C236&gt;0,AV236=""),1,IF(AV236&gt;C236,1,0))</f>
        <v>0</v>
      </c>
      <c r="CH236" s="1792">
        <f t="shared" ref="CH236:CH278" si="184">IF(AND(C236&gt;0,AW236=""),1,IF(AW236&gt;C236,1,0))</f>
        <v>0</v>
      </c>
      <c r="CI236" s="1792">
        <f t="shared" ref="CI236:CI278" si="185">IF(AND(C236&gt;0,AX236=""),1,IF(AX236&gt;C236,1,0))</f>
        <v>0</v>
      </c>
    </row>
    <row r="237" spans="1:89" x14ac:dyDescent="0.25">
      <c r="A237" s="6932"/>
      <c r="B237" s="2" t="s">
        <v>1991</v>
      </c>
      <c r="C237" s="2377">
        <f>SUM(D237+E237)</f>
        <v>0</v>
      </c>
      <c r="D237" s="2378">
        <f t="shared" si="170"/>
        <v>0</v>
      </c>
      <c r="E237" s="2">
        <f t="shared" si="170"/>
        <v>0</v>
      </c>
      <c r="F237" s="3"/>
      <c r="G237" s="12"/>
      <c r="H237" s="3"/>
      <c r="I237" s="12"/>
      <c r="J237" s="3"/>
      <c r="K237" s="12"/>
      <c r="L237" s="3"/>
      <c r="M237" s="12"/>
      <c r="N237" s="3"/>
      <c r="O237" s="12"/>
      <c r="P237" s="3"/>
      <c r="Q237" s="12"/>
      <c r="R237" s="3"/>
      <c r="S237" s="12"/>
      <c r="T237" s="3"/>
      <c r="U237" s="12"/>
      <c r="V237" s="3"/>
      <c r="W237" s="12"/>
      <c r="X237" s="3"/>
      <c r="Y237" s="12"/>
      <c r="Z237" s="3"/>
      <c r="AA237" s="12"/>
      <c r="AB237" s="3"/>
      <c r="AC237" s="12"/>
      <c r="AD237" s="3"/>
      <c r="AE237" s="12"/>
      <c r="AF237" s="3"/>
      <c r="AG237" s="12"/>
      <c r="AH237" s="3"/>
      <c r="AI237" s="12"/>
      <c r="AJ237" s="9"/>
      <c r="AK237" s="11"/>
      <c r="AL237" s="2209"/>
      <c r="AM237" s="2319"/>
      <c r="AN237" s="5913"/>
      <c r="AO237" s="5914"/>
      <c r="AP237" s="5915"/>
      <c r="AQ237" s="5902"/>
      <c r="AR237" s="2353"/>
      <c r="AS237" s="2349"/>
      <c r="AT237" s="2350"/>
      <c r="AU237" s="2350"/>
      <c r="AV237" s="2350"/>
      <c r="AW237" s="2350"/>
      <c r="AX237" s="2350"/>
      <c r="AY237" s="17" t="str">
        <f t="shared" ref="AY237:AY278" si="186">BQ237&amp;BR237&amp;BS237&amp;BT237&amp;BU237&amp;BV237&amp;BW237&amp;BX237&amp;BY237</f>
        <v/>
      </c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Q237" s="170"/>
      <c r="BR237" s="2553" t="str">
        <f t="shared" ref="BR237:BR278" si="187">IF(AND(E237&gt;0,AQ237=""), "* No olvide digitar la variable Gestantes. Digite Cero si no tiene.",IF(AQ237&gt;E237,"  * La variable Gestantes No puede ser mayor al Total.",""))</f>
        <v/>
      </c>
      <c r="BS237" s="2553" t="str">
        <f t="shared" si="171"/>
        <v/>
      </c>
      <c r="BT237" s="2553" t="str">
        <f t="shared" si="172"/>
        <v/>
      </c>
      <c r="BU237" s="2553" t="str">
        <f t="shared" si="173"/>
        <v/>
      </c>
      <c r="BV237" s="2553" t="str">
        <f t="shared" si="174"/>
        <v/>
      </c>
      <c r="BW237" s="2553" t="str">
        <f t="shared" si="175"/>
        <v/>
      </c>
      <c r="BX237" s="2553" t="str">
        <f t="shared" si="176"/>
        <v/>
      </c>
      <c r="BY237" s="2553" t="str">
        <f t="shared" si="177"/>
        <v/>
      </c>
      <c r="BZ237"/>
      <c r="CA237"/>
      <c r="CB237" s="1792">
        <f t="shared" si="178"/>
        <v>0</v>
      </c>
      <c r="CC237" s="1792">
        <f t="shared" si="179"/>
        <v>0</v>
      </c>
      <c r="CD237" s="1792">
        <f t="shared" si="180"/>
        <v>0</v>
      </c>
      <c r="CE237" s="1792">
        <f t="shared" si="181"/>
        <v>0</v>
      </c>
      <c r="CF237" s="1792">
        <f t="shared" si="182"/>
        <v>0</v>
      </c>
      <c r="CG237" s="1792">
        <f t="shared" si="183"/>
        <v>0</v>
      </c>
      <c r="CH237" s="1792">
        <f t="shared" si="184"/>
        <v>0</v>
      </c>
      <c r="CI237" s="1792">
        <f t="shared" si="185"/>
        <v>0</v>
      </c>
    </row>
    <row r="238" spans="1:89" x14ac:dyDescent="0.25">
      <c r="A238" s="7030" t="s">
        <v>1992</v>
      </c>
      <c r="B238" s="7031"/>
      <c r="C238" s="2414">
        <f t="shared" ref="C238:C277" si="188">SUM(D238+E238)</f>
        <v>0</v>
      </c>
      <c r="D238" s="2348">
        <f t="shared" si="170"/>
        <v>0</v>
      </c>
      <c r="E238" s="2346">
        <f t="shared" si="170"/>
        <v>0</v>
      </c>
      <c r="F238" s="2349"/>
      <c r="G238" s="2350"/>
      <c r="H238" s="2349"/>
      <c r="I238" s="2350"/>
      <c r="J238" s="2349"/>
      <c r="K238" s="2350"/>
      <c r="L238" s="2349"/>
      <c r="M238" s="2350"/>
      <c r="N238" s="2349"/>
      <c r="O238" s="2350"/>
      <c r="P238" s="2349"/>
      <c r="Q238" s="2350"/>
      <c r="R238" s="2349"/>
      <c r="S238" s="2350"/>
      <c r="T238" s="2349"/>
      <c r="U238" s="2350"/>
      <c r="V238" s="2349"/>
      <c r="W238" s="2350"/>
      <c r="X238" s="2349"/>
      <c r="Y238" s="2350"/>
      <c r="Z238" s="2349"/>
      <c r="AA238" s="2350"/>
      <c r="AB238" s="2349"/>
      <c r="AC238" s="2350"/>
      <c r="AD238" s="2349"/>
      <c r="AE238" s="2350"/>
      <c r="AF238" s="2349"/>
      <c r="AG238" s="2350"/>
      <c r="AH238" s="2349"/>
      <c r="AI238" s="2350"/>
      <c r="AJ238" s="2349"/>
      <c r="AK238" s="2350"/>
      <c r="AL238" s="2209"/>
      <c r="AM238" s="2319"/>
      <c r="AN238" s="5913"/>
      <c r="AO238" s="5914"/>
      <c r="AP238" s="5915"/>
      <c r="AQ238" s="5902"/>
      <c r="AR238" s="2353"/>
      <c r="AS238" s="2349"/>
      <c r="AT238" s="2350"/>
      <c r="AU238" s="2350"/>
      <c r="AV238" s="2350"/>
      <c r="AW238" s="2350"/>
      <c r="AX238" s="2350"/>
      <c r="AY238" s="17" t="str">
        <f t="shared" si="186"/>
        <v/>
      </c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Q238" s="170"/>
      <c r="BR238" s="2553" t="str">
        <f t="shared" si="187"/>
        <v/>
      </c>
      <c r="BS238" s="2553" t="str">
        <f t="shared" si="171"/>
        <v/>
      </c>
      <c r="BT238" s="2553" t="str">
        <f t="shared" si="172"/>
        <v/>
      </c>
      <c r="BU238" s="2553" t="str">
        <f t="shared" si="173"/>
        <v/>
      </c>
      <c r="BV238" s="2553" t="str">
        <f t="shared" si="174"/>
        <v/>
      </c>
      <c r="BW238" s="2553" t="str">
        <f t="shared" si="175"/>
        <v/>
      </c>
      <c r="BX238" s="2553" t="str">
        <f t="shared" si="176"/>
        <v/>
      </c>
      <c r="BY238" s="2553" t="str">
        <f t="shared" si="177"/>
        <v/>
      </c>
      <c r="BZ238"/>
      <c r="CA238"/>
      <c r="CB238" s="1792">
        <f t="shared" si="178"/>
        <v>0</v>
      </c>
      <c r="CC238" s="1792">
        <f t="shared" si="179"/>
        <v>0</v>
      </c>
      <c r="CD238" s="1792">
        <f t="shared" si="180"/>
        <v>0</v>
      </c>
      <c r="CE238" s="1792">
        <f t="shared" si="181"/>
        <v>0</v>
      </c>
      <c r="CF238" s="1792">
        <f t="shared" si="182"/>
        <v>0</v>
      </c>
      <c r="CG238" s="1792">
        <f t="shared" si="183"/>
        <v>0</v>
      </c>
      <c r="CH238" s="1792">
        <f t="shared" si="184"/>
        <v>0</v>
      </c>
      <c r="CI238" s="1792">
        <f t="shared" si="185"/>
        <v>0</v>
      </c>
    </row>
    <row r="239" spans="1:89" x14ac:dyDescent="0.25">
      <c r="A239" s="6930" t="s">
        <v>1993</v>
      </c>
      <c r="B239" s="2338" t="s">
        <v>1994</v>
      </c>
      <c r="C239" s="2339">
        <f t="shared" si="188"/>
        <v>0</v>
      </c>
      <c r="D239" s="2340">
        <f>SUM(H239+J239+L239+N239+P239+R239+T239+V239+X239+Z239+AB239+AD239+AF239+AH239+AJ239+AL239)</f>
        <v>0</v>
      </c>
      <c r="E239" s="2338">
        <f>SUM(I239+K239+M239+O239+Q239+S239+U239+W239+Y239+AA239+AC239+AE239+AG239+AI239+AK239+AM239)</f>
        <v>0</v>
      </c>
      <c r="F239" s="2354"/>
      <c r="G239" s="2355"/>
      <c r="H239" s="2209"/>
      <c r="I239" s="2318"/>
      <c r="J239" s="2209"/>
      <c r="K239" s="2318"/>
      <c r="L239" s="2209"/>
      <c r="M239" s="2318"/>
      <c r="N239" s="2209"/>
      <c r="O239" s="2318"/>
      <c r="P239" s="2209"/>
      <c r="Q239" s="2318"/>
      <c r="R239" s="2209"/>
      <c r="S239" s="2318"/>
      <c r="T239" s="2209"/>
      <c r="U239" s="2318"/>
      <c r="V239" s="2209"/>
      <c r="W239" s="2318"/>
      <c r="X239" s="2209"/>
      <c r="Y239" s="2318"/>
      <c r="Z239" s="2209"/>
      <c r="AA239" s="2318"/>
      <c r="AB239" s="2209"/>
      <c r="AC239" s="2318"/>
      <c r="AD239" s="2209"/>
      <c r="AE239" s="2318"/>
      <c r="AF239" s="2209"/>
      <c r="AG239" s="2318"/>
      <c r="AH239" s="2209"/>
      <c r="AI239" s="2318"/>
      <c r="AJ239" s="2209"/>
      <c r="AK239" s="2318"/>
      <c r="AL239" s="2209"/>
      <c r="AM239" s="2319"/>
      <c r="AN239" s="5913"/>
      <c r="AO239" s="5914"/>
      <c r="AP239" s="5915"/>
      <c r="AQ239" s="5902"/>
      <c r="AR239" s="2353"/>
      <c r="AS239" s="2349"/>
      <c r="AT239" s="2350"/>
      <c r="AU239" s="2350"/>
      <c r="AV239" s="2350"/>
      <c r="AW239" s="2350"/>
      <c r="AX239" s="2350"/>
      <c r="AY239" s="17" t="str">
        <f t="shared" si="186"/>
        <v/>
      </c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Q239" s="170"/>
      <c r="BR239" s="2553" t="str">
        <f t="shared" si="187"/>
        <v/>
      </c>
      <c r="BS239" s="2553" t="str">
        <f t="shared" si="171"/>
        <v/>
      </c>
      <c r="BT239" s="2553" t="str">
        <f t="shared" si="172"/>
        <v/>
      </c>
      <c r="BU239" s="2553" t="str">
        <f t="shared" si="173"/>
        <v/>
      </c>
      <c r="BV239" s="2553" t="str">
        <f t="shared" si="174"/>
        <v/>
      </c>
      <c r="BW239" s="2553" t="str">
        <f t="shared" si="175"/>
        <v/>
      </c>
      <c r="BX239" s="2553" t="str">
        <f t="shared" si="176"/>
        <v/>
      </c>
      <c r="BY239" s="2553" t="str">
        <f t="shared" si="177"/>
        <v/>
      </c>
      <c r="BZ239"/>
      <c r="CA239"/>
      <c r="CB239" s="1792">
        <f t="shared" si="178"/>
        <v>0</v>
      </c>
      <c r="CC239" s="1792">
        <f t="shared" si="179"/>
        <v>0</v>
      </c>
      <c r="CD239" s="1792">
        <f t="shared" si="180"/>
        <v>0</v>
      </c>
      <c r="CE239" s="1792">
        <f t="shared" si="181"/>
        <v>0</v>
      </c>
      <c r="CF239" s="1792">
        <f t="shared" si="182"/>
        <v>0</v>
      </c>
      <c r="CG239" s="1792">
        <f t="shared" si="183"/>
        <v>0</v>
      </c>
      <c r="CH239" s="1792">
        <f t="shared" si="184"/>
        <v>0</v>
      </c>
      <c r="CI239" s="1792">
        <f t="shared" si="185"/>
        <v>0</v>
      </c>
    </row>
    <row r="240" spans="1:89" x14ac:dyDescent="0.25">
      <c r="A240" s="6932"/>
      <c r="B240" s="2" t="s">
        <v>1995</v>
      </c>
      <c r="C240" s="2356">
        <f t="shared" si="188"/>
        <v>0</v>
      </c>
      <c r="D240" s="2357">
        <f>SUM(H240+J240+L240+N240+P240+R240+T240+V240+X240+Z240+AB240+AD240+AF240+AH240+AJ240+AL240)</f>
        <v>0</v>
      </c>
      <c r="E240" s="2358">
        <f>SUM(I240+K240+M240+O240+Q240+S240+U240+W240+Y240+AA240+AC240+AE240+AG240+AI240+AK240+AM240)</f>
        <v>0</v>
      </c>
      <c r="F240" s="2359"/>
      <c r="G240" s="2360"/>
      <c r="H240" s="2361"/>
      <c r="I240" s="1305"/>
      <c r="J240" s="2361"/>
      <c r="K240" s="1305"/>
      <c r="L240" s="2361"/>
      <c r="M240" s="1305"/>
      <c r="N240" s="2361"/>
      <c r="O240" s="1305"/>
      <c r="P240" s="2361"/>
      <c r="Q240" s="1305"/>
      <c r="R240" s="2361"/>
      <c r="S240" s="1305"/>
      <c r="T240" s="2361"/>
      <c r="U240" s="1305"/>
      <c r="V240" s="2361"/>
      <c r="W240" s="1305"/>
      <c r="X240" s="2361"/>
      <c r="Y240" s="1305"/>
      <c r="Z240" s="2361"/>
      <c r="AA240" s="1305"/>
      <c r="AB240" s="2361"/>
      <c r="AC240" s="1305"/>
      <c r="AD240" s="2361"/>
      <c r="AE240" s="1305"/>
      <c r="AF240" s="2361"/>
      <c r="AG240" s="1305"/>
      <c r="AH240" s="2361"/>
      <c r="AI240" s="1305"/>
      <c r="AJ240" s="2241"/>
      <c r="AK240" s="2301"/>
      <c r="AL240" s="2209"/>
      <c r="AM240" s="2319"/>
      <c r="AN240" s="5913"/>
      <c r="AO240" s="5914"/>
      <c r="AP240" s="5915"/>
      <c r="AQ240" s="5902"/>
      <c r="AR240" s="2353"/>
      <c r="AS240" s="2349"/>
      <c r="AT240" s="2350"/>
      <c r="AU240" s="2350"/>
      <c r="AV240" s="2350"/>
      <c r="AW240" s="2350"/>
      <c r="AX240" s="2350"/>
      <c r="AY240" s="17" t="str">
        <f t="shared" si="186"/>
        <v/>
      </c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Q240" s="170"/>
      <c r="BR240" s="2553" t="str">
        <f t="shared" si="187"/>
        <v/>
      </c>
      <c r="BS240" s="2553" t="str">
        <f t="shared" si="171"/>
        <v/>
      </c>
      <c r="BT240" s="2553" t="str">
        <f t="shared" si="172"/>
        <v/>
      </c>
      <c r="BU240" s="2553" t="str">
        <f t="shared" si="173"/>
        <v/>
      </c>
      <c r="BV240" s="2553" t="str">
        <f t="shared" si="174"/>
        <v/>
      </c>
      <c r="BW240" s="2553" t="str">
        <f t="shared" si="175"/>
        <v/>
      </c>
      <c r="BX240" s="2553" t="str">
        <f t="shared" si="176"/>
        <v/>
      </c>
      <c r="BY240" s="2553" t="str">
        <f t="shared" si="177"/>
        <v/>
      </c>
      <c r="BZ240"/>
      <c r="CA240"/>
      <c r="CB240" s="1792">
        <f t="shared" si="178"/>
        <v>0</v>
      </c>
      <c r="CC240" s="1792">
        <f t="shared" si="179"/>
        <v>0</v>
      </c>
      <c r="CD240" s="1792">
        <f t="shared" si="180"/>
        <v>0</v>
      </c>
      <c r="CE240" s="1792">
        <f t="shared" si="181"/>
        <v>0</v>
      </c>
      <c r="CF240" s="1792">
        <f t="shared" si="182"/>
        <v>0</v>
      </c>
      <c r="CG240" s="1792">
        <f t="shared" si="183"/>
        <v>0</v>
      </c>
      <c r="CH240" s="1792">
        <f t="shared" si="184"/>
        <v>0</v>
      </c>
      <c r="CI240" s="1792">
        <f t="shared" si="185"/>
        <v>0</v>
      </c>
    </row>
    <row r="241" spans="1:87" s="17" customFormat="1" ht="18" customHeight="1" x14ac:dyDescent="0.25">
      <c r="A241" s="2362" t="s">
        <v>1996</v>
      </c>
      <c r="B241" s="2332"/>
      <c r="C241" s="2311">
        <f t="shared" si="188"/>
        <v>0</v>
      </c>
      <c r="D241" s="2312">
        <f t="shared" si="170"/>
        <v>0</v>
      </c>
      <c r="E241" s="2313">
        <f t="shared" si="170"/>
        <v>0</v>
      </c>
      <c r="F241" s="2333"/>
      <c r="G241" s="2334"/>
      <c r="H241" s="2333"/>
      <c r="I241" s="2334"/>
      <c r="J241" s="2333"/>
      <c r="K241" s="2334"/>
      <c r="L241" s="2333"/>
      <c r="M241" s="2334"/>
      <c r="N241" s="2333"/>
      <c r="O241" s="2334"/>
      <c r="P241" s="2333"/>
      <c r="Q241" s="2334"/>
      <c r="R241" s="2333"/>
      <c r="S241" s="2334"/>
      <c r="T241" s="2333"/>
      <c r="U241" s="2334"/>
      <c r="V241" s="2333"/>
      <c r="W241" s="2334"/>
      <c r="X241" s="2333"/>
      <c r="Y241" s="2334"/>
      <c r="Z241" s="2333"/>
      <c r="AA241" s="2334"/>
      <c r="AB241" s="2333"/>
      <c r="AC241" s="2334"/>
      <c r="AD241" s="2333"/>
      <c r="AE241" s="2334"/>
      <c r="AF241" s="2333"/>
      <c r="AG241" s="2334"/>
      <c r="AH241" s="2333"/>
      <c r="AI241" s="2334"/>
      <c r="AJ241" s="2333"/>
      <c r="AK241" s="2334"/>
      <c r="AL241" s="2209"/>
      <c r="AM241" s="2319"/>
      <c r="AN241" s="5913"/>
      <c r="AO241" s="5914"/>
      <c r="AP241" s="5915"/>
      <c r="AQ241" s="5902"/>
      <c r="AR241" s="2353"/>
      <c r="AS241" s="2349"/>
      <c r="AT241" s="2350"/>
      <c r="AU241" s="2350"/>
      <c r="AV241" s="2350"/>
      <c r="AW241" s="2350"/>
      <c r="AX241" s="2350"/>
      <c r="AY241" s="17" t="str">
        <f t="shared" si="186"/>
        <v/>
      </c>
      <c r="BQ241" s="170"/>
      <c r="BR241" s="2553" t="str">
        <f t="shared" si="187"/>
        <v/>
      </c>
      <c r="BS241" s="2553" t="str">
        <f t="shared" si="171"/>
        <v/>
      </c>
      <c r="BT241" s="2553" t="str">
        <f t="shared" si="172"/>
        <v/>
      </c>
      <c r="BU241" s="2553" t="str">
        <f t="shared" si="173"/>
        <v/>
      </c>
      <c r="BV241" s="2553" t="str">
        <f t="shared" si="174"/>
        <v/>
      </c>
      <c r="BW241" s="2553" t="str">
        <f t="shared" si="175"/>
        <v/>
      </c>
      <c r="BX241" s="2553" t="str">
        <f t="shared" si="176"/>
        <v/>
      </c>
      <c r="BY241" s="2553" t="str">
        <f t="shared" si="177"/>
        <v/>
      </c>
      <c r="CA241"/>
      <c r="CB241" s="1792">
        <f t="shared" si="178"/>
        <v>0</v>
      </c>
      <c r="CC241" s="1792">
        <f t="shared" si="179"/>
        <v>0</v>
      </c>
      <c r="CD241" s="1792">
        <f t="shared" si="180"/>
        <v>0</v>
      </c>
      <c r="CE241" s="1792">
        <f t="shared" si="181"/>
        <v>0</v>
      </c>
      <c r="CF241" s="1792">
        <f t="shared" si="182"/>
        <v>0</v>
      </c>
      <c r="CG241" s="1792">
        <f t="shared" si="183"/>
        <v>0</v>
      </c>
      <c r="CH241" s="1792">
        <f t="shared" si="184"/>
        <v>0</v>
      </c>
      <c r="CI241" s="1792">
        <f t="shared" si="185"/>
        <v>0</v>
      </c>
    </row>
    <row r="242" spans="1:87" ht="15" customHeight="1" x14ac:dyDescent="0.25">
      <c r="A242" s="6930" t="s">
        <v>1997</v>
      </c>
      <c r="B242" s="2363" t="s">
        <v>1998</v>
      </c>
      <c r="C242" s="2364">
        <f t="shared" si="188"/>
        <v>0</v>
      </c>
      <c r="D242" s="2365">
        <f t="shared" si="170"/>
        <v>0</v>
      </c>
      <c r="E242" s="2363">
        <f t="shared" si="170"/>
        <v>0</v>
      </c>
      <c r="F242" s="2201"/>
      <c r="G242" s="1107"/>
      <c r="H242" s="2201"/>
      <c r="I242" s="1107"/>
      <c r="J242" s="2201"/>
      <c r="K242" s="1107"/>
      <c r="L242" s="2201"/>
      <c r="M242" s="1107"/>
      <c r="N242" s="2201"/>
      <c r="O242" s="1107"/>
      <c r="P242" s="2201"/>
      <c r="Q242" s="1107"/>
      <c r="R242" s="2201"/>
      <c r="S242" s="1107"/>
      <c r="T242" s="2201"/>
      <c r="U242" s="1107"/>
      <c r="V242" s="2201"/>
      <c r="W242" s="1107"/>
      <c r="X242" s="2201"/>
      <c r="Y242" s="1107"/>
      <c r="Z242" s="2201"/>
      <c r="AA242" s="1107"/>
      <c r="AB242" s="2201"/>
      <c r="AC242" s="1107"/>
      <c r="AD242" s="2201"/>
      <c r="AE242" s="1107"/>
      <c r="AF242" s="2201"/>
      <c r="AG242" s="1107"/>
      <c r="AH242" s="2201"/>
      <c r="AI242" s="1107"/>
      <c r="AJ242" s="2201"/>
      <c r="AK242" s="1107"/>
      <c r="AL242" s="2209"/>
      <c r="AM242" s="2319"/>
      <c r="AN242" s="5913"/>
      <c r="AO242" s="5914"/>
      <c r="AP242" s="5915"/>
      <c r="AQ242" s="5902"/>
      <c r="AR242" s="2353"/>
      <c r="AS242" s="2349"/>
      <c r="AT242" s="2350"/>
      <c r="AU242" s="2350"/>
      <c r="AV242" s="2350"/>
      <c r="AW242" s="2350"/>
      <c r="AX242" s="2350"/>
      <c r="AY242" s="17" t="str">
        <f t="shared" si="186"/>
        <v/>
      </c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Q242" s="170"/>
      <c r="BR242" s="2553" t="str">
        <f t="shared" si="187"/>
        <v/>
      </c>
      <c r="BS242" s="2553" t="str">
        <f t="shared" si="171"/>
        <v/>
      </c>
      <c r="BT242" s="2553" t="str">
        <f t="shared" si="172"/>
        <v/>
      </c>
      <c r="BU242" s="2553" t="str">
        <f t="shared" si="173"/>
        <v/>
      </c>
      <c r="BV242" s="2553" t="str">
        <f t="shared" si="174"/>
        <v/>
      </c>
      <c r="BW242" s="2553" t="str">
        <f t="shared" si="175"/>
        <v/>
      </c>
      <c r="BX242" s="2553" t="str">
        <f t="shared" si="176"/>
        <v/>
      </c>
      <c r="BY242" s="2553" t="str">
        <f t="shared" si="177"/>
        <v/>
      </c>
      <c r="BZ242"/>
      <c r="CA242"/>
      <c r="CB242" s="1792">
        <f t="shared" si="178"/>
        <v>0</v>
      </c>
      <c r="CC242" s="1792">
        <f t="shared" si="179"/>
        <v>0</v>
      </c>
      <c r="CD242" s="1792">
        <f t="shared" si="180"/>
        <v>0</v>
      </c>
      <c r="CE242" s="1792">
        <f t="shared" si="181"/>
        <v>0</v>
      </c>
      <c r="CF242" s="1792">
        <f t="shared" si="182"/>
        <v>0</v>
      </c>
      <c r="CG242" s="1792">
        <f t="shared" si="183"/>
        <v>0</v>
      </c>
      <c r="CH242" s="1792">
        <f t="shared" si="184"/>
        <v>0</v>
      </c>
      <c r="CI242" s="1792">
        <f t="shared" si="185"/>
        <v>0</v>
      </c>
    </row>
    <row r="243" spans="1:87" x14ac:dyDescent="0.25">
      <c r="A243" s="6931"/>
      <c r="B243" s="1" t="s">
        <v>1999</v>
      </c>
      <c r="C243" s="2366">
        <f t="shared" si="188"/>
        <v>0</v>
      </c>
      <c r="D243" s="2367">
        <f t="shared" si="170"/>
        <v>0</v>
      </c>
      <c r="E243" s="1">
        <f t="shared" si="170"/>
        <v>0</v>
      </c>
      <c r="F243" s="1113"/>
      <c r="G243" s="8"/>
      <c r="H243" s="1113"/>
      <c r="I243" s="8"/>
      <c r="J243" s="1113"/>
      <c r="K243" s="8"/>
      <c r="L243" s="1113"/>
      <c r="M243" s="8"/>
      <c r="N243" s="1113"/>
      <c r="O243" s="8"/>
      <c r="P243" s="1113"/>
      <c r="Q243" s="8"/>
      <c r="R243" s="1113"/>
      <c r="S243" s="8"/>
      <c r="T243" s="1113"/>
      <c r="U243" s="8"/>
      <c r="V243" s="1113"/>
      <c r="W243" s="8"/>
      <c r="X243" s="1113"/>
      <c r="Y243" s="8"/>
      <c r="Z243" s="1113"/>
      <c r="AA243" s="8"/>
      <c r="AB243" s="1113"/>
      <c r="AC243" s="8"/>
      <c r="AD243" s="1113"/>
      <c r="AE243" s="8"/>
      <c r="AF243" s="1113"/>
      <c r="AG243" s="8"/>
      <c r="AH243" s="1113"/>
      <c r="AI243" s="8"/>
      <c r="AJ243" s="1113"/>
      <c r="AK243" s="8"/>
      <c r="AL243" s="2209"/>
      <c r="AM243" s="2319"/>
      <c r="AN243" s="5913"/>
      <c r="AO243" s="5914"/>
      <c r="AP243" s="5915"/>
      <c r="AQ243" s="5902"/>
      <c r="AR243" s="2353"/>
      <c r="AS243" s="2349"/>
      <c r="AT243" s="2350"/>
      <c r="AU243" s="2350"/>
      <c r="AV243" s="2350"/>
      <c r="AW243" s="2350"/>
      <c r="AX243" s="2350"/>
      <c r="AY243" s="17" t="str">
        <f t="shared" si="186"/>
        <v/>
      </c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Q243" s="170"/>
      <c r="BR243" s="2553" t="str">
        <f t="shared" si="187"/>
        <v/>
      </c>
      <c r="BS243" s="2553" t="str">
        <f t="shared" si="171"/>
        <v/>
      </c>
      <c r="BT243" s="2553" t="str">
        <f t="shared" si="172"/>
        <v/>
      </c>
      <c r="BU243" s="2553" t="str">
        <f t="shared" si="173"/>
        <v/>
      </c>
      <c r="BV243" s="2553" t="str">
        <f t="shared" si="174"/>
        <v/>
      </c>
      <c r="BW243" s="2553" t="str">
        <f t="shared" si="175"/>
        <v/>
      </c>
      <c r="BX243" s="2553" t="str">
        <f t="shared" si="176"/>
        <v/>
      </c>
      <c r="BY243" s="2553" t="str">
        <f t="shared" si="177"/>
        <v/>
      </c>
      <c r="BZ243"/>
      <c r="CA243"/>
      <c r="CB243" s="1792">
        <f t="shared" si="178"/>
        <v>0</v>
      </c>
      <c r="CC243" s="1792">
        <f t="shared" si="179"/>
        <v>0</v>
      </c>
      <c r="CD243" s="1792">
        <f t="shared" si="180"/>
        <v>0</v>
      </c>
      <c r="CE243" s="1792">
        <f t="shared" si="181"/>
        <v>0</v>
      </c>
      <c r="CF243" s="1792">
        <f t="shared" si="182"/>
        <v>0</v>
      </c>
      <c r="CG243" s="1792">
        <f t="shared" si="183"/>
        <v>0</v>
      </c>
      <c r="CH243" s="1792">
        <f t="shared" si="184"/>
        <v>0</v>
      </c>
      <c r="CI243" s="1792">
        <f t="shared" si="185"/>
        <v>0</v>
      </c>
    </row>
    <row r="244" spans="1:87" x14ac:dyDescent="0.25">
      <c r="A244" s="6931"/>
      <c r="B244" s="1" t="s">
        <v>2000</v>
      </c>
      <c r="C244" s="2366">
        <f t="shared" si="188"/>
        <v>0</v>
      </c>
      <c r="D244" s="2367">
        <f t="shared" si="170"/>
        <v>0</v>
      </c>
      <c r="E244" s="1">
        <f>SUM(G244+I244+K244+M244+O244+Q244+S244+U244+W244+Y244+AA244+AC244+AE244+AG244+AI244+AK244+AM244)</f>
        <v>0</v>
      </c>
      <c r="F244" s="1113"/>
      <c r="G244" s="8"/>
      <c r="H244" s="1113"/>
      <c r="I244" s="8"/>
      <c r="J244" s="1113"/>
      <c r="K244" s="8"/>
      <c r="L244" s="1113"/>
      <c r="M244" s="8"/>
      <c r="N244" s="1113"/>
      <c r="O244" s="8"/>
      <c r="P244" s="1113"/>
      <c r="Q244" s="8"/>
      <c r="R244" s="1113"/>
      <c r="S244" s="8"/>
      <c r="T244" s="1113"/>
      <c r="U244" s="8"/>
      <c r="V244" s="1113"/>
      <c r="W244" s="8"/>
      <c r="X244" s="1113"/>
      <c r="Y244" s="8"/>
      <c r="Z244" s="1113"/>
      <c r="AA244" s="8"/>
      <c r="AB244" s="1113"/>
      <c r="AC244" s="8"/>
      <c r="AD244" s="1113"/>
      <c r="AE244" s="8"/>
      <c r="AF244" s="1113"/>
      <c r="AG244" s="8"/>
      <c r="AH244" s="1113"/>
      <c r="AI244" s="8"/>
      <c r="AJ244" s="1113"/>
      <c r="AK244" s="8"/>
      <c r="AL244" s="2209"/>
      <c r="AM244" s="2319"/>
      <c r="AN244" s="5913"/>
      <c r="AO244" s="5914"/>
      <c r="AP244" s="5915"/>
      <c r="AQ244" s="5902"/>
      <c r="AR244" s="2353"/>
      <c r="AS244" s="2349"/>
      <c r="AT244" s="2350"/>
      <c r="AU244" s="2350"/>
      <c r="AV244" s="2350"/>
      <c r="AW244" s="2350"/>
      <c r="AX244" s="2350"/>
      <c r="AY244" s="17" t="str">
        <f t="shared" si="186"/>
        <v/>
      </c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Q244" s="170"/>
      <c r="BR244" s="2553" t="str">
        <f t="shared" si="187"/>
        <v/>
      </c>
      <c r="BS244" s="2553" t="str">
        <f t="shared" si="171"/>
        <v/>
      </c>
      <c r="BT244" s="2553" t="str">
        <f t="shared" si="172"/>
        <v/>
      </c>
      <c r="BU244" s="2553" t="str">
        <f t="shared" si="173"/>
        <v/>
      </c>
      <c r="BV244" s="2553" t="str">
        <f t="shared" si="174"/>
        <v/>
      </c>
      <c r="BW244" s="2553" t="str">
        <f t="shared" si="175"/>
        <v/>
      </c>
      <c r="BX244" s="2553" t="str">
        <f t="shared" si="176"/>
        <v/>
      </c>
      <c r="BY244" s="2553" t="str">
        <f>IF(AND(C244&gt;0,AX244=""), "* No olvide digitar la variable Trans (Masculino/ Femenino). Digite Cero si no tiene.",IF(AX244&gt;C244,"  * La variable Trans (Masculino/Femenino) No puede ser mayor al Total Ambos Sexos.",""))</f>
        <v/>
      </c>
      <c r="BZ244"/>
      <c r="CA244"/>
      <c r="CB244" s="1792">
        <f t="shared" si="178"/>
        <v>0</v>
      </c>
      <c r="CC244" s="1792">
        <f t="shared" si="179"/>
        <v>0</v>
      </c>
      <c r="CD244" s="1792">
        <f t="shared" si="180"/>
        <v>0</v>
      </c>
      <c r="CE244" s="1792">
        <f t="shared" si="181"/>
        <v>0</v>
      </c>
      <c r="CF244" s="1792">
        <f t="shared" si="182"/>
        <v>0</v>
      </c>
      <c r="CG244" s="1792">
        <f t="shared" si="183"/>
        <v>0</v>
      </c>
      <c r="CH244" s="1792">
        <f t="shared" si="184"/>
        <v>0</v>
      </c>
      <c r="CI244" s="1792">
        <f t="shared" si="185"/>
        <v>0</v>
      </c>
    </row>
    <row r="245" spans="1:87" x14ac:dyDescent="0.25">
      <c r="A245" s="6931"/>
      <c r="B245" s="2369" t="s">
        <v>2001</v>
      </c>
      <c r="C245" s="2366">
        <f t="shared" si="188"/>
        <v>0</v>
      </c>
      <c r="D245" s="1596"/>
      <c r="E245" s="1">
        <f>SUM(K245+M245+O245+Q245+S245+U245+W245+Y245+AA245+AC245+AE245+AG245+AI245+AK245+AM245)</f>
        <v>0</v>
      </c>
      <c r="F245" s="1598"/>
      <c r="G245" s="34"/>
      <c r="H245" s="1598"/>
      <c r="I245" s="34"/>
      <c r="J245" s="1598"/>
      <c r="K245" s="8"/>
      <c r="L245" s="1598"/>
      <c r="M245" s="8"/>
      <c r="N245" s="1598"/>
      <c r="O245" s="8"/>
      <c r="P245" s="1598"/>
      <c r="Q245" s="8"/>
      <c r="R245" s="1598"/>
      <c r="S245" s="8"/>
      <c r="T245" s="1598"/>
      <c r="U245" s="8"/>
      <c r="V245" s="1598"/>
      <c r="W245" s="8"/>
      <c r="X245" s="1598"/>
      <c r="Y245" s="8"/>
      <c r="Z245" s="1598"/>
      <c r="AA245" s="8"/>
      <c r="AB245" s="1598"/>
      <c r="AC245" s="8"/>
      <c r="AD245" s="1598"/>
      <c r="AE245" s="8"/>
      <c r="AF245" s="1598"/>
      <c r="AG245" s="8"/>
      <c r="AH245" s="1598"/>
      <c r="AI245" s="8"/>
      <c r="AJ245" s="1598"/>
      <c r="AK245" s="8"/>
      <c r="AL245" s="1598"/>
      <c r="AM245" s="1765"/>
      <c r="AN245" s="5919"/>
      <c r="AO245" s="1120"/>
      <c r="AP245" s="2202"/>
      <c r="AQ245" s="4055"/>
      <c r="AR245" s="1110"/>
      <c r="AS245" s="2418"/>
      <c r="AT245" s="8"/>
      <c r="AU245" s="8"/>
      <c r="AV245" s="8"/>
      <c r="AW245" s="8"/>
      <c r="AX245" s="8"/>
      <c r="AY245" s="17" t="str">
        <f t="shared" si="186"/>
        <v/>
      </c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Q245" s="170"/>
      <c r="BR245" s="2553" t="str">
        <f t="shared" si="187"/>
        <v/>
      </c>
      <c r="BS245" s="2553" t="str">
        <f t="shared" si="171"/>
        <v/>
      </c>
      <c r="BT245" s="2554"/>
      <c r="BU245" s="2553" t="str">
        <f t="shared" si="173"/>
        <v/>
      </c>
      <c r="BV245" s="2553" t="str">
        <f t="shared" si="174"/>
        <v/>
      </c>
      <c r="BW245" s="2553" t="str">
        <f t="shared" si="175"/>
        <v/>
      </c>
      <c r="BX245" s="2553" t="str">
        <f t="shared" si="176"/>
        <v/>
      </c>
      <c r="BY245" s="2553" t="str">
        <f t="shared" si="177"/>
        <v/>
      </c>
      <c r="BZ245"/>
      <c r="CA245"/>
      <c r="CB245" s="1792">
        <f t="shared" si="178"/>
        <v>0</v>
      </c>
      <c r="CC245" s="1792">
        <f t="shared" si="179"/>
        <v>0</v>
      </c>
      <c r="CD245" s="1792">
        <f t="shared" si="180"/>
        <v>0</v>
      </c>
      <c r="CE245" s="1792">
        <f t="shared" si="181"/>
        <v>0</v>
      </c>
      <c r="CF245" s="1792">
        <f t="shared" si="182"/>
        <v>0</v>
      </c>
      <c r="CG245" s="1792">
        <f t="shared" si="183"/>
        <v>0</v>
      </c>
      <c r="CH245" s="1792">
        <f t="shared" si="184"/>
        <v>0</v>
      </c>
      <c r="CI245" s="1792">
        <f t="shared" si="185"/>
        <v>0</v>
      </c>
    </row>
    <row r="246" spans="1:87" x14ac:dyDescent="0.25">
      <c r="A246" s="6931"/>
      <c r="B246" s="1" t="s">
        <v>2002</v>
      </c>
      <c r="C246" s="2366">
        <f t="shared" si="188"/>
        <v>0</v>
      </c>
      <c r="D246" s="2367">
        <f t="shared" ref="D246:E254" si="189">SUM(F246+H246+J246+L246+N246+P246+R246+T246+V246+X246+Z246+AB246+AD246+AF246+AH246+AJ246+AL246)</f>
        <v>0</v>
      </c>
      <c r="E246" s="1">
        <f t="shared" si="189"/>
        <v>0</v>
      </c>
      <c r="F246" s="1113"/>
      <c r="G246" s="8"/>
      <c r="H246" s="1113"/>
      <c r="I246" s="8"/>
      <c r="J246" s="1113"/>
      <c r="K246" s="8"/>
      <c r="L246" s="1113"/>
      <c r="M246" s="8"/>
      <c r="N246" s="1113"/>
      <c r="O246" s="8"/>
      <c r="P246" s="1113"/>
      <c r="Q246" s="8"/>
      <c r="R246" s="1113"/>
      <c r="S246" s="8"/>
      <c r="T246" s="1113"/>
      <c r="U246" s="8"/>
      <c r="V246" s="1113"/>
      <c r="W246" s="8"/>
      <c r="X246" s="1113"/>
      <c r="Y246" s="8"/>
      <c r="Z246" s="1113"/>
      <c r="AA246" s="8"/>
      <c r="AB246" s="1113"/>
      <c r="AC246" s="8"/>
      <c r="AD246" s="1113"/>
      <c r="AE246" s="8"/>
      <c r="AF246" s="1113"/>
      <c r="AG246" s="8"/>
      <c r="AH246" s="1113"/>
      <c r="AI246" s="8"/>
      <c r="AJ246" s="1113"/>
      <c r="AK246" s="8"/>
      <c r="AL246" s="1113"/>
      <c r="AM246" s="1765"/>
      <c r="AN246" s="5919"/>
      <c r="AO246" s="1120"/>
      <c r="AP246" s="2202"/>
      <c r="AQ246" s="4055"/>
      <c r="AR246" s="1110"/>
      <c r="AS246" s="1113"/>
      <c r="AT246" s="8"/>
      <c r="AU246" s="8"/>
      <c r="AV246" s="8"/>
      <c r="AW246" s="8"/>
      <c r="AX246" s="8"/>
      <c r="AY246" s="17" t="str">
        <f t="shared" si="186"/>
        <v/>
      </c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Q246" s="170"/>
      <c r="BR246" s="2553" t="str">
        <f t="shared" si="187"/>
        <v/>
      </c>
      <c r="BS246" s="2553" t="str">
        <f t="shared" si="171"/>
        <v/>
      </c>
      <c r="BT246" s="2553" t="str">
        <f t="shared" si="172"/>
        <v/>
      </c>
      <c r="BU246" s="2553" t="str">
        <f t="shared" si="173"/>
        <v/>
      </c>
      <c r="BV246" s="2553" t="str">
        <f t="shared" si="174"/>
        <v/>
      </c>
      <c r="BW246" s="2553" t="str">
        <f t="shared" si="175"/>
        <v/>
      </c>
      <c r="BX246" s="2553" t="str">
        <f t="shared" si="176"/>
        <v/>
      </c>
      <c r="BY246" s="2553" t="str">
        <f t="shared" si="177"/>
        <v/>
      </c>
      <c r="BZ246"/>
      <c r="CA246"/>
      <c r="CB246" s="1792">
        <f t="shared" si="178"/>
        <v>0</v>
      </c>
      <c r="CC246" s="1792">
        <f t="shared" si="179"/>
        <v>0</v>
      </c>
      <c r="CD246" s="1792">
        <f t="shared" si="180"/>
        <v>0</v>
      </c>
      <c r="CE246" s="1792">
        <f t="shared" si="181"/>
        <v>0</v>
      </c>
      <c r="CF246" s="1792">
        <f t="shared" si="182"/>
        <v>0</v>
      </c>
      <c r="CG246" s="1792">
        <f t="shared" si="183"/>
        <v>0</v>
      </c>
      <c r="CH246" s="1792">
        <f t="shared" si="184"/>
        <v>0</v>
      </c>
      <c r="CI246" s="1792">
        <f t="shared" si="185"/>
        <v>0</v>
      </c>
    </row>
    <row r="247" spans="1:87" x14ac:dyDescent="0.25">
      <c r="A247" s="6931"/>
      <c r="B247" s="2371" t="s">
        <v>2003</v>
      </c>
      <c r="C247" s="2366">
        <f t="shared" si="188"/>
        <v>0</v>
      </c>
      <c r="D247" s="2367">
        <f t="shared" si="189"/>
        <v>0</v>
      </c>
      <c r="E247" s="1">
        <f t="shared" si="189"/>
        <v>0</v>
      </c>
      <c r="F247" s="1113"/>
      <c r="G247" s="8"/>
      <c r="H247" s="1113"/>
      <c r="I247" s="8"/>
      <c r="J247" s="1113"/>
      <c r="K247" s="8"/>
      <c r="L247" s="1113"/>
      <c r="M247" s="8"/>
      <c r="N247" s="1113"/>
      <c r="O247" s="8"/>
      <c r="P247" s="1113"/>
      <c r="Q247" s="8"/>
      <c r="R247" s="1113"/>
      <c r="S247" s="8"/>
      <c r="T247" s="1113"/>
      <c r="U247" s="8"/>
      <c r="V247" s="1113"/>
      <c r="W247" s="8"/>
      <c r="X247" s="1113"/>
      <c r="Y247" s="8"/>
      <c r="Z247" s="1113"/>
      <c r="AA247" s="8"/>
      <c r="AB247" s="1113"/>
      <c r="AC247" s="8"/>
      <c r="AD247" s="1113"/>
      <c r="AE247" s="8"/>
      <c r="AF247" s="1113"/>
      <c r="AG247" s="8"/>
      <c r="AH247" s="1113"/>
      <c r="AI247" s="8"/>
      <c r="AJ247" s="1113"/>
      <c r="AK247" s="8"/>
      <c r="AL247" s="1113"/>
      <c r="AM247" s="1765"/>
      <c r="AN247" s="5919"/>
      <c r="AO247" s="1120"/>
      <c r="AP247" s="2202"/>
      <c r="AQ247" s="4055"/>
      <c r="AR247" s="1110"/>
      <c r="AS247" s="1113"/>
      <c r="AT247" s="8"/>
      <c r="AU247" s="8"/>
      <c r="AV247" s="8"/>
      <c r="AW247" s="8"/>
      <c r="AX247" s="8"/>
      <c r="AY247" s="17" t="str">
        <f t="shared" si="186"/>
        <v/>
      </c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Q247" s="170"/>
      <c r="BR247" s="2553" t="str">
        <f t="shared" si="187"/>
        <v/>
      </c>
      <c r="BS247" s="2553" t="str">
        <f t="shared" si="171"/>
        <v/>
      </c>
      <c r="BT247" s="2553" t="str">
        <f t="shared" si="172"/>
        <v/>
      </c>
      <c r="BU247" s="2553" t="str">
        <f t="shared" si="173"/>
        <v/>
      </c>
      <c r="BV247" s="2553" t="str">
        <f t="shared" si="174"/>
        <v/>
      </c>
      <c r="BW247" s="2553" t="str">
        <f t="shared" si="175"/>
        <v/>
      </c>
      <c r="BX247" s="2553" t="str">
        <f t="shared" si="176"/>
        <v/>
      </c>
      <c r="BY247" s="2553" t="str">
        <f t="shared" si="177"/>
        <v/>
      </c>
      <c r="BZ247"/>
      <c r="CA247"/>
      <c r="CB247" s="1792">
        <f t="shared" si="178"/>
        <v>0</v>
      </c>
      <c r="CC247" s="1792">
        <f t="shared" si="179"/>
        <v>0</v>
      </c>
      <c r="CD247" s="1792">
        <f t="shared" si="180"/>
        <v>0</v>
      </c>
      <c r="CE247" s="1792">
        <f t="shared" si="181"/>
        <v>0</v>
      </c>
      <c r="CF247" s="1792">
        <f t="shared" si="182"/>
        <v>0</v>
      </c>
      <c r="CG247" s="1792">
        <f t="shared" si="183"/>
        <v>0</v>
      </c>
      <c r="CH247" s="1792">
        <f t="shared" si="184"/>
        <v>0</v>
      </c>
      <c r="CI247" s="1792">
        <f t="shared" si="185"/>
        <v>0</v>
      </c>
    </row>
    <row r="248" spans="1:87" x14ac:dyDescent="0.25">
      <c r="A248" s="6931"/>
      <c r="B248" s="2372" t="s">
        <v>2041</v>
      </c>
      <c r="C248" s="2366">
        <f t="shared" si="188"/>
        <v>0</v>
      </c>
      <c r="D248" s="2367">
        <f t="shared" si="189"/>
        <v>0</v>
      </c>
      <c r="E248" s="1">
        <f t="shared" si="189"/>
        <v>0</v>
      </c>
      <c r="F248" s="1113"/>
      <c r="G248" s="8"/>
      <c r="H248" s="1113"/>
      <c r="I248" s="8"/>
      <c r="J248" s="1113"/>
      <c r="K248" s="8"/>
      <c r="L248" s="1113"/>
      <c r="M248" s="8"/>
      <c r="N248" s="1113"/>
      <c r="O248" s="8"/>
      <c r="P248" s="1113"/>
      <c r="Q248" s="8"/>
      <c r="R248" s="1113"/>
      <c r="S248" s="8"/>
      <c r="T248" s="1113"/>
      <c r="U248" s="8"/>
      <c r="V248" s="1113"/>
      <c r="W248" s="8"/>
      <c r="X248" s="1113"/>
      <c r="Y248" s="8"/>
      <c r="Z248" s="1113"/>
      <c r="AA248" s="8"/>
      <c r="AB248" s="1113"/>
      <c r="AC248" s="8"/>
      <c r="AD248" s="1113"/>
      <c r="AE248" s="8"/>
      <c r="AF248" s="1113"/>
      <c r="AG248" s="8"/>
      <c r="AH248" s="1113"/>
      <c r="AI248" s="8"/>
      <c r="AJ248" s="1113"/>
      <c r="AK248" s="8"/>
      <c r="AL248" s="1113"/>
      <c r="AM248" s="1765"/>
      <c r="AN248" s="5919"/>
      <c r="AO248" s="1120"/>
      <c r="AP248" s="2202"/>
      <c r="AQ248" s="4055"/>
      <c r="AR248" s="1110"/>
      <c r="AS248" s="1113"/>
      <c r="AT248" s="8"/>
      <c r="AU248" s="8"/>
      <c r="AV248" s="8"/>
      <c r="AW248" s="8"/>
      <c r="AX248" s="8"/>
      <c r="AY248" s="17" t="str">
        <f t="shared" si="186"/>
        <v/>
      </c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Q248" s="170"/>
      <c r="BR248" s="2553" t="str">
        <f t="shared" si="187"/>
        <v/>
      </c>
      <c r="BS248" s="2553" t="str">
        <f t="shared" si="171"/>
        <v/>
      </c>
      <c r="BT248" s="2553" t="str">
        <f t="shared" si="172"/>
        <v/>
      </c>
      <c r="BU248" s="2553" t="str">
        <f t="shared" si="173"/>
        <v/>
      </c>
      <c r="BV248" s="2553" t="str">
        <f t="shared" si="174"/>
        <v/>
      </c>
      <c r="BW248" s="2553" t="str">
        <f t="shared" si="175"/>
        <v/>
      </c>
      <c r="BX248" s="2553" t="str">
        <f t="shared" si="176"/>
        <v/>
      </c>
      <c r="BY248" s="2553" t="str">
        <f t="shared" si="177"/>
        <v/>
      </c>
      <c r="BZ248"/>
      <c r="CA248"/>
      <c r="CB248" s="1792">
        <f t="shared" si="178"/>
        <v>0</v>
      </c>
      <c r="CC248" s="1792">
        <f t="shared" si="179"/>
        <v>0</v>
      </c>
      <c r="CD248" s="1792">
        <f t="shared" si="180"/>
        <v>0</v>
      </c>
      <c r="CE248" s="1792">
        <f t="shared" si="181"/>
        <v>0</v>
      </c>
      <c r="CF248" s="1792">
        <f t="shared" si="182"/>
        <v>0</v>
      </c>
      <c r="CG248" s="1792">
        <f t="shared" si="183"/>
        <v>0</v>
      </c>
      <c r="CH248" s="1792">
        <f t="shared" si="184"/>
        <v>0</v>
      </c>
      <c r="CI248" s="1792">
        <f t="shared" si="185"/>
        <v>0</v>
      </c>
    </row>
    <row r="249" spans="1:87" x14ac:dyDescent="0.25">
      <c r="A249" s="6932"/>
      <c r="B249" s="2373" t="s">
        <v>2005</v>
      </c>
      <c r="C249" s="2374">
        <f t="shared" si="188"/>
        <v>0</v>
      </c>
      <c r="D249" s="2368">
        <f t="shared" si="189"/>
        <v>0</v>
      </c>
      <c r="E249" s="1763">
        <f t="shared" si="189"/>
        <v>0</v>
      </c>
      <c r="F249" s="9"/>
      <c r="G249" s="11"/>
      <c r="H249" s="9"/>
      <c r="I249" s="11"/>
      <c r="J249" s="9"/>
      <c r="K249" s="11"/>
      <c r="L249" s="9"/>
      <c r="M249" s="11"/>
      <c r="N249" s="9"/>
      <c r="O249" s="11"/>
      <c r="P249" s="9"/>
      <c r="Q249" s="11"/>
      <c r="R249" s="9"/>
      <c r="S249" s="11"/>
      <c r="T249" s="9"/>
      <c r="U249" s="11"/>
      <c r="V249" s="9"/>
      <c r="W249" s="11"/>
      <c r="X249" s="9"/>
      <c r="Y249" s="11"/>
      <c r="Z249" s="9"/>
      <c r="AA249" s="11"/>
      <c r="AB249" s="9"/>
      <c r="AC249" s="11"/>
      <c r="AD249" s="9"/>
      <c r="AE249" s="11"/>
      <c r="AF249" s="9"/>
      <c r="AG249" s="11"/>
      <c r="AH249" s="9"/>
      <c r="AI249" s="11"/>
      <c r="AJ249" s="9"/>
      <c r="AK249" s="11"/>
      <c r="AL249" s="9"/>
      <c r="AM249" s="2325"/>
      <c r="AN249" s="4509"/>
      <c r="AO249" s="21"/>
      <c r="AP249" s="1766"/>
      <c r="AQ249" s="11"/>
      <c r="AR249" s="27"/>
      <c r="AS249" s="9"/>
      <c r="AT249" s="11"/>
      <c r="AU249" s="11"/>
      <c r="AV249" s="11"/>
      <c r="AW249" s="11"/>
      <c r="AX249" s="11"/>
      <c r="AY249" s="17" t="str">
        <f t="shared" si="186"/>
        <v/>
      </c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Q249" s="170"/>
      <c r="BR249" s="2553" t="str">
        <f t="shared" si="187"/>
        <v/>
      </c>
      <c r="BS249" s="2553" t="str">
        <f t="shared" si="171"/>
        <v/>
      </c>
      <c r="BT249" s="2553" t="str">
        <f t="shared" si="172"/>
        <v/>
      </c>
      <c r="BU249" s="2553" t="str">
        <f t="shared" si="173"/>
        <v/>
      </c>
      <c r="BV249" s="2553" t="str">
        <f t="shared" si="174"/>
        <v/>
      </c>
      <c r="BW249" s="2553" t="str">
        <f t="shared" si="175"/>
        <v/>
      </c>
      <c r="BX249" s="2553" t="str">
        <f t="shared" si="176"/>
        <v/>
      </c>
      <c r="BY249" s="2553" t="str">
        <f t="shared" si="177"/>
        <v/>
      </c>
      <c r="BZ249"/>
      <c r="CA249"/>
      <c r="CB249" s="1792">
        <f t="shared" si="178"/>
        <v>0</v>
      </c>
      <c r="CC249" s="1792">
        <f t="shared" si="179"/>
        <v>0</v>
      </c>
      <c r="CD249" s="1792">
        <f t="shared" si="180"/>
        <v>0</v>
      </c>
      <c r="CE249" s="1792">
        <f t="shared" si="181"/>
        <v>0</v>
      </c>
      <c r="CF249" s="1792">
        <f t="shared" si="182"/>
        <v>0</v>
      </c>
      <c r="CG249" s="1792">
        <f t="shared" si="183"/>
        <v>0</v>
      </c>
      <c r="CH249" s="1792">
        <f t="shared" si="184"/>
        <v>0</v>
      </c>
      <c r="CI249" s="1792">
        <f t="shared" si="185"/>
        <v>0</v>
      </c>
    </row>
    <row r="250" spans="1:87" ht="15" customHeight="1" x14ac:dyDescent="0.25">
      <c r="A250" s="6930" t="s">
        <v>2006</v>
      </c>
      <c r="B250" s="2375" t="s">
        <v>2007</v>
      </c>
      <c r="C250" s="2339">
        <f t="shared" si="188"/>
        <v>0</v>
      </c>
      <c r="D250" s="2340">
        <f t="shared" si="189"/>
        <v>0</v>
      </c>
      <c r="E250" s="2338">
        <f t="shared" si="189"/>
        <v>0</v>
      </c>
      <c r="F250" s="2209"/>
      <c r="G250" s="2318"/>
      <c r="H250" s="2209"/>
      <c r="I250" s="2318"/>
      <c r="J250" s="2209"/>
      <c r="K250" s="2318"/>
      <c r="L250" s="2209"/>
      <c r="M250" s="2318"/>
      <c r="N250" s="2209"/>
      <c r="O250" s="2318"/>
      <c r="P250" s="2209"/>
      <c r="Q250" s="2318"/>
      <c r="R250" s="2209"/>
      <c r="S250" s="2318"/>
      <c r="T250" s="2209"/>
      <c r="U250" s="2318"/>
      <c r="V250" s="2209"/>
      <c r="W250" s="2318"/>
      <c r="X250" s="2209"/>
      <c r="Y250" s="2318"/>
      <c r="Z250" s="2209"/>
      <c r="AA250" s="2318"/>
      <c r="AB250" s="2209"/>
      <c r="AC250" s="2318"/>
      <c r="AD250" s="2209"/>
      <c r="AE250" s="2318"/>
      <c r="AF250" s="2209"/>
      <c r="AG250" s="2318"/>
      <c r="AH250" s="2209"/>
      <c r="AI250" s="2318"/>
      <c r="AJ250" s="2419"/>
      <c r="AK250" s="2376"/>
      <c r="AL250" s="2209"/>
      <c r="AM250" s="2319"/>
      <c r="AN250" s="5919"/>
      <c r="AO250" s="1120"/>
      <c r="AP250" s="2202"/>
      <c r="AQ250" s="5904"/>
      <c r="AR250" s="2255"/>
      <c r="AS250" s="2209"/>
      <c r="AT250" s="2318"/>
      <c r="AU250" s="2318"/>
      <c r="AV250" s="2318"/>
      <c r="AW250" s="2318"/>
      <c r="AX250" s="2318"/>
      <c r="AY250" s="17" t="str">
        <f>BQ250&amp;BR250&amp;BS250&amp;BT250&amp;BU250&amp;BV250&amp;BW250&amp;BX250&amp;BY250</f>
        <v/>
      </c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Q250" s="170"/>
      <c r="BR250" s="2553" t="str">
        <f t="shared" si="187"/>
        <v/>
      </c>
      <c r="BS250" s="2553" t="str">
        <f t="shared" si="171"/>
        <v/>
      </c>
      <c r="BT250" s="2553" t="str">
        <f t="shared" si="172"/>
        <v/>
      </c>
      <c r="BU250" s="2553" t="str">
        <f t="shared" si="173"/>
        <v/>
      </c>
      <c r="BV250" s="2553" t="str">
        <f t="shared" si="174"/>
        <v/>
      </c>
      <c r="BW250" s="2553" t="str">
        <f t="shared" si="175"/>
        <v/>
      </c>
      <c r="BX250" s="2553" t="str">
        <f t="shared" si="176"/>
        <v/>
      </c>
      <c r="BY250" s="2553" t="str">
        <f t="shared" si="177"/>
        <v/>
      </c>
      <c r="BZ250"/>
      <c r="CA250"/>
      <c r="CB250" s="1792">
        <f t="shared" si="178"/>
        <v>0</v>
      </c>
      <c r="CC250" s="1792">
        <f t="shared" si="179"/>
        <v>0</v>
      </c>
      <c r="CD250" s="1792">
        <f t="shared" si="180"/>
        <v>0</v>
      </c>
      <c r="CE250" s="1792">
        <f t="shared" si="181"/>
        <v>0</v>
      </c>
      <c r="CF250" s="1792">
        <f t="shared" si="182"/>
        <v>0</v>
      </c>
      <c r="CG250" s="1792">
        <f t="shared" si="183"/>
        <v>0</v>
      </c>
      <c r="CH250" s="1792">
        <f t="shared" si="184"/>
        <v>0</v>
      </c>
      <c r="CI250" s="1792">
        <f t="shared" si="185"/>
        <v>0</v>
      </c>
    </row>
    <row r="251" spans="1:87" x14ac:dyDescent="0.25">
      <c r="A251" s="6931"/>
      <c r="B251" s="1" t="s">
        <v>2008</v>
      </c>
      <c r="C251" s="2366">
        <f t="shared" si="188"/>
        <v>0</v>
      </c>
      <c r="D251" s="2367">
        <f t="shared" si="189"/>
        <v>0</v>
      </c>
      <c r="E251" s="1">
        <f>SUM(G251+I251+K251+M251+O251+Q251+S251+U251+W251+Y251+AA251+AC251+AE251+AG251+AI251+AK251+AM251)</f>
        <v>0</v>
      </c>
      <c r="F251" s="1113"/>
      <c r="G251" s="8"/>
      <c r="H251" s="1113"/>
      <c r="I251" s="8"/>
      <c r="J251" s="1113"/>
      <c r="K251" s="8"/>
      <c r="L251" s="1113"/>
      <c r="M251" s="8"/>
      <c r="N251" s="1113"/>
      <c r="O251" s="8"/>
      <c r="P251" s="1113"/>
      <c r="Q251" s="8"/>
      <c r="R251" s="1113"/>
      <c r="S251" s="8"/>
      <c r="T251" s="1113"/>
      <c r="U251" s="8"/>
      <c r="V251" s="1113"/>
      <c r="W251" s="8"/>
      <c r="X251" s="1113"/>
      <c r="Y251" s="8"/>
      <c r="Z251" s="1113"/>
      <c r="AA251" s="8"/>
      <c r="AB251" s="1113"/>
      <c r="AC251" s="8"/>
      <c r="AD251" s="1113"/>
      <c r="AE251" s="8"/>
      <c r="AF251" s="1113"/>
      <c r="AG251" s="8"/>
      <c r="AH251" s="1113"/>
      <c r="AI251" s="8"/>
      <c r="AJ251" s="9"/>
      <c r="AK251" s="11"/>
      <c r="AL251" s="1113"/>
      <c r="AM251" s="1765"/>
      <c r="AN251" s="5919"/>
      <c r="AO251" s="1120"/>
      <c r="AP251" s="2202"/>
      <c r="AQ251" s="4055"/>
      <c r="AR251" s="1110"/>
      <c r="AS251" s="1113"/>
      <c r="AT251" s="8"/>
      <c r="AU251" s="8"/>
      <c r="AV251" s="8"/>
      <c r="AW251" s="8"/>
      <c r="AX251" s="8"/>
      <c r="AY251" s="17" t="str">
        <f t="shared" si="186"/>
        <v/>
      </c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Q251" s="170"/>
      <c r="BR251" s="2553" t="str">
        <f t="shared" si="187"/>
        <v/>
      </c>
      <c r="BS251" s="2553" t="str">
        <f t="shared" si="171"/>
        <v/>
      </c>
      <c r="BT251" s="2553" t="str">
        <f t="shared" si="172"/>
        <v/>
      </c>
      <c r="BU251" s="2553" t="str">
        <f t="shared" si="173"/>
        <v/>
      </c>
      <c r="BV251" s="2553" t="str">
        <f t="shared" si="174"/>
        <v/>
      </c>
      <c r="BW251" s="2553" t="str">
        <f t="shared" si="175"/>
        <v/>
      </c>
      <c r="BX251" s="2553" t="str">
        <f t="shared" si="176"/>
        <v/>
      </c>
      <c r="BY251" s="2553" t="str">
        <f t="shared" si="177"/>
        <v/>
      </c>
      <c r="BZ251"/>
      <c r="CA251"/>
      <c r="CB251" s="1792">
        <f t="shared" si="178"/>
        <v>0</v>
      </c>
      <c r="CC251" s="1792">
        <f t="shared" si="179"/>
        <v>0</v>
      </c>
      <c r="CD251" s="1792">
        <f t="shared" si="180"/>
        <v>0</v>
      </c>
      <c r="CE251" s="1792">
        <f t="shared" si="181"/>
        <v>0</v>
      </c>
      <c r="CF251" s="1792">
        <f t="shared" si="182"/>
        <v>0</v>
      </c>
      <c r="CG251" s="1792">
        <f t="shared" si="183"/>
        <v>0</v>
      </c>
      <c r="CH251" s="1792">
        <f t="shared" si="184"/>
        <v>0</v>
      </c>
      <c r="CI251" s="1792">
        <f t="shared" si="185"/>
        <v>0</v>
      </c>
    </row>
    <row r="252" spans="1:87" x14ac:dyDescent="0.25">
      <c r="A252" s="6931"/>
      <c r="B252" s="1763" t="s">
        <v>2009</v>
      </c>
      <c r="C252" s="2374">
        <f>SUM(D252+E252)</f>
        <v>0</v>
      </c>
      <c r="D252" s="2368">
        <f>SUM(F252+H252+J252+L252+N252+P252+R252+T252+V252+X252+Z252+AB252+AD252+AF252+AH252+AJ252+AL252)</f>
        <v>0</v>
      </c>
      <c r="E252" s="1763">
        <f>SUM(G252+I252+K252+M252+O252+Q252+S252+U252+W252+Y252+AA252+AC252+AE252+AG252+AI252+AK252+AM252)</f>
        <v>0</v>
      </c>
      <c r="F252" s="9"/>
      <c r="G252" s="11"/>
      <c r="H252" s="9"/>
      <c r="I252" s="11"/>
      <c r="J252" s="9"/>
      <c r="K252" s="11"/>
      <c r="L252" s="9"/>
      <c r="M252" s="11"/>
      <c r="N252" s="9"/>
      <c r="O252" s="11"/>
      <c r="P252" s="9"/>
      <c r="Q252" s="11"/>
      <c r="R252" s="9"/>
      <c r="S252" s="11"/>
      <c r="T252" s="9"/>
      <c r="U252" s="11"/>
      <c r="V252" s="9"/>
      <c r="W252" s="11"/>
      <c r="X252" s="9"/>
      <c r="Y252" s="11"/>
      <c r="Z252" s="9"/>
      <c r="AA252" s="11"/>
      <c r="AB252" s="9"/>
      <c r="AC252" s="11"/>
      <c r="AD252" s="9"/>
      <c r="AE252" s="11"/>
      <c r="AF252" s="9"/>
      <c r="AG252" s="11"/>
      <c r="AH252" s="9"/>
      <c r="AI252" s="11"/>
      <c r="AJ252" s="9"/>
      <c r="AK252" s="11"/>
      <c r="AL252" s="9"/>
      <c r="AM252" s="2325"/>
      <c r="AN252" s="4508"/>
      <c r="AO252" s="4066"/>
      <c r="AP252" s="4056"/>
      <c r="AQ252" s="11"/>
      <c r="AR252" s="27"/>
      <c r="AS252" s="9"/>
      <c r="AT252" s="11"/>
      <c r="AU252" s="11"/>
      <c r="AV252" s="11"/>
      <c r="AW252" s="11"/>
      <c r="AX252" s="11"/>
      <c r="AY252" s="17" t="str">
        <f t="shared" si="186"/>
        <v/>
      </c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Q252" s="170"/>
      <c r="BR252" s="2553" t="str">
        <f t="shared" si="187"/>
        <v/>
      </c>
      <c r="BS252" s="2553" t="str">
        <f t="shared" si="171"/>
        <v/>
      </c>
      <c r="BT252" s="2553" t="str">
        <f t="shared" si="172"/>
        <v/>
      </c>
      <c r="BU252" s="2553" t="str">
        <f t="shared" si="173"/>
        <v/>
      </c>
      <c r="BV252" s="2553" t="str">
        <f t="shared" si="174"/>
        <v/>
      </c>
      <c r="BW252" s="2553" t="str">
        <f t="shared" si="175"/>
        <v/>
      </c>
      <c r="BX252" s="2553" t="str">
        <f t="shared" si="176"/>
        <v/>
      </c>
      <c r="BY252" s="2553" t="str">
        <f t="shared" si="177"/>
        <v/>
      </c>
      <c r="BZ252"/>
      <c r="CA252"/>
      <c r="CB252" s="1792">
        <f t="shared" si="178"/>
        <v>0</v>
      </c>
      <c r="CC252" s="1792">
        <f t="shared" si="179"/>
        <v>0</v>
      </c>
      <c r="CD252" s="1792">
        <f t="shared" si="180"/>
        <v>0</v>
      </c>
      <c r="CE252" s="1792">
        <f t="shared" si="181"/>
        <v>0</v>
      </c>
      <c r="CF252" s="1792">
        <f t="shared" si="182"/>
        <v>0</v>
      </c>
      <c r="CG252" s="1792">
        <f t="shared" si="183"/>
        <v>0</v>
      </c>
      <c r="CH252" s="1792">
        <f t="shared" si="184"/>
        <v>0</v>
      </c>
      <c r="CI252" s="1792">
        <f t="shared" si="185"/>
        <v>0</v>
      </c>
    </row>
    <row r="253" spans="1:87" x14ac:dyDescent="0.25">
      <c r="A253" s="6931"/>
      <c r="B253" s="1763" t="s">
        <v>2010</v>
      </c>
      <c r="C253" s="2374">
        <f>SUM(D253+E253)</f>
        <v>0</v>
      </c>
      <c r="D253" s="2368">
        <f>SUM(F253+H253+J253+L253+N253+P253+R253+T253+V253+X253+Z253+AB253+AD253+AF253+AH253+AJ253+AL253)</f>
        <v>0</v>
      </c>
      <c r="E253" s="1763">
        <f>SUM(G253+I253+K253+M253+O253+Q253+S253+U253+W253+Y253+AA253+AC253+AE253+AG253+AI253+AK253+AM253)</f>
        <v>0</v>
      </c>
      <c r="F253" s="9"/>
      <c r="G253" s="11"/>
      <c r="H253" s="9"/>
      <c r="I253" s="11"/>
      <c r="J253" s="9"/>
      <c r="K253" s="11"/>
      <c r="L253" s="9"/>
      <c r="M253" s="11"/>
      <c r="N253" s="9"/>
      <c r="O253" s="11"/>
      <c r="P253" s="9"/>
      <c r="Q253" s="11"/>
      <c r="R253" s="9"/>
      <c r="S253" s="11"/>
      <c r="T253" s="9"/>
      <c r="U253" s="11"/>
      <c r="V253" s="9"/>
      <c r="W253" s="11"/>
      <c r="X253" s="9"/>
      <c r="Y253" s="11"/>
      <c r="Z253" s="9"/>
      <c r="AA253" s="11"/>
      <c r="AB253" s="9"/>
      <c r="AC253" s="11"/>
      <c r="AD253" s="9"/>
      <c r="AE253" s="11"/>
      <c r="AF253" s="9"/>
      <c r="AG253" s="11"/>
      <c r="AH253" s="9"/>
      <c r="AI253" s="11"/>
      <c r="AJ253" s="9"/>
      <c r="AK253" s="11"/>
      <c r="AL253" s="9"/>
      <c r="AM253" s="2325"/>
      <c r="AN253" s="2416"/>
      <c r="AO253" s="5917"/>
      <c r="AP253" s="2445"/>
      <c r="AQ253" s="11"/>
      <c r="AR253" s="27"/>
      <c r="AS253" s="9"/>
      <c r="AT253" s="11"/>
      <c r="AU253" s="11"/>
      <c r="AV253" s="11"/>
      <c r="AW253" s="11"/>
      <c r="AX253" s="11"/>
      <c r="AY253" s="17" t="str">
        <f t="shared" si="186"/>
        <v/>
      </c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Q253" s="170"/>
      <c r="BR253" s="2553" t="str">
        <f t="shared" si="187"/>
        <v/>
      </c>
      <c r="BS253" s="2553" t="str">
        <f t="shared" si="171"/>
        <v/>
      </c>
      <c r="BT253" s="2553" t="str">
        <f t="shared" si="172"/>
        <v/>
      </c>
      <c r="BU253" s="2553" t="str">
        <f t="shared" si="173"/>
        <v/>
      </c>
      <c r="BV253" s="2553" t="str">
        <f t="shared" si="174"/>
        <v/>
      </c>
      <c r="BW253" s="2553" t="str">
        <f t="shared" si="175"/>
        <v/>
      </c>
      <c r="BX253" s="2553" t="str">
        <f t="shared" si="176"/>
        <v/>
      </c>
      <c r="BY253" s="2553" t="str">
        <f t="shared" si="177"/>
        <v/>
      </c>
      <c r="BZ253"/>
      <c r="CA253"/>
      <c r="CB253" s="1792">
        <f t="shared" si="178"/>
        <v>0</v>
      </c>
      <c r="CC253" s="1792">
        <f t="shared" si="179"/>
        <v>0</v>
      </c>
      <c r="CD253" s="1792">
        <f t="shared" si="180"/>
        <v>0</v>
      </c>
      <c r="CE253" s="1792">
        <f t="shared" si="181"/>
        <v>0</v>
      </c>
      <c r="CF253" s="1792">
        <f t="shared" si="182"/>
        <v>0</v>
      </c>
      <c r="CG253" s="1792">
        <f t="shared" si="183"/>
        <v>0</v>
      </c>
      <c r="CH253" s="1792">
        <f t="shared" si="184"/>
        <v>0</v>
      </c>
      <c r="CI253" s="1792">
        <f t="shared" si="185"/>
        <v>0</v>
      </c>
    </row>
    <row r="254" spans="1:87" x14ac:dyDescent="0.25">
      <c r="A254" s="6932"/>
      <c r="B254" s="2" t="s">
        <v>2011</v>
      </c>
      <c r="C254" s="2377">
        <f t="shared" si="188"/>
        <v>0</v>
      </c>
      <c r="D254" s="2378">
        <f t="shared" si="189"/>
        <v>0</v>
      </c>
      <c r="E254" s="2">
        <f t="shared" si="189"/>
        <v>0</v>
      </c>
      <c r="F254" s="3"/>
      <c r="G254" s="12"/>
      <c r="H254" s="3"/>
      <c r="I254" s="12"/>
      <c r="J254" s="3"/>
      <c r="K254" s="12"/>
      <c r="L254" s="3"/>
      <c r="M254" s="12"/>
      <c r="N254" s="3"/>
      <c r="O254" s="12"/>
      <c r="P254" s="3"/>
      <c r="Q254" s="12"/>
      <c r="R254" s="3"/>
      <c r="S254" s="12"/>
      <c r="T254" s="3"/>
      <c r="U254" s="12"/>
      <c r="V254" s="3"/>
      <c r="W254" s="12"/>
      <c r="X254" s="3"/>
      <c r="Y254" s="12"/>
      <c r="Z254" s="3"/>
      <c r="AA254" s="12"/>
      <c r="AB254" s="3"/>
      <c r="AC254" s="12"/>
      <c r="AD254" s="3"/>
      <c r="AE254" s="12"/>
      <c r="AF254" s="3"/>
      <c r="AG254" s="12"/>
      <c r="AH254" s="3"/>
      <c r="AI254" s="12"/>
      <c r="AJ254" s="3"/>
      <c r="AK254" s="12"/>
      <c r="AL254" s="3"/>
      <c r="AM254" s="2379"/>
      <c r="AN254" s="4509"/>
      <c r="AO254" s="21"/>
      <c r="AP254" s="1766"/>
      <c r="AQ254" s="2849"/>
      <c r="AR254" s="30"/>
      <c r="AS254" s="3"/>
      <c r="AT254" s="12"/>
      <c r="AU254" s="12"/>
      <c r="AV254" s="12"/>
      <c r="AW254" s="12"/>
      <c r="AX254" s="12"/>
      <c r="AY254" s="17" t="str">
        <f t="shared" si="186"/>
        <v/>
      </c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Q254" s="170"/>
      <c r="BR254" s="2553" t="str">
        <f t="shared" si="187"/>
        <v/>
      </c>
      <c r="BS254" s="2553" t="str">
        <f t="shared" si="171"/>
        <v/>
      </c>
      <c r="BT254" s="2553" t="str">
        <f t="shared" si="172"/>
        <v/>
      </c>
      <c r="BU254" s="2553" t="str">
        <f t="shared" si="173"/>
        <v/>
      </c>
      <c r="BV254" s="2553" t="str">
        <f t="shared" si="174"/>
        <v/>
      </c>
      <c r="BW254" s="2553" t="str">
        <f t="shared" si="175"/>
        <v/>
      </c>
      <c r="BX254" s="2553" t="str">
        <f t="shared" si="176"/>
        <v/>
      </c>
      <c r="BY254" s="2553" t="str">
        <f t="shared" si="177"/>
        <v/>
      </c>
      <c r="BZ254"/>
      <c r="CA254"/>
      <c r="CB254" s="1792">
        <f t="shared" si="178"/>
        <v>0</v>
      </c>
      <c r="CC254" s="1792">
        <f t="shared" si="179"/>
        <v>0</v>
      </c>
      <c r="CD254" s="1792">
        <f t="shared" si="180"/>
        <v>0</v>
      </c>
      <c r="CE254" s="1792">
        <f t="shared" si="181"/>
        <v>0</v>
      </c>
      <c r="CF254" s="1792">
        <f t="shared" si="182"/>
        <v>0</v>
      </c>
      <c r="CG254" s="1792">
        <f t="shared" si="183"/>
        <v>0</v>
      </c>
      <c r="CH254" s="1792">
        <f t="shared" si="184"/>
        <v>0</v>
      </c>
      <c r="CI254" s="1792">
        <f t="shared" si="185"/>
        <v>0</v>
      </c>
    </row>
    <row r="255" spans="1:87" ht="15" customHeight="1" x14ac:dyDescent="0.25">
      <c r="A255" s="6930" t="s">
        <v>2042</v>
      </c>
      <c r="B255" s="2338" t="s">
        <v>2013</v>
      </c>
      <c r="C255" s="2339">
        <f t="shared" si="188"/>
        <v>0</v>
      </c>
      <c r="D255" s="2340">
        <f>SUM(F255+H255+J255+L255+N255)</f>
        <v>0</v>
      </c>
      <c r="E255" s="2338">
        <f>SUM(G255+I255+K255+M255+O255)</f>
        <v>0</v>
      </c>
      <c r="F255" s="2209"/>
      <c r="G255" s="2318"/>
      <c r="H255" s="2209"/>
      <c r="I255" s="2318"/>
      <c r="J255" s="2209"/>
      <c r="K255" s="2318"/>
      <c r="L255" s="2209"/>
      <c r="M255" s="2318"/>
      <c r="N255" s="2209"/>
      <c r="O255" s="2318"/>
      <c r="P255" s="2380"/>
      <c r="Q255" s="2381"/>
      <c r="R255" s="2381"/>
      <c r="S255" s="2381"/>
      <c r="T255" s="2381"/>
      <c r="U255" s="2381"/>
      <c r="V255" s="2381"/>
      <c r="W255" s="2381"/>
      <c r="X255" s="2381"/>
      <c r="Y255" s="2381"/>
      <c r="Z255" s="2381"/>
      <c r="AA255" s="2381"/>
      <c r="AB255" s="2381"/>
      <c r="AC255" s="2381"/>
      <c r="AD255" s="2381"/>
      <c r="AE255" s="2381"/>
      <c r="AF255" s="2381"/>
      <c r="AG255" s="2381"/>
      <c r="AH255" s="2381"/>
      <c r="AI255" s="2381"/>
      <c r="AJ255" s="2381"/>
      <c r="AK255" s="2381"/>
      <c r="AL255" s="2381"/>
      <c r="AM255" s="2382"/>
      <c r="AN255" s="5913"/>
      <c r="AO255" s="5914"/>
      <c r="AP255" s="5915"/>
      <c r="AQ255" s="5904"/>
      <c r="AR255" s="2383"/>
      <c r="AS255" s="2209"/>
      <c r="AT255" s="2318"/>
      <c r="AU255" s="2318"/>
      <c r="AV255" s="2318"/>
      <c r="AW255" s="2318"/>
      <c r="AX255" s="2318"/>
      <c r="AY255" s="17" t="str">
        <f t="shared" si="186"/>
        <v/>
      </c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Q255" s="170"/>
      <c r="BR255" s="2553" t="str">
        <f>IF(AND(E255&gt;0,AQ255=""), "* No olvide digitar la variable Gestantes. Digite Cero si no tiene.",IF(AQ255&gt;E255,"  * La variable Gestantes No puede ser mayor al Total.",""))</f>
        <v/>
      </c>
      <c r="BS255" s="2554"/>
      <c r="BT255" s="2553" t="str">
        <f t="shared" si="172"/>
        <v/>
      </c>
      <c r="BU255" s="2553" t="str">
        <f t="shared" si="173"/>
        <v/>
      </c>
      <c r="BV255" s="2553" t="str">
        <f t="shared" si="174"/>
        <v/>
      </c>
      <c r="BW255" s="2553" t="str">
        <f t="shared" si="175"/>
        <v/>
      </c>
      <c r="BX255" s="2553" t="str">
        <f t="shared" si="176"/>
        <v/>
      </c>
      <c r="BY255" s="2553" t="str">
        <f t="shared" si="177"/>
        <v/>
      </c>
      <c r="BZ255"/>
      <c r="CA255"/>
      <c r="CB255" s="1792">
        <f t="shared" si="178"/>
        <v>0</v>
      </c>
      <c r="CC255" s="1790"/>
      <c r="CD255" s="1792">
        <f t="shared" si="180"/>
        <v>0</v>
      </c>
      <c r="CE255" s="1792">
        <f t="shared" si="181"/>
        <v>0</v>
      </c>
      <c r="CF255" s="1792">
        <f t="shared" si="182"/>
        <v>0</v>
      </c>
      <c r="CG255" s="1792">
        <f t="shared" si="183"/>
        <v>0</v>
      </c>
      <c r="CH255" s="1792">
        <f t="shared" si="184"/>
        <v>0</v>
      </c>
      <c r="CI255" s="1792">
        <f t="shared" si="185"/>
        <v>0</v>
      </c>
    </row>
    <row r="256" spans="1:87" ht="22.5" x14ac:dyDescent="0.25">
      <c r="A256" s="6931"/>
      <c r="B256" s="1" t="s">
        <v>2014</v>
      </c>
      <c r="C256" s="2366">
        <f t="shared" si="188"/>
        <v>0</v>
      </c>
      <c r="D256" s="2367">
        <f t="shared" ref="D256:E258" si="190">SUM(F256+H256+J256+L256+N256)</f>
        <v>0</v>
      </c>
      <c r="E256" s="1">
        <f t="shared" si="190"/>
        <v>0</v>
      </c>
      <c r="F256" s="1113"/>
      <c r="G256" s="8"/>
      <c r="H256" s="1113"/>
      <c r="I256" s="8"/>
      <c r="J256" s="1113"/>
      <c r="K256" s="8"/>
      <c r="L256" s="1113"/>
      <c r="M256" s="8"/>
      <c r="N256" s="1113"/>
      <c r="O256" s="8"/>
      <c r="P256" s="2384"/>
      <c r="Q256" s="2385"/>
      <c r="R256" s="2385"/>
      <c r="S256" s="2385"/>
      <c r="T256" s="2385"/>
      <c r="U256" s="2385"/>
      <c r="V256" s="2385"/>
      <c r="W256" s="2385"/>
      <c r="X256" s="2385"/>
      <c r="Y256" s="2385"/>
      <c r="Z256" s="2385"/>
      <c r="AA256" s="2385"/>
      <c r="AB256" s="2385"/>
      <c r="AC256" s="2385"/>
      <c r="AD256" s="2385"/>
      <c r="AE256" s="2385"/>
      <c r="AF256" s="2385"/>
      <c r="AG256" s="2385"/>
      <c r="AH256" s="2385"/>
      <c r="AI256" s="2385"/>
      <c r="AJ256" s="2385"/>
      <c r="AK256" s="2385"/>
      <c r="AL256" s="2385"/>
      <c r="AM256" s="2386"/>
      <c r="AN256" s="5919"/>
      <c r="AO256" s="1120"/>
      <c r="AP256" s="2202"/>
      <c r="AQ256" s="4055"/>
      <c r="AR256" s="2387"/>
      <c r="AS256" s="1113"/>
      <c r="AT256" s="8"/>
      <c r="AU256" s="8"/>
      <c r="AV256" s="8"/>
      <c r="AW256" s="8"/>
      <c r="AX256" s="8"/>
      <c r="AY256" s="17" t="str">
        <f t="shared" si="186"/>
        <v/>
      </c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Q256" s="170"/>
      <c r="BR256" s="2553" t="str">
        <f t="shared" si="187"/>
        <v/>
      </c>
      <c r="BS256" s="2554"/>
      <c r="BT256" s="2553" t="str">
        <f t="shared" si="172"/>
        <v/>
      </c>
      <c r="BU256" s="2553" t="str">
        <f t="shared" si="173"/>
        <v/>
      </c>
      <c r="BV256" s="2553" t="str">
        <f t="shared" si="174"/>
        <v/>
      </c>
      <c r="BW256" s="2553" t="str">
        <f t="shared" si="175"/>
        <v/>
      </c>
      <c r="BX256" s="2553" t="str">
        <f t="shared" si="176"/>
        <v/>
      </c>
      <c r="BY256" s="2553" t="str">
        <f t="shared" si="177"/>
        <v/>
      </c>
      <c r="BZ256"/>
      <c r="CA256"/>
      <c r="CB256" s="1792">
        <f t="shared" si="178"/>
        <v>0</v>
      </c>
      <c r="CC256" s="1790"/>
      <c r="CD256" s="1792">
        <f t="shared" si="180"/>
        <v>0</v>
      </c>
      <c r="CE256" s="1792">
        <f t="shared" si="181"/>
        <v>0</v>
      </c>
      <c r="CF256" s="1792">
        <f t="shared" si="182"/>
        <v>0</v>
      </c>
      <c r="CG256" s="1792">
        <f t="shared" si="183"/>
        <v>0</v>
      </c>
      <c r="CH256" s="1792">
        <f t="shared" si="184"/>
        <v>0</v>
      </c>
      <c r="CI256" s="1792">
        <f t="shared" si="185"/>
        <v>0</v>
      </c>
    </row>
    <row r="257" spans="1:87" ht="22.5" x14ac:dyDescent="0.25">
      <c r="A257" s="6931"/>
      <c r="B257" s="1" t="s">
        <v>2015</v>
      </c>
      <c r="C257" s="2366">
        <f t="shared" si="188"/>
        <v>0</v>
      </c>
      <c r="D257" s="2367">
        <f t="shared" si="190"/>
        <v>0</v>
      </c>
      <c r="E257" s="1">
        <f t="shared" si="190"/>
        <v>0</v>
      </c>
      <c r="F257" s="1113"/>
      <c r="G257" s="8"/>
      <c r="H257" s="1113"/>
      <c r="I257" s="8"/>
      <c r="J257" s="1113"/>
      <c r="K257" s="8"/>
      <c r="L257" s="1113"/>
      <c r="M257" s="8"/>
      <c r="N257" s="1113"/>
      <c r="O257" s="8"/>
      <c r="P257" s="2384"/>
      <c r="Q257" s="2385"/>
      <c r="R257" s="2385"/>
      <c r="S257" s="2385"/>
      <c r="T257" s="2385"/>
      <c r="U257" s="2385"/>
      <c r="V257" s="2385"/>
      <c r="W257" s="2385"/>
      <c r="X257" s="2385"/>
      <c r="Y257" s="2385"/>
      <c r="Z257" s="2385"/>
      <c r="AA257" s="2385"/>
      <c r="AB257" s="2385"/>
      <c r="AC257" s="2385"/>
      <c r="AD257" s="2385"/>
      <c r="AE257" s="2385"/>
      <c r="AF257" s="2385"/>
      <c r="AG257" s="2385"/>
      <c r="AH257" s="2385"/>
      <c r="AI257" s="2385"/>
      <c r="AJ257" s="2385"/>
      <c r="AK257" s="2385"/>
      <c r="AL257" s="2385"/>
      <c r="AM257" s="2386"/>
      <c r="AN257" s="5919"/>
      <c r="AO257" s="1120"/>
      <c r="AP257" s="2202"/>
      <c r="AQ257" s="4055"/>
      <c r="AR257" s="2387"/>
      <c r="AS257" s="1113"/>
      <c r="AT257" s="8"/>
      <c r="AU257" s="8"/>
      <c r="AV257" s="8"/>
      <c r="AW257" s="8"/>
      <c r="AX257" s="8"/>
      <c r="AY257" s="17" t="str">
        <f t="shared" si="186"/>
        <v/>
      </c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Q257" s="170"/>
      <c r="BR257" s="2553" t="str">
        <f t="shared" si="187"/>
        <v/>
      </c>
      <c r="BS257" s="2554"/>
      <c r="BT257" s="2553" t="str">
        <f t="shared" si="172"/>
        <v/>
      </c>
      <c r="BU257" s="2553" t="str">
        <f t="shared" si="173"/>
        <v/>
      </c>
      <c r="BV257" s="2553" t="str">
        <f t="shared" si="174"/>
        <v/>
      </c>
      <c r="BW257" s="2553" t="str">
        <f t="shared" si="175"/>
        <v/>
      </c>
      <c r="BX257" s="2553" t="str">
        <f t="shared" si="176"/>
        <v/>
      </c>
      <c r="BY257" s="2553" t="str">
        <f t="shared" si="177"/>
        <v/>
      </c>
      <c r="BZ257"/>
      <c r="CA257"/>
      <c r="CB257" s="1792">
        <f t="shared" si="178"/>
        <v>0</v>
      </c>
      <c r="CC257" s="1790"/>
      <c r="CD257" s="1792">
        <f t="shared" si="180"/>
        <v>0</v>
      </c>
      <c r="CE257" s="1792">
        <f t="shared" si="181"/>
        <v>0</v>
      </c>
      <c r="CF257" s="1792">
        <f t="shared" si="182"/>
        <v>0</v>
      </c>
      <c r="CG257" s="1792">
        <f t="shared" si="183"/>
        <v>0</v>
      </c>
      <c r="CH257" s="1792">
        <f t="shared" si="184"/>
        <v>0</v>
      </c>
      <c r="CI257" s="1792">
        <f t="shared" si="185"/>
        <v>0</v>
      </c>
    </row>
    <row r="258" spans="1:87" ht="33" x14ac:dyDescent="0.25">
      <c r="A258" s="6932"/>
      <c r="B258" s="2" t="s">
        <v>2016</v>
      </c>
      <c r="C258" s="2377">
        <f t="shared" si="188"/>
        <v>0</v>
      </c>
      <c r="D258" s="2378">
        <f t="shared" si="190"/>
        <v>0</v>
      </c>
      <c r="E258" s="2">
        <f t="shared" si="190"/>
        <v>0</v>
      </c>
      <c r="F258" s="3"/>
      <c r="G258" s="12"/>
      <c r="H258" s="3"/>
      <c r="I258" s="12"/>
      <c r="J258" s="3"/>
      <c r="K258" s="12"/>
      <c r="L258" s="3"/>
      <c r="M258" s="12"/>
      <c r="N258" s="3"/>
      <c r="O258" s="12"/>
      <c r="P258" s="2388"/>
      <c r="Q258" s="2389"/>
      <c r="R258" s="2389"/>
      <c r="S258" s="2389"/>
      <c r="T258" s="2389"/>
      <c r="U258" s="2389"/>
      <c r="V258" s="2389"/>
      <c r="W258" s="2389"/>
      <c r="X258" s="2389"/>
      <c r="Y258" s="2389"/>
      <c r="Z258" s="2389"/>
      <c r="AA258" s="2389"/>
      <c r="AB258" s="2389"/>
      <c r="AC258" s="2389"/>
      <c r="AD258" s="2389"/>
      <c r="AE258" s="2389"/>
      <c r="AF258" s="2389"/>
      <c r="AG258" s="2389"/>
      <c r="AH258" s="2389"/>
      <c r="AI258" s="2389"/>
      <c r="AJ258" s="2389"/>
      <c r="AK258" s="2389"/>
      <c r="AL258" s="2389"/>
      <c r="AM258" s="2390"/>
      <c r="AN258" s="5919"/>
      <c r="AO258" s="1120"/>
      <c r="AP258" s="4074"/>
      <c r="AQ258" s="21"/>
      <c r="AR258" s="2391"/>
      <c r="AS258" s="3"/>
      <c r="AT258" s="12"/>
      <c r="AU258" s="12"/>
      <c r="AV258" s="12"/>
      <c r="AW258" s="12"/>
      <c r="AX258" s="12"/>
      <c r="AY258" s="17" t="str">
        <f t="shared" si="186"/>
        <v/>
      </c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Q258" s="170"/>
      <c r="BR258" s="2553" t="str">
        <f t="shared" si="187"/>
        <v/>
      </c>
      <c r="BS258" s="2554"/>
      <c r="BT258" s="2553" t="str">
        <f t="shared" si="172"/>
        <v/>
      </c>
      <c r="BU258" s="2553" t="str">
        <f t="shared" si="173"/>
        <v/>
      </c>
      <c r="BV258" s="2553" t="str">
        <f t="shared" si="174"/>
        <v/>
      </c>
      <c r="BW258" s="2553" t="str">
        <f t="shared" si="175"/>
        <v/>
      </c>
      <c r="BX258" s="2553" t="str">
        <f t="shared" si="176"/>
        <v/>
      </c>
      <c r="BY258" s="2553" t="str">
        <f t="shared" si="177"/>
        <v/>
      </c>
      <c r="BZ258"/>
      <c r="CA258"/>
      <c r="CB258" s="1792">
        <f t="shared" si="178"/>
        <v>0</v>
      </c>
      <c r="CC258" s="1790"/>
      <c r="CD258" s="1792">
        <f t="shared" si="180"/>
        <v>0</v>
      </c>
      <c r="CE258" s="1792">
        <f t="shared" si="181"/>
        <v>0</v>
      </c>
      <c r="CF258" s="1792">
        <f t="shared" si="182"/>
        <v>0</v>
      </c>
      <c r="CG258" s="1792">
        <f t="shared" si="183"/>
        <v>0</v>
      </c>
      <c r="CH258" s="1792">
        <f t="shared" si="184"/>
        <v>0</v>
      </c>
      <c r="CI258" s="1792">
        <f t="shared" si="185"/>
        <v>0</v>
      </c>
    </row>
    <row r="259" spans="1:87" x14ac:dyDescent="0.25">
      <c r="A259" s="7022" t="s">
        <v>2017</v>
      </c>
      <c r="B259" s="2392" t="s">
        <v>2018</v>
      </c>
      <c r="C259" s="2364">
        <f t="shared" si="188"/>
        <v>0</v>
      </c>
      <c r="D259" s="2365">
        <f t="shared" ref="D259:E277" si="191">SUM(F259+H259+J259+L259+N259+P259+R259+T259+V259+X259+Z259+AB259+AD259+AF259+AH259+AJ259+AL259)</f>
        <v>0</v>
      </c>
      <c r="E259" s="2363">
        <f>SUM(G259+I259+K259+M259+O259+Q259+S259+U259+W259+Y259+AA259+AC259+AE259+AG259+AI259+AK259+AM259)</f>
        <v>0</v>
      </c>
      <c r="F259" s="2201"/>
      <c r="G259" s="1107"/>
      <c r="H259" s="2201"/>
      <c r="I259" s="1107"/>
      <c r="J259" s="2201"/>
      <c r="K259" s="1107"/>
      <c r="L259" s="2201"/>
      <c r="M259" s="1107"/>
      <c r="N259" s="2201"/>
      <c r="O259" s="1107"/>
      <c r="P259" s="2201"/>
      <c r="Q259" s="1107"/>
      <c r="R259" s="2201"/>
      <c r="S259" s="1107"/>
      <c r="T259" s="2201"/>
      <c r="U259" s="1107"/>
      <c r="V259" s="2201"/>
      <c r="W259" s="1107"/>
      <c r="X259" s="2201"/>
      <c r="Y259" s="1107"/>
      <c r="Z259" s="2201"/>
      <c r="AA259" s="1107"/>
      <c r="AB259" s="2201"/>
      <c r="AC259" s="1107"/>
      <c r="AD259" s="2201"/>
      <c r="AE259" s="1107"/>
      <c r="AF259" s="2201"/>
      <c r="AG259" s="1107"/>
      <c r="AH259" s="2201"/>
      <c r="AI259" s="1107"/>
      <c r="AJ259" s="2201"/>
      <c r="AK259" s="1107"/>
      <c r="AL259" s="2201"/>
      <c r="AM259" s="2329"/>
      <c r="AN259" s="5914"/>
      <c r="AO259" s="5920"/>
      <c r="AP259" s="5921"/>
      <c r="AQ259" s="4544"/>
      <c r="AR259" s="1107"/>
      <c r="AS259" s="2209"/>
      <c r="AT259" s="8"/>
      <c r="AU259" s="8"/>
      <c r="AV259" s="8"/>
      <c r="AW259" s="8"/>
      <c r="AX259" s="8"/>
      <c r="AY259" s="17" t="str">
        <f t="shared" si="186"/>
        <v/>
      </c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Q259" s="170"/>
      <c r="BR259" s="2553" t="str">
        <f t="shared" si="187"/>
        <v/>
      </c>
      <c r="BS259" s="2553" t="str">
        <f t="shared" si="171"/>
        <v/>
      </c>
      <c r="BT259" s="2553" t="str">
        <f t="shared" si="172"/>
        <v/>
      </c>
      <c r="BU259" s="2553" t="str">
        <f t="shared" si="173"/>
        <v/>
      </c>
      <c r="BV259" s="2553" t="str">
        <f t="shared" si="174"/>
        <v/>
      </c>
      <c r="BW259" s="2553" t="str">
        <f t="shared" si="175"/>
        <v/>
      </c>
      <c r="BX259" s="2553" t="str">
        <f t="shared" si="176"/>
        <v/>
      </c>
      <c r="BY259" s="2553" t="str">
        <f t="shared" si="177"/>
        <v/>
      </c>
      <c r="BZ259"/>
      <c r="CA259"/>
      <c r="CB259" s="1792">
        <f t="shared" si="178"/>
        <v>0</v>
      </c>
      <c r="CC259" s="1792">
        <f t="shared" si="179"/>
        <v>0</v>
      </c>
      <c r="CD259" s="1792">
        <f t="shared" si="180"/>
        <v>0</v>
      </c>
      <c r="CE259" s="1792">
        <f t="shared" si="181"/>
        <v>0</v>
      </c>
      <c r="CF259" s="1792">
        <f t="shared" si="182"/>
        <v>0</v>
      </c>
      <c r="CG259" s="1792">
        <f t="shared" si="183"/>
        <v>0</v>
      </c>
      <c r="CH259" s="1792">
        <f t="shared" si="184"/>
        <v>0</v>
      </c>
      <c r="CI259" s="1792">
        <f t="shared" si="185"/>
        <v>0</v>
      </c>
    </row>
    <row r="260" spans="1:87" x14ac:dyDescent="0.25">
      <c r="A260" s="7023"/>
      <c r="B260" s="2394" t="s">
        <v>2019</v>
      </c>
      <c r="C260" s="2366">
        <f t="shared" si="188"/>
        <v>0</v>
      </c>
      <c r="D260" s="2367">
        <f t="shared" si="191"/>
        <v>0</v>
      </c>
      <c r="E260" s="1">
        <f t="shared" si="191"/>
        <v>0</v>
      </c>
      <c r="F260" s="1113"/>
      <c r="G260" s="8"/>
      <c r="H260" s="1113"/>
      <c r="I260" s="8"/>
      <c r="J260" s="1113"/>
      <c r="K260" s="8"/>
      <c r="L260" s="1113"/>
      <c r="M260" s="8"/>
      <c r="N260" s="1113"/>
      <c r="O260" s="8"/>
      <c r="P260" s="1113"/>
      <c r="Q260" s="8"/>
      <c r="R260" s="1113"/>
      <c r="S260" s="8"/>
      <c r="T260" s="1113"/>
      <c r="U260" s="8"/>
      <c r="V260" s="1113"/>
      <c r="W260" s="8"/>
      <c r="X260" s="1113"/>
      <c r="Y260" s="8"/>
      <c r="Z260" s="1113"/>
      <c r="AA260" s="8"/>
      <c r="AB260" s="1113"/>
      <c r="AC260" s="8"/>
      <c r="AD260" s="1113"/>
      <c r="AE260" s="8"/>
      <c r="AF260" s="1113"/>
      <c r="AG260" s="8"/>
      <c r="AH260" s="1113"/>
      <c r="AI260" s="8"/>
      <c r="AJ260" s="1113"/>
      <c r="AK260" s="8"/>
      <c r="AL260" s="1113"/>
      <c r="AM260" s="1118"/>
      <c r="AN260" s="4066"/>
      <c r="AO260" s="5922"/>
      <c r="AP260" s="4070"/>
      <c r="AQ260" s="4055"/>
      <c r="AR260" s="8"/>
      <c r="AS260" s="1113"/>
      <c r="AT260" s="8"/>
      <c r="AU260" s="8"/>
      <c r="AV260" s="8"/>
      <c r="AW260" s="8"/>
      <c r="AX260" s="8"/>
      <c r="AY260" s="17" t="str">
        <f t="shared" si="186"/>
        <v/>
      </c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Q260" s="170"/>
      <c r="BR260" s="2553" t="str">
        <f t="shared" si="187"/>
        <v/>
      </c>
      <c r="BS260" s="2553" t="str">
        <f t="shared" si="171"/>
        <v/>
      </c>
      <c r="BT260" s="2553" t="str">
        <f t="shared" si="172"/>
        <v/>
      </c>
      <c r="BU260" s="2553" t="str">
        <f t="shared" si="173"/>
        <v/>
      </c>
      <c r="BV260" s="2553" t="str">
        <f t="shared" si="174"/>
        <v/>
      </c>
      <c r="BW260" s="2553" t="str">
        <f t="shared" si="175"/>
        <v/>
      </c>
      <c r="BX260" s="2553" t="str">
        <f t="shared" si="176"/>
        <v/>
      </c>
      <c r="BY260" s="2553" t="str">
        <f t="shared" si="177"/>
        <v/>
      </c>
      <c r="BZ260"/>
      <c r="CA260"/>
      <c r="CB260" s="1792">
        <f t="shared" si="178"/>
        <v>0</v>
      </c>
      <c r="CC260" s="1792">
        <f t="shared" si="179"/>
        <v>0</v>
      </c>
      <c r="CD260" s="1792">
        <f t="shared" si="180"/>
        <v>0</v>
      </c>
      <c r="CE260" s="1792">
        <f t="shared" si="181"/>
        <v>0</v>
      </c>
      <c r="CF260" s="1792">
        <f t="shared" si="182"/>
        <v>0</v>
      </c>
      <c r="CG260" s="1792">
        <f t="shared" si="183"/>
        <v>0</v>
      </c>
      <c r="CH260" s="1792">
        <f t="shared" si="184"/>
        <v>0</v>
      </c>
      <c r="CI260" s="1792">
        <f t="shared" si="185"/>
        <v>0</v>
      </c>
    </row>
    <row r="261" spans="1:87" x14ac:dyDescent="0.25">
      <c r="A261" s="7023"/>
      <c r="B261" s="2369" t="s">
        <v>2020</v>
      </c>
      <c r="C261" s="2366">
        <f t="shared" si="188"/>
        <v>0</v>
      </c>
      <c r="D261" s="2367">
        <f t="shared" si="191"/>
        <v>0</v>
      </c>
      <c r="E261" s="1">
        <f t="shared" si="191"/>
        <v>0</v>
      </c>
      <c r="F261" s="1113"/>
      <c r="G261" s="8"/>
      <c r="H261" s="1113"/>
      <c r="I261" s="8"/>
      <c r="J261" s="1113"/>
      <c r="K261" s="8"/>
      <c r="L261" s="1113"/>
      <c r="M261" s="8"/>
      <c r="N261" s="1113"/>
      <c r="O261" s="8"/>
      <c r="P261" s="1113"/>
      <c r="Q261" s="8"/>
      <c r="R261" s="1113"/>
      <c r="S261" s="8"/>
      <c r="T261" s="1113"/>
      <c r="U261" s="8"/>
      <c r="V261" s="1113"/>
      <c r="W261" s="8"/>
      <c r="X261" s="1113"/>
      <c r="Y261" s="8"/>
      <c r="Z261" s="1113"/>
      <c r="AA261" s="8"/>
      <c r="AB261" s="1113"/>
      <c r="AC261" s="8"/>
      <c r="AD261" s="1113"/>
      <c r="AE261" s="8"/>
      <c r="AF261" s="1113"/>
      <c r="AG261" s="8"/>
      <c r="AH261" s="1113"/>
      <c r="AI261" s="8"/>
      <c r="AJ261" s="1113"/>
      <c r="AK261" s="8"/>
      <c r="AL261" s="1113"/>
      <c r="AM261" s="1118"/>
      <c r="AN261" s="4066"/>
      <c r="AO261" s="5922"/>
      <c r="AP261" s="4070"/>
      <c r="AQ261" s="4055"/>
      <c r="AR261" s="8"/>
      <c r="AS261" s="1113"/>
      <c r="AT261" s="8"/>
      <c r="AU261" s="8"/>
      <c r="AV261" s="8"/>
      <c r="AW261" s="8"/>
      <c r="AX261" s="8"/>
      <c r="AY261" s="17" t="str">
        <f t="shared" si="186"/>
        <v/>
      </c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Q261" s="170"/>
      <c r="BR261" s="2553" t="str">
        <f t="shared" si="187"/>
        <v/>
      </c>
      <c r="BS261" s="2553" t="str">
        <f t="shared" si="171"/>
        <v/>
      </c>
      <c r="BT261" s="2553" t="str">
        <f t="shared" si="172"/>
        <v/>
      </c>
      <c r="BU261" s="2553" t="str">
        <f t="shared" si="173"/>
        <v/>
      </c>
      <c r="BV261" s="2553" t="str">
        <f t="shared" si="174"/>
        <v/>
      </c>
      <c r="BW261" s="2553" t="str">
        <f t="shared" si="175"/>
        <v/>
      </c>
      <c r="BX261" s="2553" t="str">
        <f t="shared" si="176"/>
        <v/>
      </c>
      <c r="BY261" s="2553" t="str">
        <f t="shared" si="177"/>
        <v/>
      </c>
      <c r="BZ261"/>
      <c r="CA261"/>
      <c r="CB261" s="1792">
        <f t="shared" si="178"/>
        <v>0</v>
      </c>
      <c r="CC261" s="1792">
        <f t="shared" si="179"/>
        <v>0</v>
      </c>
      <c r="CD261" s="1792">
        <f t="shared" si="180"/>
        <v>0</v>
      </c>
      <c r="CE261" s="1792">
        <f t="shared" si="181"/>
        <v>0</v>
      </c>
      <c r="CF261" s="1792">
        <f t="shared" si="182"/>
        <v>0</v>
      </c>
      <c r="CG261" s="1792">
        <f t="shared" si="183"/>
        <v>0</v>
      </c>
      <c r="CH261" s="1792">
        <f t="shared" si="184"/>
        <v>0</v>
      </c>
      <c r="CI261" s="1792">
        <f t="shared" si="185"/>
        <v>0</v>
      </c>
    </row>
    <row r="262" spans="1:87" x14ac:dyDescent="0.25">
      <c r="A262" s="7023"/>
      <c r="B262" s="2369" t="s">
        <v>2021</v>
      </c>
      <c r="C262" s="2364">
        <f t="shared" si="188"/>
        <v>0</v>
      </c>
      <c r="D262" s="2365">
        <f t="shared" si="191"/>
        <v>0</v>
      </c>
      <c r="E262" s="2363">
        <f t="shared" si="191"/>
        <v>0</v>
      </c>
      <c r="F262" s="1113"/>
      <c r="G262" s="8"/>
      <c r="H262" s="1113"/>
      <c r="I262" s="8"/>
      <c r="J262" s="1113"/>
      <c r="K262" s="8"/>
      <c r="L262" s="1113"/>
      <c r="M262" s="8"/>
      <c r="N262" s="1113"/>
      <c r="O262" s="8"/>
      <c r="P262" s="1113"/>
      <c r="Q262" s="8"/>
      <c r="R262" s="1113"/>
      <c r="S262" s="8"/>
      <c r="T262" s="1113"/>
      <c r="U262" s="8"/>
      <c r="V262" s="1113"/>
      <c r="W262" s="8"/>
      <c r="X262" s="1113"/>
      <c r="Y262" s="8"/>
      <c r="Z262" s="1113"/>
      <c r="AA262" s="8"/>
      <c r="AB262" s="1113"/>
      <c r="AC262" s="8"/>
      <c r="AD262" s="1113"/>
      <c r="AE262" s="8"/>
      <c r="AF262" s="1113"/>
      <c r="AG262" s="8"/>
      <c r="AH262" s="1113"/>
      <c r="AI262" s="8"/>
      <c r="AJ262" s="1113"/>
      <c r="AK262" s="8"/>
      <c r="AL262" s="1113"/>
      <c r="AM262" s="1118"/>
      <c r="AN262" s="4066"/>
      <c r="AO262" s="5922"/>
      <c r="AP262" s="4070"/>
      <c r="AQ262" s="4055"/>
      <c r="AR262" s="8"/>
      <c r="AS262" s="1113"/>
      <c r="AT262" s="8"/>
      <c r="AU262" s="8"/>
      <c r="AV262" s="8"/>
      <c r="AW262" s="8"/>
      <c r="AX262" s="8"/>
      <c r="AY262" s="17" t="str">
        <f t="shared" si="186"/>
        <v/>
      </c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Q262" s="170"/>
      <c r="BR262" s="2553" t="str">
        <f t="shared" si="187"/>
        <v/>
      </c>
      <c r="BS262" s="2553" t="str">
        <f t="shared" si="171"/>
        <v/>
      </c>
      <c r="BT262" s="2553" t="str">
        <f t="shared" si="172"/>
        <v/>
      </c>
      <c r="BU262" s="2553" t="str">
        <f t="shared" si="173"/>
        <v/>
      </c>
      <c r="BV262" s="2553" t="str">
        <f t="shared" si="174"/>
        <v/>
      </c>
      <c r="BW262" s="2553" t="str">
        <f t="shared" si="175"/>
        <v/>
      </c>
      <c r="BX262" s="2553" t="str">
        <f t="shared" si="176"/>
        <v/>
      </c>
      <c r="BY262" s="2553" t="str">
        <f t="shared" si="177"/>
        <v/>
      </c>
      <c r="BZ262"/>
      <c r="CA262"/>
      <c r="CB262" s="1792">
        <f t="shared" si="178"/>
        <v>0</v>
      </c>
      <c r="CC262" s="1792">
        <f t="shared" si="179"/>
        <v>0</v>
      </c>
      <c r="CD262" s="1792">
        <f t="shared" si="180"/>
        <v>0</v>
      </c>
      <c r="CE262" s="1792">
        <f t="shared" si="181"/>
        <v>0</v>
      </c>
      <c r="CF262" s="1792">
        <f t="shared" si="182"/>
        <v>0</v>
      </c>
      <c r="CG262" s="1792">
        <f t="shared" si="183"/>
        <v>0</v>
      </c>
      <c r="CH262" s="1792">
        <f t="shared" si="184"/>
        <v>0</v>
      </c>
      <c r="CI262" s="1792">
        <f t="shared" si="185"/>
        <v>0</v>
      </c>
    </row>
    <row r="263" spans="1:87" x14ac:dyDescent="0.25">
      <c r="A263" s="6457"/>
      <c r="B263" s="2395" t="s">
        <v>2022</v>
      </c>
      <c r="C263" s="2356">
        <f t="shared" si="188"/>
        <v>0</v>
      </c>
      <c r="D263" s="2357">
        <f t="shared" si="191"/>
        <v>0</v>
      </c>
      <c r="E263" s="2358">
        <f t="shared" si="191"/>
        <v>0</v>
      </c>
      <c r="F263" s="1113"/>
      <c r="G263" s="8"/>
      <c r="H263" s="1113"/>
      <c r="I263" s="8"/>
      <c r="J263" s="1113"/>
      <c r="K263" s="8"/>
      <c r="L263" s="1113"/>
      <c r="M263" s="8"/>
      <c r="N263" s="1113"/>
      <c r="O263" s="8"/>
      <c r="P263" s="1113"/>
      <c r="Q263" s="8"/>
      <c r="R263" s="1113"/>
      <c r="S263" s="8"/>
      <c r="T263" s="1113"/>
      <c r="U263" s="8"/>
      <c r="V263" s="1113"/>
      <c r="W263" s="8"/>
      <c r="X263" s="1113"/>
      <c r="Y263" s="8"/>
      <c r="Z263" s="1113"/>
      <c r="AA263" s="8"/>
      <c r="AB263" s="1113"/>
      <c r="AC263" s="8"/>
      <c r="AD263" s="1113"/>
      <c r="AE263" s="8"/>
      <c r="AF263" s="1113"/>
      <c r="AG263" s="8"/>
      <c r="AH263" s="1113"/>
      <c r="AI263" s="8"/>
      <c r="AJ263" s="1113"/>
      <c r="AK263" s="8"/>
      <c r="AL263" s="3"/>
      <c r="AM263" s="5"/>
      <c r="AN263" s="21"/>
      <c r="AO263" s="5198"/>
      <c r="AP263" s="4074"/>
      <c r="AQ263" s="2849"/>
      <c r="AR263" s="12"/>
      <c r="AS263" s="1113"/>
      <c r="AT263" s="8"/>
      <c r="AU263" s="8"/>
      <c r="AV263" s="8"/>
      <c r="AW263" s="8"/>
      <c r="AX263" s="8"/>
      <c r="AY263" s="17" t="str">
        <f t="shared" si="186"/>
        <v/>
      </c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Q263" s="170"/>
      <c r="BR263" s="2553" t="str">
        <f t="shared" si="187"/>
        <v/>
      </c>
      <c r="BS263" s="2553" t="str">
        <f t="shared" si="171"/>
        <v/>
      </c>
      <c r="BT263" s="2553" t="str">
        <f t="shared" si="172"/>
        <v/>
      </c>
      <c r="BU263" s="2553" t="str">
        <f t="shared" si="173"/>
        <v/>
      </c>
      <c r="BV263" s="2553" t="str">
        <f t="shared" si="174"/>
        <v/>
      </c>
      <c r="BW263" s="2553" t="str">
        <f t="shared" si="175"/>
        <v/>
      </c>
      <c r="BX263" s="2553" t="str">
        <f t="shared" si="176"/>
        <v/>
      </c>
      <c r="BY263" s="2553" t="str">
        <f t="shared" si="177"/>
        <v/>
      </c>
      <c r="BZ263"/>
      <c r="CA263"/>
      <c r="CB263" s="1792">
        <f t="shared" si="178"/>
        <v>0</v>
      </c>
      <c r="CC263" s="1792">
        <f t="shared" si="179"/>
        <v>0</v>
      </c>
      <c r="CD263" s="1792">
        <f t="shared" si="180"/>
        <v>0</v>
      </c>
      <c r="CE263" s="1792">
        <f t="shared" si="181"/>
        <v>0</v>
      </c>
      <c r="CF263" s="1792">
        <f t="shared" si="182"/>
        <v>0</v>
      </c>
      <c r="CG263" s="1792">
        <f t="shared" si="183"/>
        <v>0</v>
      </c>
      <c r="CH263" s="1792">
        <f t="shared" si="184"/>
        <v>0</v>
      </c>
      <c r="CI263" s="1792">
        <f t="shared" si="185"/>
        <v>0</v>
      </c>
    </row>
    <row r="264" spans="1:87" ht="15" customHeight="1" x14ac:dyDescent="0.25">
      <c r="A264" s="6930" t="s">
        <v>2023</v>
      </c>
      <c r="B264" s="2375" t="s">
        <v>1019</v>
      </c>
      <c r="C264" s="2339">
        <f t="shared" si="188"/>
        <v>0</v>
      </c>
      <c r="D264" s="2340">
        <f t="shared" si="191"/>
        <v>0</v>
      </c>
      <c r="E264" s="2338">
        <f t="shared" si="191"/>
        <v>0</v>
      </c>
      <c r="F264" s="2209"/>
      <c r="G264" s="2318"/>
      <c r="H264" s="2209"/>
      <c r="I264" s="2318"/>
      <c r="J264" s="2209"/>
      <c r="K264" s="2318"/>
      <c r="L264" s="2209"/>
      <c r="M264" s="2318"/>
      <c r="N264" s="2209"/>
      <c r="O264" s="2318"/>
      <c r="P264" s="2209"/>
      <c r="Q264" s="2318"/>
      <c r="R264" s="2209"/>
      <c r="S264" s="2318"/>
      <c r="T264" s="2209"/>
      <c r="U264" s="2318"/>
      <c r="V264" s="2209"/>
      <c r="W264" s="2318"/>
      <c r="X264" s="2209"/>
      <c r="Y264" s="2318"/>
      <c r="Z264" s="2209"/>
      <c r="AA264" s="2318"/>
      <c r="AB264" s="2209"/>
      <c r="AC264" s="2318"/>
      <c r="AD264" s="2209"/>
      <c r="AE264" s="2318"/>
      <c r="AF264" s="2209"/>
      <c r="AG264" s="2318"/>
      <c r="AH264" s="2209"/>
      <c r="AI264" s="2318"/>
      <c r="AJ264" s="2209"/>
      <c r="AK264" s="2318"/>
      <c r="AL264" s="2209"/>
      <c r="AM264" s="2319"/>
      <c r="AN264" s="5919"/>
      <c r="AO264" s="1120"/>
      <c r="AP264" s="2202"/>
      <c r="AQ264" s="5905"/>
      <c r="AR264" s="2397"/>
      <c r="AS264" s="2209"/>
      <c r="AT264" s="2318"/>
      <c r="AU264" s="2318"/>
      <c r="AV264" s="2318"/>
      <c r="AW264" s="2318"/>
      <c r="AX264" s="2318"/>
      <c r="AY264" s="17" t="str">
        <f t="shared" si="186"/>
        <v/>
      </c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Q264" s="170"/>
      <c r="BR264" s="2554"/>
      <c r="BS264" s="2554"/>
      <c r="BT264" s="2553" t="str">
        <f t="shared" si="172"/>
        <v/>
      </c>
      <c r="BU264" s="2553" t="str">
        <f t="shared" si="173"/>
        <v/>
      </c>
      <c r="BV264" s="2553" t="str">
        <f t="shared" si="174"/>
        <v/>
      </c>
      <c r="BW264" s="2553" t="str">
        <f t="shared" si="175"/>
        <v/>
      </c>
      <c r="BX264" s="2553" t="str">
        <f t="shared" si="176"/>
        <v/>
      </c>
      <c r="BY264" s="2553" t="str">
        <f t="shared" si="177"/>
        <v/>
      </c>
      <c r="BZ264"/>
      <c r="CA264"/>
      <c r="CB264" s="1790"/>
      <c r="CC264" s="1790"/>
      <c r="CD264" s="1792">
        <f t="shared" si="180"/>
        <v>0</v>
      </c>
      <c r="CE264" s="1792">
        <f t="shared" si="181"/>
        <v>0</v>
      </c>
      <c r="CF264" s="1792">
        <f t="shared" si="182"/>
        <v>0</v>
      </c>
      <c r="CG264" s="1792">
        <f t="shared" si="183"/>
        <v>0</v>
      </c>
      <c r="CH264" s="1792">
        <f t="shared" si="184"/>
        <v>0</v>
      </c>
      <c r="CI264" s="1792">
        <f t="shared" si="185"/>
        <v>0</v>
      </c>
    </row>
    <row r="265" spans="1:87" x14ac:dyDescent="0.25">
      <c r="A265" s="6931"/>
      <c r="B265" s="2369" t="s">
        <v>1020</v>
      </c>
      <c r="C265" s="2364">
        <f t="shared" si="188"/>
        <v>0</v>
      </c>
      <c r="D265" s="2365">
        <f t="shared" si="191"/>
        <v>0</v>
      </c>
      <c r="E265" s="2363">
        <f t="shared" si="191"/>
        <v>0</v>
      </c>
      <c r="F265" s="2201"/>
      <c r="G265" s="1107"/>
      <c r="H265" s="2201"/>
      <c r="I265" s="1107"/>
      <c r="J265" s="2201"/>
      <c r="K265" s="1107"/>
      <c r="L265" s="2201"/>
      <c r="M265" s="1107"/>
      <c r="N265" s="2201"/>
      <c r="O265" s="1107"/>
      <c r="P265" s="2201"/>
      <c r="Q265" s="1107"/>
      <c r="R265" s="2201"/>
      <c r="S265" s="1107"/>
      <c r="T265" s="2201"/>
      <c r="U265" s="1107"/>
      <c r="V265" s="2201"/>
      <c r="W265" s="1107"/>
      <c r="X265" s="2201"/>
      <c r="Y265" s="1107"/>
      <c r="Z265" s="2201"/>
      <c r="AA265" s="1107"/>
      <c r="AB265" s="2201"/>
      <c r="AC265" s="1107"/>
      <c r="AD265" s="2201"/>
      <c r="AE265" s="1107"/>
      <c r="AF265" s="2201"/>
      <c r="AG265" s="1107"/>
      <c r="AH265" s="2201"/>
      <c r="AI265" s="1107"/>
      <c r="AJ265" s="2201"/>
      <c r="AK265" s="1107"/>
      <c r="AL265" s="2201"/>
      <c r="AM265" s="2328"/>
      <c r="AN265" s="5919"/>
      <c r="AO265" s="1120"/>
      <c r="AP265" s="2202"/>
      <c r="AQ265" s="2385"/>
      <c r="AR265" s="2399"/>
      <c r="AS265" s="2201"/>
      <c r="AT265" s="1107"/>
      <c r="AU265" s="1107"/>
      <c r="AV265" s="1107"/>
      <c r="AW265" s="1107"/>
      <c r="AX265" s="1107"/>
      <c r="AY265" s="17" t="str">
        <f t="shared" si="186"/>
        <v/>
      </c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Q265" s="170"/>
      <c r="BR265" s="2554"/>
      <c r="BS265" s="2554"/>
      <c r="BT265" s="2553" t="str">
        <f t="shared" si="172"/>
        <v/>
      </c>
      <c r="BU265" s="2553" t="str">
        <f t="shared" si="173"/>
        <v/>
      </c>
      <c r="BV265" s="2553" t="str">
        <f t="shared" si="174"/>
        <v/>
      </c>
      <c r="BW265" s="2553" t="str">
        <f t="shared" si="175"/>
        <v/>
      </c>
      <c r="BX265" s="2553" t="str">
        <f t="shared" si="176"/>
        <v/>
      </c>
      <c r="BY265" s="2553" t="str">
        <f t="shared" si="177"/>
        <v/>
      </c>
      <c r="BZ265"/>
      <c r="CA265"/>
      <c r="CB265" s="1790"/>
      <c r="CC265" s="1790"/>
      <c r="CD265" s="1792">
        <f t="shared" si="180"/>
        <v>0</v>
      </c>
      <c r="CE265" s="1792">
        <f t="shared" si="181"/>
        <v>0</v>
      </c>
      <c r="CF265" s="1792">
        <f t="shared" si="182"/>
        <v>0</v>
      </c>
      <c r="CG265" s="1792">
        <f t="shared" si="183"/>
        <v>0</v>
      </c>
      <c r="CH265" s="1792">
        <f t="shared" si="184"/>
        <v>0</v>
      </c>
      <c r="CI265" s="1792">
        <f t="shared" si="185"/>
        <v>0</v>
      </c>
    </row>
    <row r="266" spans="1:87" x14ac:dyDescent="0.25">
      <c r="A266" s="6932"/>
      <c r="B266" s="2400" t="s">
        <v>43</v>
      </c>
      <c r="C266" s="2342">
        <f t="shared" si="188"/>
        <v>0</v>
      </c>
      <c r="D266" s="2343">
        <f t="shared" si="191"/>
        <v>0</v>
      </c>
      <c r="E266" s="2344">
        <f t="shared" si="191"/>
        <v>0</v>
      </c>
      <c r="F266" s="2241"/>
      <c r="G266" s="2301"/>
      <c r="H266" s="2241"/>
      <c r="I266" s="2301"/>
      <c r="J266" s="2241"/>
      <c r="K266" s="2301"/>
      <c r="L266" s="2241"/>
      <c r="M266" s="2301"/>
      <c r="N266" s="2241"/>
      <c r="O266" s="2301"/>
      <c r="P266" s="2241"/>
      <c r="Q266" s="2301"/>
      <c r="R266" s="2241"/>
      <c r="S266" s="2301"/>
      <c r="T266" s="2241"/>
      <c r="U266" s="2301"/>
      <c r="V266" s="2241"/>
      <c r="W266" s="2301"/>
      <c r="X266" s="2241"/>
      <c r="Y266" s="2301"/>
      <c r="Z266" s="2241"/>
      <c r="AA266" s="2301"/>
      <c r="AB266" s="2241"/>
      <c r="AC266" s="2301"/>
      <c r="AD266" s="2241"/>
      <c r="AE266" s="2301"/>
      <c r="AF266" s="2241"/>
      <c r="AG266" s="2301"/>
      <c r="AH266" s="2241"/>
      <c r="AI266" s="2301"/>
      <c r="AJ266" s="2241"/>
      <c r="AK266" s="2301"/>
      <c r="AL266" s="2241"/>
      <c r="AM266" s="2345"/>
      <c r="AN266" s="5910"/>
      <c r="AO266" s="5911"/>
      <c r="AP266" s="5918"/>
      <c r="AQ266" s="5906"/>
      <c r="AR266" s="2402"/>
      <c r="AS266" s="2241"/>
      <c r="AT266" s="2301"/>
      <c r="AU266" s="2301"/>
      <c r="AV266" s="2301"/>
      <c r="AW266" s="2301"/>
      <c r="AX266" s="2301"/>
      <c r="AY266" s="17" t="str">
        <f t="shared" si="186"/>
        <v/>
      </c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Q266" s="170"/>
      <c r="BR266" s="2554"/>
      <c r="BS266" s="2554"/>
      <c r="BT266" s="2553" t="str">
        <f t="shared" si="172"/>
        <v/>
      </c>
      <c r="BU266" s="2553" t="str">
        <f t="shared" si="173"/>
        <v/>
      </c>
      <c r="BV266" s="2553" t="str">
        <f t="shared" si="174"/>
        <v/>
      </c>
      <c r="BW266" s="2553" t="str">
        <f t="shared" si="175"/>
        <v/>
      </c>
      <c r="BX266" s="2553" t="str">
        <f t="shared" si="176"/>
        <v/>
      </c>
      <c r="BY266" s="2553" t="str">
        <f t="shared" si="177"/>
        <v/>
      </c>
      <c r="BZ266"/>
      <c r="CA266"/>
      <c r="CB266" s="1790"/>
      <c r="CC266" s="1790"/>
      <c r="CD266" s="1792">
        <f t="shared" si="180"/>
        <v>0</v>
      </c>
      <c r="CE266" s="1792">
        <f t="shared" si="181"/>
        <v>0</v>
      </c>
      <c r="CF266" s="1792">
        <f t="shared" si="182"/>
        <v>0</v>
      </c>
      <c r="CG266" s="1792">
        <f t="shared" si="183"/>
        <v>0</v>
      </c>
      <c r="CH266" s="1792">
        <f t="shared" si="184"/>
        <v>0</v>
      </c>
      <c r="CI266" s="1792">
        <f t="shared" si="185"/>
        <v>0</v>
      </c>
    </row>
    <row r="267" spans="1:87" x14ac:dyDescent="0.25">
      <c r="A267" s="7024" t="s">
        <v>2024</v>
      </c>
      <c r="B267" s="7025"/>
      <c r="C267" s="2339">
        <f>SUM(D267+E267)</f>
        <v>0</v>
      </c>
      <c r="D267" s="2340">
        <f>SUM(F267+H267+J267+L267+N267+P267+R267+T267+V267+X267+Z267+AB267+AD267+AF267+AH267+AJ267+AL267)</f>
        <v>0</v>
      </c>
      <c r="E267" s="2338">
        <f>SUM(G267+I267+K267+M267+O267+Q267+S267+U267+W267+Y267+AA267+AC267+AE267+AG267+AI267+AK267+AM267)</f>
        <v>0</v>
      </c>
      <c r="F267" s="2209"/>
      <c r="G267" s="2318"/>
      <c r="H267" s="2209"/>
      <c r="I267" s="2318"/>
      <c r="J267" s="2209"/>
      <c r="K267" s="2318"/>
      <c r="L267" s="2209"/>
      <c r="M267" s="2318"/>
      <c r="N267" s="2209"/>
      <c r="O267" s="2318"/>
      <c r="P267" s="2209"/>
      <c r="Q267" s="2318"/>
      <c r="R267" s="2209"/>
      <c r="S267" s="2318"/>
      <c r="T267" s="2209"/>
      <c r="U267" s="2318"/>
      <c r="V267" s="2209"/>
      <c r="W267" s="2318"/>
      <c r="X267" s="2209"/>
      <c r="Y267" s="2318"/>
      <c r="Z267" s="2209"/>
      <c r="AA267" s="2318"/>
      <c r="AB267" s="2209"/>
      <c r="AC267" s="2318"/>
      <c r="AD267" s="2209"/>
      <c r="AE267" s="2318"/>
      <c r="AF267" s="2209"/>
      <c r="AG267" s="2318"/>
      <c r="AH267" s="2209"/>
      <c r="AI267" s="2318"/>
      <c r="AJ267" s="2209"/>
      <c r="AK267" s="2318"/>
      <c r="AL267" s="2209"/>
      <c r="AM267" s="2319"/>
      <c r="AN267" s="5913"/>
      <c r="AO267" s="5914"/>
      <c r="AP267" s="5915"/>
      <c r="AQ267" s="5904"/>
      <c r="AR267" s="2318"/>
      <c r="AS267" s="2209"/>
      <c r="AT267" s="2318"/>
      <c r="AU267" s="2318"/>
      <c r="AV267" s="2318"/>
      <c r="AW267" s="2318"/>
      <c r="AX267" s="2318"/>
      <c r="AY267" s="17" t="str">
        <f t="shared" si="186"/>
        <v/>
      </c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Q267" s="170"/>
      <c r="BR267" s="2553" t="str">
        <f t="shared" si="187"/>
        <v/>
      </c>
      <c r="BS267" s="2553" t="str">
        <f t="shared" si="171"/>
        <v/>
      </c>
      <c r="BT267" s="2553" t="str">
        <f t="shared" si="172"/>
        <v/>
      </c>
      <c r="BU267" s="2553" t="str">
        <f t="shared" si="173"/>
        <v/>
      </c>
      <c r="BV267" s="2553" t="str">
        <f t="shared" si="174"/>
        <v/>
      </c>
      <c r="BW267" s="2553" t="str">
        <f t="shared" si="175"/>
        <v/>
      </c>
      <c r="BX267" s="2553" t="str">
        <f t="shared" si="176"/>
        <v/>
      </c>
      <c r="BY267" s="2553" t="str">
        <f t="shared" si="177"/>
        <v/>
      </c>
      <c r="BZ267"/>
      <c r="CA267"/>
      <c r="CB267" s="1792">
        <f t="shared" si="178"/>
        <v>0</v>
      </c>
      <c r="CC267" s="1792">
        <f t="shared" si="179"/>
        <v>0</v>
      </c>
      <c r="CD267" s="1792">
        <f t="shared" si="180"/>
        <v>0</v>
      </c>
      <c r="CE267" s="1792">
        <f t="shared" si="181"/>
        <v>0</v>
      </c>
      <c r="CF267" s="1792">
        <f t="shared" si="182"/>
        <v>0</v>
      </c>
      <c r="CG267" s="1792">
        <f t="shared" si="183"/>
        <v>0</v>
      </c>
      <c r="CH267" s="1792">
        <f t="shared" si="184"/>
        <v>0</v>
      </c>
      <c r="CI267" s="1792">
        <f t="shared" si="185"/>
        <v>0</v>
      </c>
    </row>
    <row r="268" spans="1:87" x14ac:dyDescent="0.25">
      <c r="A268" s="7026" t="s">
        <v>2025</v>
      </c>
      <c r="B268" s="7027"/>
      <c r="C268" s="2366">
        <f>SUM(D268+E268)</f>
        <v>0</v>
      </c>
      <c r="D268" s="2367">
        <f>SUM(F268+H268+J268+L268+N268+P268+R268+T268+V268+X268+Z268+AB268+AD268+AF268+AH268+AJ268+AL268)</f>
        <v>0</v>
      </c>
      <c r="E268" s="1">
        <f>SUM(G268+I268+K268+M268+O268+Q268+S268+U268+W268+Y268+AA268+AC268+AE268+AG268+AI268+AK268+AM268)</f>
        <v>0</v>
      </c>
      <c r="F268" s="2201"/>
      <c r="G268" s="1107"/>
      <c r="H268" s="2201"/>
      <c r="I268" s="1107"/>
      <c r="J268" s="2201"/>
      <c r="K268" s="1107"/>
      <c r="L268" s="2201"/>
      <c r="M268" s="1107"/>
      <c r="N268" s="2201"/>
      <c r="O268" s="1107"/>
      <c r="P268" s="2201"/>
      <c r="Q268" s="1107"/>
      <c r="R268" s="2201"/>
      <c r="S268" s="1107"/>
      <c r="T268" s="2201"/>
      <c r="U268" s="1107"/>
      <c r="V268" s="2201"/>
      <c r="W268" s="1107"/>
      <c r="X268" s="2201"/>
      <c r="Y268" s="1107"/>
      <c r="Z268" s="2201"/>
      <c r="AA268" s="1107"/>
      <c r="AB268" s="2201"/>
      <c r="AC268" s="1107"/>
      <c r="AD268" s="2201"/>
      <c r="AE268" s="1107"/>
      <c r="AF268" s="2201"/>
      <c r="AG268" s="1107"/>
      <c r="AH268" s="2201"/>
      <c r="AI268" s="1107"/>
      <c r="AJ268" s="2201"/>
      <c r="AK268" s="1107"/>
      <c r="AL268" s="2201"/>
      <c r="AM268" s="2328"/>
      <c r="AN268" s="5919"/>
      <c r="AO268" s="1120"/>
      <c r="AP268" s="2202"/>
      <c r="AQ268" s="4544"/>
      <c r="AR268" s="1107"/>
      <c r="AS268" s="2201"/>
      <c r="AT268" s="1107"/>
      <c r="AU268" s="1107"/>
      <c r="AV268" s="1107"/>
      <c r="AW268" s="1107"/>
      <c r="AX268" s="1107"/>
      <c r="AY268" s="17" t="str">
        <f t="shared" si="186"/>
        <v/>
      </c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Q268" s="170"/>
      <c r="BR268" s="2553" t="str">
        <f t="shared" si="187"/>
        <v/>
      </c>
      <c r="BS268" s="2553" t="str">
        <f t="shared" si="171"/>
        <v/>
      </c>
      <c r="BT268" s="2553" t="str">
        <f t="shared" si="172"/>
        <v/>
      </c>
      <c r="BU268" s="2553" t="str">
        <f t="shared" si="173"/>
        <v/>
      </c>
      <c r="BV268" s="2553" t="str">
        <f t="shared" si="174"/>
        <v/>
      </c>
      <c r="BW268" s="2553" t="str">
        <f t="shared" si="175"/>
        <v/>
      </c>
      <c r="BX268" s="2553" t="str">
        <f t="shared" si="176"/>
        <v/>
      </c>
      <c r="BY268" s="2553" t="str">
        <f t="shared" si="177"/>
        <v/>
      </c>
      <c r="BZ268"/>
      <c r="CA268"/>
      <c r="CB268" s="1792">
        <f t="shared" si="178"/>
        <v>0</v>
      </c>
      <c r="CC268" s="1792">
        <f t="shared" si="179"/>
        <v>0</v>
      </c>
      <c r="CD268" s="1792">
        <f t="shared" si="180"/>
        <v>0</v>
      </c>
      <c r="CE268" s="1792">
        <f t="shared" si="181"/>
        <v>0</v>
      </c>
      <c r="CF268" s="1792">
        <f t="shared" si="182"/>
        <v>0</v>
      </c>
      <c r="CG268" s="1792">
        <f t="shared" si="183"/>
        <v>0</v>
      </c>
      <c r="CH268" s="1792">
        <f t="shared" si="184"/>
        <v>0</v>
      </c>
      <c r="CI268" s="1792">
        <f t="shared" si="185"/>
        <v>0</v>
      </c>
    </row>
    <row r="269" spans="1:87" ht="15" customHeight="1" x14ac:dyDescent="0.25">
      <c r="A269" s="7010" t="s">
        <v>2026</v>
      </c>
      <c r="B269" s="7011"/>
      <c r="C269" s="2366">
        <f t="shared" si="188"/>
        <v>0</v>
      </c>
      <c r="D269" s="2367">
        <f t="shared" si="191"/>
        <v>0</v>
      </c>
      <c r="E269" s="1">
        <f t="shared" si="191"/>
        <v>0</v>
      </c>
      <c r="F269" s="1113"/>
      <c r="G269" s="8"/>
      <c r="H269" s="1113"/>
      <c r="I269" s="8"/>
      <c r="J269" s="1113"/>
      <c r="K269" s="8"/>
      <c r="L269" s="1113"/>
      <c r="M269" s="8"/>
      <c r="N269" s="1113"/>
      <c r="O269" s="8"/>
      <c r="P269" s="1113"/>
      <c r="Q269" s="8"/>
      <c r="R269" s="1113"/>
      <c r="S269" s="8"/>
      <c r="T269" s="1113"/>
      <c r="U269" s="8"/>
      <c r="V269" s="1113"/>
      <c r="W269" s="8"/>
      <c r="X269" s="1113"/>
      <c r="Y269" s="8"/>
      <c r="Z269" s="1113"/>
      <c r="AA269" s="8"/>
      <c r="AB269" s="1113"/>
      <c r="AC269" s="8"/>
      <c r="AD269" s="1113"/>
      <c r="AE269" s="8"/>
      <c r="AF269" s="1113"/>
      <c r="AG269" s="8"/>
      <c r="AH269" s="1113"/>
      <c r="AI269" s="8"/>
      <c r="AJ269" s="1113"/>
      <c r="AK269" s="8"/>
      <c r="AL269" s="1113"/>
      <c r="AM269" s="1765"/>
      <c r="AN269" s="5919"/>
      <c r="AO269" s="1120"/>
      <c r="AP269" s="2202"/>
      <c r="AQ269" s="4055"/>
      <c r="AR269" s="1110"/>
      <c r="AS269" s="1113"/>
      <c r="AT269" s="8"/>
      <c r="AU269" s="8"/>
      <c r="AV269" s="8"/>
      <c r="AW269" s="8"/>
      <c r="AX269" s="8"/>
      <c r="AY269" s="17" t="str">
        <f t="shared" si="186"/>
        <v/>
      </c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Q269" s="170"/>
      <c r="BR269" s="2553" t="str">
        <f t="shared" si="187"/>
        <v/>
      </c>
      <c r="BS269" s="2553" t="str">
        <f t="shared" si="171"/>
        <v/>
      </c>
      <c r="BT269" s="2553" t="str">
        <f t="shared" si="172"/>
        <v/>
      </c>
      <c r="BU269" s="2553" t="str">
        <f t="shared" si="173"/>
        <v/>
      </c>
      <c r="BV269" s="2553" t="str">
        <f t="shared" si="174"/>
        <v/>
      </c>
      <c r="BW269" s="2553" t="str">
        <f t="shared" si="175"/>
        <v/>
      </c>
      <c r="BX269" s="2553" t="str">
        <f t="shared" si="176"/>
        <v/>
      </c>
      <c r="BY269" s="2553" t="str">
        <f t="shared" si="177"/>
        <v/>
      </c>
      <c r="BZ269"/>
      <c r="CA269"/>
      <c r="CB269" s="1792">
        <f t="shared" si="178"/>
        <v>0</v>
      </c>
      <c r="CC269" s="1792">
        <f t="shared" si="179"/>
        <v>0</v>
      </c>
      <c r="CD269" s="1792">
        <f t="shared" si="180"/>
        <v>0</v>
      </c>
      <c r="CE269" s="1792">
        <f t="shared" si="181"/>
        <v>0</v>
      </c>
      <c r="CF269" s="1792">
        <f t="shared" si="182"/>
        <v>0</v>
      </c>
      <c r="CG269" s="1792">
        <f t="shared" si="183"/>
        <v>0</v>
      </c>
      <c r="CH269" s="1792">
        <f t="shared" si="184"/>
        <v>0</v>
      </c>
      <c r="CI269" s="1792">
        <f t="shared" si="185"/>
        <v>0</v>
      </c>
    </row>
    <row r="270" spans="1:87" x14ac:dyDescent="0.25">
      <c r="A270" s="7010" t="s">
        <v>2027</v>
      </c>
      <c r="B270" s="7011"/>
      <c r="C270" s="2366">
        <f t="shared" si="188"/>
        <v>0</v>
      </c>
      <c r="D270" s="2367">
        <f t="shared" si="191"/>
        <v>0</v>
      </c>
      <c r="E270" s="1">
        <f t="shared" si="191"/>
        <v>0</v>
      </c>
      <c r="F270" s="1113"/>
      <c r="G270" s="8"/>
      <c r="H270" s="1113"/>
      <c r="I270" s="8"/>
      <c r="J270" s="1113"/>
      <c r="K270" s="8"/>
      <c r="L270" s="1113"/>
      <c r="M270" s="8"/>
      <c r="N270" s="1113"/>
      <c r="O270" s="8"/>
      <c r="P270" s="1113"/>
      <c r="Q270" s="8"/>
      <c r="R270" s="1113"/>
      <c r="S270" s="8"/>
      <c r="T270" s="1113"/>
      <c r="U270" s="8"/>
      <c r="V270" s="1113"/>
      <c r="W270" s="8"/>
      <c r="X270" s="1113"/>
      <c r="Y270" s="8"/>
      <c r="Z270" s="1113"/>
      <c r="AA270" s="8"/>
      <c r="AB270" s="1113"/>
      <c r="AC270" s="8"/>
      <c r="AD270" s="1113"/>
      <c r="AE270" s="8"/>
      <c r="AF270" s="1113"/>
      <c r="AG270" s="8"/>
      <c r="AH270" s="1113"/>
      <c r="AI270" s="8"/>
      <c r="AJ270" s="1113"/>
      <c r="AK270" s="8"/>
      <c r="AL270" s="1113"/>
      <c r="AM270" s="1765"/>
      <c r="AN270" s="5919"/>
      <c r="AO270" s="1120"/>
      <c r="AP270" s="2202"/>
      <c r="AQ270" s="4055"/>
      <c r="AR270" s="1110"/>
      <c r="AS270" s="1113"/>
      <c r="AT270" s="8"/>
      <c r="AU270" s="8"/>
      <c r="AV270" s="8"/>
      <c r="AW270" s="8"/>
      <c r="AX270" s="8"/>
      <c r="AY270" s="17" t="str">
        <f t="shared" si="186"/>
        <v/>
      </c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Q270" s="170"/>
      <c r="BR270" s="2553" t="str">
        <f t="shared" si="187"/>
        <v/>
      </c>
      <c r="BS270" s="2553" t="str">
        <f t="shared" si="171"/>
        <v/>
      </c>
      <c r="BT270" s="2553" t="str">
        <f t="shared" si="172"/>
        <v/>
      </c>
      <c r="BU270" s="2553" t="str">
        <f t="shared" si="173"/>
        <v/>
      </c>
      <c r="BV270" s="2553" t="str">
        <f t="shared" si="174"/>
        <v/>
      </c>
      <c r="BW270" s="2553" t="str">
        <f t="shared" si="175"/>
        <v/>
      </c>
      <c r="BX270" s="2553" t="str">
        <f t="shared" si="176"/>
        <v/>
      </c>
      <c r="BY270" s="2553" t="str">
        <f t="shared" si="177"/>
        <v/>
      </c>
      <c r="BZ270"/>
      <c r="CA270"/>
      <c r="CB270" s="1792">
        <f t="shared" si="178"/>
        <v>0</v>
      </c>
      <c r="CC270" s="1792">
        <f t="shared" si="179"/>
        <v>0</v>
      </c>
      <c r="CD270" s="1792">
        <f t="shared" si="180"/>
        <v>0</v>
      </c>
      <c r="CE270" s="1792">
        <f t="shared" si="181"/>
        <v>0</v>
      </c>
      <c r="CF270" s="1792">
        <f t="shared" si="182"/>
        <v>0</v>
      </c>
      <c r="CG270" s="1792">
        <f t="shared" si="183"/>
        <v>0</v>
      </c>
      <c r="CH270" s="1792">
        <f t="shared" si="184"/>
        <v>0</v>
      </c>
      <c r="CI270" s="1792">
        <f t="shared" si="185"/>
        <v>0</v>
      </c>
    </row>
    <row r="271" spans="1:87" x14ac:dyDescent="0.25">
      <c r="A271" s="7012" t="s">
        <v>2028</v>
      </c>
      <c r="B271" s="7013"/>
      <c r="C271" s="2377">
        <f t="shared" si="188"/>
        <v>0</v>
      </c>
      <c r="D271" s="2378">
        <f t="shared" si="191"/>
        <v>0</v>
      </c>
      <c r="E271" s="2">
        <f t="shared" si="191"/>
        <v>0</v>
      </c>
      <c r="F271" s="1113"/>
      <c r="G271" s="8"/>
      <c r="H271" s="1113"/>
      <c r="I271" s="8"/>
      <c r="J271" s="1113"/>
      <c r="K271" s="8"/>
      <c r="L271" s="1113"/>
      <c r="M271" s="8"/>
      <c r="N271" s="1113"/>
      <c r="O271" s="8"/>
      <c r="P271" s="1113"/>
      <c r="Q271" s="8"/>
      <c r="R271" s="1113"/>
      <c r="S271" s="8"/>
      <c r="T271" s="1113"/>
      <c r="U271" s="8"/>
      <c r="V271" s="1113"/>
      <c r="W271" s="8"/>
      <c r="X271" s="1113"/>
      <c r="Y271" s="8"/>
      <c r="Z271" s="1113"/>
      <c r="AA271" s="8"/>
      <c r="AB271" s="1113"/>
      <c r="AC271" s="8"/>
      <c r="AD271" s="1113"/>
      <c r="AE271" s="8"/>
      <c r="AF271" s="1113"/>
      <c r="AG271" s="8"/>
      <c r="AH271" s="1113"/>
      <c r="AI271" s="8"/>
      <c r="AJ271" s="1113"/>
      <c r="AK271" s="8"/>
      <c r="AL271" s="1113"/>
      <c r="AM271" s="1765"/>
      <c r="AN271" s="5919"/>
      <c r="AO271" s="1120"/>
      <c r="AP271" s="2202"/>
      <c r="AQ271" s="4055"/>
      <c r="AR271" s="1110"/>
      <c r="AS271" s="1113"/>
      <c r="AT271" s="8"/>
      <c r="AU271" s="8"/>
      <c r="AV271" s="8"/>
      <c r="AW271" s="8"/>
      <c r="AX271" s="8"/>
      <c r="AY271" s="17" t="str">
        <f t="shared" si="186"/>
        <v/>
      </c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Q271" s="170"/>
      <c r="BR271" s="2553" t="str">
        <f t="shared" si="187"/>
        <v/>
      </c>
      <c r="BS271" s="2553" t="str">
        <f t="shared" si="171"/>
        <v/>
      </c>
      <c r="BT271" s="2553" t="str">
        <f t="shared" si="172"/>
        <v/>
      </c>
      <c r="BU271" s="2553" t="str">
        <f t="shared" si="173"/>
        <v/>
      </c>
      <c r="BV271" s="2553" t="str">
        <f t="shared" si="174"/>
        <v/>
      </c>
      <c r="BW271" s="2553" t="str">
        <f t="shared" si="175"/>
        <v/>
      </c>
      <c r="BX271" s="2553" t="str">
        <f t="shared" si="176"/>
        <v/>
      </c>
      <c r="BY271" s="2553" t="str">
        <f t="shared" si="177"/>
        <v/>
      </c>
      <c r="BZ271"/>
      <c r="CA271"/>
      <c r="CB271" s="1792">
        <f t="shared" si="178"/>
        <v>0</v>
      </c>
      <c r="CC271" s="1792">
        <f t="shared" si="179"/>
        <v>0</v>
      </c>
      <c r="CD271" s="1792">
        <f t="shared" si="180"/>
        <v>0</v>
      </c>
      <c r="CE271" s="1792">
        <f t="shared" si="181"/>
        <v>0</v>
      </c>
      <c r="CF271" s="1792">
        <f t="shared" si="182"/>
        <v>0</v>
      </c>
      <c r="CG271" s="1792">
        <f t="shared" si="183"/>
        <v>0</v>
      </c>
      <c r="CH271" s="1792">
        <f t="shared" si="184"/>
        <v>0</v>
      </c>
      <c r="CI271" s="1792">
        <f t="shared" si="185"/>
        <v>0</v>
      </c>
    </row>
    <row r="272" spans="1:87" ht="15" customHeight="1" x14ac:dyDescent="0.25">
      <c r="A272" s="6930" t="s">
        <v>2029</v>
      </c>
      <c r="B272" s="2392" t="s">
        <v>2030</v>
      </c>
      <c r="C272" s="2364">
        <f t="shared" si="188"/>
        <v>0</v>
      </c>
      <c r="D272" s="2365">
        <f t="shared" si="191"/>
        <v>0</v>
      </c>
      <c r="E272" s="2363">
        <f t="shared" si="191"/>
        <v>0</v>
      </c>
      <c r="F272" s="9"/>
      <c r="G272" s="11"/>
      <c r="H272" s="9"/>
      <c r="I272" s="11"/>
      <c r="J272" s="9"/>
      <c r="K272" s="11"/>
      <c r="L272" s="9"/>
      <c r="M272" s="11"/>
      <c r="N272" s="9"/>
      <c r="O272" s="11"/>
      <c r="P272" s="9"/>
      <c r="Q272" s="11"/>
      <c r="R272" s="9"/>
      <c r="S272" s="11"/>
      <c r="T272" s="9"/>
      <c r="U272" s="11"/>
      <c r="V272" s="9"/>
      <c r="W272" s="11"/>
      <c r="X272" s="9"/>
      <c r="Y272" s="11"/>
      <c r="Z272" s="9"/>
      <c r="AA272" s="11"/>
      <c r="AB272" s="9"/>
      <c r="AC272" s="11"/>
      <c r="AD272" s="9"/>
      <c r="AE272" s="11"/>
      <c r="AF272" s="9"/>
      <c r="AG272" s="11"/>
      <c r="AH272" s="9"/>
      <c r="AI272" s="11"/>
      <c r="AJ272" s="9"/>
      <c r="AK272" s="11"/>
      <c r="AL272" s="9"/>
      <c r="AM272" s="2325"/>
      <c r="AN272" s="5919"/>
      <c r="AO272" s="1120"/>
      <c r="AP272" s="2202"/>
      <c r="AQ272" s="11"/>
      <c r="AR272" s="27"/>
      <c r="AS272" s="9"/>
      <c r="AT272" s="11"/>
      <c r="AU272" s="11"/>
      <c r="AV272" s="11"/>
      <c r="AW272" s="11"/>
      <c r="AX272" s="11"/>
      <c r="AY272" s="17" t="str">
        <f t="shared" si="186"/>
        <v/>
      </c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Q272" s="170"/>
      <c r="BR272" s="2553" t="str">
        <f t="shared" si="187"/>
        <v/>
      </c>
      <c r="BS272" s="2553" t="str">
        <f t="shared" si="171"/>
        <v/>
      </c>
      <c r="BT272" s="2553" t="str">
        <f t="shared" si="172"/>
        <v/>
      </c>
      <c r="BU272" s="2553" t="str">
        <f t="shared" si="173"/>
        <v/>
      </c>
      <c r="BV272" s="2553" t="str">
        <f t="shared" si="174"/>
        <v/>
      </c>
      <c r="BW272" s="2553" t="str">
        <f t="shared" si="175"/>
        <v/>
      </c>
      <c r="BX272" s="2553" t="str">
        <f t="shared" si="176"/>
        <v/>
      </c>
      <c r="BY272" s="2553" t="str">
        <f t="shared" si="177"/>
        <v/>
      </c>
      <c r="BZ272"/>
      <c r="CA272"/>
      <c r="CB272" s="1792">
        <f t="shared" si="178"/>
        <v>0</v>
      </c>
      <c r="CC272" s="1792">
        <f t="shared" si="179"/>
        <v>0</v>
      </c>
      <c r="CD272" s="1792">
        <f t="shared" si="180"/>
        <v>0</v>
      </c>
      <c r="CE272" s="1792">
        <f t="shared" si="181"/>
        <v>0</v>
      </c>
      <c r="CF272" s="1792">
        <f t="shared" si="182"/>
        <v>0</v>
      </c>
      <c r="CG272" s="1792">
        <f t="shared" si="183"/>
        <v>0</v>
      </c>
      <c r="CH272" s="1792">
        <f t="shared" si="184"/>
        <v>0</v>
      </c>
      <c r="CI272" s="1792">
        <f t="shared" si="185"/>
        <v>0</v>
      </c>
    </row>
    <row r="273" spans="1:87" x14ac:dyDescent="0.25">
      <c r="A273" s="6931"/>
      <c r="B273" s="1112" t="s">
        <v>2031</v>
      </c>
      <c r="C273" s="2366">
        <f t="shared" si="188"/>
        <v>0</v>
      </c>
      <c r="D273" s="2367">
        <f t="shared" si="191"/>
        <v>0</v>
      </c>
      <c r="E273" s="1">
        <f t="shared" si="191"/>
        <v>0</v>
      </c>
      <c r="F273" s="9"/>
      <c r="G273" s="11"/>
      <c r="H273" s="9"/>
      <c r="I273" s="11"/>
      <c r="J273" s="9"/>
      <c r="K273" s="11"/>
      <c r="L273" s="9"/>
      <c r="M273" s="11"/>
      <c r="N273" s="9"/>
      <c r="O273" s="11"/>
      <c r="P273" s="9"/>
      <c r="Q273" s="11"/>
      <c r="R273" s="9"/>
      <c r="S273" s="11"/>
      <c r="T273" s="9"/>
      <c r="U273" s="11"/>
      <c r="V273" s="9"/>
      <c r="W273" s="11"/>
      <c r="X273" s="9"/>
      <c r="Y273" s="11"/>
      <c r="Z273" s="9"/>
      <c r="AA273" s="11"/>
      <c r="AB273" s="9"/>
      <c r="AC273" s="11"/>
      <c r="AD273" s="9"/>
      <c r="AE273" s="11"/>
      <c r="AF273" s="9"/>
      <c r="AG273" s="11"/>
      <c r="AH273" s="9"/>
      <c r="AI273" s="11"/>
      <c r="AJ273" s="9"/>
      <c r="AK273" s="11"/>
      <c r="AL273" s="9"/>
      <c r="AM273" s="2325"/>
      <c r="AN273" s="5919"/>
      <c r="AO273" s="1120"/>
      <c r="AP273" s="2202"/>
      <c r="AQ273" s="11"/>
      <c r="AR273" s="27"/>
      <c r="AS273" s="9"/>
      <c r="AT273" s="11"/>
      <c r="AU273" s="11"/>
      <c r="AV273" s="11"/>
      <c r="AW273" s="11"/>
      <c r="AX273" s="11"/>
      <c r="AY273" s="17" t="str">
        <f t="shared" si="186"/>
        <v/>
      </c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Q273" s="170"/>
      <c r="BR273" s="2553" t="str">
        <f t="shared" si="187"/>
        <v/>
      </c>
      <c r="BS273" s="2553" t="str">
        <f t="shared" si="171"/>
        <v/>
      </c>
      <c r="BT273" s="2553" t="str">
        <f t="shared" si="172"/>
        <v/>
      </c>
      <c r="BU273" s="2553" t="str">
        <f t="shared" si="173"/>
        <v/>
      </c>
      <c r="BV273" s="2553" t="str">
        <f t="shared" si="174"/>
        <v/>
      </c>
      <c r="BW273" s="2553" t="str">
        <f t="shared" si="175"/>
        <v/>
      </c>
      <c r="BX273" s="2553" t="str">
        <f t="shared" si="176"/>
        <v/>
      </c>
      <c r="BY273" s="2553" t="str">
        <f t="shared" si="177"/>
        <v/>
      </c>
      <c r="BZ273"/>
      <c r="CA273"/>
      <c r="CB273" s="1792">
        <f t="shared" si="178"/>
        <v>0</v>
      </c>
      <c r="CC273" s="1792">
        <f t="shared" si="179"/>
        <v>0</v>
      </c>
      <c r="CD273" s="1792">
        <f t="shared" si="180"/>
        <v>0</v>
      </c>
      <c r="CE273" s="1792">
        <f t="shared" si="181"/>
        <v>0</v>
      </c>
      <c r="CF273" s="1792">
        <f t="shared" si="182"/>
        <v>0</v>
      </c>
      <c r="CG273" s="1792">
        <f t="shared" si="183"/>
        <v>0</v>
      </c>
      <c r="CH273" s="1792">
        <f t="shared" si="184"/>
        <v>0</v>
      </c>
      <c r="CI273" s="1792">
        <f t="shared" si="185"/>
        <v>0</v>
      </c>
    </row>
    <row r="274" spans="1:87" x14ac:dyDescent="0.25">
      <c r="A274" s="6931"/>
      <c r="B274" s="1112" t="s">
        <v>2032</v>
      </c>
      <c r="C274" s="2366">
        <f t="shared" si="188"/>
        <v>0</v>
      </c>
      <c r="D274" s="2367">
        <f t="shared" si="191"/>
        <v>0</v>
      </c>
      <c r="E274" s="1">
        <f t="shared" si="191"/>
        <v>0</v>
      </c>
      <c r="F274" s="9"/>
      <c r="G274" s="11"/>
      <c r="H274" s="9"/>
      <c r="I274" s="11"/>
      <c r="J274" s="9"/>
      <c r="K274" s="11"/>
      <c r="L274" s="9"/>
      <c r="M274" s="11"/>
      <c r="N274" s="9"/>
      <c r="O274" s="11"/>
      <c r="P274" s="9"/>
      <c r="Q274" s="11"/>
      <c r="R274" s="9"/>
      <c r="S274" s="11"/>
      <c r="T274" s="9"/>
      <c r="U274" s="11"/>
      <c r="V274" s="9"/>
      <c r="W274" s="11"/>
      <c r="X274" s="9"/>
      <c r="Y274" s="11"/>
      <c r="Z274" s="9"/>
      <c r="AA274" s="11"/>
      <c r="AB274" s="9"/>
      <c r="AC274" s="11"/>
      <c r="AD274" s="9"/>
      <c r="AE274" s="11"/>
      <c r="AF274" s="9"/>
      <c r="AG274" s="11"/>
      <c r="AH274" s="9"/>
      <c r="AI274" s="11"/>
      <c r="AJ274" s="9"/>
      <c r="AK274" s="11"/>
      <c r="AL274" s="9"/>
      <c r="AM274" s="2325"/>
      <c r="AN274" s="5919"/>
      <c r="AO274" s="1120"/>
      <c r="AP274" s="2202"/>
      <c r="AQ274" s="11"/>
      <c r="AR274" s="27"/>
      <c r="AS274" s="9"/>
      <c r="AT274" s="11"/>
      <c r="AU274" s="11"/>
      <c r="AV274" s="11"/>
      <c r="AW274" s="11"/>
      <c r="AX274" s="11"/>
      <c r="AY274" s="17" t="str">
        <f t="shared" si="186"/>
        <v/>
      </c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Q274" s="170"/>
      <c r="BR274" s="2553" t="str">
        <f t="shared" si="187"/>
        <v/>
      </c>
      <c r="BS274" s="2553" t="str">
        <f t="shared" si="171"/>
        <v/>
      </c>
      <c r="BT274" s="2553" t="str">
        <f t="shared" si="172"/>
        <v/>
      </c>
      <c r="BU274" s="2553" t="str">
        <f t="shared" si="173"/>
        <v/>
      </c>
      <c r="BV274" s="2553" t="str">
        <f t="shared" si="174"/>
        <v/>
      </c>
      <c r="BW274" s="2553" t="str">
        <f t="shared" si="175"/>
        <v/>
      </c>
      <c r="BX274" s="2553" t="str">
        <f t="shared" si="176"/>
        <v/>
      </c>
      <c r="BY274" s="2553" t="str">
        <f t="shared" si="177"/>
        <v/>
      </c>
      <c r="BZ274"/>
      <c r="CA274"/>
      <c r="CB274" s="1792">
        <f t="shared" si="178"/>
        <v>0</v>
      </c>
      <c r="CC274" s="1792">
        <f t="shared" si="179"/>
        <v>0</v>
      </c>
      <c r="CD274" s="1792">
        <f t="shared" si="180"/>
        <v>0</v>
      </c>
      <c r="CE274" s="1792">
        <f t="shared" si="181"/>
        <v>0</v>
      </c>
      <c r="CF274" s="1792">
        <f t="shared" si="182"/>
        <v>0</v>
      </c>
      <c r="CG274" s="1792">
        <f t="shared" si="183"/>
        <v>0</v>
      </c>
      <c r="CH274" s="1792">
        <f t="shared" si="184"/>
        <v>0</v>
      </c>
      <c r="CI274" s="1792">
        <f t="shared" si="185"/>
        <v>0</v>
      </c>
    </row>
    <row r="275" spans="1:87" x14ac:dyDescent="0.25">
      <c r="A275" s="6931"/>
      <c r="B275" s="1112" t="s">
        <v>2033</v>
      </c>
      <c r="C275" s="2366">
        <f t="shared" si="188"/>
        <v>0</v>
      </c>
      <c r="D275" s="2367">
        <f t="shared" si="191"/>
        <v>0</v>
      </c>
      <c r="E275" s="1">
        <f t="shared" si="191"/>
        <v>0</v>
      </c>
      <c r="F275" s="9"/>
      <c r="G275" s="11"/>
      <c r="H275" s="9"/>
      <c r="I275" s="11"/>
      <c r="J275" s="9"/>
      <c r="K275" s="11"/>
      <c r="L275" s="9"/>
      <c r="M275" s="11"/>
      <c r="N275" s="9"/>
      <c r="O275" s="11"/>
      <c r="P275" s="9"/>
      <c r="Q275" s="11"/>
      <c r="R275" s="9"/>
      <c r="S275" s="11"/>
      <c r="T275" s="9"/>
      <c r="U275" s="11"/>
      <c r="V275" s="9"/>
      <c r="W275" s="11"/>
      <c r="X275" s="9"/>
      <c r="Y275" s="11"/>
      <c r="Z275" s="9"/>
      <c r="AA275" s="11"/>
      <c r="AB275" s="9"/>
      <c r="AC275" s="11"/>
      <c r="AD275" s="9"/>
      <c r="AE275" s="11"/>
      <c r="AF275" s="9"/>
      <c r="AG275" s="11"/>
      <c r="AH275" s="9"/>
      <c r="AI275" s="11"/>
      <c r="AJ275" s="9"/>
      <c r="AK275" s="11"/>
      <c r="AL275" s="9"/>
      <c r="AM275" s="2325"/>
      <c r="AN275" s="5919"/>
      <c r="AO275" s="1120"/>
      <c r="AP275" s="2202"/>
      <c r="AQ275" s="11"/>
      <c r="AR275" s="27"/>
      <c r="AS275" s="9"/>
      <c r="AT275" s="11"/>
      <c r="AU275" s="11"/>
      <c r="AV275" s="11"/>
      <c r="AW275" s="11"/>
      <c r="AX275" s="11"/>
      <c r="AY275" s="17" t="str">
        <f t="shared" si="186"/>
        <v/>
      </c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Q275" s="170"/>
      <c r="BR275" s="2553" t="str">
        <f t="shared" si="187"/>
        <v/>
      </c>
      <c r="BS275" s="2553" t="str">
        <f t="shared" si="171"/>
        <v/>
      </c>
      <c r="BT275" s="2553" t="str">
        <f t="shared" si="172"/>
        <v/>
      </c>
      <c r="BU275" s="2553" t="str">
        <f t="shared" si="173"/>
        <v/>
      </c>
      <c r="BV275" s="2553" t="str">
        <f t="shared" si="174"/>
        <v/>
      </c>
      <c r="BW275" s="2553" t="str">
        <f t="shared" si="175"/>
        <v/>
      </c>
      <c r="BX275" s="2553" t="str">
        <f t="shared" si="176"/>
        <v/>
      </c>
      <c r="BY275" s="2553" t="str">
        <f t="shared" si="177"/>
        <v/>
      </c>
      <c r="BZ275"/>
      <c r="CA275"/>
      <c r="CB275" s="1792">
        <f t="shared" si="178"/>
        <v>0</v>
      </c>
      <c r="CC275" s="1792">
        <f t="shared" si="179"/>
        <v>0</v>
      </c>
      <c r="CD275" s="1792">
        <f t="shared" si="180"/>
        <v>0</v>
      </c>
      <c r="CE275" s="1792">
        <f t="shared" si="181"/>
        <v>0</v>
      </c>
      <c r="CF275" s="1792">
        <f t="shared" si="182"/>
        <v>0</v>
      </c>
      <c r="CG275" s="1792">
        <f t="shared" si="183"/>
        <v>0</v>
      </c>
      <c r="CH275" s="1792">
        <f t="shared" si="184"/>
        <v>0</v>
      </c>
      <c r="CI275" s="1792">
        <f t="shared" si="185"/>
        <v>0</v>
      </c>
    </row>
    <row r="276" spans="1:87" ht="22.5" customHeight="1" x14ac:dyDescent="0.25">
      <c r="A276" s="6932"/>
      <c r="B276" s="38" t="s">
        <v>2034</v>
      </c>
      <c r="C276" s="2377">
        <f t="shared" si="188"/>
        <v>0</v>
      </c>
      <c r="D276" s="2378">
        <f t="shared" si="191"/>
        <v>0</v>
      </c>
      <c r="E276" s="2">
        <f t="shared" si="191"/>
        <v>0</v>
      </c>
      <c r="F276" s="3"/>
      <c r="G276" s="12"/>
      <c r="H276" s="3"/>
      <c r="I276" s="12"/>
      <c r="J276" s="3"/>
      <c r="K276" s="12"/>
      <c r="L276" s="3"/>
      <c r="M276" s="12"/>
      <c r="N276" s="3"/>
      <c r="O276" s="12"/>
      <c r="P276" s="3"/>
      <c r="Q276" s="12"/>
      <c r="R276" s="3"/>
      <c r="S276" s="12"/>
      <c r="T276" s="3"/>
      <c r="U276" s="12"/>
      <c r="V276" s="3"/>
      <c r="W276" s="12"/>
      <c r="X276" s="3"/>
      <c r="Y276" s="12"/>
      <c r="Z276" s="3"/>
      <c r="AA276" s="12"/>
      <c r="AB276" s="3"/>
      <c r="AC276" s="12"/>
      <c r="AD276" s="3"/>
      <c r="AE276" s="12"/>
      <c r="AF276" s="3"/>
      <c r="AG276" s="12"/>
      <c r="AH276" s="3"/>
      <c r="AI276" s="12"/>
      <c r="AJ276" s="3"/>
      <c r="AK276" s="12"/>
      <c r="AL276" s="3"/>
      <c r="AM276" s="2379"/>
      <c r="AN276" s="4509"/>
      <c r="AO276" s="21"/>
      <c r="AP276" s="1766"/>
      <c r="AQ276" s="2849"/>
      <c r="AR276" s="30"/>
      <c r="AS276" s="3"/>
      <c r="AT276" s="12"/>
      <c r="AU276" s="12"/>
      <c r="AV276" s="12"/>
      <c r="AW276" s="12"/>
      <c r="AX276" s="12"/>
      <c r="AY276" s="17" t="str">
        <f t="shared" si="186"/>
        <v/>
      </c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Q276" s="170"/>
      <c r="BR276" s="2553" t="str">
        <f t="shared" si="187"/>
        <v/>
      </c>
      <c r="BS276" s="2553" t="str">
        <f t="shared" si="171"/>
        <v/>
      </c>
      <c r="BT276" s="2553" t="str">
        <f t="shared" si="172"/>
        <v/>
      </c>
      <c r="BU276" s="2553" t="str">
        <f t="shared" si="173"/>
        <v/>
      </c>
      <c r="BV276" s="2553" t="str">
        <f t="shared" si="174"/>
        <v/>
      </c>
      <c r="BW276" s="2553" t="str">
        <f t="shared" si="175"/>
        <v/>
      </c>
      <c r="BX276" s="2553" t="str">
        <f t="shared" si="176"/>
        <v/>
      </c>
      <c r="BY276" s="2553" t="str">
        <f t="shared" si="177"/>
        <v/>
      </c>
      <c r="BZ276"/>
      <c r="CA276"/>
      <c r="CB276" s="1792">
        <f t="shared" si="178"/>
        <v>0</v>
      </c>
      <c r="CC276" s="1792">
        <f t="shared" si="179"/>
        <v>0</v>
      </c>
      <c r="CD276" s="1792">
        <f t="shared" si="180"/>
        <v>0</v>
      </c>
      <c r="CE276" s="1792">
        <f t="shared" si="181"/>
        <v>0</v>
      </c>
      <c r="CF276" s="1792">
        <f t="shared" si="182"/>
        <v>0</v>
      </c>
      <c r="CG276" s="1792">
        <f t="shared" si="183"/>
        <v>0</v>
      </c>
      <c r="CH276" s="1792">
        <f t="shared" si="184"/>
        <v>0</v>
      </c>
      <c r="CI276" s="1792">
        <f t="shared" si="185"/>
        <v>0</v>
      </c>
    </row>
    <row r="277" spans="1:87" x14ac:dyDescent="0.25">
      <c r="A277" s="6976" t="s">
        <v>2035</v>
      </c>
      <c r="B277" s="6977"/>
      <c r="C277" s="2356">
        <f t="shared" si="188"/>
        <v>0</v>
      </c>
      <c r="D277" s="2357">
        <f t="shared" si="191"/>
        <v>0</v>
      </c>
      <c r="E277" s="2358">
        <f t="shared" si="191"/>
        <v>0</v>
      </c>
      <c r="F277" s="2361"/>
      <c r="G277" s="1305"/>
      <c r="H277" s="2361"/>
      <c r="I277" s="1305"/>
      <c r="J277" s="2361"/>
      <c r="K277" s="1305"/>
      <c r="L277" s="2361"/>
      <c r="M277" s="1305"/>
      <c r="N277" s="2361"/>
      <c r="O277" s="1305"/>
      <c r="P277" s="2361"/>
      <c r="Q277" s="1305"/>
      <c r="R277" s="2361"/>
      <c r="S277" s="1305"/>
      <c r="T277" s="2361"/>
      <c r="U277" s="1305"/>
      <c r="V277" s="2361"/>
      <c r="W277" s="1305"/>
      <c r="X277" s="2361"/>
      <c r="Y277" s="1305"/>
      <c r="Z277" s="2361"/>
      <c r="AA277" s="1305"/>
      <c r="AB277" s="2361"/>
      <c r="AC277" s="1305"/>
      <c r="AD277" s="2361"/>
      <c r="AE277" s="1305"/>
      <c r="AF277" s="2361"/>
      <c r="AG277" s="1305"/>
      <c r="AH277" s="2361"/>
      <c r="AI277" s="1305"/>
      <c r="AJ277" s="2361"/>
      <c r="AK277" s="1305"/>
      <c r="AL277" s="2361"/>
      <c r="AM277" s="2330"/>
      <c r="AN277" s="5919"/>
      <c r="AO277" s="1120"/>
      <c r="AP277" s="2202"/>
      <c r="AQ277" s="1305"/>
      <c r="AR277" s="2405"/>
      <c r="AS277" s="2361"/>
      <c r="AT277" s="1305"/>
      <c r="AU277" s="1305"/>
      <c r="AV277" s="1305"/>
      <c r="AW277" s="1305"/>
      <c r="AX277" s="1305"/>
      <c r="AY277" s="17" t="str">
        <f t="shared" si="186"/>
        <v/>
      </c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Q277" s="170"/>
      <c r="BR277" s="2553" t="str">
        <f t="shared" si="187"/>
        <v/>
      </c>
      <c r="BS277" s="2553" t="str">
        <f t="shared" si="171"/>
        <v/>
      </c>
      <c r="BT277" s="2553" t="str">
        <f t="shared" si="172"/>
        <v/>
      </c>
      <c r="BU277" s="2553" t="str">
        <f t="shared" si="173"/>
        <v/>
      </c>
      <c r="BV277" s="2553" t="str">
        <f t="shared" si="174"/>
        <v/>
      </c>
      <c r="BW277" s="2553" t="str">
        <f t="shared" si="175"/>
        <v/>
      </c>
      <c r="BX277" s="2553" t="str">
        <f t="shared" si="176"/>
        <v/>
      </c>
      <c r="BY277" s="2553" t="str">
        <f t="shared" si="177"/>
        <v/>
      </c>
      <c r="BZ277"/>
      <c r="CA277"/>
      <c r="CB277" s="1792">
        <f t="shared" si="178"/>
        <v>0</v>
      </c>
      <c r="CC277" s="1792">
        <f t="shared" si="179"/>
        <v>0</v>
      </c>
      <c r="CD277" s="1792">
        <f t="shared" si="180"/>
        <v>0</v>
      </c>
      <c r="CE277" s="1792">
        <f t="shared" si="181"/>
        <v>0</v>
      </c>
      <c r="CF277" s="1792">
        <f t="shared" si="182"/>
        <v>0</v>
      </c>
      <c r="CG277" s="1792">
        <f t="shared" si="183"/>
        <v>0</v>
      </c>
      <c r="CH277" s="1792">
        <f t="shared" si="184"/>
        <v>0</v>
      </c>
      <c r="CI277" s="1792">
        <f t="shared" si="185"/>
        <v>0</v>
      </c>
    </row>
    <row r="278" spans="1:87" x14ac:dyDescent="0.25">
      <c r="A278" s="7014" t="s">
        <v>44</v>
      </c>
      <c r="B278" s="7015"/>
      <c r="C278" s="2377">
        <f>SUM(D278+E278)</f>
        <v>0</v>
      </c>
      <c r="D278" s="2378">
        <f>SUM(F278+H278+J278+L278+N278+P278+R278+T278+V278+X278+Z278+AB278+AD278+AF278+AH278+AJ278+AL278)</f>
        <v>0</v>
      </c>
      <c r="E278" s="2">
        <f t="shared" ref="E278" si="192">SUM(G278+I278+K278+M278+O278+Q278+S278+U278+W278+Y278+AA278+AC278+AE278+AG278+AI278+AK278+AM278)</f>
        <v>0</v>
      </c>
      <c r="F278" s="3"/>
      <c r="G278" s="12"/>
      <c r="H278" s="3"/>
      <c r="I278" s="12"/>
      <c r="J278" s="3"/>
      <c r="K278" s="12"/>
      <c r="L278" s="3"/>
      <c r="M278" s="12"/>
      <c r="N278" s="3"/>
      <c r="O278" s="12"/>
      <c r="P278" s="3"/>
      <c r="Q278" s="12"/>
      <c r="R278" s="3"/>
      <c r="S278" s="12"/>
      <c r="T278" s="3"/>
      <c r="U278" s="12"/>
      <c r="V278" s="3"/>
      <c r="W278" s="12"/>
      <c r="X278" s="3"/>
      <c r="Y278" s="12"/>
      <c r="Z278" s="3"/>
      <c r="AA278" s="12"/>
      <c r="AB278" s="3"/>
      <c r="AC278" s="12"/>
      <c r="AD278" s="3"/>
      <c r="AE278" s="12"/>
      <c r="AF278" s="3"/>
      <c r="AG278" s="12"/>
      <c r="AH278" s="3"/>
      <c r="AI278" s="12"/>
      <c r="AJ278" s="3"/>
      <c r="AK278" s="12"/>
      <c r="AL278" s="3"/>
      <c r="AM278" s="2379"/>
      <c r="AN278" s="5910"/>
      <c r="AO278" s="5911"/>
      <c r="AP278" s="5918"/>
      <c r="AQ278" s="5844"/>
      <c r="AR278" s="2410"/>
      <c r="AS278" s="3"/>
      <c r="AT278" s="12"/>
      <c r="AU278" s="12"/>
      <c r="AV278" s="12"/>
      <c r="AW278" s="12"/>
      <c r="AX278" s="12"/>
      <c r="AY278" s="17" t="str">
        <f t="shared" si="186"/>
        <v/>
      </c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Q278" s="170"/>
      <c r="BR278" s="2553" t="str">
        <f t="shared" si="187"/>
        <v/>
      </c>
      <c r="BS278" s="2553" t="str">
        <f t="shared" si="171"/>
        <v/>
      </c>
      <c r="BT278" s="2553" t="str">
        <f t="shared" si="172"/>
        <v/>
      </c>
      <c r="BU278" s="2553" t="str">
        <f t="shared" si="173"/>
        <v/>
      </c>
      <c r="BV278" s="2553" t="str">
        <f t="shared" si="174"/>
        <v/>
      </c>
      <c r="BW278" s="2553" t="str">
        <f t="shared" si="175"/>
        <v/>
      </c>
      <c r="BX278" s="2553" t="str">
        <f t="shared" si="176"/>
        <v/>
      </c>
      <c r="BY278" s="2553" t="str">
        <f t="shared" si="177"/>
        <v/>
      </c>
      <c r="BZ278"/>
      <c r="CA278"/>
      <c r="CB278" s="1792">
        <f t="shared" si="178"/>
        <v>0</v>
      </c>
      <c r="CC278" s="1792">
        <f t="shared" si="179"/>
        <v>0</v>
      </c>
      <c r="CD278" s="1792">
        <f t="shared" si="180"/>
        <v>0</v>
      </c>
      <c r="CE278" s="1792">
        <f t="shared" si="181"/>
        <v>0</v>
      </c>
      <c r="CF278" s="1792">
        <f t="shared" si="182"/>
        <v>0</v>
      </c>
      <c r="CG278" s="1792">
        <f t="shared" si="183"/>
        <v>0</v>
      </c>
      <c r="CH278" s="1792">
        <f t="shared" si="184"/>
        <v>0</v>
      </c>
      <c r="CI278" s="1792">
        <f t="shared" si="185"/>
        <v>0</v>
      </c>
    </row>
    <row r="279" spans="1:87" s="17" customFormat="1" ht="18" customHeight="1" x14ac:dyDescent="0.2">
      <c r="A279" s="14" t="s">
        <v>2043</v>
      </c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</row>
    <row r="280" spans="1:87" x14ac:dyDescent="0.25">
      <c r="A280" s="7016" t="s">
        <v>2044</v>
      </c>
      <c r="B280" s="7019" t="s">
        <v>2045</v>
      </c>
      <c r="C280" s="6939" t="s">
        <v>1</v>
      </c>
      <c r="D280" s="6940"/>
      <c r="E280" s="6528"/>
      <c r="F280" s="7007" t="s">
        <v>30</v>
      </c>
      <c r="G280" s="7008"/>
      <c r="H280" s="7008"/>
      <c r="I280" s="7008"/>
      <c r="J280" s="7008"/>
      <c r="K280" s="7008"/>
      <c r="L280" s="7008"/>
      <c r="M280" s="7008"/>
      <c r="N280" s="7008"/>
      <c r="O280" s="7008"/>
      <c r="P280" s="7008"/>
      <c r="Q280" s="7008"/>
      <c r="R280" s="7008"/>
      <c r="S280" s="7008"/>
      <c r="T280" s="7008"/>
      <c r="U280" s="7008"/>
      <c r="V280" s="7008"/>
      <c r="W280" s="7008"/>
      <c r="X280" s="7008"/>
      <c r="Y280" s="7008"/>
      <c r="Z280" s="7008"/>
      <c r="AA280" s="7008"/>
      <c r="AB280" s="7008"/>
      <c r="AC280" s="7008"/>
      <c r="AD280" s="7008"/>
      <c r="AE280" s="7008"/>
      <c r="AF280" s="7008"/>
      <c r="AG280" s="7008"/>
      <c r="AH280" s="7008"/>
      <c r="AI280" s="7008"/>
      <c r="AJ280" s="7008"/>
      <c r="AK280" s="7009"/>
      <c r="AL280" s="6528" t="s">
        <v>2</v>
      </c>
      <c r="AM280" s="6528" t="s">
        <v>3</v>
      </c>
      <c r="AN280" s="6528" t="s">
        <v>40</v>
      </c>
      <c r="AO280" s="6528" t="s">
        <v>45</v>
      </c>
      <c r="BQ280"/>
      <c r="BR280"/>
      <c r="BS280"/>
      <c r="BT280"/>
      <c r="BU280"/>
      <c r="BV280"/>
      <c r="BW280"/>
      <c r="BX280"/>
      <c r="BZ280"/>
      <c r="CA280"/>
      <c r="CB280"/>
    </row>
    <row r="281" spans="1:87" x14ac:dyDescent="0.25">
      <c r="A281" s="7017"/>
      <c r="B281" s="7020"/>
      <c r="C281" s="7002"/>
      <c r="D281" s="6942"/>
      <c r="E281" s="7003"/>
      <c r="F281" s="6923" t="s">
        <v>37</v>
      </c>
      <c r="G281" s="6923"/>
      <c r="H281" s="6923" t="s">
        <v>38</v>
      </c>
      <c r="I281" s="6923"/>
      <c r="J281" s="6923" t="s">
        <v>4</v>
      </c>
      <c r="K281" s="6923"/>
      <c r="L281" s="6974" t="s">
        <v>5</v>
      </c>
      <c r="M281" s="6975"/>
      <c r="N281" s="6922" t="s">
        <v>6</v>
      </c>
      <c r="O281" s="6922"/>
      <c r="P281" s="6922" t="s">
        <v>7</v>
      </c>
      <c r="Q281" s="6922"/>
      <c r="R281" s="6922" t="s">
        <v>8</v>
      </c>
      <c r="S281" s="6922"/>
      <c r="T281" s="6922" t="s">
        <v>9</v>
      </c>
      <c r="U281" s="6922"/>
      <c r="V281" s="6922" t="s">
        <v>10</v>
      </c>
      <c r="W281" s="6922"/>
      <c r="X281" s="6922" t="s">
        <v>11</v>
      </c>
      <c r="Y281" s="6922"/>
      <c r="Z281" s="6922" t="s">
        <v>18</v>
      </c>
      <c r="AA281" s="6922"/>
      <c r="AB281" s="6922" t="s">
        <v>19</v>
      </c>
      <c r="AC281" s="6922"/>
      <c r="AD281" s="6922" t="s">
        <v>20</v>
      </c>
      <c r="AE281" s="6922"/>
      <c r="AF281" s="6922" t="s">
        <v>70</v>
      </c>
      <c r="AG281" s="6922"/>
      <c r="AH281" s="6922" t="s">
        <v>71</v>
      </c>
      <c r="AI281" s="6922"/>
      <c r="AJ281" s="6922" t="s">
        <v>32</v>
      </c>
      <c r="AK281" s="6983"/>
      <c r="AL281" s="6924"/>
      <c r="AM281" s="6924"/>
      <c r="AN281" s="6924"/>
      <c r="AO281" s="6924"/>
      <c r="BQ281"/>
      <c r="BR281"/>
      <c r="BS281"/>
      <c r="BT281"/>
      <c r="BU281"/>
      <c r="BV281"/>
      <c r="BW281"/>
      <c r="BX281"/>
      <c r="BZ281"/>
      <c r="CA281"/>
      <c r="CB281"/>
    </row>
    <row r="282" spans="1:87" ht="26.25" customHeight="1" x14ac:dyDescent="0.25">
      <c r="A282" s="7018"/>
      <c r="B282" s="7021"/>
      <c r="C282" s="2792" t="s">
        <v>26</v>
      </c>
      <c r="D282" s="2793" t="s">
        <v>22</v>
      </c>
      <c r="E282" s="2648" t="s">
        <v>27</v>
      </c>
      <c r="F282" s="2794" t="s">
        <v>22</v>
      </c>
      <c r="G282" s="2795" t="s">
        <v>27</v>
      </c>
      <c r="H282" s="2794" t="s">
        <v>22</v>
      </c>
      <c r="I282" s="2795" t="s">
        <v>27</v>
      </c>
      <c r="J282" s="2794" t="s">
        <v>22</v>
      </c>
      <c r="K282" s="2795" t="s">
        <v>27</v>
      </c>
      <c r="L282" s="2794" t="s">
        <v>22</v>
      </c>
      <c r="M282" s="2795" t="s">
        <v>27</v>
      </c>
      <c r="N282" s="2794" t="s">
        <v>22</v>
      </c>
      <c r="O282" s="2795" t="s">
        <v>27</v>
      </c>
      <c r="P282" s="2794" t="s">
        <v>22</v>
      </c>
      <c r="Q282" s="2795" t="s">
        <v>27</v>
      </c>
      <c r="R282" s="2794" t="s">
        <v>22</v>
      </c>
      <c r="S282" s="2795" t="s">
        <v>27</v>
      </c>
      <c r="T282" s="2791" t="s">
        <v>22</v>
      </c>
      <c r="U282" s="2791" t="s">
        <v>27</v>
      </c>
      <c r="V282" s="2796" t="s">
        <v>22</v>
      </c>
      <c r="W282" s="2795" t="s">
        <v>27</v>
      </c>
      <c r="X282" s="2794" t="s">
        <v>22</v>
      </c>
      <c r="Y282" s="2795" t="s">
        <v>27</v>
      </c>
      <c r="Z282" s="2794" t="s">
        <v>22</v>
      </c>
      <c r="AA282" s="2795" t="s">
        <v>27</v>
      </c>
      <c r="AB282" s="2794" t="s">
        <v>22</v>
      </c>
      <c r="AC282" s="2795" t="s">
        <v>27</v>
      </c>
      <c r="AD282" s="2794" t="s">
        <v>22</v>
      </c>
      <c r="AE282" s="2795" t="s">
        <v>27</v>
      </c>
      <c r="AF282" s="2794" t="s">
        <v>22</v>
      </c>
      <c r="AG282" s="2795" t="s">
        <v>27</v>
      </c>
      <c r="AH282" s="2794" t="s">
        <v>22</v>
      </c>
      <c r="AI282" s="2795" t="s">
        <v>27</v>
      </c>
      <c r="AJ282" s="2794" t="s">
        <v>22</v>
      </c>
      <c r="AK282" s="2797" t="s">
        <v>27</v>
      </c>
      <c r="AL282" s="7003"/>
      <c r="AM282" s="7003"/>
      <c r="AN282" s="7003"/>
      <c r="AO282" s="7003"/>
      <c r="BQ282"/>
      <c r="BR282"/>
      <c r="BS282"/>
      <c r="BT282"/>
      <c r="BU282"/>
      <c r="BV282"/>
      <c r="BW282"/>
      <c r="BX282"/>
      <c r="BZ282"/>
      <c r="CA282"/>
      <c r="CB282"/>
    </row>
    <row r="283" spans="1:87" ht="15" customHeight="1" x14ac:dyDescent="0.25">
      <c r="A283" s="7005" t="s">
        <v>46</v>
      </c>
      <c r="B283" s="2421" t="s">
        <v>25</v>
      </c>
      <c r="C283" s="2422">
        <f>SUM(D283+E283)</f>
        <v>0</v>
      </c>
      <c r="D283" s="2423">
        <f>SUM(F283+H283+J283+L283+N283+P283+R283+T283+V283+X283+Z283+AB283+AD283+AF283+AH283+AJ283)</f>
        <v>0</v>
      </c>
      <c r="E283" s="2317">
        <f>SUM(G283+I283+K283+M283+O283+Q283+S283+U283+W283+Y283+AA283+AC283+AE283+AG283+AI283+AK283)</f>
        <v>0</v>
      </c>
      <c r="F283" s="2209"/>
      <c r="G283" s="2318"/>
      <c r="H283" s="2209"/>
      <c r="I283" s="2318"/>
      <c r="J283" s="2209"/>
      <c r="K283" s="2318"/>
      <c r="L283" s="2209"/>
      <c r="M283" s="2318"/>
      <c r="N283" s="2209"/>
      <c r="O283" s="2318"/>
      <c r="P283" s="2209"/>
      <c r="Q283" s="2318"/>
      <c r="R283" s="2209"/>
      <c r="S283" s="2318"/>
      <c r="T283" s="2209"/>
      <c r="U283" s="2318"/>
      <c r="V283" s="2209"/>
      <c r="W283" s="2318"/>
      <c r="X283" s="2209"/>
      <c r="Y283" s="2318"/>
      <c r="Z283" s="2209"/>
      <c r="AA283" s="2318"/>
      <c r="AB283" s="2209"/>
      <c r="AC283" s="2318"/>
      <c r="AD283" s="2209"/>
      <c r="AE283" s="2318"/>
      <c r="AF283" s="2209"/>
      <c r="AG283" s="2318"/>
      <c r="AH283" s="2209"/>
      <c r="AI283" s="2318"/>
      <c r="AJ283" s="2209"/>
      <c r="AK283" s="2289"/>
      <c r="AL283" s="2318"/>
      <c r="AM283" s="2318"/>
      <c r="AN283" s="2318"/>
      <c r="AO283" s="2318"/>
      <c r="AP283" t="str">
        <f>BQ283&amp;BR283&amp;BS283&amp;BT283</f>
        <v/>
      </c>
      <c r="BQ283" s="2553" t="str">
        <f>IF(AND(C283&gt;0,AL283=""),"  * No olvide digitar la variable Pueblos originarios. Digite Cero si no tiene.",IF(AL283&gt;C283,"  * La variable Pueblos originarios No puede ser mayor al Total.",""))</f>
        <v/>
      </c>
      <c r="BR283" s="2553" t="str">
        <f>IF(AND(C283&gt;0,AM283=""),"  * No olvide digitar la variable Migrantes. Digite Cero si no tiene.",IF(AM283&gt;C283,"  * La variable Migrantes No puede ser mayor al Total.",""))</f>
        <v/>
      </c>
      <c r="BS283" s="2553" t="str">
        <f>IF(AND(C283&gt;0,AN283=""),"  * No olvide digitar la variable Niños, Niñas, adolescentes y Jóvenes SENAME. Digite Cero si no tiene.",IF(AN283&gt;C283,"  * La variable Niños, Niñas, adolescentes y Jóvenes SENAME No puede ser mayor al Total.",""))</f>
        <v/>
      </c>
      <c r="BT283" s="2553" t="str">
        <f>IF(AND(C283&gt;0,AO283=""),"  * No olvide digitar la variable Niños, Niñas, adolescentes y Jóvenes Mejor niñez. Digite Cero si no tiene.",IF(AO283&gt;C283,"  * La variable Niños, Niñas, adolescentes y Jóvenes Mejor Niñez No puede ser mayor al Total.",""))</f>
        <v/>
      </c>
      <c r="BU283"/>
      <c r="BV283"/>
      <c r="BW283"/>
      <c r="BX283"/>
      <c r="BZ283"/>
      <c r="CA283"/>
      <c r="CB283" s="1793">
        <f>IF(AND(C283&gt;0,AL283=""),1,IF(AL283&gt;C283,1,0))</f>
        <v>0</v>
      </c>
      <c r="CC283" s="1793">
        <f>IF(AND(C283&gt;0,AM283=""),1,IF(AM283&gt;C283,1,0))</f>
        <v>0</v>
      </c>
      <c r="CD283" s="1793">
        <f>IF(AND(C283&gt;0,AN283=""),1,IF(AN283&gt;C283,1,0))</f>
        <v>0</v>
      </c>
      <c r="CE283" s="1793">
        <f>IF(AND(C283&gt;0,AO283=""),1,IF(AO283&gt;C283,1,0))</f>
        <v>0</v>
      </c>
    </row>
    <row r="284" spans="1:87" x14ac:dyDescent="0.25">
      <c r="A284" s="7006"/>
      <c r="B284" s="2238" t="s">
        <v>31</v>
      </c>
      <c r="C284" s="39">
        <f>SUM(D284+E284)</f>
        <v>0</v>
      </c>
      <c r="D284" s="40">
        <f t="shared" ref="D284:E286" si="193">SUM(F284+H284+J284+L284+N284+P284+R284+T284+V284+X284+Z284+AB284+AD284+AF284+AH284+AJ284)</f>
        <v>0</v>
      </c>
      <c r="E284" s="37">
        <f>SUM(G284+I284+K284+M284+O284+Q284+S284+U284+W284+Y284+AA284+AC284+AE284+AG284+AI284+AK284)</f>
        <v>0</v>
      </c>
      <c r="F284" s="3"/>
      <c r="G284" s="12"/>
      <c r="H284" s="3"/>
      <c r="I284" s="12"/>
      <c r="J284" s="3"/>
      <c r="K284" s="12"/>
      <c r="L284" s="3"/>
      <c r="M284" s="12"/>
      <c r="N284" s="3"/>
      <c r="O284" s="12"/>
      <c r="P284" s="3"/>
      <c r="Q284" s="12"/>
      <c r="R284" s="3"/>
      <c r="S284" s="12"/>
      <c r="T284" s="3"/>
      <c r="U284" s="12"/>
      <c r="V284" s="3"/>
      <c r="W284" s="12"/>
      <c r="X284" s="3"/>
      <c r="Y284" s="12"/>
      <c r="Z284" s="3"/>
      <c r="AA284" s="12"/>
      <c r="AB284" s="3"/>
      <c r="AC284" s="12"/>
      <c r="AD284" s="3"/>
      <c r="AE284" s="12"/>
      <c r="AF284" s="3"/>
      <c r="AG284" s="12"/>
      <c r="AH284" s="3"/>
      <c r="AI284" s="12"/>
      <c r="AJ284" s="3"/>
      <c r="AK284" s="1766"/>
      <c r="AL284" s="12"/>
      <c r="AM284" s="12"/>
      <c r="AN284" s="12"/>
      <c r="AO284" s="12"/>
      <c r="AP284" t="str">
        <f t="shared" ref="AP284:AP286" si="194">BQ284&amp;BR284&amp;BS284&amp;BT284</f>
        <v/>
      </c>
      <c r="BQ284" s="2553" t="str">
        <f t="shared" ref="BQ284:BQ286" si="195">IF(AND(C284&gt;0,AL284=""),"  * No olvide digitar la variable Pueblos originarios. Digite Cero si no tiene.",IF(AL284&gt;C284,"  * La variable Pueblos originarios No puede ser mayor al Total.",""))</f>
        <v/>
      </c>
      <c r="BR284" s="2553" t="str">
        <f t="shared" ref="BR284:BR286" si="196">IF(AND(C284&gt;0,AM284=""),"  * No olvide digitar la variable Migrantes. Digite Cero si no tiene.",IF(AM284&gt;C284,"  * La variable Migrantes No puede ser mayor al Total.",""))</f>
        <v/>
      </c>
      <c r="BS284" s="2553" t="str">
        <f t="shared" ref="BS284:BS286" si="197">IF(AND(C284&gt;0,AN284=""),"  * No olvide digitar la variable Niños, Niñas, adolescentes y Jóvenes SENAME. Digite Cero si no tiene.",IF(AN284&gt;C284,"  * La variable Niños, Niñas, adolescentes y Jóvenes SENAME No puede ser mayor al Total.",""))</f>
        <v/>
      </c>
      <c r="BT284" s="2553" t="str">
        <f t="shared" ref="BT284:BT286" si="198">IF(AND(C284&gt;0,AO284=""),"  * No olvide digitar la variable Niños, Niñas, adolescentes y Jóvenes Mejor niñez. Digite Cero si no tiene.",IF(AO284&gt;C284,"  * La variable Niños, Niñas, adolescentes y Jóvenes Mejor Niñez No puede ser mayor al Total.",""))</f>
        <v/>
      </c>
      <c r="BU284"/>
      <c r="BV284"/>
      <c r="BW284"/>
      <c r="BX284"/>
      <c r="BZ284"/>
      <c r="CA284"/>
      <c r="CB284" s="1793">
        <f t="shared" ref="CB284:CB286" si="199">IF(AND(C284&gt;0,AL284=""),1,IF(AL284&gt;C284,1,0))</f>
        <v>0</v>
      </c>
      <c r="CC284" s="1793">
        <f t="shared" ref="CC284:CC286" si="200">IF(AND(C284&gt;0,AM284=""),1,IF(AM284&gt;C284,1,0))</f>
        <v>0</v>
      </c>
      <c r="CD284" s="1793">
        <f t="shared" ref="CD284:CD286" si="201">IF(AND(C284&gt;0,AN284=""),1,IF(AN284&gt;C284,1,0))</f>
        <v>0</v>
      </c>
      <c r="CE284" s="1793">
        <f t="shared" ref="CE284:CE286" si="202">IF(AND(C284&gt;0,AO284=""),1,IF(AO284&gt;C284,1,0))</f>
        <v>0</v>
      </c>
    </row>
    <row r="285" spans="1:87" x14ac:dyDescent="0.25">
      <c r="A285" s="7005" t="s">
        <v>2046</v>
      </c>
      <c r="B285" s="2421" t="s">
        <v>25</v>
      </c>
      <c r="C285" s="2424">
        <f>SUM(D285+E285)</f>
        <v>0</v>
      </c>
      <c r="D285" s="2425">
        <f t="shared" si="193"/>
        <v>0</v>
      </c>
      <c r="E285" s="33">
        <f t="shared" si="193"/>
        <v>0</v>
      </c>
      <c r="F285" s="2201"/>
      <c r="G285" s="1107"/>
      <c r="H285" s="2201"/>
      <c r="I285" s="1107"/>
      <c r="J285" s="2201"/>
      <c r="K285" s="1107"/>
      <c r="L285" s="2201"/>
      <c r="M285" s="1107"/>
      <c r="N285" s="2201"/>
      <c r="O285" s="1107"/>
      <c r="P285" s="2201"/>
      <c r="Q285" s="1107"/>
      <c r="R285" s="2201"/>
      <c r="S285" s="1107"/>
      <c r="T285" s="2201"/>
      <c r="U285" s="1107"/>
      <c r="V285" s="2201"/>
      <c r="W285" s="1107"/>
      <c r="X285" s="2201"/>
      <c r="Y285" s="1107"/>
      <c r="Z285" s="2201"/>
      <c r="AA285" s="1107"/>
      <c r="AB285" s="2201"/>
      <c r="AC285" s="1107"/>
      <c r="AD285" s="2201"/>
      <c r="AE285" s="1107"/>
      <c r="AF285" s="2201"/>
      <c r="AG285" s="1107"/>
      <c r="AH285" s="2201"/>
      <c r="AI285" s="1107"/>
      <c r="AJ285" s="2201"/>
      <c r="AK285" s="2202"/>
      <c r="AL285" s="1107"/>
      <c r="AM285" s="1107"/>
      <c r="AN285" s="1107"/>
      <c r="AO285" s="1107"/>
      <c r="AP285" t="str">
        <f t="shared" si="194"/>
        <v/>
      </c>
      <c r="BQ285" s="2553" t="str">
        <f t="shared" si="195"/>
        <v/>
      </c>
      <c r="BR285" s="2553" t="str">
        <f t="shared" si="196"/>
        <v/>
      </c>
      <c r="BS285" s="2553" t="str">
        <f t="shared" si="197"/>
        <v/>
      </c>
      <c r="BT285" s="2553" t="str">
        <f t="shared" si="198"/>
        <v/>
      </c>
      <c r="BU285"/>
      <c r="BV285"/>
      <c r="BW285"/>
      <c r="BX285"/>
      <c r="BZ285"/>
      <c r="CA285"/>
      <c r="CB285" s="1793">
        <f t="shared" si="199"/>
        <v>0</v>
      </c>
      <c r="CC285" s="1793">
        <f t="shared" si="200"/>
        <v>0</v>
      </c>
      <c r="CD285" s="1793">
        <f t="shared" si="201"/>
        <v>0</v>
      </c>
      <c r="CE285" s="1793">
        <f t="shared" si="202"/>
        <v>0</v>
      </c>
    </row>
    <row r="286" spans="1:87" x14ac:dyDescent="0.25">
      <c r="A286" s="7006"/>
      <c r="B286" s="2238" t="s">
        <v>31</v>
      </c>
      <c r="C286" s="39">
        <f>SUM(D286+E286)</f>
        <v>0</v>
      </c>
      <c r="D286" s="40">
        <f t="shared" si="193"/>
        <v>0</v>
      </c>
      <c r="E286" s="37">
        <f t="shared" si="193"/>
        <v>0</v>
      </c>
      <c r="F286" s="3"/>
      <c r="G286" s="12"/>
      <c r="H286" s="3"/>
      <c r="I286" s="12"/>
      <c r="J286" s="3"/>
      <c r="K286" s="12"/>
      <c r="L286" s="3"/>
      <c r="M286" s="12"/>
      <c r="N286" s="3"/>
      <c r="O286" s="12"/>
      <c r="P286" s="3"/>
      <c r="Q286" s="12"/>
      <c r="R286" s="3"/>
      <c r="S286" s="12"/>
      <c r="T286" s="3"/>
      <c r="U286" s="12"/>
      <c r="V286" s="3"/>
      <c r="W286" s="12"/>
      <c r="X286" s="3"/>
      <c r="Y286" s="12"/>
      <c r="Z286" s="3"/>
      <c r="AA286" s="12"/>
      <c r="AB286" s="3"/>
      <c r="AC286" s="12"/>
      <c r="AD286" s="3"/>
      <c r="AE286" s="12"/>
      <c r="AF286" s="3"/>
      <c r="AG286" s="12"/>
      <c r="AH286" s="3"/>
      <c r="AI286" s="12"/>
      <c r="AJ286" s="3"/>
      <c r="AK286" s="1766"/>
      <c r="AL286" s="12"/>
      <c r="AM286" s="12"/>
      <c r="AN286" s="12"/>
      <c r="AO286" s="12"/>
      <c r="AP286" t="str">
        <f t="shared" si="194"/>
        <v/>
      </c>
      <c r="BQ286" s="2553" t="str">
        <f t="shared" si="195"/>
        <v/>
      </c>
      <c r="BR286" s="2553" t="str">
        <f t="shared" si="196"/>
        <v/>
      </c>
      <c r="BS286" s="2553" t="str">
        <f t="shared" si="197"/>
        <v/>
      </c>
      <c r="BT286" s="2553" t="str">
        <f t="shared" si="198"/>
        <v/>
      </c>
      <c r="BU286"/>
      <c r="BV286"/>
      <c r="BW286"/>
      <c r="BX286"/>
      <c r="BZ286"/>
      <c r="CA286"/>
      <c r="CB286" s="1793">
        <f t="shared" si="199"/>
        <v>0</v>
      </c>
      <c r="CC286" s="1793">
        <f t="shared" si="200"/>
        <v>0</v>
      </c>
      <c r="CD286" s="1793">
        <f t="shared" si="201"/>
        <v>0</v>
      </c>
      <c r="CE286" s="1793">
        <f t="shared" si="202"/>
        <v>0</v>
      </c>
    </row>
    <row r="287" spans="1:87" s="17" customFormat="1" ht="18" customHeight="1" x14ac:dyDescent="0.2">
      <c r="A287" s="14" t="s">
        <v>2047</v>
      </c>
      <c r="B287" s="2734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2755"/>
    </row>
    <row r="288" spans="1:87" x14ac:dyDescent="0.25">
      <c r="A288" s="6939" t="s">
        <v>2048</v>
      </c>
      <c r="B288" s="6528"/>
      <c r="C288" s="6923" t="s">
        <v>47</v>
      </c>
      <c r="D288" s="6923"/>
      <c r="E288" s="6923"/>
      <c r="F288" s="6974" t="s">
        <v>30</v>
      </c>
      <c r="G288" s="6981"/>
      <c r="H288" s="6981"/>
      <c r="I288" s="6981"/>
      <c r="J288" s="6981"/>
      <c r="K288" s="6981"/>
      <c r="L288" s="6981"/>
      <c r="M288" s="6981"/>
      <c r="N288" s="6981"/>
      <c r="O288" s="6981"/>
      <c r="P288" s="6981"/>
      <c r="Q288" s="6981"/>
      <c r="R288" s="6981"/>
      <c r="S288" s="6981"/>
      <c r="T288" s="6981"/>
      <c r="U288" s="6981"/>
      <c r="V288" s="6981"/>
      <c r="W288" s="6981"/>
      <c r="X288" s="6981"/>
      <c r="Y288" s="6981"/>
      <c r="Z288" s="6981"/>
      <c r="AA288" s="6981"/>
      <c r="AB288" s="6981"/>
      <c r="AC288" s="6981"/>
      <c r="AD288" s="6981"/>
      <c r="AE288" s="6981"/>
      <c r="AF288" s="6981"/>
      <c r="AG288" s="6981"/>
      <c r="AH288" s="6981"/>
      <c r="AI288" s="6981"/>
      <c r="AJ288" s="6981"/>
      <c r="AK288" s="6981"/>
      <c r="AL288" s="6981"/>
      <c r="AM288" s="6982"/>
      <c r="AN288" s="6928" t="s">
        <v>1467</v>
      </c>
      <c r="AO288" s="6928"/>
      <c r="AP288" s="6921"/>
      <c r="AQ288" s="6939" t="s">
        <v>48</v>
      </c>
      <c r="AR288" s="6528"/>
      <c r="AS288" s="6925" t="s">
        <v>2</v>
      </c>
      <c r="AT288" s="6925" t="s">
        <v>3</v>
      </c>
      <c r="AU288" s="6528" t="s">
        <v>49</v>
      </c>
      <c r="AV288" s="6528" t="s">
        <v>45</v>
      </c>
      <c r="BQ288"/>
      <c r="BR288"/>
      <c r="BS288"/>
      <c r="BT288"/>
      <c r="BU288"/>
      <c r="BV288"/>
      <c r="BW288"/>
      <c r="BX288"/>
      <c r="BZ288"/>
      <c r="CA288"/>
      <c r="CB288"/>
    </row>
    <row r="289" spans="1:86" x14ac:dyDescent="0.25">
      <c r="A289" s="6980"/>
      <c r="B289" s="6924"/>
      <c r="C289" s="6923"/>
      <c r="D289" s="6923"/>
      <c r="E289" s="6923"/>
      <c r="F289" s="6923" t="s">
        <v>36</v>
      </c>
      <c r="G289" s="6923"/>
      <c r="H289" s="6923" t="s">
        <v>37</v>
      </c>
      <c r="I289" s="6923"/>
      <c r="J289" s="6923" t="s">
        <v>38</v>
      </c>
      <c r="K289" s="6923"/>
      <c r="L289" s="6923" t="s">
        <v>4</v>
      </c>
      <c r="M289" s="6923"/>
      <c r="N289" s="6974" t="s">
        <v>5</v>
      </c>
      <c r="O289" s="6975"/>
      <c r="P289" s="6922" t="s">
        <v>6</v>
      </c>
      <c r="Q289" s="6922"/>
      <c r="R289" s="6922" t="s">
        <v>7</v>
      </c>
      <c r="S289" s="6922"/>
      <c r="T289" s="6922" t="s">
        <v>8</v>
      </c>
      <c r="U289" s="6922"/>
      <c r="V289" s="6922" t="s">
        <v>9</v>
      </c>
      <c r="W289" s="6922"/>
      <c r="X289" s="6922" t="s">
        <v>10</v>
      </c>
      <c r="Y289" s="6922"/>
      <c r="Z289" s="6922" t="s">
        <v>11</v>
      </c>
      <c r="AA289" s="6922"/>
      <c r="AB289" s="6922" t="s">
        <v>18</v>
      </c>
      <c r="AC289" s="6922"/>
      <c r="AD289" s="6922" t="s">
        <v>19</v>
      </c>
      <c r="AE289" s="6922"/>
      <c r="AF289" s="6922" t="s">
        <v>20</v>
      </c>
      <c r="AG289" s="6922"/>
      <c r="AH289" s="6922" t="s">
        <v>70</v>
      </c>
      <c r="AI289" s="6922"/>
      <c r="AJ289" s="6922" t="s">
        <v>71</v>
      </c>
      <c r="AK289" s="6922"/>
      <c r="AL289" s="6922" t="s">
        <v>32</v>
      </c>
      <c r="AM289" s="6983"/>
      <c r="AN289" s="6955" t="s">
        <v>50</v>
      </c>
      <c r="AO289" s="6955" t="s">
        <v>2049</v>
      </c>
      <c r="AP289" s="6528" t="s">
        <v>2050</v>
      </c>
      <c r="AQ289" s="7002"/>
      <c r="AR289" s="7003"/>
      <c r="AS289" s="6926"/>
      <c r="AT289" s="6926"/>
      <c r="AU289" s="6924"/>
      <c r="AV289" s="6924"/>
      <c r="BQ289"/>
      <c r="BR289"/>
      <c r="BS289"/>
      <c r="BT289"/>
      <c r="BU289"/>
      <c r="BV289"/>
      <c r="BW289"/>
      <c r="BX289"/>
      <c r="BZ289"/>
      <c r="CA289"/>
      <c r="CB289"/>
    </row>
    <row r="290" spans="1:86" ht="21.75" customHeight="1" x14ac:dyDescent="0.25">
      <c r="A290" s="7002"/>
      <c r="B290" s="7003"/>
      <c r="C290" s="2753" t="s">
        <v>26</v>
      </c>
      <c r="D290" s="2754" t="s">
        <v>22</v>
      </c>
      <c r="E290" s="2777" t="s">
        <v>27</v>
      </c>
      <c r="F290" s="2753" t="s">
        <v>51</v>
      </c>
      <c r="G290" s="2798" t="s">
        <v>27</v>
      </c>
      <c r="H290" s="2753" t="s">
        <v>51</v>
      </c>
      <c r="I290" s="2798" t="s">
        <v>27</v>
      </c>
      <c r="J290" s="2753" t="s">
        <v>51</v>
      </c>
      <c r="K290" s="2798" t="s">
        <v>27</v>
      </c>
      <c r="L290" s="2753" t="s">
        <v>51</v>
      </c>
      <c r="M290" s="2798" t="s">
        <v>27</v>
      </c>
      <c r="N290" s="2753" t="s">
        <v>51</v>
      </c>
      <c r="O290" s="2798" t="s">
        <v>27</v>
      </c>
      <c r="P290" s="2753" t="s">
        <v>51</v>
      </c>
      <c r="Q290" s="2798" t="s">
        <v>27</v>
      </c>
      <c r="R290" s="2753" t="s">
        <v>51</v>
      </c>
      <c r="S290" s="2798" t="s">
        <v>27</v>
      </c>
      <c r="T290" s="2753" t="s">
        <v>51</v>
      </c>
      <c r="U290" s="2798" t="s">
        <v>27</v>
      </c>
      <c r="V290" s="2753" t="s">
        <v>51</v>
      </c>
      <c r="W290" s="2798" t="s">
        <v>27</v>
      </c>
      <c r="X290" s="2753" t="s">
        <v>51</v>
      </c>
      <c r="Y290" s="2798" t="s">
        <v>27</v>
      </c>
      <c r="Z290" s="2753" t="s">
        <v>51</v>
      </c>
      <c r="AA290" s="2798" t="s">
        <v>27</v>
      </c>
      <c r="AB290" s="2753" t="s">
        <v>51</v>
      </c>
      <c r="AC290" s="2798" t="s">
        <v>27</v>
      </c>
      <c r="AD290" s="2753" t="s">
        <v>51</v>
      </c>
      <c r="AE290" s="2798" t="s">
        <v>27</v>
      </c>
      <c r="AF290" s="2753" t="s">
        <v>51</v>
      </c>
      <c r="AG290" s="2798" t="s">
        <v>27</v>
      </c>
      <c r="AH290" s="2753" t="s">
        <v>51</v>
      </c>
      <c r="AI290" s="2798" t="s">
        <v>27</v>
      </c>
      <c r="AJ290" s="2753" t="s">
        <v>51</v>
      </c>
      <c r="AK290" s="2798" t="s">
        <v>27</v>
      </c>
      <c r="AL290" s="2753" t="s">
        <v>51</v>
      </c>
      <c r="AM290" s="2774" t="s">
        <v>27</v>
      </c>
      <c r="AN290" s="7004"/>
      <c r="AO290" s="7004"/>
      <c r="AP290" s="7003"/>
      <c r="AQ290" s="2753" t="s">
        <v>41</v>
      </c>
      <c r="AR290" s="2726" t="s">
        <v>42</v>
      </c>
      <c r="AS290" s="6927"/>
      <c r="AT290" s="6927"/>
      <c r="AU290" s="7003"/>
      <c r="AV290" s="7003"/>
      <c r="BQ290"/>
      <c r="BR290"/>
      <c r="BS290"/>
      <c r="BT290"/>
      <c r="BU290"/>
      <c r="BV290"/>
      <c r="BW290"/>
      <c r="BX290"/>
      <c r="BZ290"/>
      <c r="CA290"/>
      <c r="CB290"/>
    </row>
    <row r="291" spans="1:86" s="17" customFormat="1" ht="18" customHeight="1" x14ac:dyDescent="0.2">
      <c r="A291" s="6996" t="s">
        <v>2051</v>
      </c>
      <c r="B291" s="6997"/>
      <c r="C291" s="4582">
        <f>SUM(D291+E291)</f>
        <v>0</v>
      </c>
      <c r="D291" s="4583">
        <f>SUM(F291+H291+J291+L291+N291+P291+R291+T291+V291+X291+Z291+AB291+AD291+AF291+AH291+AJ291+AL291)</f>
        <v>0</v>
      </c>
      <c r="E291" s="4584">
        <f>SUM(G291+I291+K291+M291+O291+Q291+S291+U291+W291+Y291+AA291+AC291+AE291+AG291+AI291+AK291+AM291)</f>
        <v>0</v>
      </c>
      <c r="F291" s="4582">
        <f>SUM(F301:F309)</f>
        <v>0</v>
      </c>
      <c r="G291" s="4585">
        <f>SUM(G301:G309)</f>
        <v>0</v>
      </c>
      <c r="H291" s="4582">
        <f>SUM(H301:H309)</f>
        <v>0</v>
      </c>
      <c r="I291" s="4585">
        <f>SUM(I301:I309)</f>
        <v>0</v>
      </c>
      <c r="J291" s="4582">
        <f>SUM(J301:J309)</f>
        <v>0</v>
      </c>
      <c r="K291" s="4585">
        <f>SUM(K292:K309)</f>
        <v>0</v>
      </c>
      <c r="L291" s="4582">
        <f>SUM(L301:L309)</f>
        <v>0</v>
      </c>
      <c r="M291" s="4585">
        <f>SUM(M292:M309)</f>
        <v>0</v>
      </c>
      <c r="N291" s="4582">
        <f>SUM(N301:N309)</f>
        <v>0</v>
      </c>
      <c r="O291" s="4585">
        <f>SUM(O292:O309)</f>
        <v>0</v>
      </c>
      <c r="P291" s="4582">
        <f>SUM(P301:P309)</f>
        <v>0</v>
      </c>
      <c r="Q291" s="4585">
        <f>SUM(Q292:Q309)</f>
        <v>0</v>
      </c>
      <c r="R291" s="4582">
        <f>SUM(R301:R309)</f>
        <v>0</v>
      </c>
      <c r="S291" s="4585">
        <f>SUM(S292:S309)</f>
        <v>0</v>
      </c>
      <c r="T291" s="4582">
        <f>SUM(T301:T309)</f>
        <v>0</v>
      </c>
      <c r="U291" s="4585">
        <f>SUM(U292:U309)</f>
        <v>0</v>
      </c>
      <c r="V291" s="4582">
        <f>SUM(V301:V309)</f>
        <v>0</v>
      </c>
      <c r="W291" s="4585">
        <f>SUM(W292:W309)</f>
        <v>0</v>
      </c>
      <c r="X291" s="4582">
        <f>SUM(X301:X309)</f>
        <v>0</v>
      </c>
      <c r="Y291" s="4585">
        <f>SUM(Y292:Y309)</f>
        <v>0</v>
      </c>
      <c r="Z291" s="4582">
        <f>SUM(Z301:Z309)</f>
        <v>0</v>
      </c>
      <c r="AA291" s="4585">
        <f>SUM(AA292:AA309)</f>
        <v>0</v>
      </c>
      <c r="AB291" s="4582">
        <f t="shared" ref="AB291:AM291" si="203">SUM(AB301:AB309)</f>
        <v>0</v>
      </c>
      <c r="AC291" s="4585">
        <f>SUM(AC292:AC309)</f>
        <v>0</v>
      </c>
      <c r="AD291" s="4582">
        <f t="shared" si="203"/>
        <v>0</v>
      </c>
      <c r="AE291" s="4585">
        <f t="shared" si="203"/>
        <v>0</v>
      </c>
      <c r="AF291" s="4582">
        <f t="shared" si="203"/>
        <v>0</v>
      </c>
      <c r="AG291" s="4585">
        <f t="shared" si="203"/>
        <v>0</v>
      </c>
      <c r="AH291" s="4582">
        <f t="shared" si="203"/>
        <v>0</v>
      </c>
      <c r="AI291" s="4585">
        <f t="shared" si="203"/>
        <v>0</v>
      </c>
      <c r="AJ291" s="4582">
        <f t="shared" si="203"/>
        <v>0</v>
      </c>
      <c r="AK291" s="4585">
        <f t="shared" si="203"/>
        <v>0</v>
      </c>
      <c r="AL291" s="4582">
        <f>SUM(AL301:AL309)</f>
        <v>0</v>
      </c>
      <c r="AM291" s="4586">
        <f t="shared" si="203"/>
        <v>0</v>
      </c>
      <c r="AN291" s="4587">
        <f t="shared" ref="AN291:AU291" si="204">SUM(AN292:AN309)</f>
        <v>0</v>
      </c>
      <c r="AO291" s="4587">
        <f t="shared" si="204"/>
        <v>0</v>
      </c>
      <c r="AP291" s="4588">
        <f t="shared" si="204"/>
        <v>0</v>
      </c>
      <c r="AQ291" s="4582">
        <f t="shared" si="204"/>
        <v>0</v>
      </c>
      <c r="AR291" s="4588">
        <f t="shared" si="204"/>
        <v>0</v>
      </c>
      <c r="AS291" s="4589">
        <f t="shared" si="204"/>
        <v>0</v>
      </c>
      <c r="AT291" s="4589">
        <f t="shared" si="204"/>
        <v>0</v>
      </c>
      <c r="AU291" s="4584">
        <f t="shared" si="204"/>
        <v>0</v>
      </c>
      <c r="AV291" s="4584">
        <f>SUM(AV292:AV309)</f>
        <v>0</v>
      </c>
    </row>
    <row r="292" spans="1:86" ht="15" customHeight="1" x14ac:dyDescent="0.25">
      <c r="A292" s="6998" t="s">
        <v>39</v>
      </c>
      <c r="B292" s="1767" t="s">
        <v>2052</v>
      </c>
      <c r="C292" s="2278">
        <f>SUM(E292)</f>
        <v>0</v>
      </c>
      <c r="D292" s="4578"/>
      <c r="E292" s="4579">
        <f t="shared" ref="E292:E300" si="205">SUM(K292+M292+O292+Q292+S292+U292+W292+Y292+AA292+AC292)</f>
        <v>0</v>
      </c>
      <c r="F292" s="2384"/>
      <c r="G292" s="2385"/>
      <c r="H292" s="2385"/>
      <c r="I292" s="2385"/>
      <c r="J292" s="4580"/>
      <c r="K292" s="4544"/>
      <c r="L292" s="4581"/>
      <c r="M292" s="4544"/>
      <c r="N292" s="4581"/>
      <c r="O292" s="4544"/>
      <c r="P292" s="4581"/>
      <c r="Q292" s="4544"/>
      <c r="R292" s="4581"/>
      <c r="S292" s="4544"/>
      <c r="T292" s="4581"/>
      <c r="U292" s="4544"/>
      <c r="V292" s="4581"/>
      <c r="W292" s="4544"/>
      <c r="X292" s="4581"/>
      <c r="Y292" s="4544"/>
      <c r="Z292" s="4581"/>
      <c r="AA292" s="4544"/>
      <c r="AB292" s="4581"/>
      <c r="AC292" s="4544"/>
      <c r="AD292" s="2384"/>
      <c r="AE292" s="2385"/>
      <c r="AF292" s="2385"/>
      <c r="AG292" s="2385"/>
      <c r="AH292" s="2385"/>
      <c r="AI292" s="2385"/>
      <c r="AJ292" s="2385"/>
      <c r="AK292" s="2385"/>
      <c r="AL292" s="2385"/>
      <c r="AM292" s="2386"/>
      <c r="AN292" s="1120"/>
      <c r="AO292" s="1120"/>
      <c r="AP292" s="4544"/>
      <c r="AQ292" s="2201"/>
      <c r="AR292" s="2385"/>
      <c r="AS292" s="1761"/>
      <c r="AT292" s="1761"/>
      <c r="AU292" s="4544"/>
      <c r="AV292" s="4544"/>
      <c r="AW292" t="str">
        <f>BQ292&amp;BR292&amp;BS292&amp;BT292&amp;BU292&amp;BV292&amp;BW292</f>
        <v/>
      </c>
      <c r="BQ292" s="2553" t="str">
        <f>IF((AO292+AP292)&gt;AN292," * Los Egresos Por Alta + Egresos Por Abandono no pueden ser mayor que el Total de Egresos.","")</f>
        <v/>
      </c>
      <c r="BR292" s="1791" t="str">
        <f>IF(AND(E292&gt;0,OR(AQ292=""))," * No olvide digitar la variable Trans (Masculino). Digite Cero si no tiene.",IF(AQ292&gt;E292,"  * La variable Trans (Masculino) No puede ser mayor al Total Mujeres.",""))</f>
        <v/>
      </c>
      <c r="BS292" s="1793"/>
      <c r="BT292" s="1791" t="str">
        <f>IF(AND(C292&gt;0,AS292=""), " * No olvide digitar la variable Pueblos originarios. Digite Cero si no tiene.",IF(AS292&gt;C292,"  * La variable Pueblos originarios No puede ser mayor al Total.",""))</f>
        <v/>
      </c>
      <c r="BU292" s="1791" t="str">
        <f>IF(AND(C292&gt;0,AT292=""), " * No olvide digitar la variable Migrantes. Digite Cero si no tiene.",IF(AT292&gt;C292,"  * La variable Migrantes No puede ser mayor al Total.",""))</f>
        <v/>
      </c>
      <c r="BV292" s="1791" t="str">
        <f>IF(AND(C292&gt;0,AU292=""), " * No olvide digitar la variable Niños, Niñas, adolescentes y jóvenes SENAME. Digite Cero si no tiene.",IF(AU292&gt;C292,"  * La variable Niños, Niñas, adolescentes y jóvenes SENAME No puede ser mayor al Total.",""))</f>
        <v/>
      </c>
      <c r="BW292" s="1791" t="str">
        <f>IF(AND(C292&gt;0,AV292=""), " * No olvide digitar la variable Niños, Niñas, adolescentes y jóvenes Mejor Niñez. Digite Cero si no tiene.",IF(AV292&gt;C292,"  * La variable Niños, Niñas, adolescentes y jóvenes Mejor Niñez No puede ser mayor al Total.",""))</f>
        <v/>
      </c>
      <c r="BX292"/>
      <c r="BZ292"/>
      <c r="CA292"/>
      <c r="CB292" s="1793">
        <f>IF((AO292+AP292)&gt;AN292,1,0)</f>
        <v>0</v>
      </c>
      <c r="CC292" s="1793">
        <f>IF(AND(E292&gt;0,OR(AQ292="")),1,IF(AQ292&gt;E292,1,0))</f>
        <v>0</v>
      </c>
      <c r="CD292" s="1791"/>
      <c r="CE292" s="1793">
        <f>IF(AND(C292&gt;0,AS292=""),1,IF(AS292&gt;C292,1,0))</f>
        <v>0</v>
      </c>
      <c r="CF292" s="1793">
        <f>IF(AND(C292&gt;0,AT292=""),1,IF(AT292&gt;C292,1,0))</f>
        <v>0</v>
      </c>
      <c r="CG292" s="1793">
        <f>IF(AND(C292&gt;0,AU292=""),1,IF(AU292&gt;C292,1,0))</f>
        <v>0</v>
      </c>
      <c r="CH292" s="1793">
        <f>IF(AND(C292&gt;0,AV292=""),1,IF(AV292&gt;C292,1,0))</f>
        <v>0</v>
      </c>
    </row>
    <row r="293" spans="1:86" ht="15" customHeight="1" x14ac:dyDescent="0.25">
      <c r="A293" s="6998"/>
      <c r="B293" s="1589" t="s">
        <v>2053</v>
      </c>
      <c r="C293" s="2256">
        <f>SUM(E293)</f>
        <v>0</v>
      </c>
      <c r="D293" s="2426"/>
      <c r="E293" s="1">
        <f t="shared" si="205"/>
        <v>0</v>
      </c>
      <c r="F293" s="2384"/>
      <c r="G293" s="2385"/>
      <c r="H293" s="2385"/>
      <c r="I293" s="2385"/>
      <c r="J293" s="2427"/>
      <c r="K293" s="1107"/>
      <c r="L293" s="2428"/>
      <c r="M293" s="1107"/>
      <c r="N293" s="2428"/>
      <c r="O293" s="1107"/>
      <c r="P293" s="2428"/>
      <c r="Q293" s="1107"/>
      <c r="R293" s="2428"/>
      <c r="S293" s="1107"/>
      <c r="T293" s="2428"/>
      <c r="U293" s="1107"/>
      <c r="V293" s="2428"/>
      <c r="W293" s="1107"/>
      <c r="X293" s="2428"/>
      <c r="Y293" s="1107"/>
      <c r="Z293" s="2428"/>
      <c r="AA293" s="1107"/>
      <c r="AB293" s="2428"/>
      <c r="AC293" s="1107"/>
      <c r="AD293" s="2384"/>
      <c r="AE293" s="2385"/>
      <c r="AF293" s="2385"/>
      <c r="AG293" s="2385"/>
      <c r="AH293" s="2385"/>
      <c r="AI293" s="2385"/>
      <c r="AJ293" s="2385"/>
      <c r="AK293" s="2385"/>
      <c r="AL293" s="2385"/>
      <c r="AM293" s="2386"/>
      <c r="AN293" s="1120"/>
      <c r="AO293" s="1120"/>
      <c r="AP293" s="1107"/>
      <c r="AQ293" s="2201"/>
      <c r="AR293" s="2385"/>
      <c r="AS293" s="1761"/>
      <c r="AT293" s="1761"/>
      <c r="AU293" s="1107"/>
      <c r="AV293" s="1107"/>
      <c r="AW293" t="str">
        <f t="shared" ref="AW293:AW309" si="206">BQ293&amp;BR293&amp;BS293&amp;BT293&amp;BU293&amp;BV293&amp;BW293</f>
        <v/>
      </c>
      <c r="BQ293" s="2553" t="str">
        <f t="shared" ref="BQ293:BQ309" si="207">IF((AO293+AP293)&gt;AN293," * Los Egresos Por Alta + Egresos Por Abandono no pueden ser mayor que el Total de Egresos.","")</f>
        <v/>
      </c>
      <c r="BR293" s="1791" t="str">
        <f t="shared" ref="BR293:BR309" si="208">IF(AND(E293&gt;0,OR(AQ293=""))," * No olvide digitar la variable Trans (Masculino). Digite Cero si no tiene.",IF(AQ293&gt;E293,"  * La variable Trans (Masculino) No puede ser mayor al Total Mujeres.",""))</f>
        <v/>
      </c>
      <c r="BS293" s="1793"/>
      <c r="BT293" s="1791" t="str">
        <f t="shared" ref="BT293:BT300" si="209">IF(AND(C293&gt;0,AS293=""), " * No olvide digitar la variable Pueblos originarios. Digite Cero si no tiene.",IF(AS293&gt;C293,"  * La variable Pueblos originarios No puede ser mayor al Total.",""))</f>
        <v/>
      </c>
      <c r="BU293" s="1791" t="str">
        <f t="shared" ref="BU293:BU300" si="210">IF(AND(C293&gt;0,AT293=""), " * No olvide digitar la variable Migrantes. Digite Cero si no tiene.",IF(AT293&gt;C293,"  * La variable Migrantes No puede ser mayor al Total.",""))</f>
        <v/>
      </c>
      <c r="BV293" s="1791" t="str">
        <f t="shared" ref="BV293:BV300" si="211">IF(AND(C293&gt;0,AU293=""), " * No olvide digitar la variable Niños, Niñas, adolescentes y jóvenes SENAME. Digite Cero si no tiene.",IF(AU293&gt;C293,"  * La variable Niños, Niñas, adolescentes y jóvenes SENAME No puede ser mayor al Total.",""))</f>
        <v/>
      </c>
      <c r="BW293" s="1791" t="str">
        <f t="shared" ref="BW293:BW300" si="212">IF(AND(C293&gt;0,AV293=""), " * No olvide digitar la variable Niños, Niñas, adolescentes y jóvenes Mejor Niñez. Digite Cero si no tiene.",IF(AV293&gt;C293,"  * La variable Niños, Niñas, adolescentes y jóvenes Mejor Niñez No puede ser mayor al Total.",""))</f>
        <v/>
      </c>
      <c r="BX293"/>
      <c r="BZ293"/>
      <c r="CA293"/>
      <c r="CB293" s="1793">
        <f t="shared" ref="CB293:CB309" si="213">IF((AO293+AP293)&gt;AN293,1,0)</f>
        <v>0</v>
      </c>
      <c r="CC293" s="1793">
        <f t="shared" ref="CC293:CC309" si="214">IF(AND(E293&gt;0,OR(AQ293="")),1,IF(AQ293&gt;E293,1,0))</f>
        <v>0</v>
      </c>
      <c r="CD293" s="1791"/>
      <c r="CE293" s="1793">
        <f t="shared" ref="CE293:CE309" si="215">IF(AND(C293&gt;0,AS293=""),1,IF(AS293&gt;C293,1,0))</f>
        <v>0</v>
      </c>
      <c r="CF293" s="1793">
        <f t="shared" ref="CF293:CF309" si="216">IF(AND(C293&gt;0,AT293=""),1,IF(AT293&gt;C293,1,0))</f>
        <v>0</v>
      </c>
      <c r="CG293" s="1793">
        <f t="shared" ref="CG293:CG309" si="217">IF(AND(C293&gt;0,AU293=""),1,IF(AU293&gt;C293,1,0))</f>
        <v>0</v>
      </c>
      <c r="CH293" s="1793">
        <f t="shared" ref="CH293:CH309" si="218">IF(AND(C293&gt;0,AV293=""),1,IF(AV293&gt;C293,1,0))</f>
        <v>0</v>
      </c>
    </row>
    <row r="294" spans="1:86" ht="15" customHeight="1" x14ac:dyDescent="0.25">
      <c r="A294" s="6998"/>
      <c r="B294" s="2429" t="s">
        <v>2054</v>
      </c>
      <c r="C294" s="2256">
        <f t="shared" ref="C294:C309" si="219">SUM(D294+E294)</f>
        <v>0</v>
      </c>
      <c r="D294" s="2426"/>
      <c r="E294" s="1">
        <f t="shared" si="205"/>
        <v>0</v>
      </c>
      <c r="F294" s="2384"/>
      <c r="G294" s="2385"/>
      <c r="H294" s="2385"/>
      <c r="I294" s="2385"/>
      <c r="J294" s="2427"/>
      <c r="K294" s="8"/>
      <c r="L294" s="2428"/>
      <c r="M294" s="8"/>
      <c r="N294" s="2428"/>
      <c r="O294" s="8"/>
      <c r="P294" s="2428"/>
      <c r="Q294" s="8"/>
      <c r="R294" s="2428"/>
      <c r="S294" s="8"/>
      <c r="T294" s="2428"/>
      <c r="U294" s="8"/>
      <c r="V294" s="2428"/>
      <c r="W294" s="8"/>
      <c r="X294" s="2428"/>
      <c r="Y294" s="8"/>
      <c r="Z294" s="2428"/>
      <c r="AA294" s="8"/>
      <c r="AB294" s="2428"/>
      <c r="AC294" s="8"/>
      <c r="AD294" s="2384"/>
      <c r="AE294" s="2385"/>
      <c r="AF294" s="2385"/>
      <c r="AG294" s="2385"/>
      <c r="AH294" s="2385"/>
      <c r="AI294" s="2385"/>
      <c r="AJ294" s="2385"/>
      <c r="AK294" s="2385"/>
      <c r="AL294" s="2385"/>
      <c r="AM294" s="2386"/>
      <c r="AN294" s="2204"/>
      <c r="AO294" s="2204"/>
      <c r="AP294" s="8"/>
      <c r="AQ294" s="1113"/>
      <c r="AR294" s="2385"/>
      <c r="AS294" s="1110"/>
      <c r="AT294" s="1110"/>
      <c r="AU294" s="8"/>
      <c r="AV294" s="8"/>
      <c r="AW294" t="str">
        <f t="shared" si="206"/>
        <v/>
      </c>
      <c r="BQ294" s="2553" t="str">
        <f t="shared" si="207"/>
        <v/>
      </c>
      <c r="BR294" s="1791" t="str">
        <f t="shared" si="208"/>
        <v/>
      </c>
      <c r="BS294" s="1793"/>
      <c r="BT294" s="1791" t="str">
        <f t="shared" si="209"/>
        <v/>
      </c>
      <c r="BU294" s="1791" t="str">
        <f t="shared" si="210"/>
        <v/>
      </c>
      <c r="BV294" s="1791" t="str">
        <f t="shared" si="211"/>
        <v/>
      </c>
      <c r="BW294" s="1791" t="str">
        <f t="shared" si="212"/>
        <v/>
      </c>
      <c r="BX294"/>
      <c r="BZ294"/>
      <c r="CA294"/>
      <c r="CB294" s="1793">
        <f t="shared" si="213"/>
        <v>0</v>
      </c>
      <c r="CC294" s="1793">
        <f t="shared" si="214"/>
        <v>0</v>
      </c>
      <c r="CD294" s="1791"/>
      <c r="CE294" s="1793">
        <f t="shared" si="215"/>
        <v>0</v>
      </c>
      <c r="CF294" s="1793">
        <f t="shared" si="216"/>
        <v>0</v>
      </c>
      <c r="CG294" s="1793">
        <f t="shared" si="217"/>
        <v>0</v>
      </c>
      <c r="CH294" s="1793">
        <f t="shared" si="218"/>
        <v>0</v>
      </c>
    </row>
    <row r="295" spans="1:86" ht="15" customHeight="1" x14ac:dyDescent="0.25">
      <c r="A295" s="6998"/>
      <c r="B295" s="2429" t="s">
        <v>2055</v>
      </c>
      <c r="C295" s="2256">
        <f t="shared" ref="C295:C300" si="220">SUM(E295)</f>
        <v>0</v>
      </c>
      <c r="D295" s="2426"/>
      <c r="E295" s="1">
        <f t="shared" si="205"/>
        <v>0</v>
      </c>
      <c r="F295" s="2384"/>
      <c r="G295" s="2385"/>
      <c r="H295" s="2385"/>
      <c r="I295" s="2385"/>
      <c r="J295" s="2427"/>
      <c r="K295" s="8"/>
      <c r="L295" s="2428"/>
      <c r="M295" s="8"/>
      <c r="N295" s="2428"/>
      <c r="O295" s="8"/>
      <c r="P295" s="2428"/>
      <c r="Q295" s="8"/>
      <c r="R295" s="2428"/>
      <c r="S295" s="8"/>
      <c r="T295" s="2428"/>
      <c r="U295" s="8"/>
      <c r="V295" s="2428"/>
      <c r="W295" s="8"/>
      <c r="X295" s="2428"/>
      <c r="Y295" s="8"/>
      <c r="Z295" s="2428"/>
      <c r="AA295" s="8"/>
      <c r="AB295" s="2428"/>
      <c r="AC295" s="8"/>
      <c r="AD295" s="2384"/>
      <c r="AE295" s="2385"/>
      <c r="AF295" s="2385"/>
      <c r="AG295" s="2385"/>
      <c r="AH295" s="2385"/>
      <c r="AI295" s="2385"/>
      <c r="AJ295" s="2385"/>
      <c r="AK295" s="2385"/>
      <c r="AL295" s="2385"/>
      <c r="AM295" s="2386"/>
      <c r="AN295" s="2204"/>
      <c r="AO295" s="2204"/>
      <c r="AP295" s="8"/>
      <c r="AQ295" s="1113"/>
      <c r="AR295" s="2385"/>
      <c r="AS295" s="1110"/>
      <c r="AT295" s="1110"/>
      <c r="AU295" s="8"/>
      <c r="AV295" s="8"/>
      <c r="AW295" t="str">
        <f t="shared" si="206"/>
        <v/>
      </c>
      <c r="BQ295" s="2553" t="str">
        <f t="shared" si="207"/>
        <v/>
      </c>
      <c r="BR295" s="1791" t="str">
        <f t="shared" si="208"/>
        <v/>
      </c>
      <c r="BS295" s="1793"/>
      <c r="BT295" s="1791" t="str">
        <f t="shared" si="209"/>
        <v/>
      </c>
      <c r="BU295" s="1791" t="str">
        <f t="shared" si="210"/>
        <v/>
      </c>
      <c r="BV295" s="1791" t="str">
        <f t="shared" si="211"/>
        <v/>
      </c>
      <c r="BW295" s="1791" t="str">
        <f t="shared" si="212"/>
        <v/>
      </c>
      <c r="BX295"/>
      <c r="BZ295"/>
      <c r="CA295"/>
      <c r="CB295" s="1793">
        <f t="shared" si="213"/>
        <v>0</v>
      </c>
      <c r="CC295" s="1793">
        <f t="shared" si="214"/>
        <v>0</v>
      </c>
      <c r="CD295" s="1791"/>
      <c r="CE295" s="1793">
        <f t="shared" si="215"/>
        <v>0</v>
      </c>
      <c r="CF295" s="1793">
        <f t="shared" si="216"/>
        <v>0</v>
      </c>
      <c r="CG295" s="1793">
        <f t="shared" si="217"/>
        <v>0</v>
      </c>
      <c r="CH295" s="1793">
        <f t="shared" si="218"/>
        <v>0</v>
      </c>
    </row>
    <row r="296" spans="1:86" ht="15" customHeight="1" x14ac:dyDescent="0.25">
      <c r="A296" s="6998"/>
      <c r="B296" s="2429" t="s">
        <v>2056</v>
      </c>
      <c r="C296" s="2256">
        <f t="shared" si="220"/>
        <v>0</v>
      </c>
      <c r="D296" s="2426"/>
      <c r="E296" s="1">
        <f t="shared" si="205"/>
        <v>0</v>
      </c>
      <c r="F296" s="2384"/>
      <c r="G296" s="2385"/>
      <c r="H296" s="2385"/>
      <c r="I296" s="2385"/>
      <c r="J296" s="2427"/>
      <c r="K296" s="8"/>
      <c r="L296" s="2428"/>
      <c r="M296" s="8"/>
      <c r="N296" s="2428"/>
      <c r="O296" s="8"/>
      <c r="P296" s="2428"/>
      <c r="Q296" s="8"/>
      <c r="R296" s="2428"/>
      <c r="S296" s="8"/>
      <c r="T296" s="2428"/>
      <c r="U296" s="8"/>
      <c r="V296" s="2428"/>
      <c r="W296" s="8"/>
      <c r="X296" s="2428"/>
      <c r="Y296" s="8"/>
      <c r="Z296" s="2428"/>
      <c r="AA296" s="8"/>
      <c r="AB296" s="2428"/>
      <c r="AC296" s="8"/>
      <c r="AD296" s="2384"/>
      <c r="AE296" s="2385"/>
      <c r="AF296" s="2385"/>
      <c r="AG296" s="2385"/>
      <c r="AH296" s="2385"/>
      <c r="AI296" s="2385"/>
      <c r="AJ296" s="2385"/>
      <c r="AK296" s="2385"/>
      <c r="AL296" s="2385"/>
      <c r="AM296" s="2386"/>
      <c r="AN296" s="2204"/>
      <c r="AO296" s="2204"/>
      <c r="AP296" s="8"/>
      <c r="AQ296" s="1113"/>
      <c r="AR296" s="2385"/>
      <c r="AS296" s="1110"/>
      <c r="AT296" s="1110"/>
      <c r="AU296" s="8"/>
      <c r="AV296" s="8"/>
      <c r="AW296" t="str">
        <f t="shared" si="206"/>
        <v/>
      </c>
      <c r="BQ296" s="2553" t="str">
        <f t="shared" si="207"/>
        <v/>
      </c>
      <c r="BR296" s="1791" t="str">
        <f t="shared" si="208"/>
        <v/>
      </c>
      <c r="BS296" s="1793"/>
      <c r="BT296" s="1791" t="str">
        <f t="shared" si="209"/>
        <v/>
      </c>
      <c r="BU296" s="1791" t="str">
        <f t="shared" si="210"/>
        <v/>
      </c>
      <c r="BV296" s="1791" t="str">
        <f t="shared" si="211"/>
        <v/>
      </c>
      <c r="BW296" s="1791" t="str">
        <f t="shared" si="212"/>
        <v/>
      </c>
      <c r="BX296"/>
      <c r="BZ296"/>
      <c r="CA296"/>
      <c r="CB296" s="1793">
        <f t="shared" si="213"/>
        <v>0</v>
      </c>
      <c r="CC296" s="1793">
        <f t="shared" si="214"/>
        <v>0</v>
      </c>
      <c r="CD296" s="1791"/>
      <c r="CE296" s="1793">
        <f t="shared" si="215"/>
        <v>0</v>
      </c>
      <c r="CF296" s="1793">
        <f t="shared" si="216"/>
        <v>0</v>
      </c>
      <c r="CG296" s="1793">
        <f t="shared" si="217"/>
        <v>0</v>
      </c>
      <c r="CH296" s="1793">
        <f t="shared" si="218"/>
        <v>0</v>
      </c>
    </row>
    <row r="297" spans="1:86" ht="15" customHeight="1" x14ac:dyDescent="0.25">
      <c r="A297" s="6998"/>
      <c r="B297" s="2429" t="s">
        <v>2057</v>
      </c>
      <c r="C297" s="2256">
        <f t="shared" si="220"/>
        <v>0</v>
      </c>
      <c r="D297" s="2426"/>
      <c r="E297" s="1">
        <f t="shared" si="205"/>
        <v>0</v>
      </c>
      <c r="F297" s="2384"/>
      <c r="G297" s="2385"/>
      <c r="H297" s="2385"/>
      <c r="I297" s="2385"/>
      <c r="J297" s="2427"/>
      <c r="K297" s="8"/>
      <c r="L297" s="2428"/>
      <c r="M297" s="8"/>
      <c r="N297" s="2428"/>
      <c r="O297" s="8"/>
      <c r="P297" s="2428"/>
      <c r="Q297" s="8"/>
      <c r="R297" s="2428"/>
      <c r="S297" s="8"/>
      <c r="T297" s="2428"/>
      <c r="U297" s="8"/>
      <c r="V297" s="2428"/>
      <c r="W297" s="8"/>
      <c r="X297" s="2428"/>
      <c r="Y297" s="8"/>
      <c r="Z297" s="2428"/>
      <c r="AA297" s="8"/>
      <c r="AB297" s="2428"/>
      <c r="AC297" s="8"/>
      <c r="AD297" s="2384"/>
      <c r="AE297" s="2385"/>
      <c r="AF297" s="2385"/>
      <c r="AG297" s="2385"/>
      <c r="AH297" s="2385"/>
      <c r="AI297" s="2385"/>
      <c r="AJ297" s="2385"/>
      <c r="AK297" s="2385"/>
      <c r="AL297" s="2385"/>
      <c r="AM297" s="2386"/>
      <c r="AN297" s="2204"/>
      <c r="AO297" s="2204"/>
      <c r="AP297" s="8"/>
      <c r="AQ297" s="1113"/>
      <c r="AR297" s="2385"/>
      <c r="AS297" s="1110"/>
      <c r="AT297" s="1110"/>
      <c r="AU297" s="8"/>
      <c r="AV297" s="8"/>
      <c r="AW297" t="str">
        <f t="shared" si="206"/>
        <v/>
      </c>
      <c r="BQ297" s="2553" t="str">
        <f t="shared" si="207"/>
        <v/>
      </c>
      <c r="BR297" s="1791" t="str">
        <f t="shared" si="208"/>
        <v/>
      </c>
      <c r="BS297" s="1793"/>
      <c r="BT297" s="1791" t="str">
        <f t="shared" si="209"/>
        <v/>
      </c>
      <c r="BU297" s="1791" t="str">
        <f t="shared" si="210"/>
        <v/>
      </c>
      <c r="BV297" s="1791" t="str">
        <f t="shared" si="211"/>
        <v/>
      </c>
      <c r="BW297" s="1791" t="str">
        <f t="shared" si="212"/>
        <v/>
      </c>
      <c r="BX297"/>
      <c r="BZ297"/>
      <c r="CA297"/>
      <c r="CB297" s="1793">
        <f t="shared" si="213"/>
        <v>0</v>
      </c>
      <c r="CC297" s="1793">
        <f t="shared" si="214"/>
        <v>0</v>
      </c>
      <c r="CD297" s="1791"/>
      <c r="CE297" s="1793">
        <f t="shared" si="215"/>
        <v>0</v>
      </c>
      <c r="CF297" s="1793">
        <f t="shared" si="216"/>
        <v>0</v>
      </c>
      <c r="CG297" s="1793">
        <f t="shared" si="217"/>
        <v>0</v>
      </c>
      <c r="CH297" s="1793">
        <f t="shared" si="218"/>
        <v>0</v>
      </c>
    </row>
    <row r="298" spans="1:86" ht="15" customHeight="1" x14ac:dyDescent="0.25">
      <c r="A298" s="6998"/>
      <c r="B298" s="2429" t="s">
        <v>2058</v>
      </c>
      <c r="C298" s="2256">
        <f t="shared" si="220"/>
        <v>0</v>
      </c>
      <c r="D298" s="2426"/>
      <c r="E298" s="1">
        <f t="shared" si="205"/>
        <v>0</v>
      </c>
      <c r="F298" s="2384"/>
      <c r="G298" s="2385"/>
      <c r="H298" s="2385"/>
      <c r="I298" s="2385"/>
      <c r="J298" s="2427"/>
      <c r="K298" s="8"/>
      <c r="L298" s="2428"/>
      <c r="M298" s="8"/>
      <c r="N298" s="2428"/>
      <c r="O298" s="8"/>
      <c r="P298" s="2428"/>
      <c r="Q298" s="8"/>
      <c r="R298" s="2428"/>
      <c r="S298" s="8"/>
      <c r="T298" s="2428"/>
      <c r="U298" s="8"/>
      <c r="V298" s="2428"/>
      <c r="W298" s="8"/>
      <c r="X298" s="2428"/>
      <c r="Y298" s="8"/>
      <c r="Z298" s="2428"/>
      <c r="AA298" s="8"/>
      <c r="AB298" s="2428"/>
      <c r="AC298" s="8"/>
      <c r="AD298" s="2384"/>
      <c r="AE298" s="2385"/>
      <c r="AF298" s="2385"/>
      <c r="AG298" s="2385"/>
      <c r="AH298" s="2385"/>
      <c r="AI298" s="2385"/>
      <c r="AJ298" s="2385"/>
      <c r="AK298" s="2385"/>
      <c r="AL298" s="2385"/>
      <c r="AM298" s="2386"/>
      <c r="AN298" s="2204"/>
      <c r="AO298" s="2204"/>
      <c r="AP298" s="8"/>
      <c r="AQ298" s="1113"/>
      <c r="AR298" s="2385"/>
      <c r="AS298" s="1110"/>
      <c r="AT298" s="1110"/>
      <c r="AU298" s="8"/>
      <c r="AV298" s="8"/>
      <c r="AW298" t="str">
        <f t="shared" si="206"/>
        <v/>
      </c>
      <c r="BQ298" s="2553" t="str">
        <f t="shared" si="207"/>
        <v/>
      </c>
      <c r="BR298" s="1791" t="str">
        <f t="shared" si="208"/>
        <v/>
      </c>
      <c r="BS298" s="1793"/>
      <c r="BT298" s="1791" t="str">
        <f t="shared" si="209"/>
        <v/>
      </c>
      <c r="BU298" s="1791" t="str">
        <f t="shared" si="210"/>
        <v/>
      </c>
      <c r="BV298" s="1791" t="str">
        <f t="shared" si="211"/>
        <v/>
      </c>
      <c r="BW298" s="1791" t="str">
        <f t="shared" si="212"/>
        <v/>
      </c>
      <c r="BX298"/>
      <c r="BZ298"/>
      <c r="CA298"/>
      <c r="CB298" s="1793">
        <f t="shared" si="213"/>
        <v>0</v>
      </c>
      <c r="CC298" s="1793">
        <f t="shared" si="214"/>
        <v>0</v>
      </c>
      <c r="CD298" s="1791"/>
      <c r="CE298" s="1793">
        <f t="shared" si="215"/>
        <v>0</v>
      </c>
      <c r="CF298" s="1793">
        <f t="shared" si="216"/>
        <v>0</v>
      </c>
      <c r="CG298" s="1793">
        <f t="shared" si="217"/>
        <v>0</v>
      </c>
      <c r="CH298" s="1793">
        <f t="shared" si="218"/>
        <v>0</v>
      </c>
    </row>
    <row r="299" spans="1:86" ht="15" customHeight="1" x14ac:dyDescent="0.25">
      <c r="A299" s="6998"/>
      <c r="B299" s="2429" t="s">
        <v>2059</v>
      </c>
      <c r="C299" s="2256">
        <f t="shared" si="220"/>
        <v>0</v>
      </c>
      <c r="D299" s="2426"/>
      <c r="E299" s="1">
        <f t="shared" si="205"/>
        <v>0</v>
      </c>
      <c r="F299" s="2384"/>
      <c r="G299" s="2385"/>
      <c r="H299" s="2385"/>
      <c r="I299" s="2385"/>
      <c r="J299" s="2427"/>
      <c r="K299" s="8"/>
      <c r="L299" s="2428"/>
      <c r="M299" s="8"/>
      <c r="N299" s="2428"/>
      <c r="O299" s="8"/>
      <c r="P299" s="2428"/>
      <c r="Q299" s="8"/>
      <c r="R299" s="2428"/>
      <c r="S299" s="8"/>
      <c r="T299" s="2428"/>
      <c r="U299" s="8"/>
      <c r="V299" s="2428"/>
      <c r="W299" s="8"/>
      <c r="X299" s="2428"/>
      <c r="Y299" s="8"/>
      <c r="Z299" s="2428"/>
      <c r="AA299" s="8"/>
      <c r="AB299" s="2428"/>
      <c r="AC299" s="8"/>
      <c r="AD299" s="2384"/>
      <c r="AE299" s="2385"/>
      <c r="AF299" s="2385"/>
      <c r="AG299" s="2385"/>
      <c r="AH299" s="2385"/>
      <c r="AI299" s="2385"/>
      <c r="AJ299" s="2385"/>
      <c r="AK299" s="2385"/>
      <c r="AL299" s="2385"/>
      <c r="AM299" s="2386"/>
      <c r="AN299" s="2204"/>
      <c r="AO299" s="2204"/>
      <c r="AP299" s="8"/>
      <c r="AQ299" s="1113"/>
      <c r="AR299" s="2385"/>
      <c r="AS299" s="1110"/>
      <c r="AT299" s="1110"/>
      <c r="AU299" s="8"/>
      <c r="AV299" s="8"/>
      <c r="AW299" t="str">
        <f t="shared" si="206"/>
        <v/>
      </c>
      <c r="BQ299" s="2553" t="str">
        <f t="shared" si="207"/>
        <v/>
      </c>
      <c r="BR299" s="1791" t="str">
        <f t="shared" si="208"/>
        <v/>
      </c>
      <c r="BS299" s="1793"/>
      <c r="BT299" s="1791" t="str">
        <f t="shared" si="209"/>
        <v/>
      </c>
      <c r="BU299" s="1791" t="str">
        <f t="shared" si="210"/>
        <v/>
      </c>
      <c r="BV299" s="1791" t="str">
        <f t="shared" si="211"/>
        <v/>
      </c>
      <c r="BW299" s="1791" t="str">
        <f t="shared" si="212"/>
        <v/>
      </c>
      <c r="BX299"/>
      <c r="BZ299"/>
      <c r="CA299"/>
      <c r="CB299" s="1793">
        <f t="shared" si="213"/>
        <v>0</v>
      </c>
      <c r="CC299" s="1793">
        <f t="shared" si="214"/>
        <v>0</v>
      </c>
      <c r="CD299" s="1791"/>
      <c r="CE299" s="1793">
        <f t="shared" si="215"/>
        <v>0</v>
      </c>
      <c r="CF299" s="1793">
        <f t="shared" si="216"/>
        <v>0</v>
      </c>
      <c r="CG299" s="1793">
        <f t="shared" si="217"/>
        <v>0</v>
      </c>
      <c r="CH299" s="1793">
        <f t="shared" si="218"/>
        <v>0</v>
      </c>
    </row>
    <row r="300" spans="1:86" ht="15" customHeight="1" x14ac:dyDescent="0.25">
      <c r="A300" s="6999"/>
      <c r="B300" s="1323" t="s">
        <v>2060</v>
      </c>
      <c r="C300" s="2294">
        <f t="shared" si="220"/>
        <v>0</v>
      </c>
      <c r="D300" s="2430"/>
      <c r="E300" s="2">
        <f t="shared" si="205"/>
        <v>0</v>
      </c>
      <c r="F300" s="2388"/>
      <c r="G300" s="2389"/>
      <c r="H300" s="2389"/>
      <c r="I300" s="2389"/>
      <c r="J300" s="2431"/>
      <c r="K300" s="12"/>
      <c r="L300" s="2432"/>
      <c r="M300" s="12"/>
      <c r="N300" s="2432"/>
      <c r="O300" s="12"/>
      <c r="P300" s="2432"/>
      <c r="Q300" s="12"/>
      <c r="R300" s="2432"/>
      <c r="S300" s="12"/>
      <c r="T300" s="2432"/>
      <c r="U300" s="12"/>
      <c r="V300" s="2432"/>
      <c r="W300" s="12"/>
      <c r="X300" s="2432"/>
      <c r="Y300" s="12"/>
      <c r="Z300" s="2432"/>
      <c r="AA300" s="12"/>
      <c r="AB300" s="2432"/>
      <c r="AC300" s="12"/>
      <c r="AD300" s="2388"/>
      <c r="AE300" s="2389"/>
      <c r="AF300" s="2389"/>
      <c r="AG300" s="2389"/>
      <c r="AH300" s="2389"/>
      <c r="AI300" s="2389"/>
      <c r="AJ300" s="2389"/>
      <c r="AK300" s="2389"/>
      <c r="AL300" s="2389"/>
      <c r="AM300" s="2390"/>
      <c r="AN300" s="21"/>
      <c r="AO300" s="21"/>
      <c r="AP300" s="12"/>
      <c r="AQ300" s="3"/>
      <c r="AR300" s="2389"/>
      <c r="AS300" s="30"/>
      <c r="AT300" s="30"/>
      <c r="AU300" s="12"/>
      <c r="AV300" s="12"/>
      <c r="AW300" t="str">
        <f t="shared" si="206"/>
        <v/>
      </c>
      <c r="BQ300" s="2553" t="str">
        <f t="shared" si="207"/>
        <v/>
      </c>
      <c r="BR300" s="1791" t="str">
        <f t="shared" si="208"/>
        <v/>
      </c>
      <c r="BS300" s="1793"/>
      <c r="BT300" s="1791" t="str">
        <f t="shared" si="209"/>
        <v/>
      </c>
      <c r="BU300" s="1791" t="str">
        <f t="shared" si="210"/>
        <v/>
      </c>
      <c r="BV300" s="1791" t="str">
        <f t="shared" si="211"/>
        <v/>
      </c>
      <c r="BW300" s="1791" t="str">
        <f t="shared" si="212"/>
        <v/>
      </c>
      <c r="BX300"/>
      <c r="BZ300"/>
      <c r="CA300"/>
      <c r="CB300" s="1793">
        <f t="shared" si="213"/>
        <v>0</v>
      </c>
      <c r="CC300" s="1793">
        <f t="shared" si="214"/>
        <v>0</v>
      </c>
      <c r="CD300" s="1791"/>
      <c r="CE300" s="1793">
        <f t="shared" si="215"/>
        <v>0</v>
      </c>
      <c r="CF300" s="1793">
        <f t="shared" si="216"/>
        <v>0</v>
      </c>
      <c r="CG300" s="1793">
        <f t="shared" si="217"/>
        <v>0</v>
      </c>
      <c r="CH300" s="1793">
        <f t="shared" si="218"/>
        <v>0</v>
      </c>
    </row>
    <row r="301" spans="1:86" ht="15" customHeight="1" x14ac:dyDescent="0.25">
      <c r="A301" s="7000" t="s">
        <v>2061</v>
      </c>
      <c r="B301" s="2206" t="s">
        <v>2052</v>
      </c>
      <c r="C301" s="2364">
        <f t="shared" si="219"/>
        <v>0</v>
      </c>
      <c r="D301" s="2365">
        <f>SUM(F301+H301+J301+L301+N301+P301+R301+T301+V301+X301+Z301+AB301+AD301+AF301+AH301+AJ301+AL301)</f>
        <v>0</v>
      </c>
      <c r="E301" s="2363">
        <f>SUM(G301+I301+K301+M301+O301+Q301+S301+U301+W301+Y301+AA301+AC301+AE301+AG301+AI301+AK301+AM301)</f>
        <v>0</v>
      </c>
      <c r="F301" s="2433"/>
      <c r="G301" s="2434"/>
      <c r="H301" s="2435"/>
      <c r="I301" s="2434"/>
      <c r="J301" s="2435"/>
      <c r="K301" s="1320"/>
      <c r="L301" s="2436"/>
      <c r="M301" s="2434"/>
      <c r="N301" s="2435"/>
      <c r="O301" s="2437"/>
      <c r="P301" s="2433"/>
      <c r="Q301" s="2434"/>
      <c r="R301" s="2435"/>
      <c r="S301" s="2437"/>
      <c r="T301" s="2433"/>
      <c r="U301" s="2434"/>
      <c r="V301" s="2435"/>
      <c r="W301" s="2437"/>
      <c r="X301" s="2433"/>
      <c r="Y301" s="2434"/>
      <c r="Z301" s="2435"/>
      <c r="AA301" s="2437"/>
      <c r="AB301" s="2433"/>
      <c r="AC301" s="2434"/>
      <c r="AD301" s="2435"/>
      <c r="AE301" s="2437"/>
      <c r="AF301" s="2433"/>
      <c r="AG301" s="2434"/>
      <c r="AH301" s="2435"/>
      <c r="AI301" s="2437"/>
      <c r="AJ301" s="2433"/>
      <c r="AK301" s="2434"/>
      <c r="AL301" s="2435"/>
      <c r="AM301" s="2438"/>
      <c r="AN301" s="2393"/>
      <c r="AO301" s="1120"/>
      <c r="AP301" s="1107"/>
      <c r="AQ301" s="2201"/>
      <c r="AR301" s="1107"/>
      <c r="AS301" s="1761"/>
      <c r="AT301" s="1761"/>
      <c r="AU301" s="1107"/>
      <c r="AV301" s="1107"/>
      <c r="AW301" t="str">
        <f t="shared" si="206"/>
        <v/>
      </c>
      <c r="BQ301" s="2553" t="str">
        <f t="shared" si="207"/>
        <v/>
      </c>
      <c r="BR301" s="1791" t="str">
        <f>IF(AND(E301&gt;0,OR(AQ301=""))," * No olvide digitar la variable Trans (Masculino). Digite Cero si no tiene.",IF(AQ301&gt;E301,"  * La variable Trans (Masculino) No puede ser mayor al Total Mujeres.",""))</f>
        <v/>
      </c>
      <c r="BS301" s="1791" t="str">
        <f>IF(AND(D301&gt;0,OR(AR301=""))," * No olvide digitar la variable Trans (Femenino). Digite Cero si no tiene.",IF(AR301&gt;D301,"  * La variable Trans (Femenino) No puede ser mayor al Total Hombres.",""))</f>
        <v/>
      </c>
      <c r="BT301" s="1791" t="str">
        <f t="shared" ref="BT301" si="221">IF(AND(C301&gt;0,AS301=""), " * No olvide digitar la variable Pueblos originarios. Digite Cero si no tiene.",IF(AS301&gt;C301,"  * La variable Pueblos originarios No puede ser mayor al Total.",""))</f>
        <v/>
      </c>
      <c r="BU301" s="1791" t="str">
        <f t="shared" ref="BU301" si="222">IF(AND(C301&gt;0,AT301=""), " * No olvide digitar la variable Migrantes. Digite Cero si no tiene.",IF(AT301&gt;C301,"  * La variable Migrantes No puede ser mayor al Total.",""))</f>
        <v/>
      </c>
      <c r="BV301" s="1791" t="str">
        <f t="shared" ref="BV301" si="223">IF(AND(C301&gt;0,AU301=""), " * No olvide digitar la variable Niños, Niñas, adolescentes y jóvenes SENAME. Digite Cero si no tiene.",IF(AU301&gt;C301,"  * La variable Niños, Niñas, adolescentes y jóvenes SENAME No puede ser mayor al Total.",""))</f>
        <v/>
      </c>
      <c r="BW301" s="1791" t="str">
        <f t="shared" ref="BW301" si="224">IF(AND(C301&gt;0,AV301=""), " * No olvide digitar la variable Niños, Niñas, adolescentes y jóvenes Mejor Niñez. Digite Cero si no tiene.",IF(AV301&gt;C301,"  * La variable Niños, Niñas, adolescentes y jóvenes Mejor Niñez No puede ser mayor al Total.",""))</f>
        <v/>
      </c>
      <c r="BX301"/>
      <c r="BZ301"/>
      <c r="CA301"/>
      <c r="CB301" s="1793">
        <f t="shared" si="213"/>
        <v>0</v>
      </c>
      <c r="CC301" s="1793">
        <f t="shared" si="214"/>
        <v>0</v>
      </c>
      <c r="CD301" s="1793">
        <f>IF(AND(D301&gt;0,OR(AR301="")),1,IF(AR301&gt;D301,1,0))</f>
        <v>0</v>
      </c>
      <c r="CE301" s="1793">
        <f t="shared" si="215"/>
        <v>0</v>
      </c>
      <c r="CF301" s="1793">
        <f t="shared" si="216"/>
        <v>0</v>
      </c>
      <c r="CG301" s="1793">
        <f t="shared" si="217"/>
        <v>0</v>
      </c>
      <c r="CH301" s="1793">
        <f t="shared" si="218"/>
        <v>0</v>
      </c>
    </row>
    <row r="302" spans="1:86" ht="15" customHeight="1" x14ac:dyDescent="0.25">
      <c r="A302" s="6998"/>
      <c r="B302" s="1589" t="s">
        <v>2053</v>
      </c>
      <c r="C302" s="2278">
        <f t="shared" si="219"/>
        <v>0</v>
      </c>
      <c r="D302" s="2279">
        <f t="shared" ref="D302:E309" si="225">SUM(F302+H302+J302+L302+N302+P302+R302+T302+V302+X302+Z302+AB302+AD302+AF302+AH302+AJ302+AL302)</f>
        <v>0</v>
      </c>
      <c r="E302" s="2363">
        <f t="shared" si="225"/>
        <v>0</v>
      </c>
      <c r="F302" s="2201"/>
      <c r="G302" s="1320"/>
      <c r="H302" s="2201"/>
      <c r="I302" s="1320"/>
      <c r="J302" s="2201"/>
      <c r="K302" s="1320"/>
      <c r="L302" s="2201"/>
      <c r="M302" s="1320"/>
      <c r="N302" s="1120"/>
      <c r="O302" s="1319"/>
      <c r="P302" s="2201"/>
      <c r="Q302" s="1320"/>
      <c r="R302" s="1120"/>
      <c r="S302" s="1319"/>
      <c r="T302" s="2201"/>
      <c r="U302" s="1320"/>
      <c r="V302" s="1120"/>
      <c r="W302" s="1319"/>
      <c r="X302" s="2201"/>
      <c r="Y302" s="1320"/>
      <c r="Z302" s="1120"/>
      <c r="AA302" s="1319"/>
      <c r="AB302" s="2201"/>
      <c r="AC302" s="1320"/>
      <c r="AD302" s="1120"/>
      <c r="AE302" s="1319"/>
      <c r="AF302" s="2201"/>
      <c r="AG302" s="1320"/>
      <c r="AH302" s="1120"/>
      <c r="AI302" s="1319"/>
      <c r="AJ302" s="2201"/>
      <c r="AK302" s="1320"/>
      <c r="AL302" s="1120"/>
      <c r="AM302" s="1322"/>
      <c r="AN302" s="1120"/>
      <c r="AO302" s="1120"/>
      <c r="AP302" s="1107"/>
      <c r="AQ302" s="2201"/>
      <c r="AR302" s="1107"/>
      <c r="AS302" s="1761"/>
      <c r="AT302" s="1761"/>
      <c r="AU302" s="1107"/>
      <c r="AV302" s="1107"/>
      <c r="AW302" t="str">
        <f t="shared" si="206"/>
        <v/>
      </c>
      <c r="BQ302" s="2553" t="str">
        <f t="shared" si="207"/>
        <v/>
      </c>
      <c r="BR302" s="1791" t="str">
        <f t="shared" si="208"/>
        <v/>
      </c>
      <c r="BS302" s="1791" t="str">
        <f t="shared" ref="BS302:BS309" si="226">IF(AND(D302&gt;0,OR(AR302=""))," * No olvide digitar la variable Trans (Femenino). Digite Cero si no tiene.",IF(AR302&gt;D302,"  * La variable Trans (Femenino) No puede ser mayor al Total Hombres.",""))</f>
        <v/>
      </c>
      <c r="BT302" s="1791" t="str">
        <f t="shared" ref="BT302:BT309" si="227">IF(AND(C302&gt;0,AS302=""), " * No olvide digitar la variable Pueblos originarios. Digite Cero si no tiene.",IF(AS302&gt;C302,"  * La variable Pueblos originarios No puede ser mayor al Total.",""))</f>
        <v/>
      </c>
      <c r="BU302" s="1791" t="str">
        <f t="shared" ref="BU302:BU309" si="228">IF(AND(C302&gt;0,AT302=""), " * No olvide digitar la variable Migrantes. Digite Cero si no tiene.",IF(AT302&gt;C302,"  * La variable Migrantes No puede ser mayor al Total.",""))</f>
        <v/>
      </c>
      <c r="BV302" s="1791" t="str">
        <f t="shared" ref="BV302:BV309" si="229">IF(AND(C302&gt;0,AU302=""), " * No olvide digitar la variable Niños, Niñas, adolescentes y jóvenes SENAME. Digite Cero si no tiene.",IF(AU302&gt;C302,"  * La variable Niños, Niñas, adolescentes y jóvenes SENAME No puede ser mayor al Total.",""))</f>
        <v/>
      </c>
      <c r="BW302" s="1791" t="str">
        <f t="shared" ref="BW302:BW309" si="230">IF(AND(C302&gt;0,AV302=""), " * No olvide digitar la variable Niños, Niñas, adolescentes y jóvenes Mejor Niñez. Digite Cero si no tiene.",IF(AV302&gt;C302,"  * La variable Niños, Niñas, adolescentes y jóvenes Mejor Niñez No puede ser mayor al Total.",""))</f>
        <v/>
      </c>
      <c r="BX302"/>
      <c r="BZ302"/>
      <c r="CA302"/>
      <c r="CB302" s="1793">
        <f t="shared" si="213"/>
        <v>0</v>
      </c>
      <c r="CC302" s="1793">
        <f t="shared" si="214"/>
        <v>0</v>
      </c>
      <c r="CD302" s="1793">
        <f t="shared" ref="CD302:CD308" si="231">IF(AND(D302&gt;0,OR(AR302="")),1,IF(AR302&gt;D302,1,0))</f>
        <v>0</v>
      </c>
      <c r="CE302" s="1793">
        <f t="shared" si="215"/>
        <v>0</v>
      </c>
      <c r="CF302" s="1793">
        <f t="shared" si="216"/>
        <v>0</v>
      </c>
      <c r="CG302" s="1793">
        <f t="shared" si="217"/>
        <v>0</v>
      </c>
      <c r="CH302" s="1793">
        <f t="shared" si="218"/>
        <v>0</v>
      </c>
    </row>
    <row r="303" spans="1:86" ht="15" customHeight="1" x14ac:dyDescent="0.25">
      <c r="A303" s="6998"/>
      <c r="B303" s="2429" t="s">
        <v>2054</v>
      </c>
      <c r="C303" s="2256">
        <f t="shared" si="219"/>
        <v>0</v>
      </c>
      <c r="D303" s="2257">
        <f t="shared" si="225"/>
        <v>0</v>
      </c>
      <c r="E303" s="1">
        <f t="shared" si="225"/>
        <v>0</v>
      </c>
      <c r="F303" s="1113"/>
      <c r="G303" s="1117"/>
      <c r="H303" s="1113"/>
      <c r="I303" s="1117"/>
      <c r="J303" s="1113"/>
      <c r="K303" s="1117"/>
      <c r="L303" s="1113"/>
      <c r="M303" s="1117"/>
      <c r="N303" s="1113"/>
      <c r="O303" s="1301"/>
      <c r="P303" s="1113"/>
      <c r="Q303" s="1117"/>
      <c r="R303" s="2204"/>
      <c r="S303" s="1301"/>
      <c r="T303" s="1113"/>
      <c r="U303" s="1117"/>
      <c r="V303" s="2204"/>
      <c r="W303" s="1301"/>
      <c r="X303" s="1113"/>
      <c r="Y303" s="1117"/>
      <c r="Z303" s="2204"/>
      <c r="AA303" s="1301"/>
      <c r="AB303" s="1113"/>
      <c r="AC303" s="1117"/>
      <c r="AD303" s="2204"/>
      <c r="AE303" s="1301"/>
      <c r="AF303" s="1113"/>
      <c r="AG303" s="1117"/>
      <c r="AH303" s="2204"/>
      <c r="AI303" s="1301"/>
      <c r="AJ303" s="1113"/>
      <c r="AK303" s="1117"/>
      <c r="AL303" s="2204"/>
      <c r="AM303" s="1118"/>
      <c r="AN303" s="2204"/>
      <c r="AO303" s="2204"/>
      <c r="AP303" s="8"/>
      <c r="AQ303" s="1113"/>
      <c r="AR303" s="8"/>
      <c r="AS303" s="1110"/>
      <c r="AT303" s="1110"/>
      <c r="AU303" s="8"/>
      <c r="AV303" s="8"/>
      <c r="AW303" t="str">
        <f t="shared" si="206"/>
        <v/>
      </c>
      <c r="BQ303" s="2553" t="str">
        <f t="shared" si="207"/>
        <v/>
      </c>
      <c r="BR303" s="1791" t="str">
        <f t="shared" si="208"/>
        <v/>
      </c>
      <c r="BS303" s="1791" t="str">
        <f t="shared" si="226"/>
        <v/>
      </c>
      <c r="BT303" s="1791" t="str">
        <f t="shared" si="227"/>
        <v/>
      </c>
      <c r="BU303" s="1791" t="str">
        <f t="shared" si="228"/>
        <v/>
      </c>
      <c r="BV303" s="1791" t="str">
        <f t="shared" si="229"/>
        <v/>
      </c>
      <c r="BW303" s="1791" t="str">
        <f t="shared" si="230"/>
        <v/>
      </c>
      <c r="BX303"/>
      <c r="BZ303"/>
      <c r="CA303"/>
      <c r="CB303" s="1793">
        <f t="shared" si="213"/>
        <v>0</v>
      </c>
      <c r="CC303" s="1793">
        <f t="shared" si="214"/>
        <v>0</v>
      </c>
      <c r="CD303" s="1793">
        <f t="shared" si="231"/>
        <v>0</v>
      </c>
      <c r="CE303" s="1793">
        <f t="shared" si="215"/>
        <v>0</v>
      </c>
      <c r="CF303" s="1793">
        <f t="shared" si="216"/>
        <v>0</v>
      </c>
      <c r="CG303" s="1793">
        <f t="shared" si="217"/>
        <v>0</v>
      </c>
      <c r="CH303" s="1793">
        <f t="shared" si="218"/>
        <v>0</v>
      </c>
    </row>
    <row r="304" spans="1:86" ht="15" customHeight="1" x14ac:dyDescent="0.25">
      <c r="A304" s="6998"/>
      <c r="B304" s="2429" t="s">
        <v>2055</v>
      </c>
      <c r="C304" s="2256">
        <f t="shared" si="219"/>
        <v>0</v>
      </c>
      <c r="D304" s="2257">
        <f t="shared" si="225"/>
        <v>0</v>
      </c>
      <c r="E304" s="1">
        <f t="shared" si="225"/>
        <v>0</v>
      </c>
      <c r="F304" s="1113"/>
      <c r="G304" s="1117"/>
      <c r="H304" s="1113"/>
      <c r="I304" s="1117"/>
      <c r="J304" s="1113"/>
      <c r="K304" s="1117"/>
      <c r="L304" s="1113"/>
      <c r="M304" s="1117"/>
      <c r="N304" s="1113"/>
      <c r="O304" s="1301"/>
      <c r="P304" s="1113"/>
      <c r="Q304" s="1117"/>
      <c r="R304" s="2204"/>
      <c r="S304" s="1301"/>
      <c r="T304" s="1113"/>
      <c r="U304" s="1117"/>
      <c r="V304" s="2204"/>
      <c r="W304" s="1301"/>
      <c r="X304" s="1113"/>
      <c r="Y304" s="1117"/>
      <c r="Z304" s="2204"/>
      <c r="AA304" s="1301"/>
      <c r="AB304" s="1113"/>
      <c r="AC304" s="1117"/>
      <c r="AD304" s="2204"/>
      <c r="AE304" s="1301"/>
      <c r="AF304" s="1113"/>
      <c r="AG304" s="1117"/>
      <c r="AH304" s="2204"/>
      <c r="AI304" s="1301"/>
      <c r="AJ304" s="1113"/>
      <c r="AK304" s="1117"/>
      <c r="AL304" s="2204"/>
      <c r="AM304" s="1118"/>
      <c r="AN304" s="2204"/>
      <c r="AO304" s="2204"/>
      <c r="AP304" s="8"/>
      <c r="AQ304" s="1113"/>
      <c r="AR304" s="8"/>
      <c r="AS304" s="1110"/>
      <c r="AT304" s="1110"/>
      <c r="AU304" s="8"/>
      <c r="AV304" s="8"/>
      <c r="AW304" t="str">
        <f t="shared" si="206"/>
        <v/>
      </c>
      <c r="BQ304" s="2553" t="str">
        <f t="shared" si="207"/>
        <v/>
      </c>
      <c r="BR304" s="1791" t="str">
        <f t="shared" si="208"/>
        <v/>
      </c>
      <c r="BS304" s="1791" t="str">
        <f t="shared" si="226"/>
        <v/>
      </c>
      <c r="BT304" s="1791" t="str">
        <f t="shared" si="227"/>
        <v/>
      </c>
      <c r="BU304" s="1791" t="str">
        <f t="shared" si="228"/>
        <v/>
      </c>
      <c r="BV304" s="1791" t="str">
        <f t="shared" si="229"/>
        <v/>
      </c>
      <c r="BW304" s="1791" t="str">
        <f t="shared" si="230"/>
        <v/>
      </c>
      <c r="BX304"/>
      <c r="BZ304"/>
      <c r="CA304"/>
      <c r="CB304" s="1793">
        <f t="shared" si="213"/>
        <v>0</v>
      </c>
      <c r="CC304" s="1793">
        <f t="shared" si="214"/>
        <v>0</v>
      </c>
      <c r="CD304" s="1793">
        <f t="shared" si="231"/>
        <v>0</v>
      </c>
      <c r="CE304" s="1793">
        <f t="shared" si="215"/>
        <v>0</v>
      </c>
      <c r="CF304" s="1793">
        <f t="shared" si="216"/>
        <v>0</v>
      </c>
      <c r="CG304" s="1793">
        <f t="shared" si="217"/>
        <v>0</v>
      </c>
      <c r="CH304" s="1793">
        <f t="shared" si="218"/>
        <v>0</v>
      </c>
    </row>
    <row r="305" spans="1:86" ht="15" customHeight="1" x14ac:dyDescent="0.25">
      <c r="A305" s="6998"/>
      <c r="B305" s="2429" t="s">
        <v>2056</v>
      </c>
      <c r="C305" s="2256">
        <f t="shared" si="219"/>
        <v>0</v>
      </c>
      <c r="D305" s="2257">
        <f t="shared" si="225"/>
        <v>0</v>
      </c>
      <c r="E305" s="1">
        <f t="shared" si="225"/>
        <v>0</v>
      </c>
      <c r="F305" s="1113"/>
      <c r="G305" s="1117"/>
      <c r="H305" s="1113"/>
      <c r="I305" s="1117"/>
      <c r="J305" s="1113"/>
      <c r="K305" s="1117"/>
      <c r="L305" s="1113"/>
      <c r="M305" s="1117"/>
      <c r="N305" s="1113"/>
      <c r="O305" s="1301"/>
      <c r="P305" s="1113"/>
      <c r="Q305" s="1117"/>
      <c r="R305" s="2204"/>
      <c r="S305" s="1301"/>
      <c r="T305" s="1113"/>
      <c r="U305" s="1117"/>
      <c r="V305" s="2204"/>
      <c r="W305" s="1301"/>
      <c r="X305" s="1113"/>
      <c r="Y305" s="1117"/>
      <c r="Z305" s="2204"/>
      <c r="AA305" s="1301"/>
      <c r="AB305" s="1113"/>
      <c r="AC305" s="1117"/>
      <c r="AD305" s="2204"/>
      <c r="AE305" s="1301"/>
      <c r="AF305" s="1113"/>
      <c r="AG305" s="1117"/>
      <c r="AH305" s="2204"/>
      <c r="AI305" s="1301"/>
      <c r="AJ305" s="1113"/>
      <c r="AK305" s="1117"/>
      <c r="AL305" s="2204"/>
      <c r="AM305" s="1118"/>
      <c r="AN305" s="2204"/>
      <c r="AO305" s="2204"/>
      <c r="AP305" s="8"/>
      <c r="AQ305" s="1113"/>
      <c r="AR305" s="8"/>
      <c r="AS305" s="1110"/>
      <c r="AT305" s="1110"/>
      <c r="AU305" s="8"/>
      <c r="AV305" s="8"/>
      <c r="AW305" t="str">
        <f t="shared" si="206"/>
        <v/>
      </c>
      <c r="BQ305" s="2553" t="str">
        <f t="shared" si="207"/>
        <v/>
      </c>
      <c r="BR305" s="1791" t="str">
        <f t="shared" si="208"/>
        <v/>
      </c>
      <c r="BS305" s="1791" t="str">
        <f t="shared" si="226"/>
        <v/>
      </c>
      <c r="BT305" s="1791" t="str">
        <f t="shared" si="227"/>
        <v/>
      </c>
      <c r="BU305" s="1791" t="str">
        <f t="shared" si="228"/>
        <v/>
      </c>
      <c r="BV305" s="1791" t="str">
        <f t="shared" si="229"/>
        <v/>
      </c>
      <c r="BW305" s="1791" t="str">
        <f t="shared" si="230"/>
        <v/>
      </c>
      <c r="BX305"/>
      <c r="BZ305"/>
      <c r="CA305"/>
      <c r="CB305" s="1793">
        <f t="shared" si="213"/>
        <v>0</v>
      </c>
      <c r="CC305" s="1793">
        <f t="shared" si="214"/>
        <v>0</v>
      </c>
      <c r="CD305" s="1793">
        <f t="shared" si="231"/>
        <v>0</v>
      </c>
      <c r="CE305" s="1793">
        <f t="shared" si="215"/>
        <v>0</v>
      </c>
      <c r="CF305" s="1793">
        <f t="shared" si="216"/>
        <v>0</v>
      </c>
      <c r="CG305" s="1793">
        <f t="shared" si="217"/>
        <v>0</v>
      </c>
      <c r="CH305" s="1793">
        <f t="shared" si="218"/>
        <v>0</v>
      </c>
    </row>
    <row r="306" spans="1:86" ht="15" customHeight="1" x14ac:dyDescent="0.25">
      <c r="A306" s="6998"/>
      <c r="B306" s="2429" t="s">
        <v>2057</v>
      </c>
      <c r="C306" s="2256">
        <f t="shared" si="219"/>
        <v>0</v>
      </c>
      <c r="D306" s="2257">
        <f t="shared" si="225"/>
        <v>0</v>
      </c>
      <c r="E306" s="1">
        <f t="shared" si="225"/>
        <v>0</v>
      </c>
      <c r="F306" s="1113"/>
      <c r="G306" s="1117"/>
      <c r="H306" s="1113"/>
      <c r="I306" s="1117"/>
      <c r="J306" s="1113"/>
      <c r="K306" s="1117"/>
      <c r="L306" s="1113"/>
      <c r="M306" s="1117"/>
      <c r="N306" s="1113"/>
      <c r="O306" s="1301"/>
      <c r="P306" s="1113"/>
      <c r="Q306" s="1117"/>
      <c r="R306" s="2204"/>
      <c r="S306" s="1301"/>
      <c r="T306" s="1113"/>
      <c r="U306" s="1117"/>
      <c r="V306" s="2204"/>
      <c r="W306" s="1301"/>
      <c r="X306" s="1113"/>
      <c r="Y306" s="1117"/>
      <c r="Z306" s="2204"/>
      <c r="AA306" s="1301"/>
      <c r="AB306" s="1113"/>
      <c r="AC306" s="1117"/>
      <c r="AD306" s="2204"/>
      <c r="AE306" s="1301"/>
      <c r="AF306" s="1113"/>
      <c r="AG306" s="1117"/>
      <c r="AH306" s="2204"/>
      <c r="AI306" s="1301"/>
      <c r="AJ306" s="1113"/>
      <c r="AK306" s="1117"/>
      <c r="AL306" s="2204"/>
      <c r="AM306" s="1118"/>
      <c r="AN306" s="2204"/>
      <c r="AO306" s="2204"/>
      <c r="AP306" s="8"/>
      <c r="AQ306" s="1113"/>
      <c r="AR306" s="8"/>
      <c r="AS306" s="1110"/>
      <c r="AT306" s="1110"/>
      <c r="AU306" s="8"/>
      <c r="AV306" s="8"/>
      <c r="AW306" t="str">
        <f>BQ306&amp;BR306&amp;BS306&amp;BT306&amp;BU306&amp;BV306&amp;BW306</f>
        <v/>
      </c>
      <c r="BQ306" s="2553" t="str">
        <f t="shared" si="207"/>
        <v/>
      </c>
      <c r="BR306" s="1791" t="str">
        <f t="shared" si="208"/>
        <v/>
      </c>
      <c r="BS306" s="1791" t="str">
        <f t="shared" si="226"/>
        <v/>
      </c>
      <c r="BT306" s="1791" t="str">
        <f t="shared" si="227"/>
        <v/>
      </c>
      <c r="BU306" s="1791" t="str">
        <f t="shared" si="228"/>
        <v/>
      </c>
      <c r="BV306" s="1791" t="str">
        <f t="shared" si="229"/>
        <v/>
      </c>
      <c r="BW306" s="1791" t="str">
        <f t="shared" si="230"/>
        <v/>
      </c>
      <c r="BX306"/>
      <c r="BZ306"/>
      <c r="CA306"/>
      <c r="CB306" s="1793">
        <f t="shared" si="213"/>
        <v>0</v>
      </c>
      <c r="CC306" s="1793">
        <f t="shared" si="214"/>
        <v>0</v>
      </c>
      <c r="CD306" s="1793">
        <f t="shared" si="231"/>
        <v>0</v>
      </c>
      <c r="CE306" s="1793">
        <f t="shared" si="215"/>
        <v>0</v>
      </c>
      <c r="CF306" s="1793">
        <f t="shared" si="216"/>
        <v>0</v>
      </c>
      <c r="CG306" s="1793">
        <f t="shared" si="217"/>
        <v>0</v>
      </c>
      <c r="CH306" s="1793">
        <f t="shared" si="218"/>
        <v>0</v>
      </c>
    </row>
    <row r="307" spans="1:86" ht="15" customHeight="1" x14ac:dyDescent="0.25">
      <c r="A307" s="6998"/>
      <c r="B307" s="2429" t="s">
        <v>2058</v>
      </c>
      <c r="C307" s="2256">
        <f t="shared" si="219"/>
        <v>0</v>
      </c>
      <c r="D307" s="2257">
        <f t="shared" si="225"/>
        <v>0</v>
      </c>
      <c r="E307" s="1">
        <f t="shared" si="225"/>
        <v>0</v>
      </c>
      <c r="F307" s="1113"/>
      <c r="G307" s="1117"/>
      <c r="H307" s="1113"/>
      <c r="I307" s="1117"/>
      <c r="J307" s="1113"/>
      <c r="K307" s="1117"/>
      <c r="L307" s="1113"/>
      <c r="M307" s="1117"/>
      <c r="N307" s="1113"/>
      <c r="O307" s="1301"/>
      <c r="P307" s="1113"/>
      <c r="Q307" s="1117"/>
      <c r="R307" s="2204"/>
      <c r="S307" s="1301"/>
      <c r="T307" s="1113"/>
      <c r="U307" s="1117"/>
      <c r="V307" s="2204"/>
      <c r="W307" s="1301"/>
      <c r="X307" s="1113"/>
      <c r="Y307" s="1117"/>
      <c r="Z307" s="2204"/>
      <c r="AA307" s="1301"/>
      <c r="AB307" s="1113"/>
      <c r="AC307" s="1117"/>
      <c r="AD307" s="2204"/>
      <c r="AE307" s="1301"/>
      <c r="AF307" s="1113"/>
      <c r="AG307" s="1117"/>
      <c r="AH307" s="2204"/>
      <c r="AI307" s="1301"/>
      <c r="AJ307" s="1113"/>
      <c r="AK307" s="1117"/>
      <c r="AL307" s="2204"/>
      <c r="AM307" s="1118"/>
      <c r="AN307" s="2204"/>
      <c r="AO307" s="2204"/>
      <c r="AP307" s="8"/>
      <c r="AQ307" s="1113"/>
      <c r="AR307" s="8"/>
      <c r="AS307" s="1110"/>
      <c r="AT307" s="1110"/>
      <c r="AU307" s="8"/>
      <c r="AV307" s="8"/>
      <c r="AW307" t="str">
        <f t="shared" si="206"/>
        <v/>
      </c>
      <c r="BQ307" s="2553" t="str">
        <f t="shared" si="207"/>
        <v/>
      </c>
      <c r="BR307" s="1791" t="str">
        <f t="shared" si="208"/>
        <v/>
      </c>
      <c r="BS307" s="1791" t="str">
        <f t="shared" si="226"/>
        <v/>
      </c>
      <c r="BT307" s="1791" t="str">
        <f t="shared" si="227"/>
        <v/>
      </c>
      <c r="BU307" s="1791" t="str">
        <f t="shared" si="228"/>
        <v/>
      </c>
      <c r="BV307" s="1791" t="str">
        <f t="shared" si="229"/>
        <v/>
      </c>
      <c r="BW307" s="1791" t="str">
        <f t="shared" si="230"/>
        <v/>
      </c>
      <c r="BX307"/>
      <c r="BZ307"/>
      <c r="CA307"/>
      <c r="CB307" s="1793">
        <f t="shared" si="213"/>
        <v>0</v>
      </c>
      <c r="CC307" s="1793">
        <f t="shared" si="214"/>
        <v>0</v>
      </c>
      <c r="CD307" s="1793">
        <f t="shared" si="231"/>
        <v>0</v>
      </c>
      <c r="CE307" s="1793">
        <f t="shared" si="215"/>
        <v>0</v>
      </c>
      <c r="CF307" s="1793">
        <f t="shared" si="216"/>
        <v>0</v>
      </c>
      <c r="CG307" s="1793">
        <f t="shared" si="217"/>
        <v>0</v>
      </c>
      <c r="CH307" s="1793">
        <f t="shared" si="218"/>
        <v>0</v>
      </c>
    </row>
    <row r="308" spans="1:86" ht="15" customHeight="1" x14ac:dyDescent="0.25">
      <c r="A308" s="6998"/>
      <c r="B308" s="2429" t="s">
        <v>2059</v>
      </c>
      <c r="C308" s="2256">
        <f t="shared" si="219"/>
        <v>0</v>
      </c>
      <c r="D308" s="2257">
        <f t="shared" si="225"/>
        <v>0</v>
      </c>
      <c r="E308" s="1">
        <f t="shared" si="225"/>
        <v>0</v>
      </c>
      <c r="F308" s="1113"/>
      <c r="G308" s="1117"/>
      <c r="H308" s="1113"/>
      <c r="I308" s="1117"/>
      <c r="J308" s="1113"/>
      <c r="K308" s="1117"/>
      <c r="L308" s="1113"/>
      <c r="M308" s="1117"/>
      <c r="N308" s="1113"/>
      <c r="O308" s="1301"/>
      <c r="P308" s="1113"/>
      <c r="Q308" s="1117"/>
      <c r="R308" s="2204"/>
      <c r="S308" s="1301"/>
      <c r="T308" s="1113"/>
      <c r="U308" s="1117"/>
      <c r="V308" s="2204"/>
      <c r="W308" s="1301"/>
      <c r="X308" s="1113"/>
      <c r="Y308" s="1117"/>
      <c r="Z308" s="2204"/>
      <c r="AA308" s="1301"/>
      <c r="AB308" s="1113"/>
      <c r="AC308" s="1117"/>
      <c r="AD308" s="2204"/>
      <c r="AE308" s="1301"/>
      <c r="AF308" s="1113"/>
      <c r="AG308" s="1117"/>
      <c r="AH308" s="2204"/>
      <c r="AI308" s="1301"/>
      <c r="AJ308" s="1113"/>
      <c r="AK308" s="1117"/>
      <c r="AL308" s="2204"/>
      <c r="AM308" s="1118"/>
      <c r="AN308" s="2204"/>
      <c r="AO308" s="2204"/>
      <c r="AP308" s="8"/>
      <c r="AQ308" s="1113"/>
      <c r="AR308" s="8"/>
      <c r="AS308" s="1110"/>
      <c r="AT308" s="1110"/>
      <c r="AU308" s="8"/>
      <c r="AV308" s="8"/>
      <c r="AW308" t="str">
        <f t="shared" si="206"/>
        <v/>
      </c>
      <c r="BQ308" s="2553" t="str">
        <f t="shared" si="207"/>
        <v/>
      </c>
      <c r="BR308" s="1791" t="str">
        <f t="shared" si="208"/>
        <v/>
      </c>
      <c r="BS308" s="1791" t="str">
        <f t="shared" si="226"/>
        <v/>
      </c>
      <c r="BT308" s="1791" t="str">
        <f t="shared" si="227"/>
        <v/>
      </c>
      <c r="BU308" s="1791" t="str">
        <f t="shared" si="228"/>
        <v/>
      </c>
      <c r="BV308" s="1791" t="str">
        <f t="shared" si="229"/>
        <v/>
      </c>
      <c r="BW308" s="1791" t="str">
        <f t="shared" si="230"/>
        <v/>
      </c>
      <c r="BX308"/>
      <c r="BZ308"/>
      <c r="CA308"/>
      <c r="CB308" s="1793">
        <f t="shared" si="213"/>
        <v>0</v>
      </c>
      <c r="CC308" s="1793">
        <f t="shared" si="214"/>
        <v>0</v>
      </c>
      <c r="CD308" s="1793">
        <f t="shared" si="231"/>
        <v>0</v>
      </c>
      <c r="CE308" s="1793">
        <f t="shared" si="215"/>
        <v>0</v>
      </c>
      <c r="CF308" s="1793">
        <f t="shared" si="216"/>
        <v>0</v>
      </c>
      <c r="CG308" s="1793">
        <f t="shared" si="217"/>
        <v>0</v>
      </c>
      <c r="CH308" s="1793">
        <f t="shared" si="218"/>
        <v>0</v>
      </c>
    </row>
    <row r="309" spans="1:86" ht="15" customHeight="1" x14ac:dyDescent="0.25">
      <c r="A309" s="7001"/>
      <c r="B309" s="1323" t="s">
        <v>2060</v>
      </c>
      <c r="C309" s="2294">
        <f t="shared" si="219"/>
        <v>0</v>
      </c>
      <c r="D309" s="28">
        <f t="shared" si="225"/>
        <v>0</v>
      </c>
      <c r="E309" s="2">
        <f t="shared" si="225"/>
        <v>0</v>
      </c>
      <c r="F309" s="3"/>
      <c r="G309" s="6"/>
      <c r="H309" s="3"/>
      <c r="I309" s="6"/>
      <c r="J309" s="3"/>
      <c r="K309" s="6"/>
      <c r="L309" s="3"/>
      <c r="M309" s="6"/>
      <c r="N309" s="3"/>
      <c r="O309" s="1338"/>
      <c r="P309" s="3"/>
      <c r="Q309" s="6"/>
      <c r="R309" s="21"/>
      <c r="S309" s="1338"/>
      <c r="T309" s="3"/>
      <c r="U309" s="6"/>
      <c r="V309" s="21"/>
      <c r="W309" s="1338"/>
      <c r="X309" s="3"/>
      <c r="Y309" s="6"/>
      <c r="Z309" s="21"/>
      <c r="AA309" s="1338"/>
      <c r="AB309" s="3"/>
      <c r="AC309" s="6"/>
      <c r="AD309" s="21"/>
      <c r="AE309" s="1338"/>
      <c r="AF309" s="3"/>
      <c r="AG309" s="6"/>
      <c r="AH309" s="21"/>
      <c r="AI309" s="1338"/>
      <c r="AJ309" s="3"/>
      <c r="AK309" s="6"/>
      <c r="AL309" s="21"/>
      <c r="AM309" s="5"/>
      <c r="AN309" s="21"/>
      <c r="AO309" s="21"/>
      <c r="AP309" s="12"/>
      <c r="AQ309" s="3"/>
      <c r="AR309" s="12"/>
      <c r="AS309" s="30"/>
      <c r="AT309" s="12"/>
      <c r="AU309" s="12"/>
      <c r="AV309" s="12"/>
      <c r="AW309" t="str">
        <f t="shared" si="206"/>
        <v/>
      </c>
      <c r="BQ309" s="2553" t="str">
        <f t="shared" si="207"/>
        <v/>
      </c>
      <c r="BR309" s="1791" t="str">
        <f t="shared" si="208"/>
        <v/>
      </c>
      <c r="BS309" s="1791" t="str">
        <f t="shared" si="226"/>
        <v/>
      </c>
      <c r="BT309" s="1791" t="str">
        <f t="shared" si="227"/>
        <v/>
      </c>
      <c r="BU309" s="1791" t="str">
        <f t="shared" si="228"/>
        <v/>
      </c>
      <c r="BV309" s="1791" t="str">
        <f t="shared" si="229"/>
        <v/>
      </c>
      <c r="BW309" s="1791" t="str">
        <f t="shared" si="230"/>
        <v/>
      </c>
      <c r="BX309"/>
      <c r="BZ309"/>
      <c r="CA309"/>
      <c r="CB309" s="1793">
        <f t="shared" si="213"/>
        <v>0</v>
      </c>
      <c r="CC309" s="1793">
        <f t="shared" si="214"/>
        <v>0</v>
      </c>
      <c r="CD309" s="1793">
        <f>IF(AND(D309&gt;0,OR(AR309="")),1,IF(AR309&gt;D309,1,0))</f>
        <v>0</v>
      </c>
      <c r="CE309" s="1793">
        <f t="shared" si="215"/>
        <v>0</v>
      </c>
      <c r="CF309" s="1793">
        <f t="shared" si="216"/>
        <v>0</v>
      </c>
      <c r="CG309" s="1793">
        <f t="shared" si="217"/>
        <v>0</v>
      </c>
      <c r="CH309" s="1793">
        <f t="shared" si="218"/>
        <v>0</v>
      </c>
    </row>
    <row r="310" spans="1:86" s="17" customFormat="1" ht="18" customHeight="1" x14ac:dyDescent="0.2">
      <c r="A310" s="14" t="s">
        <v>2062</v>
      </c>
      <c r="B310" s="273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2799"/>
    </row>
    <row r="311" spans="1:86" x14ac:dyDescent="0.25">
      <c r="A311" s="6939" t="s">
        <v>23</v>
      </c>
      <c r="B311" s="6528"/>
      <c r="C311" s="6987" t="s">
        <v>47</v>
      </c>
      <c r="D311" s="6988"/>
      <c r="E311" s="6989"/>
      <c r="F311" s="6993" t="s">
        <v>30</v>
      </c>
      <c r="G311" s="6994"/>
      <c r="H311" s="6994"/>
      <c r="I311" s="6994"/>
      <c r="J311" s="6994"/>
      <c r="K311" s="6994"/>
      <c r="L311" s="6994"/>
      <c r="M311" s="6994"/>
      <c r="N311" s="6994"/>
      <c r="O311" s="6994"/>
      <c r="P311" s="6994"/>
      <c r="Q311" s="6994"/>
      <c r="R311" s="6994"/>
      <c r="S311" s="6994"/>
      <c r="T311" s="6994"/>
      <c r="U311" s="6994"/>
      <c r="V311" s="6994"/>
      <c r="W311" s="6994"/>
      <c r="X311" s="6994"/>
      <c r="Y311" s="6994"/>
      <c r="Z311" s="6994"/>
      <c r="AA311" s="6994"/>
      <c r="AB311" s="6994"/>
      <c r="AC311" s="6994"/>
      <c r="AD311" s="6994"/>
      <c r="AE311" s="6994"/>
      <c r="AF311" s="6994"/>
      <c r="AG311" s="6994"/>
      <c r="AH311" s="6994"/>
      <c r="AI311" s="6994"/>
      <c r="AJ311" s="6994"/>
      <c r="AK311" s="6994"/>
      <c r="AL311" s="6994"/>
      <c r="AM311" s="6994"/>
      <c r="AN311" s="6994"/>
      <c r="AO311" s="6994"/>
      <c r="AP311" s="6994"/>
      <c r="AQ311" s="6995"/>
      <c r="AR311" s="6940" t="s">
        <v>48</v>
      </c>
      <c r="AS311" s="6528"/>
      <c r="AT311" s="6925" t="s">
        <v>2</v>
      </c>
      <c r="AU311" s="6925" t="s">
        <v>3</v>
      </c>
      <c r="AV311" s="6925" t="s">
        <v>49</v>
      </c>
      <c r="AW311" s="6925" t="s">
        <v>45</v>
      </c>
      <c r="BQ311"/>
      <c r="BR311"/>
      <c r="BS311"/>
      <c r="BT311"/>
      <c r="BU311"/>
      <c r="BV311"/>
      <c r="BW311"/>
      <c r="BX311"/>
      <c r="BZ311"/>
      <c r="CA311"/>
      <c r="CB311"/>
    </row>
    <row r="312" spans="1:86" x14ac:dyDescent="0.25">
      <c r="A312" s="6980"/>
      <c r="B312" s="6924"/>
      <c r="C312" s="6990"/>
      <c r="D312" s="6991"/>
      <c r="E312" s="6992"/>
      <c r="F312" s="6920" t="s">
        <v>52</v>
      </c>
      <c r="G312" s="6928"/>
      <c r="H312" s="6920" t="s">
        <v>3705</v>
      </c>
      <c r="I312" s="6928"/>
      <c r="J312" s="6920" t="s">
        <v>3706</v>
      </c>
      <c r="K312" s="6928"/>
      <c r="L312" s="6920" t="s">
        <v>3704</v>
      </c>
      <c r="M312" s="6928"/>
      <c r="N312" s="6920" t="s">
        <v>37</v>
      </c>
      <c r="O312" s="6928"/>
      <c r="P312" s="6920" t="s">
        <v>38</v>
      </c>
      <c r="Q312" s="6928"/>
      <c r="R312" s="6920" t="s">
        <v>4</v>
      </c>
      <c r="S312" s="6928"/>
      <c r="T312" s="6920" t="s">
        <v>5</v>
      </c>
      <c r="U312" s="6928"/>
      <c r="V312" s="6920" t="s">
        <v>6</v>
      </c>
      <c r="W312" s="6921"/>
      <c r="X312" s="6920" t="s">
        <v>7</v>
      </c>
      <c r="Y312" s="6921"/>
      <c r="Z312" s="6920" t="s">
        <v>8</v>
      </c>
      <c r="AA312" s="6921"/>
      <c r="AB312" s="6920" t="s">
        <v>9</v>
      </c>
      <c r="AC312" s="6921"/>
      <c r="AD312" s="6920" t="s">
        <v>10</v>
      </c>
      <c r="AE312" s="6921"/>
      <c r="AF312" s="6920" t="s">
        <v>11</v>
      </c>
      <c r="AG312" s="6921"/>
      <c r="AH312" s="6920" t="s">
        <v>18</v>
      </c>
      <c r="AI312" s="6921"/>
      <c r="AJ312" s="6920" t="s">
        <v>19</v>
      </c>
      <c r="AK312" s="6921"/>
      <c r="AL312" s="6920" t="s">
        <v>20</v>
      </c>
      <c r="AM312" s="6921"/>
      <c r="AN312" s="6920" t="s">
        <v>70</v>
      </c>
      <c r="AO312" s="6921"/>
      <c r="AP312" s="6920" t="s">
        <v>57</v>
      </c>
      <c r="AQ312" s="6929"/>
      <c r="AR312" s="6942"/>
      <c r="AS312" s="6529"/>
      <c r="AT312" s="6926"/>
      <c r="AU312" s="6926"/>
      <c r="AV312" s="6926"/>
      <c r="AW312" s="6926"/>
      <c r="BQ312"/>
      <c r="BR312"/>
      <c r="BS312"/>
      <c r="BT312"/>
      <c r="BU312"/>
      <c r="BV312"/>
      <c r="BW312"/>
      <c r="BX312"/>
      <c r="BZ312"/>
      <c r="CA312"/>
      <c r="CB312"/>
    </row>
    <row r="313" spans="1:86" ht="25.5" customHeight="1" x14ac:dyDescent="0.25">
      <c r="A313" s="6941"/>
      <c r="B313" s="6529"/>
      <c r="C313" s="2753" t="s">
        <v>26</v>
      </c>
      <c r="D313" s="2802" t="s">
        <v>22</v>
      </c>
      <c r="E313" s="2800" t="s">
        <v>27</v>
      </c>
      <c r="F313" s="2753" t="s">
        <v>51</v>
      </c>
      <c r="G313" s="2798" t="s">
        <v>27</v>
      </c>
      <c r="H313" s="2753" t="s">
        <v>51</v>
      </c>
      <c r="I313" s="2798" t="s">
        <v>27</v>
      </c>
      <c r="J313" s="2753" t="s">
        <v>51</v>
      </c>
      <c r="K313" s="2798" t="s">
        <v>27</v>
      </c>
      <c r="L313" s="2753" t="s">
        <v>51</v>
      </c>
      <c r="M313" s="2798" t="s">
        <v>27</v>
      </c>
      <c r="N313" s="2753" t="s">
        <v>51</v>
      </c>
      <c r="O313" s="2798" t="s">
        <v>27</v>
      </c>
      <c r="P313" s="2753" t="s">
        <v>51</v>
      </c>
      <c r="Q313" s="2798" t="s">
        <v>27</v>
      </c>
      <c r="R313" s="2753" t="s">
        <v>51</v>
      </c>
      <c r="S313" s="2798" t="s">
        <v>27</v>
      </c>
      <c r="T313" s="2753" t="s">
        <v>51</v>
      </c>
      <c r="U313" s="2798" t="s">
        <v>27</v>
      </c>
      <c r="V313" s="2753" t="s">
        <v>51</v>
      </c>
      <c r="W313" s="2798" t="s">
        <v>27</v>
      </c>
      <c r="X313" s="2753" t="s">
        <v>51</v>
      </c>
      <c r="Y313" s="2798" t="s">
        <v>27</v>
      </c>
      <c r="Z313" s="2753" t="s">
        <v>51</v>
      </c>
      <c r="AA313" s="2798" t="s">
        <v>27</v>
      </c>
      <c r="AB313" s="2753" t="s">
        <v>51</v>
      </c>
      <c r="AC313" s="2798" t="s">
        <v>27</v>
      </c>
      <c r="AD313" s="2753" t="s">
        <v>51</v>
      </c>
      <c r="AE313" s="2798" t="s">
        <v>27</v>
      </c>
      <c r="AF313" s="2753" t="s">
        <v>51</v>
      </c>
      <c r="AG313" s="2798" t="s">
        <v>27</v>
      </c>
      <c r="AH313" s="2753" t="s">
        <v>51</v>
      </c>
      <c r="AI313" s="2798" t="s">
        <v>27</v>
      </c>
      <c r="AJ313" s="2753" t="s">
        <v>51</v>
      </c>
      <c r="AK313" s="2798" t="s">
        <v>27</v>
      </c>
      <c r="AL313" s="2753" t="s">
        <v>51</v>
      </c>
      <c r="AM313" s="2798" t="s">
        <v>27</v>
      </c>
      <c r="AN313" s="2753" t="s">
        <v>51</v>
      </c>
      <c r="AO313" s="2798" t="s">
        <v>27</v>
      </c>
      <c r="AP313" s="2753" t="s">
        <v>51</v>
      </c>
      <c r="AQ313" s="2774" t="s">
        <v>27</v>
      </c>
      <c r="AR313" s="2757" t="s">
        <v>41</v>
      </c>
      <c r="AS313" s="2798" t="s">
        <v>42</v>
      </c>
      <c r="AT313" s="6927"/>
      <c r="AU313" s="6927"/>
      <c r="AV313" s="6927"/>
      <c r="AW313" s="6927"/>
      <c r="BQ313"/>
      <c r="BR313"/>
      <c r="BS313"/>
      <c r="BT313"/>
      <c r="BU313"/>
      <c r="BV313"/>
      <c r="BW313"/>
      <c r="BX313"/>
      <c r="BZ313"/>
      <c r="CA313"/>
      <c r="CB313"/>
    </row>
    <row r="314" spans="1:86" x14ac:dyDescent="0.25">
      <c r="A314" s="6930" t="s">
        <v>2063</v>
      </c>
      <c r="B314" s="2338" t="s">
        <v>39</v>
      </c>
      <c r="C314" s="2278">
        <f>SUM(E314)</f>
        <v>0</v>
      </c>
      <c r="D314" s="2439"/>
      <c r="E314" s="2309">
        <f>+Q314+S314+U314+W314+Y314+AA314+AC314+AE314+AG314+AI314</f>
        <v>0</v>
      </c>
      <c r="F314" s="2440"/>
      <c r="G314" s="2441"/>
      <c r="H314" s="2441"/>
      <c r="I314" s="2441"/>
      <c r="J314" s="2441"/>
      <c r="K314" s="2441"/>
      <c r="L314" s="2441"/>
      <c r="M314" s="2441"/>
      <c r="N314" s="2441"/>
      <c r="O314" s="2441"/>
      <c r="P314" s="2442"/>
      <c r="Q314" s="2393"/>
      <c r="R314" s="2354"/>
      <c r="S314" s="2393"/>
      <c r="T314" s="2354"/>
      <c r="U314" s="2393"/>
      <c r="V314" s="2354"/>
      <c r="W314" s="2393"/>
      <c r="X314" s="2354"/>
      <c r="Y314" s="2393"/>
      <c r="Z314" s="2354"/>
      <c r="AA314" s="2393"/>
      <c r="AB314" s="2354"/>
      <c r="AC314" s="2393"/>
      <c r="AD314" s="2354"/>
      <c r="AE314" s="2393"/>
      <c r="AF314" s="2354"/>
      <c r="AG314" s="2393"/>
      <c r="AH314" s="2354"/>
      <c r="AI314" s="2393"/>
      <c r="AJ314" s="2354"/>
      <c r="AK314" s="2442"/>
      <c r="AL314" s="2354"/>
      <c r="AM314" s="2442"/>
      <c r="AN314" s="2354"/>
      <c r="AO314" s="2442"/>
      <c r="AP314" s="2354"/>
      <c r="AQ314" s="2443"/>
      <c r="AR314" s="2393"/>
      <c r="AS314" s="6399"/>
      <c r="AT314" s="6400"/>
      <c r="AU314" s="2318"/>
      <c r="AV314" s="2255"/>
      <c r="AW314" s="2318"/>
      <c r="AX314" t="str">
        <f>BQ314&amp;BR314&amp;BS314&amp;BT314&amp;BU314&amp;BV314</f>
        <v/>
      </c>
      <c r="BQ314" s="2553" t="str">
        <f>IF(AND(E314&gt;0,OR(AR314="")),"* No olvide digitar la variable Trans (masculino). Digite Cero si no tiene.",IF(AR314&gt;E314," * La variable Trans (masculino) No puede ser mayor al Total.",""))</f>
        <v/>
      </c>
      <c r="BR314" s="170"/>
      <c r="BS314" s="2553" t="str">
        <f>IF(AND(C314&gt;0,AT314="")," * No olvide digitar la variable Pueblos originarios. Digite Cero si no tiene.",IF(AT314&gt;C314," * La variable Pueblos originarios No puede ser mayor al Total.",""))</f>
        <v/>
      </c>
      <c r="BT314" s="2553" t="str">
        <f>IF(AND(C314&gt;0,AU314="")," * No olvide digitar la variable Migrantes. Digite Cero si no tiene.",IF(AU314&gt;C314," * La variable Migrantes No puede ser mayor al Total.",""))</f>
        <v/>
      </c>
      <c r="BU314" s="2553" t="str">
        <f>IF(AND(C314&gt;0,AV314="")," * No olvide digitar la variable Niños, niñas adolescentes y Jóvenes SENAME. Digite Cero si no tiene.",IF(AV314&gt;C314," * La variable Niños, niñas adolescentes y Jóvenes SENAME No puede ser mayor al Total.",""))</f>
        <v/>
      </c>
      <c r="BV314" s="2553" t="str">
        <f>IF(AND(C314&gt;0,AW314="")," * No olvide digitar la variable Niños, niñas adolescentes y Jóvenes Mejor Niñez. Digite Cero si no tiene.",IF(AW314&gt;C314," * La variable Niños, niñas adolescentes y Jóvenes Mejor Niñez No puede ser mayor al Total.",""))</f>
        <v/>
      </c>
      <c r="BW314"/>
      <c r="BX314"/>
      <c r="BZ314"/>
      <c r="CA314"/>
      <c r="CB314" s="1793">
        <f>IF(AND(E314&gt;0,OR(AR314="")),1,IF(AR314&gt;E314,1,0))</f>
        <v>0</v>
      </c>
      <c r="CD314" s="1793">
        <f>IF(AND(C314&gt;0,AT314=""),1,IF(AT314&gt;C314,1,0))</f>
        <v>0</v>
      </c>
      <c r="CE314" s="1793">
        <f>IF(AND(C314&gt;0,AU314=""),1,IF(AU314&gt;C314,1,0))</f>
        <v>0</v>
      </c>
      <c r="CF314" s="1793">
        <f>IF(AND(C314&gt;0,AV314=""),1,IF(AV314&gt;C314,1,0))</f>
        <v>0</v>
      </c>
      <c r="CG314" s="1793">
        <f>IF(AND(C314&gt;0,AW314=""),1,IF(AW314&gt;C314,1,0))</f>
        <v>0</v>
      </c>
    </row>
    <row r="315" spans="1:86" x14ac:dyDescent="0.25">
      <c r="A315" s="6932"/>
      <c r="B315" s="2444" t="s">
        <v>2061</v>
      </c>
      <c r="C315" s="2282">
        <f t="shared" ref="C315:C324" si="232">SUM(D315+E315)</f>
        <v>0</v>
      </c>
      <c r="D315" s="2283">
        <f t="shared" ref="D315:E318" si="233">SUM(F315+H315+J315+L315+N315+P315+R315+T315+V315+X315+Z315+AB315+AD315+AF315+AH315+AJ315+AL315+AN315+AP315)</f>
        <v>0</v>
      </c>
      <c r="E315" s="2214">
        <f t="shared" si="233"/>
        <v>0</v>
      </c>
      <c r="F315" s="2361"/>
      <c r="G315" s="2417"/>
      <c r="H315" s="2361"/>
      <c r="I315" s="2417"/>
      <c r="J315" s="2361"/>
      <c r="K315" s="1305"/>
      <c r="L315" s="2361"/>
      <c r="M315" s="2330"/>
      <c r="N315" s="2361"/>
      <c r="O315" s="1305"/>
      <c r="P315" s="2361"/>
      <c r="Q315" s="2417"/>
      <c r="R315" s="2361"/>
      <c r="S315" s="2417"/>
      <c r="T315" s="2361"/>
      <c r="U315" s="2417"/>
      <c r="V315" s="2361"/>
      <c r="W315" s="2417"/>
      <c r="X315" s="2361"/>
      <c r="Y315" s="2417"/>
      <c r="Z315" s="2361"/>
      <c r="AA315" s="2417"/>
      <c r="AB315" s="2361"/>
      <c r="AC315" s="2417"/>
      <c r="AD315" s="2361"/>
      <c r="AE315" s="2417"/>
      <c r="AF315" s="2361"/>
      <c r="AG315" s="2417"/>
      <c r="AH315" s="2361"/>
      <c r="AI315" s="2417"/>
      <c r="AJ315" s="2361"/>
      <c r="AK315" s="2417"/>
      <c r="AL315" s="2361"/>
      <c r="AM315" s="2417"/>
      <c r="AN315" s="2361"/>
      <c r="AO315" s="2417"/>
      <c r="AP315" s="2361"/>
      <c r="AQ315" s="2445"/>
      <c r="AR315" s="2417"/>
      <c r="AS315" s="1305"/>
      <c r="AT315" s="2405"/>
      <c r="AU315" s="1305"/>
      <c r="AV315" s="2405"/>
      <c r="AW315" s="1305"/>
      <c r="AX315" t="str">
        <f t="shared" ref="AX315:AX324" si="234">BQ315&amp;BR315&amp;BS315&amp;BT315&amp;BU315&amp;BV315</f>
        <v/>
      </c>
      <c r="BQ315" s="2553" t="str">
        <f t="shared" ref="BQ315:BQ324" si="235">IF(AND(E315&gt;0,OR(AR315="")),"* No olvide digitar la variable Trans (masculino). Digite Cero si no tiene.",IF(AR315&gt;E315," * La variable Trans (masculino) No puede ser mayor al Total.",""))</f>
        <v/>
      </c>
      <c r="BR315" s="2553" t="str">
        <f>IF(AND(D315&gt;0,OR(AS315="")),"* No olvide digitar la variable Trans (Femenino). Digite Cero si no tiene.",IF(AS315&gt;D315," * La variable Trans (Femenino) No puede ser mayor al Total Hombres.",""))</f>
        <v/>
      </c>
      <c r="BS315" s="2553" t="str">
        <f t="shared" ref="BS315:BS324" si="236">IF(AND(C315&gt;0,AT315="")," * No olvide digitar la variable Pueblos originarios. Digite Cero si no tiene.",IF(AT315&gt;C315," * La variable Pueblos originarios No puede ser mayor al Total.",""))</f>
        <v/>
      </c>
      <c r="BT315" s="2553" t="str">
        <f t="shared" ref="BT315:BT324" si="237">IF(AND(C315&gt;0,AU315="")," * No olvide digitar la variable Migrantes. Digite Cero si no tiene.",IF(AU315&gt;C315," * La variable Migrantes No puede ser mayor al Total.",""))</f>
        <v/>
      </c>
      <c r="BU315" s="2553" t="str">
        <f t="shared" ref="BU315:BU324" si="238">IF(AND(C315&gt;0,AV315="")," * No olvide digitar la variable Niños, niñas adolescentes y Jóvenes SENAME. Digite Cero si no tiene.",IF(AV315&gt;C315," * La variable Niños, niñas adolescentes y Jóvenes SENAME No puede ser mayor al Total.",""))</f>
        <v/>
      </c>
      <c r="BV315" s="2553" t="str">
        <f t="shared" ref="BV315:BV324" si="239">IF(AND(C315&gt;0,AW315="")," * No olvide digitar la variable Niños, niñas adolescentes y Jóvenes Mejor Niñez. Digite Cero si no tiene.",IF(AW315&gt;C315," * La variable Niños, niñas adolescentes y Jóvenes Mejor Niñez No puede ser mayor al Total.",""))</f>
        <v/>
      </c>
      <c r="BW315"/>
      <c r="BX315"/>
      <c r="BZ315"/>
      <c r="CA315"/>
      <c r="CB315" s="1793">
        <f>IF(AND(E315&gt;0,OR(AR315="")),1,IF(AR315&gt;E315,1,0))</f>
        <v>0</v>
      </c>
      <c r="CC315" s="1793">
        <f>IF(AND(D315&gt;0,OR(AS315="")),1,IF(AS315&gt;D315,1,0))</f>
        <v>0</v>
      </c>
      <c r="CD315" s="1793">
        <f t="shared" ref="CD315:CD324" si="240">IF(AND(C315&gt;0,AT315=""),1,IF(AT315&gt;C315,1,0))</f>
        <v>0</v>
      </c>
      <c r="CE315" s="1793">
        <f t="shared" ref="CE315:CE324" si="241">IF(AND(C315&gt;0,AU315=""),1,IF(AU315&gt;C315,1,0))</f>
        <v>0</v>
      </c>
      <c r="CF315" s="1793">
        <f t="shared" ref="CF315:CF324" si="242">IF(AND(C315&gt;0,AV315=""),1,IF(AV315&gt;C315,1,0))</f>
        <v>0</v>
      </c>
      <c r="CG315" s="1793">
        <f t="shared" ref="CG315:CG324" si="243">IF(AND(C315&gt;0,AW315=""),1,IF(AW315&gt;C315,1,0))</f>
        <v>0</v>
      </c>
    </row>
    <row r="316" spans="1:86" x14ac:dyDescent="0.25">
      <c r="A316" s="6984" t="s">
        <v>2064</v>
      </c>
      <c r="B316" s="6985"/>
      <c r="C316" s="2311">
        <f t="shared" si="232"/>
        <v>0</v>
      </c>
      <c r="D316" s="2312">
        <f t="shared" si="233"/>
        <v>0</v>
      </c>
      <c r="E316" s="2313">
        <f t="shared" si="233"/>
        <v>0</v>
      </c>
      <c r="F316" s="2349"/>
      <c r="G316" s="2415"/>
      <c r="H316" s="2349"/>
      <c r="I316" s="2415"/>
      <c r="J316" s="2349"/>
      <c r="K316" s="2350"/>
      <c r="L316" s="2349"/>
      <c r="M316" s="2351"/>
      <c r="N316" s="2349"/>
      <c r="O316" s="2350"/>
      <c r="P316" s="2349"/>
      <c r="Q316" s="2415"/>
      <c r="R316" s="2349"/>
      <c r="S316" s="2415"/>
      <c r="T316" s="2349"/>
      <c r="U316" s="2415"/>
      <c r="V316" s="2349"/>
      <c r="W316" s="2415"/>
      <c r="X316" s="2349"/>
      <c r="Y316" s="2415"/>
      <c r="Z316" s="2349"/>
      <c r="AA316" s="2415"/>
      <c r="AB316" s="2349"/>
      <c r="AC316" s="2415"/>
      <c r="AD316" s="2349"/>
      <c r="AE316" s="2415"/>
      <c r="AF316" s="2349"/>
      <c r="AG316" s="2415"/>
      <c r="AH316" s="2349"/>
      <c r="AI316" s="2415"/>
      <c r="AJ316" s="2349"/>
      <c r="AK316" s="2415"/>
      <c r="AL316" s="2349"/>
      <c r="AM316" s="2415"/>
      <c r="AN316" s="2349"/>
      <c r="AO316" s="2415"/>
      <c r="AP316" s="2349"/>
      <c r="AQ316" s="2446"/>
      <c r="AR316" s="2415"/>
      <c r="AS316" s="2350"/>
      <c r="AT316" s="2353"/>
      <c r="AU316" s="2350"/>
      <c r="AV316" s="2353"/>
      <c r="AW316" s="2350"/>
      <c r="AX316" t="str">
        <f t="shared" si="234"/>
        <v/>
      </c>
      <c r="BQ316" s="2553" t="str">
        <f t="shared" si="235"/>
        <v/>
      </c>
      <c r="BR316" s="2553" t="str">
        <f t="shared" ref="BR316:BR324" si="244">IF(AND(D316&gt;0,OR(AS316="")),"* No olvide digitar la variable Trans (Femenino). Digite Cero si no tiene.",IF(AS316&gt;D316," * La variable Trans (Femenino) No puede ser mayor al Total Hombres.",""))</f>
        <v/>
      </c>
      <c r="BS316" s="2553" t="str">
        <f t="shared" si="236"/>
        <v/>
      </c>
      <c r="BT316" s="2553" t="str">
        <f t="shared" si="237"/>
        <v/>
      </c>
      <c r="BU316" s="2553" t="str">
        <f t="shared" si="238"/>
        <v/>
      </c>
      <c r="BV316" s="2553" t="str">
        <f t="shared" si="239"/>
        <v/>
      </c>
      <c r="BW316"/>
      <c r="BX316"/>
      <c r="BZ316"/>
      <c r="CA316"/>
      <c r="CB316" s="1793">
        <f t="shared" ref="CB316:CB324" si="245">IF(AND(E316&gt;0,OR(AR316="")),1,IF(AR316&gt;E316,1,0))</f>
        <v>0</v>
      </c>
      <c r="CC316" s="1793">
        <f t="shared" ref="CC316:CC324" si="246">IF(AND(D316&gt;0,OR(AS316="")),1,IF(AS316&gt;D316,1,0))</f>
        <v>0</v>
      </c>
      <c r="CD316" s="1793">
        <f t="shared" si="240"/>
        <v>0</v>
      </c>
      <c r="CE316" s="1793">
        <f t="shared" si="241"/>
        <v>0</v>
      </c>
      <c r="CF316" s="1793">
        <f t="shared" si="242"/>
        <v>0</v>
      </c>
      <c r="CG316" s="1793">
        <f t="shared" si="243"/>
        <v>0</v>
      </c>
    </row>
    <row r="317" spans="1:86" x14ac:dyDescent="0.25">
      <c r="A317" s="6986" t="s">
        <v>2065</v>
      </c>
      <c r="B317" s="6986"/>
      <c r="C317" s="2311">
        <f t="shared" si="232"/>
        <v>0</v>
      </c>
      <c r="D317" s="2312">
        <f t="shared" si="233"/>
        <v>0</v>
      </c>
      <c r="E317" s="2313">
        <f t="shared" si="233"/>
        <v>0</v>
      </c>
      <c r="F317" s="2349"/>
      <c r="G317" s="2415"/>
      <c r="H317" s="2349"/>
      <c r="I317" s="2415"/>
      <c r="J317" s="2349"/>
      <c r="K317" s="2350"/>
      <c r="L317" s="2349"/>
      <c r="M317" s="2351"/>
      <c r="N317" s="2349"/>
      <c r="O317" s="2350"/>
      <c r="P317" s="2349"/>
      <c r="Q317" s="2415"/>
      <c r="R317" s="2349"/>
      <c r="S317" s="2415"/>
      <c r="T317" s="2349"/>
      <c r="U317" s="2415"/>
      <c r="V317" s="2349"/>
      <c r="W317" s="2415"/>
      <c r="X317" s="2349"/>
      <c r="Y317" s="2415"/>
      <c r="Z317" s="2349"/>
      <c r="AA317" s="2415"/>
      <c r="AB317" s="2349"/>
      <c r="AC317" s="2415"/>
      <c r="AD317" s="2349"/>
      <c r="AE317" s="2415"/>
      <c r="AF317" s="2349"/>
      <c r="AG317" s="2415"/>
      <c r="AH317" s="2349"/>
      <c r="AI317" s="2415"/>
      <c r="AJ317" s="2349"/>
      <c r="AK317" s="2415"/>
      <c r="AL317" s="2349"/>
      <c r="AM317" s="2415"/>
      <c r="AN317" s="2349"/>
      <c r="AO317" s="2415"/>
      <c r="AP317" s="2349"/>
      <c r="AQ317" s="2446"/>
      <c r="AR317" s="2415"/>
      <c r="AS317" s="2350"/>
      <c r="AT317" s="2353"/>
      <c r="AU317" s="2350"/>
      <c r="AV317" s="2353"/>
      <c r="AW317" s="2350"/>
      <c r="AX317" t="str">
        <f t="shared" si="234"/>
        <v/>
      </c>
      <c r="BQ317" s="2553" t="str">
        <f t="shared" si="235"/>
        <v/>
      </c>
      <c r="BR317" s="2553" t="str">
        <f t="shared" si="244"/>
        <v/>
      </c>
      <c r="BS317" s="2553" t="str">
        <f t="shared" si="236"/>
        <v/>
      </c>
      <c r="BT317" s="2553" t="str">
        <f t="shared" si="237"/>
        <v/>
      </c>
      <c r="BU317" s="2553" t="str">
        <f t="shared" si="238"/>
        <v/>
      </c>
      <c r="BV317" s="2553" t="str">
        <f t="shared" si="239"/>
        <v/>
      </c>
      <c r="BW317"/>
      <c r="BX317"/>
      <c r="BZ317"/>
      <c r="CA317"/>
      <c r="CB317" s="1793">
        <f t="shared" si="245"/>
        <v>0</v>
      </c>
      <c r="CC317" s="1793">
        <f t="shared" si="246"/>
        <v>0</v>
      </c>
      <c r="CD317" s="1793">
        <f t="shared" si="240"/>
        <v>0</v>
      </c>
      <c r="CE317" s="1793">
        <f t="shared" si="241"/>
        <v>0</v>
      </c>
      <c r="CF317" s="1793">
        <f t="shared" si="242"/>
        <v>0</v>
      </c>
      <c r="CG317" s="1793">
        <f t="shared" si="243"/>
        <v>0</v>
      </c>
    </row>
    <row r="318" spans="1:86" x14ac:dyDescent="0.25">
      <c r="A318" s="6976" t="s">
        <v>2066</v>
      </c>
      <c r="B318" s="6977"/>
      <c r="C318" s="2278">
        <f t="shared" si="232"/>
        <v>0</v>
      </c>
      <c r="D318" s="2279">
        <f t="shared" si="233"/>
        <v>0</v>
      </c>
      <c r="E318" s="2314">
        <f t="shared" si="233"/>
        <v>0</v>
      </c>
      <c r="F318" s="2201"/>
      <c r="G318" s="1120"/>
      <c r="H318" s="2201"/>
      <c r="I318" s="1120"/>
      <c r="J318" s="2201"/>
      <c r="K318" s="1107"/>
      <c r="L318" s="2201"/>
      <c r="M318" s="2328"/>
      <c r="N318" s="2201"/>
      <c r="O318" s="1107"/>
      <c r="P318" s="2201"/>
      <c r="Q318" s="1120"/>
      <c r="R318" s="2201"/>
      <c r="S318" s="1120"/>
      <c r="T318" s="2201"/>
      <c r="U318" s="1120"/>
      <c r="V318" s="2201"/>
      <c r="W318" s="1120"/>
      <c r="X318" s="2201"/>
      <c r="Y318" s="1120"/>
      <c r="Z318" s="2201"/>
      <c r="AA318" s="1120"/>
      <c r="AB318" s="2201"/>
      <c r="AC318" s="1120"/>
      <c r="AD318" s="2201"/>
      <c r="AE318" s="1120"/>
      <c r="AF318" s="2201"/>
      <c r="AG318" s="1120"/>
      <c r="AH318" s="2201"/>
      <c r="AI318" s="1120"/>
      <c r="AJ318" s="2201"/>
      <c r="AK318" s="1120"/>
      <c r="AL318" s="2201"/>
      <c r="AM318" s="1120"/>
      <c r="AN318" s="2201"/>
      <c r="AO318" s="1120"/>
      <c r="AP318" s="2201"/>
      <c r="AQ318" s="2202"/>
      <c r="AR318" s="1120"/>
      <c r="AS318" s="1107"/>
      <c r="AT318" s="1761"/>
      <c r="AU318" s="1107"/>
      <c r="AV318" s="1761"/>
      <c r="AW318" s="1107"/>
      <c r="AX318" t="str">
        <f>BQ318&amp;BR318&amp;BS318&amp;BT318&amp;BU318&amp;BV318</f>
        <v/>
      </c>
      <c r="BQ318" s="2553" t="str">
        <f t="shared" si="235"/>
        <v/>
      </c>
      <c r="BR318" s="2553" t="str">
        <f t="shared" si="244"/>
        <v/>
      </c>
      <c r="BS318" s="2553" t="str">
        <f t="shared" si="236"/>
        <v/>
      </c>
      <c r="BT318" s="2553" t="str">
        <f t="shared" si="237"/>
        <v/>
      </c>
      <c r="BU318" s="2553" t="str">
        <f t="shared" si="238"/>
        <v/>
      </c>
      <c r="BV318" s="2553" t="str">
        <f t="shared" si="239"/>
        <v/>
      </c>
      <c r="BW318"/>
      <c r="BX318"/>
      <c r="BZ318"/>
      <c r="CA318"/>
      <c r="CB318" s="1793">
        <f t="shared" si="245"/>
        <v>0</v>
      </c>
      <c r="CC318" s="1793">
        <f t="shared" si="246"/>
        <v>0</v>
      </c>
      <c r="CD318" s="1793">
        <f t="shared" si="240"/>
        <v>0</v>
      </c>
      <c r="CE318" s="1793">
        <f t="shared" si="241"/>
        <v>0</v>
      </c>
      <c r="CF318" s="1793">
        <f t="shared" si="242"/>
        <v>0</v>
      </c>
      <c r="CG318" s="1793">
        <f t="shared" si="243"/>
        <v>0</v>
      </c>
    </row>
    <row r="319" spans="1:86" x14ac:dyDescent="0.25">
      <c r="A319" s="6978" t="s">
        <v>2067</v>
      </c>
      <c r="B319" s="6979"/>
      <c r="C319" s="2294">
        <f t="shared" si="232"/>
        <v>0</v>
      </c>
      <c r="D319" s="28">
        <f>SUM(F319+H319+J319+L319)</f>
        <v>0</v>
      </c>
      <c r="E319" s="13">
        <f>SUM(G319+I319+K319+M319)</f>
        <v>0</v>
      </c>
      <c r="F319" s="3"/>
      <c r="G319" s="21"/>
      <c r="H319" s="3"/>
      <c r="I319" s="21"/>
      <c r="J319" s="3"/>
      <c r="K319" s="12"/>
      <c r="L319" s="3"/>
      <c r="M319" s="2379"/>
      <c r="N319" s="41"/>
      <c r="O319" s="2447"/>
      <c r="P319" s="2447"/>
      <c r="Q319" s="2447"/>
      <c r="R319" s="2447"/>
      <c r="S319" s="2447"/>
      <c r="T319" s="2447"/>
      <c r="U319" s="2447"/>
      <c r="V319" s="2447"/>
      <c r="W319" s="2447"/>
      <c r="X319" s="2447"/>
      <c r="Y319" s="2447"/>
      <c r="Z319" s="2447"/>
      <c r="AA319" s="2447"/>
      <c r="AB319" s="2447"/>
      <c r="AC319" s="2447"/>
      <c r="AD319" s="2447"/>
      <c r="AE319" s="2447"/>
      <c r="AF319" s="2447"/>
      <c r="AG319" s="2447"/>
      <c r="AH319" s="2447"/>
      <c r="AI319" s="2447"/>
      <c r="AJ319" s="2447"/>
      <c r="AK319" s="2447"/>
      <c r="AL319" s="2447"/>
      <c r="AM319" s="2447"/>
      <c r="AN319" s="2447"/>
      <c r="AO319" s="2447"/>
      <c r="AP319" s="2447"/>
      <c r="AQ319" s="2447"/>
      <c r="AR319" s="2803"/>
      <c r="AS319" s="36"/>
      <c r="AT319" s="30"/>
      <c r="AU319" s="12"/>
      <c r="AV319" s="30"/>
      <c r="AW319" s="12"/>
      <c r="AX319" t="str">
        <f t="shared" si="234"/>
        <v/>
      </c>
      <c r="BQ319" s="170"/>
      <c r="BR319" s="2554"/>
      <c r="BS319" s="2553" t="str">
        <f t="shared" si="236"/>
        <v/>
      </c>
      <c r="BT319" s="2553" t="str">
        <f t="shared" si="237"/>
        <v/>
      </c>
      <c r="BU319" s="2553" t="str">
        <f t="shared" si="238"/>
        <v/>
      </c>
      <c r="BV319" s="2553" t="str">
        <f t="shared" si="239"/>
        <v/>
      </c>
      <c r="BW319"/>
      <c r="BX319"/>
      <c r="BZ319"/>
      <c r="CA319"/>
      <c r="CB319"/>
      <c r="CC319" s="1793">
        <f t="shared" si="246"/>
        <v>0</v>
      </c>
      <c r="CD319" s="1793">
        <f t="shared" si="240"/>
        <v>0</v>
      </c>
      <c r="CE319" s="1793">
        <f t="shared" si="241"/>
        <v>0</v>
      </c>
      <c r="CF319" s="1793">
        <f t="shared" si="242"/>
        <v>0</v>
      </c>
      <c r="CG319" s="1793">
        <f t="shared" si="243"/>
        <v>0</v>
      </c>
    </row>
    <row r="320" spans="1:86" x14ac:dyDescent="0.25">
      <c r="A320" s="6931" t="s">
        <v>2068</v>
      </c>
      <c r="B320" s="2394" t="s">
        <v>2069</v>
      </c>
      <c r="C320" s="2278">
        <f t="shared" si="232"/>
        <v>0</v>
      </c>
      <c r="D320" s="2279">
        <f t="shared" ref="D320:E324" si="247">SUM(F320+H320+J320+L320+N320+P320+R320+T320+V320+X320+Z320+AB320+AD320+AF320+AH320+AJ320+AL320+AN320+AP320)</f>
        <v>0</v>
      </c>
      <c r="E320" s="2314">
        <f t="shared" si="247"/>
        <v>0</v>
      </c>
      <c r="F320" s="2201"/>
      <c r="G320" s="1120"/>
      <c r="H320" s="2201"/>
      <c r="I320" s="1120"/>
      <c r="J320" s="2201"/>
      <c r="K320" s="1107"/>
      <c r="L320" s="2201"/>
      <c r="M320" s="2328"/>
      <c r="N320" s="2201"/>
      <c r="O320" s="1107"/>
      <c r="P320" s="2201"/>
      <c r="Q320" s="1120"/>
      <c r="R320" s="2201"/>
      <c r="S320" s="1120"/>
      <c r="T320" s="2201"/>
      <c r="U320" s="1120"/>
      <c r="V320" s="2201"/>
      <c r="W320" s="1120"/>
      <c r="X320" s="2201"/>
      <c r="Y320" s="1120"/>
      <c r="Z320" s="2201"/>
      <c r="AA320" s="1120"/>
      <c r="AB320" s="2201"/>
      <c r="AC320" s="1120"/>
      <c r="AD320" s="2201"/>
      <c r="AE320" s="1120"/>
      <c r="AF320" s="2201"/>
      <c r="AG320" s="1120"/>
      <c r="AH320" s="2201"/>
      <c r="AI320" s="1120"/>
      <c r="AJ320" s="2201"/>
      <c r="AK320" s="1120"/>
      <c r="AL320" s="2201"/>
      <c r="AM320" s="1120"/>
      <c r="AN320" s="2201"/>
      <c r="AO320" s="1120"/>
      <c r="AP320" s="2201"/>
      <c r="AQ320" s="2202"/>
      <c r="AR320" s="1120"/>
      <c r="AS320" s="1107"/>
      <c r="AT320" s="1761"/>
      <c r="AU320" s="1107"/>
      <c r="AV320" s="1761"/>
      <c r="AW320" s="1107"/>
      <c r="AX320" t="str">
        <f t="shared" si="234"/>
        <v/>
      </c>
      <c r="BQ320" s="2553" t="str">
        <f t="shared" si="235"/>
        <v/>
      </c>
      <c r="BR320" s="2553" t="str">
        <f t="shared" si="244"/>
        <v/>
      </c>
      <c r="BS320" s="2553" t="str">
        <f t="shared" si="236"/>
        <v/>
      </c>
      <c r="BT320" s="2553" t="str">
        <f t="shared" si="237"/>
        <v/>
      </c>
      <c r="BU320" s="2553" t="str">
        <f t="shared" si="238"/>
        <v/>
      </c>
      <c r="BV320" s="2553" t="str">
        <f t="shared" si="239"/>
        <v/>
      </c>
      <c r="BW320"/>
      <c r="BX320"/>
      <c r="BZ320"/>
      <c r="CA320"/>
      <c r="CB320" s="1793">
        <f t="shared" si="245"/>
        <v>0</v>
      </c>
      <c r="CC320" s="1793">
        <f t="shared" si="246"/>
        <v>0</v>
      </c>
      <c r="CD320" s="1793">
        <f t="shared" si="240"/>
        <v>0</v>
      </c>
      <c r="CE320" s="1793">
        <f t="shared" si="241"/>
        <v>0</v>
      </c>
      <c r="CF320" s="1793">
        <f t="shared" si="242"/>
        <v>0</v>
      </c>
      <c r="CG320" s="1793">
        <f t="shared" si="243"/>
        <v>0</v>
      </c>
    </row>
    <row r="321" spans="1:85" x14ac:dyDescent="0.25">
      <c r="A321" s="6931"/>
      <c r="B321" s="2222" t="s">
        <v>2070</v>
      </c>
      <c r="C321" s="2278">
        <f t="shared" si="232"/>
        <v>0</v>
      </c>
      <c r="D321" s="2279">
        <f t="shared" si="247"/>
        <v>0</v>
      </c>
      <c r="E321" s="2314">
        <f t="shared" si="247"/>
        <v>0</v>
      </c>
      <c r="F321" s="1113"/>
      <c r="G321" s="2204"/>
      <c r="H321" s="1113"/>
      <c r="I321" s="2204"/>
      <c r="J321" s="1113"/>
      <c r="K321" s="8"/>
      <c r="L321" s="1113"/>
      <c r="M321" s="1765"/>
      <c r="N321" s="1113"/>
      <c r="O321" s="8"/>
      <c r="P321" s="1113"/>
      <c r="Q321" s="2204"/>
      <c r="R321" s="1113"/>
      <c r="S321" s="2204"/>
      <c r="T321" s="1113"/>
      <c r="U321" s="2204"/>
      <c r="V321" s="1113"/>
      <c r="W321" s="2204"/>
      <c r="X321" s="1113"/>
      <c r="Y321" s="2204"/>
      <c r="Z321" s="1113"/>
      <c r="AA321" s="2204"/>
      <c r="AB321" s="1113"/>
      <c r="AC321" s="2204"/>
      <c r="AD321" s="1113"/>
      <c r="AE321" s="2204"/>
      <c r="AF321" s="1113"/>
      <c r="AG321" s="2204"/>
      <c r="AH321" s="1113"/>
      <c r="AI321" s="2204"/>
      <c r="AJ321" s="1113"/>
      <c r="AK321" s="2204"/>
      <c r="AL321" s="1113"/>
      <c r="AM321" s="2204"/>
      <c r="AN321" s="1113"/>
      <c r="AO321" s="2204"/>
      <c r="AP321" s="1113"/>
      <c r="AQ321" s="2203"/>
      <c r="AR321" s="2204"/>
      <c r="AS321" s="8"/>
      <c r="AT321" s="1110"/>
      <c r="AU321" s="8"/>
      <c r="AV321" s="1110"/>
      <c r="AW321" s="8"/>
      <c r="AX321" t="str">
        <f t="shared" si="234"/>
        <v/>
      </c>
      <c r="BQ321" s="2553" t="str">
        <f t="shared" si="235"/>
        <v/>
      </c>
      <c r="BR321" s="2553" t="str">
        <f t="shared" si="244"/>
        <v/>
      </c>
      <c r="BS321" s="2553" t="str">
        <f t="shared" si="236"/>
        <v/>
      </c>
      <c r="BT321" s="2553" t="str">
        <f t="shared" si="237"/>
        <v/>
      </c>
      <c r="BU321" s="2553" t="str">
        <f t="shared" si="238"/>
        <v/>
      </c>
      <c r="BV321" s="2553" t="str">
        <f t="shared" si="239"/>
        <v/>
      </c>
      <c r="BW321"/>
      <c r="BX321"/>
      <c r="BZ321"/>
      <c r="CA321"/>
      <c r="CB321" s="1793">
        <f t="shared" si="245"/>
        <v>0</v>
      </c>
      <c r="CC321" s="1793">
        <f t="shared" si="246"/>
        <v>0</v>
      </c>
      <c r="CD321" s="1793">
        <f t="shared" si="240"/>
        <v>0</v>
      </c>
      <c r="CE321" s="1793">
        <f t="shared" si="241"/>
        <v>0</v>
      </c>
      <c r="CF321" s="1793">
        <f t="shared" si="242"/>
        <v>0</v>
      </c>
      <c r="CG321" s="1793">
        <f t="shared" si="243"/>
        <v>0</v>
      </c>
    </row>
    <row r="322" spans="1:85" x14ac:dyDescent="0.25">
      <c r="A322" s="6931"/>
      <c r="B322" s="2222" t="s">
        <v>2071</v>
      </c>
      <c r="C322" s="2278">
        <f t="shared" si="232"/>
        <v>0</v>
      </c>
      <c r="D322" s="2279">
        <f t="shared" si="247"/>
        <v>0</v>
      </c>
      <c r="E322" s="2314">
        <f t="shared" si="247"/>
        <v>0</v>
      </c>
      <c r="F322" s="1113"/>
      <c r="G322" s="2204"/>
      <c r="H322" s="1113"/>
      <c r="I322" s="2204"/>
      <c r="J322" s="1113"/>
      <c r="K322" s="8"/>
      <c r="L322" s="1113"/>
      <c r="M322" s="1765"/>
      <c r="N322" s="1113"/>
      <c r="O322" s="8"/>
      <c r="P322" s="1113"/>
      <c r="Q322" s="2204"/>
      <c r="R322" s="1113"/>
      <c r="S322" s="2204"/>
      <c r="T322" s="1113"/>
      <c r="U322" s="2204"/>
      <c r="V322" s="1113"/>
      <c r="W322" s="2204"/>
      <c r="X322" s="1113"/>
      <c r="Y322" s="2204"/>
      <c r="Z322" s="1113"/>
      <c r="AA322" s="2204"/>
      <c r="AB322" s="1113"/>
      <c r="AC322" s="2204"/>
      <c r="AD322" s="1113"/>
      <c r="AE322" s="2204"/>
      <c r="AF322" s="1113"/>
      <c r="AG322" s="2204"/>
      <c r="AH322" s="1113"/>
      <c r="AI322" s="2204"/>
      <c r="AJ322" s="1113"/>
      <c r="AK322" s="2204"/>
      <c r="AL322" s="1113"/>
      <c r="AM322" s="2204"/>
      <c r="AN322" s="1113"/>
      <c r="AO322" s="2204"/>
      <c r="AP322" s="1113"/>
      <c r="AQ322" s="2203"/>
      <c r="AR322" s="2204"/>
      <c r="AS322" s="8"/>
      <c r="AT322" s="1110"/>
      <c r="AU322" s="8"/>
      <c r="AV322" s="1110"/>
      <c r="AW322" s="8"/>
      <c r="AX322" t="str">
        <f t="shared" si="234"/>
        <v/>
      </c>
      <c r="BQ322" s="2553" t="str">
        <f t="shared" si="235"/>
        <v/>
      </c>
      <c r="BR322" s="2553" t="str">
        <f t="shared" si="244"/>
        <v/>
      </c>
      <c r="BS322" s="2553" t="str">
        <f t="shared" si="236"/>
        <v/>
      </c>
      <c r="BT322" s="2553" t="str">
        <f t="shared" si="237"/>
        <v/>
      </c>
      <c r="BU322" s="2553" t="str">
        <f t="shared" si="238"/>
        <v/>
      </c>
      <c r="BV322" s="2553" t="str">
        <f t="shared" si="239"/>
        <v/>
      </c>
      <c r="BW322"/>
      <c r="BX322"/>
      <c r="BZ322"/>
      <c r="CA322"/>
      <c r="CB322" s="1793">
        <f t="shared" si="245"/>
        <v>0</v>
      </c>
      <c r="CC322" s="1793">
        <f t="shared" si="246"/>
        <v>0</v>
      </c>
      <c r="CD322" s="1793">
        <f t="shared" si="240"/>
        <v>0</v>
      </c>
      <c r="CE322" s="1793">
        <f t="shared" si="241"/>
        <v>0</v>
      </c>
      <c r="CF322" s="1793">
        <f t="shared" si="242"/>
        <v>0</v>
      </c>
      <c r="CG322" s="1793">
        <f t="shared" si="243"/>
        <v>0</v>
      </c>
    </row>
    <row r="323" spans="1:85" x14ac:dyDescent="0.25">
      <c r="A323" s="6931"/>
      <c r="B323" s="1112" t="s">
        <v>1882</v>
      </c>
      <c r="C323" s="2278">
        <f t="shared" si="232"/>
        <v>0</v>
      </c>
      <c r="D323" s="2279">
        <f t="shared" si="247"/>
        <v>0</v>
      </c>
      <c r="E323" s="2314">
        <f t="shared" si="247"/>
        <v>0</v>
      </c>
      <c r="F323" s="1113"/>
      <c r="G323" s="2204"/>
      <c r="H323" s="1113"/>
      <c r="I323" s="2204"/>
      <c r="J323" s="1113"/>
      <c r="K323" s="8"/>
      <c r="L323" s="1113"/>
      <c r="M323" s="1765"/>
      <c r="N323" s="1113"/>
      <c r="O323" s="8"/>
      <c r="P323" s="1113"/>
      <c r="Q323" s="2204"/>
      <c r="R323" s="1113"/>
      <c r="S323" s="2204"/>
      <c r="T323" s="1113"/>
      <c r="U323" s="2204"/>
      <c r="V323" s="1113"/>
      <c r="W323" s="2204"/>
      <c r="X323" s="1113"/>
      <c r="Y323" s="2204"/>
      <c r="Z323" s="1113"/>
      <c r="AA323" s="2204"/>
      <c r="AB323" s="1113"/>
      <c r="AC323" s="2204"/>
      <c r="AD323" s="1113"/>
      <c r="AE323" s="2204"/>
      <c r="AF323" s="1113"/>
      <c r="AG323" s="2204"/>
      <c r="AH323" s="1113"/>
      <c r="AI323" s="2204"/>
      <c r="AJ323" s="1113"/>
      <c r="AK323" s="2204"/>
      <c r="AL323" s="1113"/>
      <c r="AM323" s="2204"/>
      <c r="AN323" s="1113"/>
      <c r="AO323" s="2204"/>
      <c r="AP323" s="1113"/>
      <c r="AQ323" s="2203"/>
      <c r="AR323" s="2204"/>
      <c r="AS323" s="8"/>
      <c r="AT323" s="1110"/>
      <c r="AU323" s="8"/>
      <c r="AV323" s="1110"/>
      <c r="AW323" s="8"/>
      <c r="AX323" t="str">
        <f t="shared" si="234"/>
        <v/>
      </c>
      <c r="BQ323" s="2553" t="str">
        <f t="shared" si="235"/>
        <v/>
      </c>
      <c r="BR323" s="2553" t="str">
        <f t="shared" si="244"/>
        <v/>
      </c>
      <c r="BS323" s="2553" t="str">
        <f t="shared" si="236"/>
        <v/>
      </c>
      <c r="BT323" s="2553" t="str">
        <f t="shared" si="237"/>
        <v/>
      </c>
      <c r="BU323" s="2553" t="str">
        <f t="shared" si="238"/>
        <v/>
      </c>
      <c r="BV323" s="2553" t="str">
        <f t="shared" si="239"/>
        <v/>
      </c>
      <c r="BW323"/>
      <c r="BX323"/>
      <c r="BZ323"/>
      <c r="CA323"/>
      <c r="CB323" s="1793">
        <f t="shared" si="245"/>
        <v>0</v>
      </c>
      <c r="CC323" s="1793">
        <f t="shared" si="246"/>
        <v>0</v>
      </c>
      <c r="CD323" s="1793">
        <f t="shared" si="240"/>
        <v>0</v>
      </c>
      <c r="CE323" s="1793">
        <f t="shared" si="241"/>
        <v>0</v>
      </c>
      <c r="CF323" s="1793">
        <f t="shared" si="242"/>
        <v>0</v>
      </c>
      <c r="CG323" s="1793">
        <f t="shared" si="243"/>
        <v>0</v>
      </c>
    </row>
    <row r="324" spans="1:85" x14ac:dyDescent="0.25">
      <c r="A324" s="6932"/>
      <c r="B324" s="2448" t="s">
        <v>2072</v>
      </c>
      <c r="C324" s="2294">
        <f t="shared" si="232"/>
        <v>0</v>
      </c>
      <c r="D324" s="28">
        <f t="shared" si="247"/>
        <v>0</v>
      </c>
      <c r="E324" s="13">
        <f t="shared" si="247"/>
        <v>0</v>
      </c>
      <c r="F324" s="2241"/>
      <c r="G324" s="2449"/>
      <c r="H324" s="2241"/>
      <c r="I324" s="2449"/>
      <c r="J324" s="2241"/>
      <c r="K324" s="2450"/>
      <c r="L324" s="2241"/>
      <c r="M324" s="2345"/>
      <c r="N324" s="2241"/>
      <c r="O324" s="2450"/>
      <c r="P324" s="2241"/>
      <c r="Q324" s="2449"/>
      <c r="R324" s="2241"/>
      <c r="S324" s="2449"/>
      <c r="T324" s="2241"/>
      <c r="U324" s="2449"/>
      <c r="V324" s="2241"/>
      <c r="W324" s="2449"/>
      <c r="X324" s="2241"/>
      <c r="Y324" s="2449"/>
      <c r="Z324" s="2241"/>
      <c r="AA324" s="2449"/>
      <c r="AB324" s="2241"/>
      <c r="AC324" s="2449"/>
      <c r="AD324" s="2241"/>
      <c r="AE324" s="2449"/>
      <c r="AF324" s="2241"/>
      <c r="AG324" s="2449"/>
      <c r="AH324" s="2241"/>
      <c r="AI324" s="2449"/>
      <c r="AJ324" s="2241"/>
      <c r="AK324" s="2449"/>
      <c r="AL324" s="2241"/>
      <c r="AM324" s="2449"/>
      <c r="AN324" s="2241"/>
      <c r="AO324" s="2449"/>
      <c r="AP324" s="2241"/>
      <c r="AQ324" s="2451"/>
      <c r="AR324" s="2449"/>
      <c r="AS324" s="2450"/>
      <c r="AT324" s="2304"/>
      <c r="AU324" s="2450"/>
      <c r="AV324" s="2304"/>
      <c r="AW324" s="2450"/>
      <c r="AX324" t="str">
        <f t="shared" si="234"/>
        <v/>
      </c>
      <c r="BQ324" s="2553" t="str">
        <f t="shared" si="235"/>
        <v/>
      </c>
      <c r="BR324" s="2553" t="str">
        <f t="shared" si="244"/>
        <v/>
      </c>
      <c r="BS324" s="2553" t="str">
        <f t="shared" si="236"/>
        <v/>
      </c>
      <c r="BT324" s="2553" t="str">
        <f t="shared" si="237"/>
        <v/>
      </c>
      <c r="BU324" s="2553" t="str">
        <f t="shared" si="238"/>
        <v/>
      </c>
      <c r="BV324" s="2553" t="str">
        <f t="shared" si="239"/>
        <v/>
      </c>
      <c r="BW324"/>
      <c r="BX324"/>
      <c r="BZ324"/>
      <c r="CA324"/>
      <c r="CB324" s="1793">
        <f t="shared" si="245"/>
        <v>0</v>
      </c>
      <c r="CC324" s="1793">
        <f t="shared" si="246"/>
        <v>0</v>
      </c>
      <c r="CD324" s="1793">
        <f t="shared" si="240"/>
        <v>0</v>
      </c>
      <c r="CE324" s="1793">
        <f t="shared" si="241"/>
        <v>0</v>
      </c>
      <c r="CF324" s="1793">
        <f t="shared" si="242"/>
        <v>0</v>
      </c>
      <c r="CG324" s="1793">
        <f t="shared" si="243"/>
        <v>0</v>
      </c>
    </row>
    <row r="325" spans="1:85" s="17" customFormat="1" ht="18" customHeight="1" x14ac:dyDescent="0.2">
      <c r="A325" s="14" t="s">
        <v>2073</v>
      </c>
      <c r="B325" s="273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</row>
    <row r="326" spans="1:85" x14ac:dyDescent="0.25">
      <c r="A326" s="6939" t="s">
        <v>23</v>
      </c>
      <c r="B326" s="6528"/>
      <c r="C326" s="6923" t="s">
        <v>47</v>
      </c>
      <c r="D326" s="6923"/>
      <c r="E326" s="6923"/>
      <c r="F326" s="6974" t="s">
        <v>30</v>
      </c>
      <c r="G326" s="6981"/>
      <c r="H326" s="6981"/>
      <c r="I326" s="6981"/>
      <c r="J326" s="6981"/>
      <c r="K326" s="6981"/>
      <c r="L326" s="6981"/>
      <c r="M326" s="6981"/>
      <c r="N326" s="6981"/>
      <c r="O326" s="6981"/>
      <c r="P326" s="6981"/>
      <c r="Q326" s="6981"/>
      <c r="R326" s="6981"/>
      <c r="S326" s="6981"/>
      <c r="T326" s="6981"/>
      <c r="U326" s="6981"/>
      <c r="V326" s="6981"/>
      <c r="W326" s="6981"/>
      <c r="X326" s="6981"/>
      <c r="Y326" s="6981"/>
      <c r="Z326" s="6981"/>
      <c r="AA326" s="6981"/>
      <c r="AB326" s="6981"/>
      <c r="AC326" s="6981"/>
      <c r="AD326" s="6981"/>
      <c r="AE326" s="6981"/>
      <c r="AF326" s="6981"/>
      <c r="AG326" s="6982"/>
      <c r="AH326" s="6940" t="s">
        <v>48</v>
      </c>
      <c r="AI326" s="6528"/>
      <c r="AJ326" s="6946" t="s">
        <v>2</v>
      </c>
      <c r="AK326" s="6528" t="s">
        <v>3</v>
      </c>
      <c r="BQ326"/>
      <c r="BR326"/>
      <c r="BS326"/>
      <c r="BT326"/>
      <c r="BU326"/>
      <c r="BV326"/>
      <c r="BW326"/>
      <c r="BX326"/>
      <c r="BZ326"/>
      <c r="CA326"/>
      <c r="CB326"/>
    </row>
    <row r="327" spans="1:85" x14ac:dyDescent="0.25">
      <c r="A327" s="6980"/>
      <c r="B327" s="6924"/>
      <c r="C327" s="6923"/>
      <c r="D327" s="6923"/>
      <c r="E327" s="6923"/>
      <c r="F327" s="6923" t="s">
        <v>4</v>
      </c>
      <c r="G327" s="6923"/>
      <c r="H327" s="6974" t="s">
        <v>5</v>
      </c>
      <c r="I327" s="6975"/>
      <c r="J327" s="6922" t="s">
        <v>6</v>
      </c>
      <c r="K327" s="6922"/>
      <c r="L327" s="6922" t="s">
        <v>7</v>
      </c>
      <c r="M327" s="6922"/>
      <c r="N327" s="6922" t="s">
        <v>8</v>
      </c>
      <c r="O327" s="6922"/>
      <c r="P327" s="6922" t="s">
        <v>9</v>
      </c>
      <c r="Q327" s="6922"/>
      <c r="R327" s="6922" t="s">
        <v>10</v>
      </c>
      <c r="S327" s="6922"/>
      <c r="T327" s="6922" t="s">
        <v>11</v>
      </c>
      <c r="U327" s="6922"/>
      <c r="V327" s="6922" t="s">
        <v>18</v>
      </c>
      <c r="W327" s="6922"/>
      <c r="X327" s="6922" t="s">
        <v>19</v>
      </c>
      <c r="Y327" s="6922"/>
      <c r="Z327" s="6922" t="s">
        <v>20</v>
      </c>
      <c r="AA327" s="6922"/>
      <c r="AB327" s="6922" t="s">
        <v>70</v>
      </c>
      <c r="AC327" s="6922"/>
      <c r="AD327" s="6922" t="s">
        <v>71</v>
      </c>
      <c r="AE327" s="6922"/>
      <c r="AF327" s="6922" t="s">
        <v>32</v>
      </c>
      <c r="AG327" s="6983"/>
      <c r="AH327" s="6942"/>
      <c r="AI327" s="6529"/>
      <c r="AJ327" s="6973"/>
      <c r="AK327" s="6924"/>
      <c r="BQ327"/>
      <c r="BR327"/>
      <c r="BS327"/>
      <c r="BT327"/>
      <c r="BU327"/>
      <c r="BV327"/>
      <c r="BW327"/>
      <c r="BX327"/>
      <c r="BZ327"/>
      <c r="CA327"/>
      <c r="CB327"/>
    </row>
    <row r="328" spans="1:85" x14ac:dyDescent="0.25">
      <c r="A328" s="6941"/>
      <c r="B328" s="6529"/>
      <c r="C328" s="2753" t="s">
        <v>26</v>
      </c>
      <c r="D328" s="2754" t="s">
        <v>22</v>
      </c>
      <c r="E328" s="2777" t="s">
        <v>27</v>
      </c>
      <c r="F328" s="2753" t="s">
        <v>51</v>
      </c>
      <c r="G328" s="2798" t="s">
        <v>27</v>
      </c>
      <c r="H328" s="2753" t="s">
        <v>51</v>
      </c>
      <c r="I328" s="2798" t="s">
        <v>27</v>
      </c>
      <c r="J328" s="2753" t="s">
        <v>51</v>
      </c>
      <c r="K328" s="2798" t="s">
        <v>27</v>
      </c>
      <c r="L328" s="2753" t="s">
        <v>51</v>
      </c>
      <c r="M328" s="2798" t="s">
        <v>27</v>
      </c>
      <c r="N328" s="2753" t="s">
        <v>51</v>
      </c>
      <c r="O328" s="2798" t="s">
        <v>27</v>
      </c>
      <c r="P328" s="2753" t="s">
        <v>51</v>
      </c>
      <c r="Q328" s="2798" t="s">
        <v>27</v>
      </c>
      <c r="R328" s="2753" t="s">
        <v>51</v>
      </c>
      <c r="S328" s="2798" t="s">
        <v>27</v>
      </c>
      <c r="T328" s="2753" t="s">
        <v>51</v>
      </c>
      <c r="U328" s="2798" t="s">
        <v>27</v>
      </c>
      <c r="V328" s="2753" t="s">
        <v>51</v>
      </c>
      <c r="W328" s="2798" t="s">
        <v>27</v>
      </c>
      <c r="X328" s="2753" t="s">
        <v>51</v>
      </c>
      <c r="Y328" s="2798" t="s">
        <v>27</v>
      </c>
      <c r="Z328" s="2753" t="s">
        <v>51</v>
      </c>
      <c r="AA328" s="2798" t="s">
        <v>27</v>
      </c>
      <c r="AB328" s="2753" t="s">
        <v>51</v>
      </c>
      <c r="AC328" s="2798" t="s">
        <v>27</v>
      </c>
      <c r="AD328" s="2753" t="s">
        <v>51</v>
      </c>
      <c r="AE328" s="2798" t="s">
        <v>27</v>
      </c>
      <c r="AF328" s="2753" t="s">
        <v>51</v>
      </c>
      <c r="AG328" s="2774" t="s">
        <v>27</v>
      </c>
      <c r="AH328" s="2785" t="s">
        <v>41</v>
      </c>
      <c r="AI328" s="2801" t="s">
        <v>42</v>
      </c>
      <c r="AJ328" s="6947"/>
      <c r="AK328" s="6529"/>
      <c r="BQ328"/>
      <c r="BR328"/>
      <c r="BS328"/>
      <c r="BT328"/>
      <c r="BU328"/>
      <c r="BV328"/>
      <c r="BW328"/>
      <c r="BX328"/>
      <c r="BZ328"/>
      <c r="CA328"/>
      <c r="CB328"/>
    </row>
    <row r="329" spans="1:85" x14ac:dyDescent="0.25">
      <c r="A329" s="6957" t="s">
        <v>2063</v>
      </c>
      <c r="B329" s="6957"/>
      <c r="C329" s="2311">
        <f>SUM(D329+E329)</f>
        <v>0</v>
      </c>
      <c r="D329" s="2312">
        <f t="shared" ref="D329:E331" si="248">SUM(F329+H329+J329+L329+N329+P329+R329+T329+V329+X329+Z329+AB329+AD329+AF329)</f>
        <v>0</v>
      </c>
      <c r="E329" s="2346">
        <f t="shared" si="248"/>
        <v>0</v>
      </c>
      <c r="F329" s="2349"/>
      <c r="G329" s="2415"/>
      <c r="H329" s="2349"/>
      <c r="I329" s="2415"/>
      <c r="J329" s="2349"/>
      <c r="K329" s="2415"/>
      <c r="L329" s="2349"/>
      <c r="M329" s="2415"/>
      <c r="N329" s="2349"/>
      <c r="O329" s="2415"/>
      <c r="P329" s="2349"/>
      <c r="Q329" s="2415"/>
      <c r="R329" s="2349"/>
      <c r="S329" s="2415"/>
      <c r="T329" s="2349"/>
      <c r="U329" s="2415"/>
      <c r="V329" s="2349"/>
      <c r="W329" s="2415"/>
      <c r="X329" s="2349"/>
      <c r="Y329" s="2415"/>
      <c r="Z329" s="2349"/>
      <c r="AA329" s="2415"/>
      <c r="AB329" s="2349"/>
      <c r="AC329" s="2415"/>
      <c r="AD329" s="2349"/>
      <c r="AE329" s="2415"/>
      <c r="AF329" s="2349"/>
      <c r="AG329" s="2446"/>
      <c r="AH329" s="2415"/>
      <c r="AI329" s="2350"/>
      <c r="AJ329" s="2349"/>
      <c r="AK329" s="2350"/>
      <c r="AL329" t="str">
        <f>BQ329&amp;BR329&amp;BS329&amp;BT329</f>
        <v/>
      </c>
      <c r="BQ329" s="2553" t="str">
        <f>IF(AND(E329&gt;0,OR(AH329=""))," * No olvide digitar la variable Trans (Masculino). Digite Cero si no tiene.",IF((AH329)&gt;E329,"*  La variable Trans (Masculino) No puede ser mayor al Total Mujeres.",""))</f>
        <v/>
      </c>
      <c r="BR329" s="2553" t="str">
        <f>IF(AND(D329&gt;0,OR(AI329=""))," * No olvide digitar la variable Trans (Femenino). Digite Cero si no tiene.",IF((AI329)&gt;D329,"*  La variable Trans (Femenino) No puede ser mayor al Total Hombres.",""))</f>
        <v/>
      </c>
      <c r="BS329" s="2553" t="str">
        <f>IF(AND(C329&gt;0,AJ329="")," * No olvide digitar la variable Pueblos originarios. Digite Cero si no tiene.",IF(AJ329&gt;C329," * La variable Pueblos originarios No puede ser mayor al Total.",""))</f>
        <v/>
      </c>
      <c r="BT329" s="2553" t="str">
        <f>IF(AND(C329&gt;0,AK329="")," * No olvide digitar la variable Migrantes. Digite Cero si no tiene.",IF(AK329&gt;C329," * La variable Migrantes No puede ser mayor al Total.",""))</f>
        <v/>
      </c>
      <c r="BU329"/>
      <c r="BV329"/>
      <c r="BW329"/>
      <c r="BX329"/>
      <c r="BZ329"/>
      <c r="CA329"/>
      <c r="CB329" s="1793">
        <f>IF(AND(E329&gt;0,OR(AH329="")),1,IF((AH329)&gt;E329,1,0))</f>
        <v>0</v>
      </c>
      <c r="CC329" s="1793">
        <f>IF(AND(D329&gt;0,OR(AI329="")),1,IF((AI329)&gt;D329,1,0))</f>
        <v>0</v>
      </c>
      <c r="CD329" s="1793">
        <f>IF(AND(C329&gt;0,AJ329=""),1,IF(AJ329&gt;C329,1,0))</f>
        <v>0</v>
      </c>
      <c r="CE329" s="1793">
        <f>IF(AND(C329&gt;0,AK329=""),1,IF(AK329&gt;C329,1,0))</f>
        <v>0</v>
      </c>
    </row>
    <row r="330" spans="1:85" x14ac:dyDescent="0.25">
      <c r="A330" s="6957" t="s">
        <v>2065</v>
      </c>
      <c r="B330" s="6957"/>
      <c r="C330" s="2311">
        <f>SUM(D330+E330)</f>
        <v>0</v>
      </c>
      <c r="D330" s="2312">
        <f t="shared" si="248"/>
        <v>0</v>
      </c>
      <c r="E330" s="2346">
        <f t="shared" si="248"/>
        <v>0</v>
      </c>
      <c r="F330" s="2349"/>
      <c r="G330" s="2415"/>
      <c r="H330" s="2349"/>
      <c r="I330" s="2415"/>
      <c r="J330" s="2349"/>
      <c r="K330" s="2415"/>
      <c r="L330" s="2349"/>
      <c r="M330" s="2415"/>
      <c r="N330" s="2349"/>
      <c r="O330" s="2415"/>
      <c r="P330" s="2349"/>
      <c r="Q330" s="2415"/>
      <c r="R330" s="2349"/>
      <c r="S330" s="2415"/>
      <c r="T330" s="2349"/>
      <c r="U330" s="2415"/>
      <c r="V330" s="2349"/>
      <c r="W330" s="2415"/>
      <c r="X330" s="2349"/>
      <c r="Y330" s="2415"/>
      <c r="Z330" s="2349"/>
      <c r="AA330" s="2415"/>
      <c r="AB330" s="2349"/>
      <c r="AC330" s="2415"/>
      <c r="AD330" s="2349"/>
      <c r="AE330" s="2415"/>
      <c r="AF330" s="2349"/>
      <c r="AG330" s="2446"/>
      <c r="AH330" s="2415"/>
      <c r="AI330" s="2350"/>
      <c r="AJ330" s="2349"/>
      <c r="AK330" s="2350"/>
      <c r="AL330" t="str">
        <f t="shared" ref="AL330:AL331" si="249">BQ330&amp;BR330&amp;BS330&amp;BT330</f>
        <v/>
      </c>
      <c r="BQ330" s="2553" t="str">
        <f>IF(AND(E330&gt;0,OR(AH330=""))," * No olvide digitar la variable Trans (Masculino). Digite Cero si no tiene.",IF((AH330)&gt;E330,"*  La variable Trans (Masculino) No puede ser mayor al Total Mujeres.",""))</f>
        <v/>
      </c>
      <c r="BR330" s="2553" t="str">
        <f>IF(AND(D330&gt;0,OR(AI330=""))," * No olvide digitar la variable Trans (Femenino). Digite Cero si no tiene.",IF((AI330)&gt;D330,"*  La variable Trans (Femenino) No puede ser mayor al Total Hombres.",""))</f>
        <v/>
      </c>
      <c r="BS330" s="2553" t="str">
        <f>IF(AND(C330&gt;0,AJ330="")," * No olvide digitar la variable Pueblos originarios. Digite Cero si no tiene.",IF(AJ330&gt;C330," * La variable Pueblos originarios No puede ser mayor al Total.",""))</f>
        <v/>
      </c>
      <c r="BT330" s="2553" t="str">
        <f>IF(AND(C330&gt;0,AK330="")," * No olvide digitar la variable Migrantes. Digite Cero si no tiene.",IF(AK330&gt;C330," * La variable Migrantes No puede ser mayor al Total.",""))</f>
        <v/>
      </c>
      <c r="BU330"/>
      <c r="BV330"/>
      <c r="BW330"/>
      <c r="BX330"/>
      <c r="BZ330"/>
      <c r="CA330"/>
      <c r="CB330" s="1793">
        <f>IF(AND(E330&gt;0,OR(AH330="")),1,IF((AH330)&gt;E330,1,0))</f>
        <v>0</v>
      </c>
      <c r="CC330" s="1793">
        <f>IF(AND(D330&gt;0,OR(AI330="")),1,IF((AI330)&gt;D330,1,0))</f>
        <v>0</v>
      </c>
      <c r="CD330" s="1793">
        <f>IF(AND(C330&gt;0,AJ330=""),1,IF(AJ330&gt;C330,1,0))</f>
        <v>0</v>
      </c>
      <c r="CE330" s="1793">
        <f>IF(AND(C330&gt;0,AK330=""),1,IF(AK330&gt;C330,1,0))</f>
        <v>0</v>
      </c>
    </row>
    <row r="331" spans="1:85" x14ac:dyDescent="0.25">
      <c r="A331" s="6957" t="s">
        <v>2074</v>
      </c>
      <c r="B331" s="6957"/>
      <c r="C331" s="2311">
        <f>SUM(D331+E331)</f>
        <v>0</v>
      </c>
      <c r="D331" s="2312">
        <f t="shared" si="248"/>
        <v>0</v>
      </c>
      <c r="E331" s="2346">
        <f t="shared" si="248"/>
        <v>0</v>
      </c>
      <c r="F331" s="2349"/>
      <c r="G331" s="2415"/>
      <c r="H331" s="2349"/>
      <c r="I331" s="2415"/>
      <c r="J331" s="2349"/>
      <c r="K331" s="2415"/>
      <c r="L331" s="2349"/>
      <c r="M331" s="2415"/>
      <c r="N331" s="2349"/>
      <c r="O331" s="2415"/>
      <c r="P331" s="2349"/>
      <c r="Q331" s="2415"/>
      <c r="R331" s="2349"/>
      <c r="S331" s="2415"/>
      <c r="T331" s="2349"/>
      <c r="U331" s="2415"/>
      <c r="V331" s="2349"/>
      <c r="W331" s="2415"/>
      <c r="X331" s="2349"/>
      <c r="Y331" s="2415"/>
      <c r="Z331" s="2349"/>
      <c r="AA331" s="2415"/>
      <c r="AB331" s="2349"/>
      <c r="AC331" s="2415"/>
      <c r="AD331" s="2349"/>
      <c r="AE331" s="2415"/>
      <c r="AF331" s="2349"/>
      <c r="AG331" s="2446"/>
      <c r="AH331" s="2415"/>
      <c r="AI331" s="2350"/>
      <c r="AJ331" s="2349"/>
      <c r="AK331" s="2350"/>
      <c r="AL331" t="str">
        <f t="shared" si="249"/>
        <v/>
      </c>
      <c r="BQ331" s="2553" t="str">
        <f>IF(AND(E331&gt;0,OR(AH331=""))," * No olvide digitar la variable Trans (Masculino). Digite Cero si no tiene.",IF((AH331)&gt;E331,"*  La variable Trans (Masculino) No puede ser mayor al Total Mujeres.",""))</f>
        <v/>
      </c>
      <c r="BR331" s="2553" t="str">
        <f>IF(AND(D331&gt;0,OR(AI331=""))," * No olvide digitar la variable Trans (Femenino). Digite Cero si no tiene.",IF((AI331)&gt;D331,"*  La variable Trans (Femenino) No puede ser mayor al Total Hombres.",""))</f>
        <v/>
      </c>
      <c r="BS331" s="2553" t="str">
        <f>IF(AND(C331&gt;0,AJ331="")," * No olvide digitar la variable Pueblos originarios. Digite Cero si no tiene.",IF(AJ331&gt;C331," * La variable Pueblos originarios No puede ser mayor al Total.",""))</f>
        <v/>
      </c>
      <c r="BT331" s="2553" t="str">
        <f>IF(AND(C331&gt;0,AK331="")," * No olvide digitar la variable Migrantes. Digite Cero si no tiene.",IF(AK331&gt;C331," * La variable Migrantes No puede ser mayor al Total.",""))</f>
        <v/>
      </c>
      <c r="BU331"/>
      <c r="BV331"/>
      <c r="BW331"/>
      <c r="BX331"/>
      <c r="BZ331"/>
      <c r="CA331"/>
      <c r="CB331" s="1793">
        <f>IF(AND(E331&gt;0,OR(AH331="")),1,IF((AH331)&gt;E331,1,0))</f>
        <v>0</v>
      </c>
      <c r="CC331" s="1793">
        <f>IF(AND(D331&gt;0,OR(AI331="")),1,IF((AI331)&gt;D331,1,0))</f>
        <v>0</v>
      </c>
      <c r="CD331" s="1793">
        <f>IF(AND(C331&gt;0,AJ331=""),1,IF(AJ331&gt;C331,1,0))</f>
        <v>0</v>
      </c>
      <c r="CE331" s="1793">
        <f>IF(AND(C331&gt;0,AK331=""),1,IF(AK331&gt;C331,1,0))</f>
        <v>0</v>
      </c>
    </row>
    <row r="332" spans="1:85" s="17" customFormat="1" ht="18" customHeight="1" x14ac:dyDescent="0.2">
      <c r="A332" s="2805" t="s">
        <v>3716</v>
      </c>
      <c r="B332" s="2806"/>
      <c r="C332" s="2806"/>
      <c r="D332" s="2806"/>
      <c r="E332" s="2806"/>
      <c r="F332" s="2806"/>
      <c r="G332" s="2806"/>
      <c r="H332" s="2806"/>
      <c r="I332" s="2806"/>
      <c r="J332" s="2806"/>
      <c r="K332" s="2806"/>
      <c r="L332" s="2806"/>
      <c r="M332" s="2806"/>
      <c r="N332" s="2806"/>
      <c r="O332" s="15"/>
      <c r="P332" s="15"/>
      <c r="Q332" s="15"/>
      <c r="R332" s="15"/>
    </row>
    <row r="333" spans="1:85" ht="15" customHeight="1" x14ac:dyDescent="0.25">
      <c r="A333" s="6925" t="s">
        <v>58</v>
      </c>
      <c r="B333" s="6962" t="s">
        <v>59</v>
      </c>
      <c r="C333" s="6963"/>
      <c r="D333" s="6964"/>
      <c r="E333" s="6965" t="s">
        <v>30</v>
      </c>
      <c r="F333" s="6966"/>
      <c r="G333" s="6966"/>
      <c r="H333" s="6966"/>
      <c r="I333" s="6966"/>
      <c r="J333" s="6966"/>
      <c r="K333" s="6966"/>
      <c r="L333" s="6966"/>
      <c r="M333" s="6966"/>
      <c r="N333" s="6416"/>
      <c r="O333" s="6970" t="s">
        <v>3928</v>
      </c>
      <c r="P333" s="6959" t="s">
        <v>3930</v>
      </c>
      <c r="Q333" s="6959" t="s">
        <v>3931</v>
      </c>
      <c r="R333" s="6741" t="s">
        <v>2</v>
      </c>
      <c r="S333" s="6967" t="s">
        <v>3</v>
      </c>
      <c r="T333" s="7145" t="s">
        <v>48</v>
      </c>
      <c r="U333" s="7146"/>
      <c r="BQ333"/>
      <c r="BR333"/>
      <c r="BS333"/>
      <c r="BT333"/>
      <c r="BU333"/>
      <c r="BV333"/>
      <c r="BW333"/>
      <c r="BX333"/>
      <c r="BZ333"/>
      <c r="CA333"/>
      <c r="CB333"/>
    </row>
    <row r="334" spans="1:85" x14ac:dyDescent="0.25">
      <c r="A334" s="6926"/>
      <c r="B334" s="6941"/>
      <c r="C334" s="6942"/>
      <c r="D334" s="6529"/>
      <c r="E334" s="6920" t="s">
        <v>36</v>
      </c>
      <c r="F334" s="6921"/>
      <c r="G334" s="6920" t="s">
        <v>37</v>
      </c>
      <c r="H334" s="6921"/>
      <c r="I334" s="6920" t="s">
        <v>38</v>
      </c>
      <c r="J334" s="6921"/>
      <c r="K334" s="6920" t="s">
        <v>4</v>
      </c>
      <c r="L334" s="6921"/>
      <c r="M334" s="6920" t="s">
        <v>5</v>
      </c>
      <c r="N334" s="6958"/>
      <c r="O334" s="6971"/>
      <c r="P334" s="6960"/>
      <c r="Q334" s="6960"/>
      <c r="R334" s="6742"/>
      <c r="S334" s="6968"/>
      <c r="T334" s="7147"/>
      <c r="U334" s="7148"/>
      <c r="BQ334"/>
      <c r="BR334"/>
      <c r="BS334"/>
      <c r="BT334"/>
      <c r="BU334"/>
      <c r="BV334"/>
      <c r="BW334"/>
      <c r="BX334"/>
      <c r="BZ334"/>
      <c r="CA334"/>
      <c r="CB334"/>
    </row>
    <row r="335" spans="1:85" x14ac:dyDescent="0.25">
      <c r="A335" s="6927"/>
      <c r="B335" s="2807" t="s">
        <v>26</v>
      </c>
      <c r="C335" s="2808" t="s">
        <v>22</v>
      </c>
      <c r="D335" s="2801" t="s">
        <v>27</v>
      </c>
      <c r="E335" s="2753" t="s">
        <v>22</v>
      </c>
      <c r="F335" s="2751" t="s">
        <v>27</v>
      </c>
      <c r="G335" s="2753" t="s">
        <v>22</v>
      </c>
      <c r="H335" s="2751" t="s">
        <v>27</v>
      </c>
      <c r="I335" s="2753" t="s">
        <v>22</v>
      </c>
      <c r="J335" s="2751" t="s">
        <v>27</v>
      </c>
      <c r="K335" s="2753" t="s">
        <v>22</v>
      </c>
      <c r="L335" s="2751" t="s">
        <v>27</v>
      </c>
      <c r="M335" s="2753" t="s">
        <v>22</v>
      </c>
      <c r="N335" s="6404" t="s">
        <v>27</v>
      </c>
      <c r="O335" s="6972"/>
      <c r="P335" s="6961"/>
      <c r="Q335" s="6961"/>
      <c r="R335" s="6743"/>
      <c r="S335" s="6969"/>
      <c r="T335" s="2776" t="s">
        <v>41</v>
      </c>
      <c r="U335" s="2776" t="s">
        <v>42</v>
      </c>
      <c r="BQ335"/>
      <c r="BR335"/>
      <c r="BS335"/>
      <c r="BT335"/>
      <c r="BU335"/>
      <c r="BV335"/>
      <c r="BW335"/>
      <c r="BX335"/>
      <c r="BZ335"/>
      <c r="CA335"/>
      <c r="CB335"/>
    </row>
    <row r="336" spans="1:85" x14ac:dyDescent="0.25">
      <c r="A336" s="2392" t="s">
        <v>25</v>
      </c>
      <c r="B336" s="2392">
        <f>SUM(C336+D336)</f>
        <v>0</v>
      </c>
      <c r="C336" s="2452">
        <f>SUM(E336+G336+I336+K336+M336)</f>
        <v>0</v>
      </c>
      <c r="D336" s="2317">
        <f>SUM(F336+H336+J336+L336+N336)</f>
        <v>0</v>
      </c>
      <c r="E336" s="2209"/>
      <c r="F336" s="2318"/>
      <c r="G336" s="2209"/>
      <c r="H336" s="2318"/>
      <c r="I336" s="2209"/>
      <c r="J336" s="2420"/>
      <c r="K336" s="2209"/>
      <c r="L336" s="2420"/>
      <c r="M336" s="2453"/>
      <c r="N336" s="2321"/>
      <c r="O336" s="6434"/>
      <c r="P336" s="6415"/>
      <c r="Q336" s="6415"/>
      <c r="R336" s="6421"/>
      <c r="S336" s="2318"/>
      <c r="T336" s="2318"/>
      <c r="U336" s="2318"/>
      <c r="W336" t="str">
        <f>BS336&amp;BT336&amp;BU336&amp;BV336</f>
        <v/>
      </c>
      <c r="BQ336"/>
      <c r="BR336"/>
      <c r="BS336" s="2553" t="str">
        <f>IF(AND(B336&gt;0,R336="")," * No olvide digitar la variable Pueblos originarios. Digite Cero si no tiene.",IF(R336&gt;B336," * La variable Pueblos originarios No puede ser mayor al Total.",""))</f>
        <v/>
      </c>
      <c r="BT336" s="2553" t="str">
        <f>IF(AND(B336&gt;0,S336="")," * No olvide digitar la variable Migrantes. Digite Cero si no tiene.",IF(S336&gt;B336," * La variable Migrantes No puede ser mayor al Total.",""))</f>
        <v/>
      </c>
      <c r="BU336" s="1791" t="str">
        <f>IF(AND(D336&gt;0,OR(T336=""))," * No olvide digitar la variable Trans (Masculino). Digite Cero si no tiene.",IF((T336)&gt;D336," * La variable Trans Masculino No puede ser mayor al Total Mujeres.",""))</f>
        <v/>
      </c>
      <c r="BV336" s="1791" t="str">
        <f>IF(AND(C336&gt;0,OR(U336=""))," * No olvide digitar la variable Trans (Femenino). Digite Cero si no tiene.",IF((U336)&gt;C336," * La variable Trans Femenino No puede ser mayor al Total Hombres.",""))</f>
        <v/>
      </c>
      <c r="BY336" s="1791"/>
      <c r="BZ336" s="1791"/>
      <c r="CA336"/>
      <c r="CB336"/>
      <c r="CD336" s="1793">
        <f>IF(AND(B336&gt;0,R336=""),1,IF(R336&gt;B336,1,0))</f>
        <v>0</v>
      </c>
      <c r="CE336" s="1793">
        <f>IF(AND(B336&gt;0,S336=""),1,IF(S336&gt;B336,1,0))</f>
        <v>0</v>
      </c>
      <c r="CF336" s="1793">
        <f>IF(AND(D336&gt;0,OR(T336="")),1,IF((T336)&gt;D336,1,0))</f>
        <v>0</v>
      </c>
      <c r="CG336" s="1793">
        <f>IF(AND(C336&gt;0,OR(U336="")),1,IF((U336)&gt;C336,1,0))</f>
        <v>0</v>
      </c>
    </row>
    <row r="337" spans="1:85" x14ac:dyDescent="0.25">
      <c r="A337" s="2448" t="s">
        <v>31</v>
      </c>
      <c r="B337" s="2448">
        <f>SUM(C337+D337)</f>
        <v>0</v>
      </c>
      <c r="C337" s="2454">
        <f>SUM(E337+G337+I337+K337+M337)</f>
        <v>0</v>
      </c>
      <c r="D337" s="2455">
        <f>SUM(F337+H337+J337+L337+N337)</f>
        <v>0</v>
      </c>
      <c r="E337" s="2241"/>
      <c r="F337" s="2450"/>
      <c r="G337" s="2241"/>
      <c r="H337" s="2456"/>
      <c r="I337" s="2241"/>
      <c r="J337" s="2450"/>
      <c r="K337" s="2241"/>
      <c r="L337" s="2450"/>
      <c r="M337" s="2345"/>
      <c r="N337" s="6417"/>
      <c r="O337" s="6423"/>
      <c r="P337" s="2450"/>
      <c r="Q337" s="2450"/>
      <c r="R337" s="6423"/>
      <c r="S337" s="2450"/>
      <c r="T337" s="2450"/>
      <c r="U337" s="2450"/>
      <c r="W337" t="str">
        <f>BS337&amp;BT337&amp;BU337&amp;BV337</f>
        <v/>
      </c>
      <c r="BQ337"/>
      <c r="BR337"/>
      <c r="BS337" s="2553" t="str">
        <f>IF(AND(B337&gt;0,R337="")," * No olvide digitar la variable Pueblos originarios. Digite Cero si no tiene.",IF(R337&gt;B337," * La variable Pueblos originarios No puede ser mayor al Total.",""))</f>
        <v/>
      </c>
      <c r="BT337" s="2553" t="str">
        <f>IF(AND(B337&gt;0,S337="")," * No olvide digitar la variable Migrantes. Digite Cero si no tiene.",IF(S337&gt;B337," * La variable Migrantes No puede ser mayor al Total.",""))</f>
        <v/>
      </c>
      <c r="BU337" s="1791" t="str">
        <f>IF(AND(D337&gt;0,OR(T337=""))," * No olvide digitar la variable Trans (Masculino). Digite Cero si no tiene.",IF((T337)&gt;D337," * La variable Trans Masculino No puede ser mayor al Total Mujeres.",""))</f>
        <v/>
      </c>
      <c r="BV337" s="1791" t="str">
        <f>IF(AND(C337&gt;0,OR(U337=""))," * No olvide digitar la variable Trans (Femenino). Digite Cero si no tiene.",IF((U337)&gt;C337," * La variable Trans Femenino No puede ser mayor al Total Hombres.",""))</f>
        <v/>
      </c>
      <c r="BY337" s="1791"/>
      <c r="BZ337" s="1791"/>
      <c r="CA337"/>
      <c r="CB337"/>
      <c r="CD337" s="1793">
        <f>IF(AND(B337&gt;0,R337=""),1,IF(R337&gt;B337,1,0))</f>
        <v>0</v>
      </c>
      <c r="CE337" s="1793">
        <f>IF(AND(B337&gt;0,S337=""),1,IF(S337&gt;B337,1,0))</f>
        <v>0</v>
      </c>
      <c r="CF337" s="1793">
        <f>IF(AND(D337&gt;0,OR(T337="")),1,IF((T337)&gt;D337,1,0))</f>
        <v>0</v>
      </c>
      <c r="CG337" s="1793">
        <f>IF(AND(C337&gt;0,OR(U337="")),1,IF((U337)&gt;C337,1,0))</f>
        <v>0</v>
      </c>
    </row>
    <row r="338" spans="1:85" s="17" customFormat="1" ht="18" customHeight="1" x14ac:dyDescent="0.2">
      <c r="A338" s="14" t="s">
        <v>3717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</row>
    <row r="339" spans="1:85" x14ac:dyDescent="0.25">
      <c r="A339" s="6925" t="s">
        <v>58</v>
      </c>
      <c r="B339" s="6925" t="s">
        <v>2075</v>
      </c>
      <c r="C339" s="6922" t="s">
        <v>59</v>
      </c>
      <c r="D339" s="6922"/>
      <c r="E339" s="6922"/>
      <c r="F339" s="6952" t="s">
        <v>30</v>
      </c>
      <c r="G339" s="6953"/>
      <c r="H339" s="6953"/>
      <c r="I339" s="6953"/>
      <c r="J339" s="6953"/>
      <c r="K339" s="6953"/>
      <c r="L339" s="6953"/>
      <c r="M339" s="6953"/>
      <c r="N339" s="6953"/>
      <c r="O339" s="6953"/>
      <c r="P339" s="6953"/>
      <c r="Q339" s="6953"/>
      <c r="R339" s="6953"/>
      <c r="S339" s="6953"/>
      <c r="T339" s="6953"/>
      <c r="U339" s="6953"/>
      <c r="V339" s="6953"/>
      <c r="W339" s="6953"/>
      <c r="X339" s="6953"/>
      <c r="Y339" s="6953"/>
      <c r="Z339" s="6953"/>
      <c r="AA339" s="6953"/>
      <c r="AB339" s="6953"/>
      <c r="AC339" s="6953"/>
      <c r="AD339" s="6953"/>
      <c r="AE339" s="6953"/>
      <c r="AF339" s="6953"/>
      <c r="AG339" s="6954"/>
      <c r="AH339" s="6955" t="s">
        <v>2</v>
      </c>
      <c r="AI339" s="6528" t="s">
        <v>3</v>
      </c>
      <c r="AJ339" s="6920" t="s">
        <v>2076</v>
      </c>
      <c r="AK339" s="6928"/>
      <c r="AL339" s="6921"/>
      <c r="AM339" s="6925" t="s">
        <v>2077</v>
      </c>
      <c r="BQ339"/>
      <c r="BR339"/>
      <c r="BS339"/>
      <c r="BT339"/>
      <c r="BU339"/>
      <c r="BV339"/>
      <c r="BW339"/>
      <c r="BX339"/>
      <c r="BZ339"/>
      <c r="CA339"/>
      <c r="CB339"/>
    </row>
    <row r="340" spans="1:85" x14ac:dyDescent="0.25">
      <c r="A340" s="6926"/>
      <c r="B340" s="6926"/>
      <c r="C340" s="6922"/>
      <c r="D340" s="6922"/>
      <c r="E340" s="6922"/>
      <c r="F340" s="6920" t="s">
        <v>4</v>
      </c>
      <c r="G340" s="6921"/>
      <c r="H340" s="6920" t="s">
        <v>5</v>
      </c>
      <c r="I340" s="6921"/>
      <c r="J340" s="6920" t="s">
        <v>6</v>
      </c>
      <c r="K340" s="6921"/>
      <c r="L340" s="6920" t="s">
        <v>7</v>
      </c>
      <c r="M340" s="6921"/>
      <c r="N340" s="6920" t="s">
        <v>8</v>
      </c>
      <c r="O340" s="6921"/>
      <c r="P340" s="6920" t="s">
        <v>9</v>
      </c>
      <c r="Q340" s="6921"/>
      <c r="R340" s="6920" t="s">
        <v>10</v>
      </c>
      <c r="S340" s="6921"/>
      <c r="T340" s="6920" t="s">
        <v>11</v>
      </c>
      <c r="U340" s="6921"/>
      <c r="V340" s="6920" t="s">
        <v>18</v>
      </c>
      <c r="W340" s="6921"/>
      <c r="X340" s="6920" t="s">
        <v>19</v>
      </c>
      <c r="Y340" s="6921"/>
      <c r="Z340" s="6920" t="s">
        <v>20</v>
      </c>
      <c r="AA340" s="6921"/>
      <c r="AB340" s="6920" t="s">
        <v>70</v>
      </c>
      <c r="AC340" s="6921"/>
      <c r="AD340" s="6920" t="s">
        <v>71</v>
      </c>
      <c r="AE340" s="6921"/>
      <c r="AF340" s="6920" t="s">
        <v>32</v>
      </c>
      <c r="AG340" s="6929"/>
      <c r="AH340" s="6956"/>
      <c r="AI340" s="6924"/>
      <c r="AJ340" s="6946" t="s">
        <v>2078</v>
      </c>
      <c r="AK340" s="6948" t="s">
        <v>60</v>
      </c>
      <c r="AL340" s="6950" t="s">
        <v>2079</v>
      </c>
      <c r="AM340" s="6926"/>
      <c r="BQ340"/>
      <c r="BR340"/>
      <c r="BS340"/>
      <c r="BT340"/>
      <c r="BU340"/>
      <c r="BV340"/>
      <c r="BW340"/>
      <c r="BX340"/>
      <c r="BZ340"/>
      <c r="CA340"/>
      <c r="CB340"/>
    </row>
    <row r="341" spans="1:85" ht="27" customHeight="1" x14ac:dyDescent="0.25">
      <c r="A341" s="6927"/>
      <c r="B341" s="6927"/>
      <c r="C341" s="2776" t="s">
        <v>26</v>
      </c>
      <c r="D341" s="2779" t="s">
        <v>22</v>
      </c>
      <c r="E341" s="2751" t="s">
        <v>27</v>
      </c>
      <c r="F341" s="2753" t="s">
        <v>22</v>
      </c>
      <c r="G341" s="2751" t="s">
        <v>27</v>
      </c>
      <c r="H341" s="2753" t="s">
        <v>22</v>
      </c>
      <c r="I341" s="2751" t="s">
        <v>27</v>
      </c>
      <c r="J341" s="2753" t="s">
        <v>51</v>
      </c>
      <c r="K341" s="2751" t="s">
        <v>27</v>
      </c>
      <c r="L341" s="2753" t="s">
        <v>51</v>
      </c>
      <c r="M341" s="2751" t="s">
        <v>27</v>
      </c>
      <c r="N341" s="2753" t="s">
        <v>51</v>
      </c>
      <c r="O341" s="2751" t="s">
        <v>27</v>
      </c>
      <c r="P341" s="2753" t="s">
        <v>51</v>
      </c>
      <c r="Q341" s="2751" t="s">
        <v>27</v>
      </c>
      <c r="R341" s="2753" t="s">
        <v>51</v>
      </c>
      <c r="S341" s="2751" t="s">
        <v>27</v>
      </c>
      <c r="T341" s="2753" t="s">
        <v>51</v>
      </c>
      <c r="U341" s="2751" t="s">
        <v>27</v>
      </c>
      <c r="V341" s="2753" t="s">
        <v>51</v>
      </c>
      <c r="W341" s="2751" t="s">
        <v>27</v>
      </c>
      <c r="X341" s="2753" t="s">
        <v>51</v>
      </c>
      <c r="Y341" s="2751" t="s">
        <v>27</v>
      </c>
      <c r="Z341" s="2753" t="s">
        <v>51</v>
      </c>
      <c r="AA341" s="2751" t="s">
        <v>27</v>
      </c>
      <c r="AB341" s="2753" t="s">
        <v>51</v>
      </c>
      <c r="AC341" s="2751" t="s">
        <v>27</v>
      </c>
      <c r="AD341" s="2753" t="s">
        <v>51</v>
      </c>
      <c r="AE341" s="2751" t="s">
        <v>27</v>
      </c>
      <c r="AF341" s="2753" t="s">
        <v>51</v>
      </c>
      <c r="AG341" s="2752" t="s">
        <v>27</v>
      </c>
      <c r="AH341" s="6949"/>
      <c r="AI341" s="6529"/>
      <c r="AJ341" s="6947"/>
      <c r="AK341" s="6949"/>
      <c r="AL341" s="6951"/>
      <c r="AM341" s="6927"/>
      <c r="BQ341"/>
      <c r="BR341"/>
      <c r="BS341"/>
      <c r="BT341"/>
      <c r="BU341"/>
      <c r="BV341"/>
      <c r="BW341"/>
      <c r="BX341"/>
      <c r="BZ341"/>
      <c r="CA341"/>
      <c r="CB341"/>
    </row>
    <row r="342" spans="1:85" x14ac:dyDescent="0.25">
      <c r="A342" s="6930" t="s">
        <v>2080</v>
      </c>
      <c r="B342" s="2206" t="s">
        <v>2081</v>
      </c>
      <c r="C342" s="2457">
        <f>SUM(D342+E342)</f>
        <v>0</v>
      </c>
      <c r="D342" s="2457">
        <f>SUM(F342+H342+J342+L342+N342+P342+R342+T342+V342+X342+Z342+AB342+AD342+AF342)</f>
        <v>0</v>
      </c>
      <c r="E342" s="2457">
        <f>SUM(G342+I342+K342+M342+O342+Q342+S342+U342+W342+Y342+AA342+AC342+AE342+AG342)</f>
        <v>0</v>
      </c>
      <c r="F342" s="2209"/>
      <c r="G342" s="2318"/>
      <c r="H342" s="2209"/>
      <c r="I342" s="2318"/>
      <c r="J342" s="2209"/>
      <c r="K342" s="2318"/>
      <c r="L342" s="2209"/>
      <c r="M342" s="2318"/>
      <c r="N342" s="2209"/>
      <c r="O342" s="2318"/>
      <c r="P342" s="2209"/>
      <c r="Q342" s="2318"/>
      <c r="R342" s="2209"/>
      <c r="S342" s="2318"/>
      <c r="T342" s="2209"/>
      <c r="U342" s="2318"/>
      <c r="V342" s="2209"/>
      <c r="W342" s="2318"/>
      <c r="X342" s="2209"/>
      <c r="Y342" s="2318"/>
      <c r="Z342" s="2209"/>
      <c r="AA342" s="2318"/>
      <c r="AB342" s="2209"/>
      <c r="AC342" s="2318"/>
      <c r="AD342" s="2209"/>
      <c r="AE342" s="2318"/>
      <c r="AF342" s="2209"/>
      <c r="AG342" s="2289"/>
      <c r="AH342" s="2321"/>
      <c r="AI342" s="2420"/>
      <c r="AJ342" s="2393"/>
      <c r="AK342" s="2321"/>
      <c r="AL342" s="2420"/>
      <c r="AM342" s="2420"/>
      <c r="AN342" t="str">
        <f>BQ342&amp;BR342</f>
        <v/>
      </c>
      <c r="BQ342" s="2553" t="str">
        <f>IF(AND(C342&gt;0,AH342="")," * No olvide digitar la variable Pueblos originarios. Digite Cero si no tiene.",IF(AH342&gt;C342," * La variable Pueblos originarios No puede ser mayor al Total.",""))</f>
        <v/>
      </c>
      <c r="BR342" s="2553" t="str">
        <f>IF(AND(C342&gt;0,AI342="")," * No olvide digitar la variable Migrantes. Digite Cero si no tiene.",IF(AI342&gt;C342," * La variable Migrantes No puede ser mayor al Total.",""))</f>
        <v/>
      </c>
      <c r="BZ342"/>
      <c r="CA342"/>
      <c r="CB342" s="1793">
        <f>IF(AND(C342&gt;0,AH342=""),1,IF(AH342&gt;C342,1,0))</f>
        <v>0</v>
      </c>
      <c r="CC342" s="1793">
        <f>IF(AND(C342&gt;0,AI342=""),1,IF(AI342&gt;C342,1,0))</f>
        <v>0</v>
      </c>
      <c r="CD342" s="1793"/>
    </row>
    <row r="343" spans="1:85" x14ac:dyDescent="0.25">
      <c r="A343" s="6931"/>
      <c r="B343" s="1767" t="s">
        <v>2082</v>
      </c>
      <c r="C343" s="2458">
        <f t="shared" ref="C343:C351" si="250">SUM(D343+E343)</f>
        <v>0</v>
      </c>
      <c r="D343" s="2458">
        <f t="shared" ref="D343:E351" si="251">SUM(F343+H343+J343+L343+N343+P343+R343+T343+V343+X343+Z343+AB343+AD343+AF343)</f>
        <v>0</v>
      </c>
      <c r="E343" s="2458">
        <f t="shared" si="251"/>
        <v>0</v>
      </c>
      <c r="F343" s="1113"/>
      <c r="G343" s="8"/>
      <c r="H343" s="1113"/>
      <c r="I343" s="8"/>
      <c r="J343" s="1113"/>
      <c r="K343" s="8"/>
      <c r="L343" s="1113"/>
      <c r="M343" s="8"/>
      <c r="N343" s="1113"/>
      <c r="O343" s="8"/>
      <c r="P343" s="1113"/>
      <c r="Q343" s="8"/>
      <c r="R343" s="1113"/>
      <c r="S343" s="8"/>
      <c r="T343" s="1113"/>
      <c r="U343" s="8"/>
      <c r="V343" s="1113"/>
      <c r="W343" s="8"/>
      <c r="X343" s="1113"/>
      <c r="Y343" s="8"/>
      <c r="Z343" s="1113"/>
      <c r="AA343" s="8"/>
      <c r="AB343" s="1113"/>
      <c r="AC343" s="8"/>
      <c r="AD343" s="1113"/>
      <c r="AE343" s="8"/>
      <c r="AF343" s="1113"/>
      <c r="AG343" s="2203"/>
      <c r="AH343" s="1476"/>
      <c r="AI343" s="1117"/>
      <c r="AJ343" s="2204"/>
      <c r="AK343" s="1476"/>
      <c r="AL343" s="1117"/>
      <c r="AM343" s="1117"/>
      <c r="AN343" t="str">
        <f t="shared" ref="AN343:AN351" si="252">BQ343&amp;BR343</f>
        <v/>
      </c>
      <c r="BQ343" s="2553" t="str">
        <f t="shared" ref="BQ343:BQ351" si="253">IF(AND(C343&gt;0,AH343="")," * No olvide digitar la variable Pueblos originarios. Digite Cero si no tiene.",IF(AH343&gt;C343," * La variable Pueblos originarios No puede ser mayor al Total.",""))</f>
        <v/>
      </c>
      <c r="BR343" s="2553" t="str">
        <f t="shared" ref="BR343:BR351" si="254">IF(AND(C343&gt;0,AI343="")," * No olvide digitar la variable Migrantes. Digite Cero si no tiene.",IF(AI343&gt;C343," * La variable Migrantes No puede ser mayor al Total.",""))</f>
        <v/>
      </c>
      <c r="BZ343"/>
      <c r="CA343"/>
      <c r="CB343" s="1793">
        <f t="shared" ref="CB343:CB351" si="255">IF(AND(C343&gt;0,AH343=""),1,IF(AH343&gt;C343,1,0))</f>
        <v>0</v>
      </c>
      <c r="CC343" s="1793">
        <f t="shared" ref="CC343:CC351" si="256">IF(AND(C343&gt;0,AI343=""),1,IF(AI343&gt;C343,1,0))</f>
        <v>0</v>
      </c>
      <c r="CD343" s="1793"/>
    </row>
    <row r="344" spans="1:85" x14ac:dyDescent="0.25">
      <c r="A344" s="6932"/>
      <c r="B344" s="2459" t="s">
        <v>2083</v>
      </c>
      <c r="C344" s="2460">
        <f t="shared" si="250"/>
        <v>0</v>
      </c>
      <c r="D344" s="2460">
        <f t="shared" si="251"/>
        <v>0</v>
      </c>
      <c r="E344" s="2460">
        <f t="shared" si="251"/>
        <v>0</v>
      </c>
      <c r="F344" s="3"/>
      <c r="G344" s="12"/>
      <c r="H344" s="3"/>
      <c r="I344" s="12"/>
      <c r="J344" s="3"/>
      <c r="K344" s="12"/>
      <c r="L344" s="3"/>
      <c r="M344" s="12"/>
      <c r="N344" s="3"/>
      <c r="O344" s="12"/>
      <c r="P344" s="3"/>
      <c r="Q344" s="12"/>
      <c r="R344" s="3"/>
      <c r="S344" s="12"/>
      <c r="T344" s="3"/>
      <c r="U344" s="12"/>
      <c r="V344" s="3"/>
      <c r="W344" s="12"/>
      <c r="X344" s="3"/>
      <c r="Y344" s="12"/>
      <c r="Z344" s="3"/>
      <c r="AA344" s="12"/>
      <c r="AB344" s="3"/>
      <c r="AC344" s="12"/>
      <c r="AD344" s="3"/>
      <c r="AE344" s="12"/>
      <c r="AF344" s="3"/>
      <c r="AG344" s="1766"/>
      <c r="AH344" s="4"/>
      <c r="AI344" s="6"/>
      <c r="AJ344" s="21"/>
      <c r="AK344" s="4"/>
      <c r="AL344" s="6"/>
      <c r="AM344" s="6"/>
      <c r="AN344" t="str">
        <f t="shared" si="252"/>
        <v/>
      </c>
      <c r="BQ344" s="2553" t="str">
        <f t="shared" si="253"/>
        <v/>
      </c>
      <c r="BR344" s="2553" t="str">
        <f t="shared" si="254"/>
        <v/>
      </c>
      <c r="BZ344"/>
      <c r="CA344"/>
      <c r="CB344" s="1793">
        <f t="shared" si="255"/>
        <v>0</v>
      </c>
      <c r="CC344" s="1793">
        <f t="shared" si="256"/>
        <v>0</v>
      </c>
      <c r="CD344" s="1793"/>
    </row>
    <row r="345" spans="1:85" x14ac:dyDescent="0.25">
      <c r="A345" s="6930" t="s">
        <v>2084</v>
      </c>
      <c r="B345" s="2206" t="s">
        <v>2081</v>
      </c>
      <c r="C345" s="2457">
        <f t="shared" si="250"/>
        <v>0</v>
      </c>
      <c r="D345" s="2457">
        <f t="shared" si="251"/>
        <v>0</v>
      </c>
      <c r="E345" s="2457">
        <f t="shared" si="251"/>
        <v>0</v>
      </c>
      <c r="F345" s="2201"/>
      <c r="G345" s="1107"/>
      <c r="H345" s="2201"/>
      <c r="I345" s="1107"/>
      <c r="J345" s="2201"/>
      <c r="K345" s="1107"/>
      <c r="L345" s="2201"/>
      <c r="M345" s="1107"/>
      <c r="N345" s="2201"/>
      <c r="O345" s="1107"/>
      <c r="P345" s="2201"/>
      <c r="Q345" s="1107"/>
      <c r="R345" s="2201"/>
      <c r="S345" s="1107"/>
      <c r="T345" s="2201"/>
      <c r="U345" s="1107"/>
      <c r="V345" s="2201"/>
      <c r="W345" s="1107"/>
      <c r="X345" s="2201"/>
      <c r="Y345" s="1107"/>
      <c r="Z345" s="2201"/>
      <c r="AA345" s="1107"/>
      <c r="AB345" s="2201"/>
      <c r="AC345" s="1107"/>
      <c r="AD345" s="2201"/>
      <c r="AE345" s="1107"/>
      <c r="AF345" s="2201"/>
      <c r="AG345" s="2202"/>
      <c r="AH345" s="1487"/>
      <c r="AI345" s="1320"/>
      <c r="AJ345" s="1120"/>
      <c r="AK345" s="1487"/>
      <c r="AL345" s="1320"/>
      <c r="AM345" s="1320"/>
      <c r="AN345" t="str">
        <f t="shared" si="252"/>
        <v/>
      </c>
      <c r="BQ345" s="2553" t="str">
        <f t="shared" si="253"/>
        <v/>
      </c>
      <c r="BR345" s="2553" t="str">
        <f t="shared" si="254"/>
        <v/>
      </c>
      <c r="BZ345"/>
      <c r="CA345"/>
      <c r="CB345" s="1793">
        <f t="shared" si="255"/>
        <v>0</v>
      </c>
      <c r="CC345" s="1793">
        <f t="shared" si="256"/>
        <v>0</v>
      </c>
      <c r="CD345" s="1793"/>
    </row>
    <row r="346" spans="1:85" x14ac:dyDescent="0.25">
      <c r="A346" s="6931"/>
      <c r="B346" s="1767" t="s">
        <v>2082</v>
      </c>
      <c r="C346" s="2458">
        <f t="shared" si="250"/>
        <v>0</v>
      </c>
      <c r="D346" s="2458">
        <f t="shared" si="251"/>
        <v>0</v>
      </c>
      <c r="E346" s="2458">
        <f t="shared" si="251"/>
        <v>0</v>
      </c>
      <c r="F346" s="1113"/>
      <c r="G346" s="8"/>
      <c r="H346" s="1113"/>
      <c r="I346" s="8"/>
      <c r="J346" s="1113"/>
      <c r="K346" s="8"/>
      <c r="L346" s="1113"/>
      <c r="M346" s="8"/>
      <c r="N346" s="1113"/>
      <c r="O346" s="8"/>
      <c r="P346" s="1113"/>
      <c r="Q346" s="8"/>
      <c r="R346" s="1113"/>
      <c r="S346" s="8"/>
      <c r="T346" s="1113"/>
      <c r="U346" s="8"/>
      <c r="V346" s="1113"/>
      <c r="W346" s="8"/>
      <c r="X346" s="1113"/>
      <c r="Y346" s="8"/>
      <c r="Z346" s="1113"/>
      <c r="AA346" s="8"/>
      <c r="AB346" s="1113"/>
      <c r="AC346" s="8"/>
      <c r="AD346" s="1113"/>
      <c r="AE346" s="8"/>
      <c r="AF346" s="1113"/>
      <c r="AG346" s="2203"/>
      <c r="AH346" s="1476"/>
      <c r="AI346" s="1117"/>
      <c r="AJ346" s="2204"/>
      <c r="AK346" s="1476"/>
      <c r="AL346" s="1117"/>
      <c r="AM346" s="1117"/>
      <c r="AN346" t="str">
        <f t="shared" si="252"/>
        <v/>
      </c>
      <c r="BQ346" s="2553" t="str">
        <f t="shared" si="253"/>
        <v/>
      </c>
      <c r="BR346" s="2553" t="str">
        <f t="shared" si="254"/>
        <v/>
      </c>
      <c r="BZ346"/>
      <c r="CA346"/>
      <c r="CB346" s="1793">
        <f t="shared" si="255"/>
        <v>0</v>
      </c>
      <c r="CC346" s="1793">
        <f t="shared" si="256"/>
        <v>0</v>
      </c>
      <c r="CD346" s="1793"/>
    </row>
    <row r="347" spans="1:85" x14ac:dyDescent="0.25">
      <c r="A347" s="6932"/>
      <c r="B347" s="2459" t="s">
        <v>2083</v>
      </c>
      <c r="C347" s="2461">
        <f t="shared" si="250"/>
        <v>0</v>
      </c>
      <c r="D347" s="2461">
        <f t="shared" si="251"/>
        <v>0</v>
      </c>
      <c r="E347" s="2461">
        <f t="shared" si="251"/>
        <v>0</v>
      </c>
      <c r="F347" s="2241"/>
      <c r="G347" s="2450"/>
      <c r="H347" s="2241"/>
      <c r="I347" s="2450"/>
      <c r="J347" s="2241"/>
      <c r="K347" s="2450"/>
      <c r="L347" s="2241"/>
      <c r="M347" s="2450"/>
      <c r="N347" s="2241"/>
      <c r="O347" s="2450"/>
      <c r="P347" s="2241"/>
      <c r="Q347" s="2450"/>
      <c r="R347" s="2241"/>
      <c r="S347" s="2450"/>
      <c r="T347" s="2241"/>
      <c r="U347" s="2450"/>
      <c r="V347" s="2241"/>
      <c r="W347" s="2450"/>
      <c r="X347" s="2241"/>
      <c r="Y347" s="2450"/>
      <c r="Z347" s="2241"/>
      <c r="AA347" s="2450"/>
      <c r="AB347" s="2241"/>
      <c r="AC347" s="2450"/>
      <c r="AD347" s="2241"/>
      <c r="AE347" s="2450"/>
      <c r="AF347" s="2241"/>
      <c r="AG347" s="2451"/>
      <c r="AH347" s="4"/>
      <c r="AI347" s="6"/>
      <c r="AJ347" s="21"/>
      <c r="AK347" s="4"/>
      <c r="AL347" s="6"/>
      <c r="AM347" s="6"/>
      <c r="AN347" t="str">
        <f t="shared" si="252"/>
        <v/>
      </c>
      <c r="BQ347" s="2553" t="str">
        <f t="shared" si="253"/>
        <v/>
      </c>
      <c r="BR347" s="2553" t="str">
        <f t="shared" si="254"/>
        <v/>
      </c>
      <c r="BZ347"/>
      <c r="CA347"/>
      <c r="CB347" s="1793">
        <f t="shared" si="255"/>
        <v>0</v>
      </c>
      <c r="CC347" s="1793">
        <f t="shared" si="256"/>
        <v>0</v>
      </c>
      <c r="CD347" s="1793"/>
    </row>
    <row r="348" spans="1:85" x14ac:dyDescent="0.25">
      <c r="A348" s="6933" t="s">
        <v>2085</v>
      </c>
      <c r="B348" s="2206" t="s">
        <v>2086</v>
      </c>
      <c r="C348" s="43">
        <f t="shared" si="250"/>
        <v>0</v>
      </c>
      <c r="D348" s="43">
        <f t="shared" si="251"/>
        <v>0</v>
      </c>
      <c r="E348" s="43">
        <f t="shared" si="251"/>
        <v>0</v>
      </c>
      <c r="F348" s="2201"/>
      <c r="G348" s="1107"/>
      <c r="H348" s="2201"/>
      <c r="I348" s="1107"/>
      <c r="J348" s="2201"/>
      <c r="K348" s="1107"/>
      <c r="L348" s="2201"/>
      <c r="M348" s="1107"/>
      <c r="N348" s="2201"/>
      <c r="O348" s="1107"/>
      <c r="P348" s="2201"/>
      <c r="Q348" s="1107"/>
      <c r="R348" s="2201"/>
      <c r="S348" s="1107"/>
      <c r="T348" s="2201"/>
      <c r="U348" s="1107"/>
      <c r="V348" s="2201"/>
      <c r="W348" s="1107"/>
      <c r="X348" s="2201"/>
      <c r="Y348" s="1107"/>
      <c r="Z348" s="2201"/>
      <c r="AA348" s="1107"/>
      <c r="AB348" s="2201"/>
      <c r="AC348" s="1107"/>
      <c r="AD348" s="2201"/>
      <c r="AE348" s="1107"/>
      <c r="AF348" s="2201"/>
      <c r="AG348" s="2202"/>
      <c r="AH348" s="1487"/>
      <c r="AI348" s="1320"/>
      <c r="AJ348" s="1120"/>
      <c r="AK348" s="1487"/>
      <c r="AL348" s="1320"/>
      <c r="AM348" s="1320"/>
      <c r="AN348" t="str">
        <f t="shared" si="252"/>
        <v/>
      </c>
      <c r="BQ348" s="2553" t="str">
        <f t="shared" si="253"/>
        <v/>
      </c>
      <c r="BR348" s="2553" t="str">
        <f t="shared" si="254"/>
        <v/>
      </c>
      <c r="BZ348"/>
      <c r="CA348"/>
      <c r="CB348" s="1793">
        <f t="shared" si="255"/>
        <v>0</v>
      </c>
      <c r="CC348" s="1793">
        <f t="shared" si="256"/>
        <v>0</v>
      </c>
      <c r="CD348" s="1793"/>
    </row>
    <row r="349" spans="1:85" x14ac:dyDescent="0.25">
      <c r="A349" s="6934"/>
      <c r="B349" s="1123" t="s">
        <v>2087</v>
      </c>
      <c r="C349" s="2458">
        <f t="shared" si="250"/>
        <v>0</v>
      </c>
      <c r="D349" s="2458">
        <f t="shared" si="251"/>
        <v>0</v>
      </c>
      <c r="E349" s="2458">
        <f t="shared" si="251"/>
        <v>0</v>
      </c>
      <c r="F349" s="1113"/>
      <c r="G349" s="8"/>
      <c r="H349" s="1113"/>
      <c r="I349" s="8"/>
      <c r="J349" s="1113"/>
      <c r="K349" s="8"/>
      <c r="L349" s="1113"/>
      <c r="M349" s="8"/>
      <c r="N349" s="1113"/>
      <c r="O349" s="8"/>
      <c r="P349" s="1113"/>
      <c r="Q349" s="8"/>
      <c r="R349" s="1113"/>
      <c r="S349" s="8"/>
      <c r="T349" s="1113"/>
      <c r="U349" s="8"/>
      <c r="V349" s="1113"/>
      <c r="W349" s="8"/>
      <c r="X349" s="1113"/>
      <c r="Y349" s="8"/>
      <c r="Z349" s="1113"/>
      <c r="AA349" s="8"/>
      <c r="AB349" s="1113"/>
      <c r="AC349" s="8"/>
      <c r="AD349" s="1113"/>
      <c r="AE349" s="8"/>
      <c r="AF349" s="1113"/>
      <c r="AG349" s="2203"/>
      <c r="AH349" s="1476"/>
      <c r="AI349" s="1117"/>
      <c r="AJ349" s="2204"/>
      <c r="AK349" s="1476"/>
      <c r="AL349" s="1117"/>
      <c r="AM349" s="1117"/>
      <c r="AN349" t="str">
        <f t="shared" si="252"/>
        <v/>
      </c>
      <c r="BQ349" s="2553" t="str">
        <f t="shared" si="253"/>
        <v/>
      </c>
      <c r="BR349" s="2553" t="str">
        <f t="shared" si="254"/>
        <v/>
      </c>
      <c r="BZ349"/>
      <c r="CA349"/>
      <c r="CB349" s="1793">
        <f t="shared" si="255"/>
        <v>0</v>
      </c>
      <c r="CC349" s="1793">
        <f t="shared" si="256"/>
        <v>0</v>
      </c>
      <c r="CD349" s="1793"/>
    </row>
    <row r="350" spans="1:85" x14ac:dyDescent="0.25">
      <c r="A350" s="6934"/>
      <c r="B350" s="1123" t="s">
        <v>2088</v>
      </c>
      <c r="C350" s="2458">
        <f t="shared" si="250"/>
        <v>0</v>
      </c>
      <c r="D350" s="2458">
        <f t="shared" si="251"/>
        <v>0</v>
      </c>
      <c r="E350" s="2458">
        <f t="shared" si="251"/>
        <v>0</v>
      </c>
      <c r="F350" s="1113"/>
      <c r="G350" s="8"/>
      <c r="H350" s="1113"/>
      <c r="I350" s="8"/>
      <c r="J350" s="1113"/>
      <c r="K350" s="8"/>
      <c r="L350" s="1113"/>
      <c r="M350" s="8"/>
      <c r="N350" s="1113"/>
      <c r="O350" s="8"/>
      <c r="P350" s="1113"/>
      <c r="Q350" s="8"/>
      <c r="R350" s="1113"/>
      <c r="S350" s="8"/>
      <c r="T350" s="1113"/>
      <c r="U350" s="8"/>
      <c r="V350" s="1113"/>
      <c r="W350" s="8"/>
      <c r="X350" s="1113"/>
      <c r="Y350" s="8"/>
      <c r="Z350" s="1113"/>
      <c r="AA350" s="8"/>
      <c r="AB350" s="1113"/>
      <c r="AC350" s="8"/>
      <c r="AD350" s="1113"/>
      <c r="AE350" s="8"/>
      <c r="AF350" s="1113"/>
      <c r="AG350" s="2203"/>
      <c r="AH350" s="1476"/>
      <c r="AI350" s="1117"/>
      <c r="AJ350" s="2204"/>
      <c r="AK350" s="1476"/>
      <c r="AL350" s="1117"/>
      <c r="AM350" s="1117"/>
      <c r="AN350" t="str">
        <f t="shared" si="252"/>
        <v/>
      </c>
      <c r="BQ350" s="2553" t="str">
        <f t="shared" si="253"/>
        <v/>
      </c>
      <c r="BR350" s="2553" t="str">
        <f t="shared" si="254"/>
        <v/>
      </c>
      <c r="BZ350"/>
      <c r="CA350"/>
      <c r="CB350" s="1793">
        <f t="shared" si="255"/>
        <v>0</v>
      </c>
      <c r="CC350" s="1793">
        <f t="shared" si="256"/>
        <v>0</v>
      </c>
      <c r="CD350" s="1793"/>
    </row>
    <row r="351" spans="1:85" x14ac:dyDescent="0.25">
      <c r="A351" s="6935"/>
      <c r="B351" s="2459" t="s">
        <v>2089</v>
      </c>
      <c r="C351" s="2461">
        <f t="shared" si="250"/>
        <v>0</v>
      </c>
      <c r="D351" s="2461">
        <f t="shared" si="251"/>
        <v>0</v>
      </c>
      <c r="E351" s="2461">
        <f t="shared" si="251"/>
        <v>0</v>
      </c>
      <c r="F351" s="2241"/>
      <c r="G351" s="2450"/>
      <c r="H351" s="2241"/>
      <c r="I351" s="2450"/>
      <c r="J351" s="2241"/>
      <c r="K351" s="2450"/>
      <c r="L351" s="2241"/>
      <c r="M351" s="2450"/>
      <c r="N351" s="2241"/>
      <c r="O351" s="2450"/>
      <c r="P351" s="2241"/>
      <c r="Q351" s="2450"/>
      <c r="R351" s="2241"/>
      <c r="S351" s="2450"/>
      <c r="T351" s="2241"/>
      <c r="U351" s="2450"/>
      <c r="V351" s="2241"/>
      <c r="W351" s="2450"/>
      <c r="X351" s="2241"/>
      <c r="Y351" s="2450"/>
      <c r="Z351" s="2241"/>
      <c r="AA351" s="2450"/>
      <c r="AB351" s="2241"/>
      <c r="AC351" s="2450"/>
      <c r="AD351" s="2241"/>
      <c r="AE351" s="2450"/>
      <c r="AF351" s="2241"/>
      <c r="AG351" s="2451"/>
      <c r="AH351" s="2242"/>
      <c r="AI351" s="2456"/>
      <c r="AJ351" s="2449"/>
      <c r="AK351" s="2242"/>
      <c r="AL351" s="2456"/>
      <c r="AM351" s="2456"/>
      <c r="AN351" t="str">
        <f t="shared" si="252"/>
        <v/>
      </c>
      <c r="BQ351" s="2553" t="str">
        <f t="shared" si="253"/>
        <v/>
      </c>
      <c r="BR351" s="2553" t="str">
        <f t="shared" si="254"/>
        <v/>
      </c>
      <c r="BZ351"/>
      <c r="CA351"/>
      <c r="CB351" s="1793">
        <f t="shared" si="255"/>
        <v>0</v>
      </c>
      <c r="CC351" s="1793">
        <f t="shared" si="256"/>
        <v>0</v>
      </c>
      <c r="CD351" s="1793"/>
    </row>
    <row r="352" spans="1:85" s="2809" customFormat="1" ht="18" customHeight="1" x14ac:dyDescent="0.2">
      <c r="A352" s="1694" t="s">
        <v>2090</v>
      </c>
    </row>
    <row r="353" spans="1:82" s="17" customFormat="1" ht="18" customHeight="1" x14ac:dyDescent="0.2">
      <c r="A353" s="14" t="s">
        <v>2091</v>
      </c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</row>
    <row r="354" spans="1:82" ht="15" customHeight="1" x14ac:dyDescent="0.25">
      <c r="A354" s="6936" t="s">
        <v>58</v>
      </c>
      <c r="B354" s="6936" t="s">
        <v>61</v>
      </c>
      <c r="C354" s="6939" t="s">
        <v>59</v>
      </c>
      <c r="D354" s="6940"/>
      <c r="E354" s="6528"/>
      <c r="F354" s="6943" t="s">
        <v>30</v>
      </c>
      <c r="G354" s="6944"/>
      <c r="H354" s="6944"/>
      <c r="I354" s="6944"/>
      <c r="J354" s="6944"/>
      <c r="K354" s="6944"/>
      <c r="L354" s="6944"/>
      <c r="M354" s="6944"/>
      <c r="N354" s="6944"/>
      <c r="O354" s="6944"/>
      <c r="P354" s="6944"/>
      <c r="Q354" s="6944"/>
      <c r="R354" s="6944"/>
      <c r="S354" s="6944"/>
      <c r="T354" s="6944"/>
      <c r="U354" s="6944"/>
      <c r="V354" s="6944"/>
      <c r="W354" s="6944"/>
      <c r="X354" s="6944"/>
      <c r="Y354" s="6944"/>
      <c r="Z354" s="6944"/>
      <c r="AA354" s="6944"/>
      <c r="AB354" s="6944"/>
      <c r="AC354" s="6944"/>
      <c r="AD354" s="6944"/>
      <c r="AE354" s="6944"/>
      <c r="AF354" s="6944"/>
      <c r="AG354" s="6944"/>
      <c r="AH354" s="6944"/>
      <c r="AI354" s="6944"/>
      <c r="AJ354" s="6944"/>
      <c r="AK354" s="6944"/>
      <c r="AL354" s="6944"/>
      <c r="AM354" s="6945"/>
      <c r="AN354" s="6528" t="s">
        <v>1388</v>
      </c>
      <c r="AO354" s="6925" t="s">
        <v>2</v>
      </c>
      <c r="BQ354"/>
      <c r="BR354"/>
      <c r="BS354"/>
      <c r="BT354"/>
      <c r="BU354"/>
      <c r="BV354"/>
      <c r="BW354"/>
      <c r="BX354"/>
      <c r="BZ354"/>
      <c r="CA354"/>
      <c r="CB354"/>
    </row>
    <row r="355" spans="1:82" ht="15" customHeight="1" x14ac:dyDescent="0.25">
      <c r="A355" s="6937"/>
      <c r="B355" s="6937"/>
      <c r="C355" s="6941"/>
      <c r="D355" s="6942"/>
      <c r="E355" s="6529"/>
      <c r="F355" s="6920" t="s">
        <v>36</v>
      </c>
      <c r="G355" s="6921"/>
      <c r="H355" s="6920" t="s">
        <v>37</v>
      </c>
      <c r="I355" s="6921"/>
      <c r="J355" s="6920" t="s">
        <v>38</v>
      </c>
      <c r="K355" s="6921"/>
      <c r="L355" s="6920" t="s">
        <v>4</v>
      </c>
      <c r="M355" s="6921"/>
      <c r="N355" s="6920" t="s">
        <v>5</v>
      </c>
      <c r="O355" s="6921"/>
      <c r="P355" s="6928" t="s">
        <v>6</v>
      </c>
      <c r="Q355" s="6921"/>
      <c r="R355" s="6920" t="s">
        <v>7</v>
      </c>
      <c r="S355" s="6921"/>
      <c r="T355" s="6920" t="s">
        <v>8</v>
      </c>
      <c r="U355" s="6921"/>
      <c r="V355" s="6920" t="s">
        <v>9</v>
      </c>
      <c r="W355" s="6921"/>
      <c r="X355" s="6920" t="s">
        <v>10</v>
      </c>
      <c r="Y355" s="6921"/>
      <c r="Z355" s="6920" t="s">
        <v>11</v>
      </c>
      <c r="AA355" s="6921"/>
      <c r="AB355" s="6920" t="s">
        <v>18</v>
      </c>
      <c r="AC355" s="6921"/>
      <c r="AD355" s="6920" t="s">
        <v>19</v>
      </c>
      <c r="AE355" s="6921"/>
      <c r="AF355" s="6920" t="s">
        <v>20</v>
      </c>
      <c r="AG355" s="6921"/>
      <c r="AH355" s="6920" t="s">
        <v>70</v>
      </c>
      <c r="AI355" s="6921"/>
      <c r="AJ355" s="6920" t="s">
        <v>71</v>
      </c>
      <c r="AK355" s="6921"/>
      <c r="AL355" s="6920" t="s">
        <v>32</v>
      </c>
      <c r="AM355" s="6929"/>
      <c r="AN355" s="6924"/>
      <c r="AO355" s="6926"/>
      <c r="BQ355"/>
      <c r="BR355"/>
      <c r="BS355"/>
      <c r="BT355"/>
      <c r="BU355"/>
      <c r="BV355"/>
      <c r="BW355"/>
      <c r="BX355"/>
      <c r="BZ355"/>
      <c r="CA355"/>
      <c r="CB355"/>
    </row>
    <row r="356" spans="1:82" ht="33.75" customHeight="1" x14ac:dyDescent="0.25">
      <c r="A356" s="6938"/>
      <c r="B356" s="6938"/>
      <c r="C356" s="2804" t="s">
        <v>26</v>
      </c>
      <c r="D356" s="2802" t="s">
        <v>22</v>
      </c>
      <c r="E356" s="2648" t="s">
        <v>27</v>
      </c>
      <c r="F356" s="2753" t="s">
        <v>22</v>
      </c>
      <c r="G356" s="2648" t="s">
        <v>27</v>
      </c>
      <c r="H356" s="2753" t="s">
        <v>22</v>
      </c>
      <c r="I356" s="2648" t="s">
        <v>27</v>
      </c>
      <c r="J356" s="2753" t="s">
        <v>22</v>
      </c>
      <c r="K356" s="2648" t="s">
        <v>27</v>
      </c>
      <c r="L356" s="2753" t="s">
        <v>22</v>
      </c>
      <c r="M356" s="2648" t="s">
        <v>27</v>
      </c>
      <c r="N356" s="2753" t="s">
        <v>22</v>
      </c>
      <c r="O356" s="2648" t="s">
        <v>27</v>
      </c>
      <c r="P356" s="2753" t="s">
        <v>22</v>
      </c>
      <c r="Q356" s="2648" t="s">
        <v>27</v>
      </c>
      <c r="R356" s="2753" t="s">
        <v>22</v>
      </c>
      <c r="S356" s="2648" t="s">
        <v>27</v>
      </c>
      <c r="T356" s="2753" t="s">
        <v>22</v>
      </c>
      <c r="U356" s="2648" t="s">
        <v>27</v>
      </c>
      <c r="V356" s="2753" t="s">
        <v>22</v>
      </c>
      <c r="W356" s="2648" t="s">
        <v>27</v>
      </c>
      <c r="X356" s="2753" t="s">
        <v>22</v>
      </c>
      <c r="Y356" s="2648" t="s">
        <v>27</v>
      </c>
      <c r="Z356" s="2753" t="s">
        <v>22</v>
      </c>
      <c r="AA356" s="2648" t="s">
        <v>27</v>
      </c>
      <c r="AB356" s="2753" t="s">
        <v>22</v>
      </c>
      <c r="AC356" s="2648" t="s">
        <v>27</v>
      </c>
      <c r="AD356" s="2753" t="s">
        <v>22</v>
      </c>
      <c r="AE356" s="2648" t="s">
        <v>27</v>
      </c>
      <c r="AF356" s="2753" t="s">
        <v>22</v>
      </c>
      <c r="AG356" s="2648" t="s">
        <v>27</v>
      </c>
      <c r="AH356" s="2753" t="s">
        <v>22</v>
      </c>
      <c r="AI356" s="2648" t="s">
        <v>27</v>
      </c>
      <c r="AJ356" s="2753" t="s">
        <v>22</v>
      </c>
      <c r="AK356" s="2648" t="s">
        <v>27</v>
      </c>
      <c r="AL356" s="2753" t="s">
        <v>22</v>
      </c>
      <c r="AM356" s="44" t="s">
        <v>27</v>
      </c>
      <c r="AN356" s="6529"/>
      <c r="AO356" s="6927"/>
      <c r="BQ356"/>
      <c r="BR356"/>
      <c r="BS356"/>
      <c r="BT356"/>
      <c r="BU356"/>
      <c r="BV356"/>
      <c r="BW356"/>
      <c r="BX356"/>
      <c r="BZ356"/>
      <c r="CA356"/>
      <c r="CB356"/>
    </row>
    <row r="357" spans="1:82" ht="15" customHeight="1" x14ac:dyDescent="0.25">
      <c r="A357" s="6915" t="s">
        <v>3765</v>
      </c>
      <c r="B357" s="2462" t="s">
        <v>62</v>
      </c>
      <c r="C357" s="2463">
        <f>SUM(D357,E357)</f>
        <v>0</v>
      </c>
      <c r="D357" s="2464">
        <f t="shared" ref="D357:E360" si="257">SUM(F357,H357,J357,L357,N357,P357,R357,T357,V357,X357,Z357,AB357,AD357,AF357,AH357,AJ357,AL357)</f>
        <v>0</v>
      </c>
      <c r="E357" s="2465">
        <f t="shared" si="257"/>
        <v>0</v>
      </c>
      <c r="F357" s="2209"/>
      <c r="G357" s="2420"/>
      <c r="H357" s="2209"/>
      <c r="I357" s="2420"/>
      <c r="J357" s="2209"/>
      <c r="K357" s="2420"/>
      <c r="L357" s="2209"/>
      <c r="M357" s="2420"/>
      <c r="N357" s="2209"/>
      <c r="O357" s="2420"/>
      <c r="P357" s="2209"/>
      <c r="Q357" s="2420"/>
      <c r="R357" s="2209"/>
      <c r="S357" s="2420"/>
      <c r="T357" s="2209"/>
      <c r="U357" s="2420"/>
      <c r="V357" s="2209"/>
      <c r="W357" s="2420"/>
      <c r="X357" s="2209"/>
      <c r="Y357" s="2420"/>
      <c r="Z357" s="2209"/>
      <c r="AA357" s="2420"/>
      <c r="AB357" s="2209"/>
      <c r="AC357" s="2420"/>
      <c r="AD357" s="2209"/>
      <c r="AE357" s="2420"/>
      <c r="AF357" s="2209"/>
      <c r="AG357" s="2420"/>
      <c r="AH357" s="2209"/>
      <c r="AI357" s="2420"/>
      <c r="AJ357" s="2209"/>
      <c r="AK357" s="2420"/>
      <c r="AL357" s="2209"/>
      <c r="AM357" s="2329"/>
      <c r="AN357" s="2318"/>
      <c r="AO357" s="2255"/>
      <c r="AP357" t="str">
        <f>BQ357&amp;BR357</f>
        <v/>
      </c>
      <c r="BQ357" s="2553" t="str">
        <f>IF(AND(C357&gt;0,AN357="")," * No olvide digitar la variable Niños, niñas, adolescentes y jóvenes SENAME. Digite Cero si no tiene.",IF(AN357&gt;C357," * La variable Niños, niñas, adolescentes y jóvenes SENAME No puede ser mayor al Total.",""))</f>
        <v/>
      </c>
      <c r="BR357" s="2553" t="str">
        <f>IF(AND(C357&gt;0,AO357="")," * No olvide digitar la variable Pueblos originarios. Digite Cero si no tiene.",IF(AO357&gt;C357," * La variable Pueblos originarios No puede ser mayor al Total.",""))</f>
        <v/>
      </c>
      <c r="BZ357"/>
      <c r="CA357"/>
      <c r="CB357" s="1793">
        <f>IF(AND(C357&gt;0,AN357=""),1,IF(AN357&gt;C357,1,0))</f>
        <v>0</v>
      </c>
      <c r="CC357" s="1793">
        <f>IF(AND(C357&gt;0,AO357=""),1,IF(AO357&gt;C357,1,0))</f>
        <v>0</v>
      </c>
      <c r="CD357" s="1793"/>
    </row>
    <row r="358" spans="1:82" ht="15" customHeight="1" x14ac:dyDescent="0.25">
      <c r="A358" s="6916"/>
      <c r="B358" s="2466" t="s">
        <v>2092</v>
      </c>
      <c r="C358" s="2467">
        <f>SUM(D358,E358)</f>
        <v>0</v>
      </c>
      <c r="D358" s="2468">
        <f t="shared" si="257"/>
        <v>0</v>
      </c>
      <c r="E358" s="1417">
        <f t="shared" si="257"/>
        <v>0</v>
      </c>
      <c r="F358" s="2201"/>
      <c r="G358" s="1320"/>
      <c r="H358" s="2201"/>
      <c r="I358" s="1320"/>
      <c r="J358" s="2201"/>
      <c r="K358" s="1320"/>
      <c r="L358" s="2201"/>
      <c r="M358" s="1320"/>
      <c r="N358" s="2201"/>
      <c r="O358" s="1320"/>
      <c r="P358" s="2201"/>
      <c r="Q358" s="1320"/>
      <c r="R358" s="2201"/>
      <c r="S358" s="1320"/>
      <c r="T358" s="2201"/>
      <c r="U358" s="1320"/>
      <c r="V358" s="2201"/>
      <c r="W358" s="1320"/>
      <c r="X358" s="2201"/>
      <c r="Y358" s="1320"/>
      <c r="Z358" s="2201"/>
      <c r="AA358" s="1320"/>
      <c r="AB358" s="2201"/>
      <c r="AC358" s="1320"/>
      <c r="AD358" s="2201"/>
      <c r="AE358" s="1320"/>
      <c r="AF358" s="2201"/>
      <c r="AG358" s="1320"/>
      <c r="AH358" s="2201"/>
      <c r="AI358" s="1320"/>
      <c r="AJ358" s="2201"/>
      <c r="AK358" s="1320"/>
      <c r="AL358" s="2201"/>
      <c r="AM358" s="1322"/>
      <c r="AN358" s="1107"/>
      <c r="AO358" s="1761"/>
      <c r="AP358" t="str">
        <f t="shared" ref="AP358:AP359" si="258">BQ358&amp;BR358</f>
        <v/>
      </c>
      <c r="BQ358" s="2553" t="str">
        <f t="shared" ref="BQ358:BQ359" si="259">IF(AND(C358&gt;0,AN358="")," * No olvide digitar la variable Niños, niñas, adolescentes y jóvenes SENAME. Digite Cero si no tiene.",IF(AN358&gt;C358," * La variable Niños, niñas, adolescentes y jóvenes SENAME No puede ser mayor al Total.",""))</f>
        <v/>
      </c>
      <c r="BR358" s="2553" t="str">
        <f t="shared" ref="BR358:BR359" si="260">IF(AND(C358&gt;0,AO358="")," * No olvide digitar la variable Pueblos originarios. Digite Cero si no tiene.",IF(AO358&gt;C358," * La variable Pueblos originarios No puede ser mayor al Total.",""))</f>
        <v/>
      </c>
      <c r="BZ358"/>
      <c r="CA358"/>
      <c r="CB358" s="1793">
        <f t="shared" ref="CB358:CB359" si="261">IF(AND(C358&gt;0,AN358=""),1,IF(AN358&gt;C358,1,0))</f>
        <v>0</v>
      </c>
      <c r="CC358" s="1793">
        <f t="shared" ref="CC358:CC359" si="262">IF(AND(C358&gt;0,AO358=""),1,IF(AO358&gt;C358,1,0))</f>
        <v>0</v>
      </c>
      <c r="CD358" s="1793"/>
    </row>
    <row r="359" spans="1:82" ht="15" customHeight="1" x14ac:dyDescent="0.25">
      <c r="A359" s="6917"/>
      <c r="B359" s="2469" t="s">
        <v>2093</v>
      </c>
      <c r="C359" s="2470">
        <f>SUM(D359,E359)</f>
        <v>0</v>
      </c>
      <c r="D359" s="2471">
        <f t="shared" si="257"/>
        <v>0</v>
      </c>
      <c r="E359" s="45">
        <f t="shared" si="257"/>
        <v>0</v>
      </c>
      <c r="F359" s="1113"/>
      <c r="G359" s="1117"/>
      <c r="H359" s="1113"/>
      <c r="I359" s="1117"/>
      <c r="J359" s="1113"/>
      <c r="K359" s="1117"/>
      <c r="L359" s="1113"/>
      <c r="M359" s="1117"/>
      <c r="N359" s="1113"/>
      <c r="O359" s="1117"/>
      <c r="P359" s="1113"/>
      <c r="Q359" s="1117"/>
      <c r="R359" s="1113"/>
      <c r="S359" s="1117"/>
      <c r="T359" s="1113"/>
      <c r="U359" s="1117"/>
      <c r="V359" s="1113"/>
      <c r="W359" s="1117"/>
      <c r="X359" s="1113"/>
      <c r="Y359" s="1117"/>
      <c r="Z359" s="1113"/>
      <c r="AA359" s="1117"/>
      <c r="AB359" s="1113"/>
      <c r="AC359" s="1117"/>
      <c r="AD359" s="1113"/>
      <c r="AE359" s="1117"/>
      <c r="AF359" s="1113"/>
      <c r="AG359" s="1117"/>
      <c r="AH359" s="1113"/>
      <c r="AI359" s="1117"/>
      <c r="AJ359" s="1113"/>
      <c r="AK359" s="1117"/>
      <c r="AL359" s="1113"/>
      <c r="AM359" s="1118"/>
      <c r="AN359" s="8"/>
      <c r="AO359" s="1110"/>
      <c r="AP359" t="str">
        <f t="shared" si="258"/>
        <v/>
      </c>
      <c r="BQ359" s="2553" t="str">
        <f t="shared" si="259"/>
        <v/>
      </c>
      <c r="BR359" s="2553" t="str">
        <f t="shared" si="260"/>
        <v/>
      </c>
      <c r="BZ359"/>
      <c r="CA359"/>
      <c r="CB359" s="1793">
        <f t="shared" si="261"/>
        <v>0</v>
      </c>
      <c r="CC359" s="1793">
        <f t="shared" si="262"/>
        <v>0</v>
      </c>
      <c r="CD359" s="1793"/>
    </row>
    <row r="360" spans="1:82" ht="15" customHeight="1" x14ac:dyDescent="0.25">
      <c r="A360" s="6918" t="s">
        <v>24</v>
      </c>
      <c r="B360" s="6919"/>
      <c r="C360" s="2762">
        <f>SUM(D360,E360)</f>
        <v>0</v>
      </c>
      <c r="D360" s="2763">
        <f t="shared" si="257"/>
        <v>0</v>
      </c>
      <c r="E360" s="2764">
        <f t="shared" si="257"/>
        <v>0</v>
      </c>
      <c r="F360" s="2311">
        <f t="shared" ref="F360:AO360" si="263">SUM(F357:F359)</f>
        <v>0</v>
      </c>
      <c r="G360" s="2313">
        <f t="shared" si="263"/>
        <v>0</v>
      </c>
      <c r="H360" s="2311">
        <f t="shared" si="263"/>
        <v>0</v>
      </c>
      <c r="I360" s="2313">
        <f t="shared" si="263"/>
        <v>0</v>
      </c>
      <c r="J360" s="2311">
        <f t="shared" si="263"/>
        <v>0</v>
      </c>
      <c r="K360" s="2810">
        <f t="shared" si="263"/>
        <v>0</v>
      </c>
      <c r="L360" s="2311">
        <f t="shared" si="263"/>
        <v>0</v>
      </c>
      <c r="M360" s="2810">
        <f t="shared" si="263"/>
        <v>0</v>
      </c>
      <c r="N360" s="2311">
        <f t="shared" si="263"/>
        <v>0</v>
      </c>
      <c r="O360" s="2810">
        <f t="shared" si="263"/>
        <v>0</v>
      </c>
      <c r="P360" s="2311">
        <f t="shared" si="263"/>
        <v>0</v>
      </c>
      <c r="Q360" s="2810">
        <f t="shared" si="263"/>
        <v>0</v>
      </c>
      <c r="R360" s="2311">
        <f t="shared" si="263"/>
        <v>0</v>
      </c>
      <c r="S360" s="2810">
        <f t="shared" si="263"/>
        <v>0</v>
      </c>
      <c r="T360" s="2311">
        <f t="shared" si="263"/>
        <v>0</v>
      </c>
      <c r="U360" s="2810">
        <f t="shared" si="263"/>
        <v>0</v>
      </c>
      <c r="V360" s="2311">
        <f t="shared" si="263"/>
        <v>0</v>
      </c>
      <c r="W360" s="2810">
        <f t="shared" si="263"/>
        <v>0</v>
      </c>
      <c r="X360" s="2311">
        <f t="shared" si="263"/>
        <v>0</v>
      </c>
      <c r="Y360" s="2810">
        <f t="shared" si="263"/>
        <v>0</v>
      </c>
      <c r="Z360" s="2311">
        <f t="shared" si="263"/>
        <v>0</v>
      </c>
      <c r="AA360" s="2810">
        <f t="shared" si="263"/>
        <v>0</v>
      </c>
      <c r="AB360" s="2311">
        <f t="shared" si="263"/>
        <v>0</v>
      </c>
      <c r="AC360" s="2810">
        <f t="shared" si="263"/>
        <v>0</v>
      </c>
      <c r="AD360" s="2311">
        <f t="shared" si="263"/>
        <v>0</v>
      </c>
      <c r="AE360" s="2810">
        <f t="shared" si="263"/>
        <v>0</v>
      </c>
      <c r="AF360" s="2311">
        <f t="shared" si="263"/>
        <v>0</v>
      </c>
      <c r="AG360" s="2810">
        <f t="shared" si="263"/>
        <v>0</v>
      </c>
      <c r="AH360" s="2311">
        <f t="shared" si="263"/>
        <v>0</v>
      </c>
      <c r="AI360" s="2810">
        <f t="shared" si="263"/>
        <v>0</v>
      </c>
      <c r="AJ360" s="2311">
        <f t="shared" si="263"/>
        <v>0</v>
      </c>
      <c r="AK360" s="2810">
        <f t="shared" si="263"/>
        <v>0</v>
      </c>
      <c r="AL360" s="2811">
        <f t="shared" si="263"/>
        <v>0</v>
      </c>
      <c r="AM360" s="2812">
        <f t="shared" si="263"/>
        <v>0</v>
      </c>
      <c r="AN360" s="2313">
        <f t="shared" si="263"/>
        <v>0</v>
      </c>
      <c r="AO360" s="2649">
        <f t="shared" si="263"/>
        <v>0</v>
      </c>
      <c r="BQ360"/>
      <c r="BR360"/>
      <c r="BS360"/>
      <c r="BT360"/>
      <c r="BU360"/>
      <c r="BV360"/>
      <c r="BW360"/>
      <c r="BX360"/>
      <c r="BZ360"/>
      <c r="CA360"/>
      <c r="CB360"/>
    </row>
    <row r="361" spans="1:82" s="17" customFormat="1" ht="18" customHeight="1" x14ac:dyDescent="0.2">
      <c r="A361" s="14" t="s">
        <v>2094</v>
      </c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</row>
    <row r="362" spans="1:82" ht="15" customHeight="1" x14ac:dyDescent="0.25">
      <c r="A362" s="6922" t="s">
        <v>2095</v>
      </c>
      <c r="B362" s="6922" t="s">
        <v>63</v>
      </c>
      <c r="C362" s="6922" t="s">
        <v>2096</v>
      </c>
      <c r="D362" s="6922"/>
      <c r="E362" s="6922"/>
      <c r="F362" s="6922"/>
      <c r="G362" s="6922"/>
      <c r="H362" s="6922"/>
      <c r="I362" s="6922"/>
      <c r="J362" s="6922"/>
      <c r="K362" s="6923" t="s">
        <v>2097</v>
      </c>
      <c r="L362" s="6923"/>
      <c r="M362" s="6923"/>
      <c r="N362" s="6923"/>
      <c r="O362" s="6923"/>
      <c r="P362" s="6922" t="s">
        <v>2098</v>
      </c>
      <c r="BQ362"/>
      <c r="BR362"/>
      <c r="BS362"/>
      <c r="BT362"/>
      <c r="BU362"/>
      <c r="BV362"/>
      <c r="BW362"/>
      <c r="BX362"/>
      <c r="BZ362"/>
      <c r="CA362"/>
      <c r="CB362"/>
    </row>
    <row r="363" spans="1:82" x14ac:dyDescent="0.25">
      <c r="A363" s="6922"/>
      <c r="B363" s="6922"/>
      <c r="C363" s="6922" t="s">
        <v>2099</v>
      </c>
      <c r="D363" s="6922" t="s">
        <v>2100</v>
      </c>
      <c r="E363" s="6922" t="s">
        <v>2101</v>
      </c>
      <c r="F363" s="6922" t="s">
        <v>2102</v>
      </c>
      <c r="G363" s="6922" t="s">
        <v>2103</v>
      </c>
      <c r="H363" s="6922"/>
      <c r="I363" s="6922"/>
      <c r="J363" s="6922"/>
      <c r="K363" s="6922" t="s">
        <v>2104</v>
      </c>
      <c r="L363" s="6922" t="s">
        <v>2105</v>
      </c>
      <c r="M363" s="6922" t="s">
        <v>2106</v>
      </c>
      <c r="N363" s="6922" t="s">
        <v>2107</v>
      </c>
      <c r="O363" s="6922" t="s">
        <v>2108</v>
      </c>
      <c r="P363" s="6922"/>
      <c r="BQ363"/>
      <c r="BR363"/>
      <c r="BS363"/>
      <c r="BT363"/>
      <c r="BU363"/>
      <c r="BV363"/>
      <c r="BW363"/>
      <c r="BX363"/>
      <c r="BZ363"/>
      <c r="CA363"/>
      <c r="CB363"/>
    </row>
    <row r="364" spans="1:82" ht="39.75" customHeight="1" x14ac:dyDescent="0.25">
      <c r="A364" s="6922"/>
      <c r="B364" s="6922"/>
      <c r="C364" s="6922"/>
      <c r="D364" s="6922"/>
      <c r="E364" s="6922"/>
      <c r="F364" s="6922"/>
      <c r="G364" s="2778" t="s">
        <v>2105</v>
      </c>
      <c r="H364" s="2778" t="s">
        <v>2108</v>
      </c>
      <c r="I364" s="2778" t="s">
        <v>2109</v>
      </c>
      <c r="J364" s="2778" t="s">
        <v>28</v>
      </c>
      <c r="K364" s="6922"/>
      <c r="L364" s="6922"/>
      <c r="M364" s="6922"/>
      <c r="N364" s="6922"/>
      <c r="O364" s="6922"/>
      <c r="P364" s="6922"/>
      <c r="BQ364"/>
      <c r="BR364"/>
      <c r="BS364"/>
      <c r="BT364"/>
      <c r="BU364"/>
      <c r="BV364"/>
      <c r="BW364"/>
      <c r="BX364"/>
      <c r="BZ364"/>
      <c r="CA364"/>
      <c r="CB364"/>
    </row>
    <row r="365" spans="1:82" ht="15" customHeight="1" x14ac:dyDescent="0.25">
      <c r="A365" s="2472" t="s">
        <v>2110</v>
      </c>
      <c r="B365" s="2218">
        <f>SUM(D365:O365)</f>
        <v>0</v>
      </c>
      <c r="C365" s="2473"/>
      <c r="D365" s="2255"/>
      <c r="E365" s="2255"/>
      <c r="F365" s="2255"/>
      <c r="G365" s="2255"/>
      <c r="H365" s="2255"/>
      <c r="I365" s="2255"/>
      <c r="J365" s="2255"/>
      <c r="K365" s="2255"/>
      <c r="L365" s="2255"/>
      <c r="M365" s="2255"/>
      <c r="N365" s="2255"/>
      <c r="O365" s="5940"/>
      <c r="P365" s="6430"/>
      <c r="BQ365"/>
      <c r="BR365"/>
      <c r="BS365"/>
      <c r="BT365"/>
      <c r="BU365"/>
      <c r="BV365"/>
      <c r="BW365"/>
      <c r="BX365"/>
      <c r="BZ365"/>
      <c r="CA365"/>
      <c r="CB365"/>
    </row>
    <row r="366" spans="1:82" ht="15" customHeight="1" x14ac:dyDescent="0.25">
      <c r="A366" s="2474" t="s">
        <v>2111</v>
      </c>
      <c r="B366" s="1488">
        <f>SUM(C366:O366)</f>
        <v>0</v>
      </c>
      <c r="C366" s="1110"/>
      <c r="D366" s="1110"/>
      <c r="E366" s="1110"/>
      <c r="F366" s="1110"/>
      <c r="G366" s="1110"/>
      <c r="H366" s="1110"/>
      <c r="I366" s="1110"/>
      <c r="J366" s="1110"/>
      <c r="K366" s="1110"/>
      <c r="L366" s="1110"/>
      <c r="M366" s="1110"/>
      <c r="N366" s="1110"/>
      <c r="O366" s="4529"/>
      <c r="P366" s="6431"/>
      <c r="BQ366"/>
      <c r="BR366"/>
      <c r="BS366"/>
      <c r="BT366"/>
      <c r="BU366"/>
      <c r="BV366"/>
      <c r="BW366"/>
      <c r="BX366"/>
      <c r="BZ366"/>
      <c r="CA366"/>
      <c r="CB366"/>
    </row>
    <row r="367" spans="1:82" ht="15" customHeight="1" x14ac:dyDescent="0.25">
      <c r="A367" s="2474" t="s">
        <v>2112</v>
      </c>
      <c r="B367" s="1488">
        <f>SUM(C367:O367)</f>
        <v>0</v>
      </c>
      <c r="C367" s="4051"/>
      <c r="D367" s="4055"/>
      <c r="E367" s="1110"/>
      <c r="F367" s="1110"/>
      <c r="G367" s="1110"/>
      <c r="H367" s="1110"/>
      <c r="I367" s="1110"/>
      <c r="J367" s="1110"/>
      <c r="K367" s="1110"/>
      <c r="L367" s="1110"/>
      <c r="M367" s="1110"/>
      <c r="N367" s="1110"/>
      <c r="O367" s="4529"/>
      <c r="P367" s="6431"/>
      <c r="BQ367"/>
      <c r="BR367"/>
      <c r="BS367"/>
      <c r="BT367"/>
      <c r="BU367"/>
      <c r="BV367"/>
      <c r="BW367"/>
      <c r="BX367"/>
      <c r="BZ367"/>
      <c r="CA367"/>
      <c r="CB367"/>
    </row>
    <row r="368" spans="1:82" ht="21" x14ac:dyDescent="0.25">
      <c r="A368" s="2474" t="s">
        <v>2113</v>
      </c>
      <c r="B368" s="1488"/>
      <c r="C368" s="6274"/>
      <c r="D368" s="6276"/>
      <c r="E368" s="6275"/>
      <c r="F368" s="6275"/>
      <c r="G368" s="6275"/>
      <c r="H368" s="6275"/>
      <c r="I368" s="6275"/>
      <c r="J368" s="6275"/>
      <c r="K368" s="6275"/>
      <c r="L368" s="6275"/>
      <c r="M368" s="6275"/>
      <c r="N368" s="6275"/>
      <c r="O368" s="6275"/>
      <c r="P368" s="6432"/>
      <c r="BQ368"/>
      <c r="BR368"/>
      <c r="BS368"/>
      <c r="BT368"/>
      <c r="BU368"/>
      <c r="BV368"/>
      <c r="BW368"/>
      <c r="BX368"/>
      <c r="BZ368"/>
      <c r="CA368"/>
      <c r="CB368"/>
    </row>
    <row r="369" spans="1:80" ht="15" customHeight="1" x14ac:dyDescent="0.25">
      <c r="A369" s="2474" t="s">
        <v>2114</v>
      </c>
      <c r="B369" s="1488"/>
      <c r="C369" s="6277"/>
      <c r="D369" s="2475"/>
      <c r="E369" s="2475"/>
      <c r="F369" s="2475"/>
      <c r="G369" s="2475"/>
      <c r="H369" s="2475"/>
      <c r="I369" s="2475"/>
      <c r="J369" s="2475"/>
      <c r="K369" s="2475"/>
      <c r="L369" s="2475"/>
      <c r="M369" s="2475"/>
      <c r="N369" s="2475"/>
      <c r="O369" s="2475"/>
      <c r="P369" s="6433"/>
      <c r="BQ369"/>
      <c r="BR369"/>
      <c r="BS369"/>
      <c r="BT369"/>
      <c r="BU369"/>
      <c r="BV369"/>
      <c r="BW369"/>
      <c r="BX369"/>
      <c r="BZ369"/>
      <c r="CA369"/>
      <c r="CB369"/>
    </row>
    <row r="370" spans="1:80" ht="15" customHeight="1" x14ac:dyDescent="0.25">
      <c r="A370" s="2749" t="s">
        <v>24</v>
      </c>
      <c r="B370" s="2649">
        <f>SUM(B365:B369)</f>
        <v>0</v>
      </c>
      <c r="C370" s="2649">
        <f>SUM(C366:C367)</f>
        <v>0</v>
      </c>
      <c r="D370" s="2649">
        <f>SUM(D365:D367)</f>
        <v>0</v>
      </c>
      <c r="E370" s="2649">
        <f t="shared" ref="E370:N370" si="264">SUM(E365:E367)</f>
        <v>0</v>
      </c>
      <c r="F370" s="2649">
        <f t="shared" si="264"/>
        <v>0</v>
      </c>
      <c r="G370" s="2649">
        <f t="shared" si="264"/>
        <v>0</v>
      </c>
      <c r="H370" s="2649">
        <f t="shared" si="264"/>
        <v>0</v>
      </c>
      <c r="I370" s="2649">
        <f t="shared" si="264"/>
        <v>0</v>
      </c>
      <c r="J370" s="2649">
        <f t="shared" si="264"/>
        <v>0</v>
      </c>
      <c r="K370" s="2649">
        <f t="shared" si="264"/>
        <v>0</v>
      </c>
      <c r="L370" s="2649">
        <f t="shared" si="264"/>
        <v>0</v>
      </c>
      <c r="M370" s="2649">
        <f t="shared" si="264"/>
        <v>0</v>
      </c>
      <c r="N370" s="2649">
        <f t="shared" si="264"/>
        <v>0</v>
      </c>
      <c r="O370" s="2649">
        <f>SUM(O365:O367)</f>
        <v>0</v>
      </c>
      <c r="P370" s="2649"/>
      <c r="BQ370"/>
      <c r="BR370"/>
      <c r="BS370"/>
      <c r="BT370"/>
      <c r="BU370"/>
      <c r="BV370"/>
      <c r="BW370"/>
      <c r="BX370"/>
      <c r="BZ370"/>
      <c r="CA370"/>
      <c r="CB370"/>
    </row>
    <row r="371" spans="1:80" x14ac:dyDescent="0.25">
      <c r="BQ371"/>
      <c r="BR371"/>
      <c r="BS371"/>
      <c r="BT371"/>
      <c r="BU371"/>
      <c r="BV371"/>
      <c r="BW371"/>
      <c r="BX371"/>
      <c r="BZ371"/>
      <c r="CA371"/>
      <c r="CB371"/>
    </row>
    <row r="372" spans="1:80" x14ac:dyDescent="0.25">
      <c r="BQ372"/>
      <c r="BR372"/>
      <c r="BS372"/>
      <c r="BT372"/>
      <c r="BU372"/>
      <c r="BV372"/>
      <c r="BW372"/>
      <c r="BX372"/>
      <c r="BZ372"/>
      <c r="CA372"/>
      <c r="CB372"/>
    </row>
    <row r="373" spans="1:80" x14ac:dyDescent="0.25">
      <c r="BQ373"/>
      <c r="BR373"/>
      <c r="BS373"/>
      <c r="BT373"/>
      <c r="BU373"/>
      <c r="BV373"/>
      <c r="BW373"/>
      <c r="BX373"/>
      <c r="BZ373"/>
      <c r="CA373"/>
      <c r="CB373"/>
    </row>
    <row r="374" spans="1:80" x14ac:dyDescent="0.25">
      <c r="BQ374"/>
      <c r="BR374"/>
      <c r="BS374"/>
      <c r="BT374"/>
      <c r="BU374"/>
      <c r="BV374"/>
      <c r="BW374"/>
      <c r="BX374"/>
      <c r="BZ374"/>
      <c r="CA374"/>
      <c r="CB374"/>
    </row>
    <row r="375" spans="1:80" x14ac:dyDescent="0.25">
      <c r="BQ375"/>
      <c r="BR375"/>
      <c r="BS375"/>
      <c r="BT375"/>
      <c r="BU375"/>
      <c r="BV375"/>
      <c r="BW375"/>
      <c r="BX375"/>
      <c r="BZ375"/>
      <c r="CA375"/>
      <c r="CB375"/>
    </row>
    <row r="376" spans="1:80" x14ac:dyDescent="0.25">
      <c r="BQ376"/>
      <c r="BR376"/>
      <c r="BS376"/>
      <c r="BT376"/>
      <c r="BU376"/>
      <c r="BV376"/>
      <c r="BW376"/>
      <c r="BX376"/>
      <c r="BZ376"/>
      <c r="CA376"/>
      <c r="CB376"/>
    </row>
    <row r="377" spans="1:80" x14ac:dyDescent="0.25">
      <c r="BQ377"/>
      <c r="BR377"/>
      <c r="BS377"/>
      <c r="BT377"/>
      <c r="BU377"/>
      <c r="BV377"/>
      <c r="BW377"/>
      <c r="BX377"/>
      <c r="BZ377"/>
      <c r="CA377"/>
      <c r="CB377"/>
    </row>
    <row r="378" spans="1:80" x14ac:dyDescent="0.25">
      <c r="BQ378"/>
      <c r="BR378"/>
      <c r="BS378"/>
      <c r="BT378"/>
      <c r="BU378"/>
      <c r="BV378"/>
      <c r="BW378"/>
      <c r="BX378"/>
      <c r="BZ378"/>
      <c r="CA378"/>
      <c r="CB378"/>
    </row>
    <row r="379" spans="1:80" x14ac:dyDescent="0.25">
      <c r="BQ379"/>
      <c r="BR379"/>
      <c r="BS379"/>
      <c r="BT379"/>
      <c r="BU379"/>
      <c r="BV379"/>
      <c r="BW379"/>
      <c r="BX379"/>
      <c r="BZ379"/>
      <c r="CA379"/>
      <c r="CB379"/>
    </row>
    <row r="380" spans="1:80" x14ac:dyDescent="0.25">
      <c r="BQ380"/>
      <c r="BR380"/>
      <c r="BS380"/>
      <c r="BT380"/>
      <c r="BU380"/>
      <c r="BV380"/>
      <c r="BW380"/>
      <c r="BX380"/>
      <c r="BZ380"/>
      <c r="CA380"/>
      <c r="CB380"/>
    </row>
    <row r="381" spans="1:80" x14ac:dyDescent="0.25">
      <c r="BQ381"/>
      <c r="BR381"/>
      <c r="BS381"/>
      <c r="BT381"/>
      <c r="BU381"/>
      <c r="BV381"/>
      <c r="BW381"/>
      <c r="BX381"/>
      <c r="BZ381"/>
      <c r="CA381"/>
      <c r="CB381"/>
    </row>
    <row r="382" spans="1:80" x14ac:dyDescent="0.25">
      <c r="BQ382"/>
      <c r="BR382"/>
      <c r="BS382"/>
      <c r="BT382"/>
      <c r="BU382"/>
      <c r="BV382"/>
      <c r="BW382"/>
      <c r="BX382"/>
      <c r="BZ382"/>
      <c r="CA382"/>
      <c r="CB382"/>
    </row>
    <row r="383" spans="1:80" x14ac:dyDescent="0.25">
      <c r="BQ383"/>
      <c r="BR383"/>
      <c r="BS383"/>
      <c r="BT383"/>
      <c r="BU383"/>
      <c r="BV383"/>
      <c r="BW383"/>
      <c r="BX383"/>
      <c r="BZ383"/>
      <c r="CA383"/>
      <c r="CB383"/>
    </row>
    <row r="384" spans="1:80" x14ac:dyDescent="0.25">
      <c r="BQ384"/>
      <c r="BR384"/>
      <c r="BS384"/>
      <c r="BT384"/>
      <c r="BU384"/>
      <c r="BV384"/>
      <c r="BW384"/>
      <c r="BX384"/>
      <c r="BZ384"/>
      <c r="CA384"/>
      <c r="CB384"/>
    </row>
    <row r="385" spans="1:80" x14ac:dyDescent="0.25">
      <c r="BQ385"/>
      <c r="BR385"/>
      <c r="BS385"/>
      <c r="BT385"/>
      <c r="BU385"/>
      <c r="BV385"/>
      <c r="BW385"/>
      <c r="BX385"/>
      <c r="BZ385"/>
      <c r="CA385"/>
      <c r="CB385"/>
    </row>
    <row r="386" spans="1:80" x14ac:dyDescent="0.25">
      <c r="BQ386"/>
      <c r="BR386"/>
      <c r="BS386"/>
      <c r="BT386"/>
      <c r="BU386"/>
      <c r="BV386"/>
      <c r="BW386"/>
      <c r="BX386"/>
      <c r="BZ386"/>
      <c r="CA386"/>
      <c r="CB386"/>
    </row>
    <row r="387" spans="1:80" x14ac:dyDescent="0.25">
      <c r="BQ387"/>
      <c r="BR387"/>
      <c r="BS387"/>
      <c r="BT387"/>
      <c r="BU387"/>
      <c r="BV387"/>
      <c r="BW387"/>
      <c r="BX387"/>
      <c r="BZ387"/>
      <c r="CA387"/>
      <c r="CB387"/>
    </row>
    <row r="388" spans="1:80" x14ac:dyDescent="0.25">
      <c r="BQ388"/>
      <c r="BR388"/>
      <c r="BS388"/>
      <c r="BT388"/>
      <c r="BU388"/>
      <c r="BV388"/>
      <c r="BW388"/>
      <c r="BX388"/>
      <c r="BZ388"/>
      <c r="CA388"/>
      <c r="CB388"/>
    </row>
    <row r="389" spans="1:80" x14ac:dyDescent="0.25">
      <c r="BQ389"/>
      <c r="BR389"/>
      <c r="BS389"/>
      <c r="BT389"/>
      <c r="BU389"/>
      <c r="BV389"/>
      <c r="BW389"/>
      <c r="BX389"/>
      <c r="BZ389"/>
      <c r="CA389"/>
      <c r="CB389"/>
    </row>
    <row r="390" spans="1:80" x14ac:dyDescent="0.25">
      <c r="BQ390"/>
      <c r="BR390"/>
      <c r="BS390"/>
      <c r="BT390"/>
      <c r="BU390"/>
      <c r="BV390"/>
      <c r="BW390"/>
      <c r="BX390"/>
      <c r="BZ390"/>
      <c r="CA390"/>
      <c r="CB390"/>
    </row>
    <row r="391" spans="1:80" x14ac:dyDescent="0.25">
      <c r="BQ391"/>
      <c r="BR391"/>
      <c r="BS391"/>
      <c r="BT391"/>
      <c r="BU391"/>
      <c r="BV391"/>
      <c r="BW391"/>
      <c r="BX391"/>
      <c r="BZ391"/>
      <c r="CA391"/>
      <c r="CB391"/>
    </row>
    <row r="392" spans="1:80" x14ac:dyDescent="0.25">
      <c r="BQ392"/>
      <c r="BR392"/>
      <c r="BS392"/>
      <c r="BT392"/>
      <c r="BU392"/>
      <c r="BV392"/>
      <c r="BW392"/>
      <c r="BX392"/>
      <c r="BZ392"/>
      <c r="CA392"/>
      <c r="CB392"/>
    </row>
    <row r="393" spans="1:80" x14ac:dyDescent="0.25">
      <c r="BQ393"/>
      <c r="BR393"/>
      <c r="BS393"/>
      <c r="BT393"/>
      <c r="BU393"/>
      <c r="BV393"/>
      <c r="BW393"/>
      <c r="BX393"/>
      <c r="BZ393"/>
      <c r="CA393"/>
      <c r="CB393"/>
    </row>
    <row r="394" spans="1:80" x14ac:dyDescent="0.25">
      <c r="BQ394"/>
      <c r="BR394"/>
      <c r="BS394"/>
      <c r="BT394"/>
      <c r="BU394"/>
      <c r="BV394"/>
      <c r="BW394"/>
      <c r="BX394"/>
      <c r="BZ394"/>
      <c r="CA394"/>
      <c r="CB394"/>
    </row>
    <row r="395" spans="1:80" x14ac:dyDescent="0.25">
      <c r="BQ395"/>
      <c r="BR395"/>
      <c r="BS395"/>
      <c r="BT395"/>
      <c r="BU395"/>
      <c r="BV395"/>
      <c r="BW395"/>
      <c r="BX395"/>
      <c r="BZ395"/>
      <c r="CA395"/>
      <c r="CB395"/>
    </row>
    <row r="396" spans="1:80" x14ac:dyDescent="0.25">
      <c r="BQ396"/>
      <c r="BR396"/>
      <c r="BS396"/>
      <c r="BT396"/>
      <c r="BU396"/>
      <c r="BV396"/>
      <c r="BW396"/>
      <c r="BX396"/>
      <c r="BZ396"/>
      <c r="CA396"/>
      <c r="CB396"/>
    </row>
    <row r="397" spans="1:80" x14ac:dyDescent="0.25">
      <c r="BQ397"/>
      <c r="BR397"/>
      <c r="BS397"/>
      <c r="BT397"/>
      <c r="BU397"/>
      <c r="BV397"/>
      <c r="BW397"/>
      <c r="BX397"/>
      <c r="BZ397"/>
      <c r="CA397"/>
      <c r="CB397"/>
    </row>
    <row r="398" spans="1:80" ht="19.5" customHeight="1" x14ac:dyDescent="0.25">
      <c r="BQ398"/>
      <c r="BR398"/>
      <c r="BS398"/>
      <c r="BT398"/>
      <c r="BU398"/>
      <c r="BV398"/>
      <c r="BW398"/>
      <c r="BX398"/>
      <c r="BZ398"/>
      <c r="CA398"/>
      <c r="CB398"/>
    </row>
    <row r="399" spans="1:80" hidden="1" x14ac:dyDescent="0.25">
      <c r="BQ399"/>
      <c r="BR399"/>
      <c r="BS399"/>
      <c r="BT399"/>
      <c r="BU399"/>
      <c r="BV399"/>
      <c r="BW399"/>
      <c r="BX399"/>
      <c r="BZ399"/>
      <c r="CA399"/>
      <c r="CB399"/>
    </row>
    <row r="400" spans="1:80" hidden="1" x14ac:dyDescent="0.25">
      <c r="A400" s="4599">
        <f>SUM(C11:C14,C18:F31,C35:C55,C59:C79,B82,C85,C90:C93,C98:C101,C98:C101,C106:C109,C114:C122,C127:C134,C139:C143,C147:C156,C160:C169,C173:C180,C186,C188:C230,C234,C236:C278,C283:C286,C291:C309,C314:C324,C329:C331,B336:B337,C342:C351,C357:C360,B365:B370)</f>
        <v>0</v>
      </c>
      <c r="B400" s="4598">
        <f>SUM(CB11:CK359)</f>
        <v>0</v>
      </c>
      <c r="BQ400"/>
      <c r="BR400"/>
      <c r="BS400"/>
      <c r="BT400"/>
      <c r="BU400"/>
      <c r="BV400"/>
      <c r="BW400"/>
      <c r="BX400"/>
      <c r="BZ400"/>
      <c r="CA400"/>
      <c r="CB400"/>
    </row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</sheetData>
  <sheetProtection algorithmName="SHA-512" hashValue="zwYb+pT44pqcm3Kzpsmwd8KxOhM5sGTQzlaKZW0GHeRB9KF9woKxiOEpKtLSVnCrCbVELFKp3Gt/w10YpUp90g==" saltValue="le/pc7Q/8YWrFZ8+Eq5MQA==" spinCount="100000" sheet="1" objects="1" scenarios="1"/>
  <protectedRanges>
    <protectedRange sqref="F357:AO359" name="Rango1_2_3"/>
  </protectedRanges>
  <mergeCells count="527">
    <mergeCell ref="T333:U334"/>
    <mergeCell ref="Q158:Q159"/>
    <mergeCell ref="R158:R159"/>
    <mergeCell ref="N184:O184"/>
    <mergeCell ref="P184:Q184"/>
    <mergeCell ref="R184:S184"/>
    <mergeCell ref="T184:U184"/>
    <mergeCell ref="V184:W184"/>
    <mergeCell ref="X184:Y184"/>
    <mergeCell ref="P171:P172"/>
    <mergeCell ref="Q171:Q172"/>
    <mergeCell ref="N171:O171"/>
    <mergeCell ref="AD95:AD97"/>
    <mergeCell ref="AE95:AE97"/>
    <mergeCell ref="L96:M96"/>
    <mergeCell ref="N96:O96"/>
    <mergeCell ref="P96:Q96"/>
    <mergeCell ref="R96:S96"/>
    <mergeCell ref="T96:U96"/>
    <mergeCell ref="V96:W96"/>
    <mergeCell ref="X96:AA96"/>
    <mergeCell ref="AB96:AC96"/>
    <mergeCell ref="X95:AC95"/>
    <mergeCell ref="A18:B18"/>
    <mergeCell ref="Q9:Q10"/>
    <mergeCell ref="R9:R10"/>
    <mergeCell ref="A11:B11"/>
    <mergeCell ref="A12:B12"/>
    <mergeCell ref="A13:B13"/>
    <mergeCell ref="A14:B14"/>
    <mergeCell ref="A25:B25"/>
    <mergeCell ref="J96:K96"/>
    <mergeCell ref="H96:I96"/>
    <mergeCell ref="F96:G96"/>
    <mergeCell ref="R95:W95"/>
    <mergeCell ref="C95:E96"/>
    <mergeCell ref="A95:B97"/>
    <mergeCell ref="F95:K95"/>
    <mergeCell ref="L95:Q95"/>
    <mergeCell ref="A19:B19"/>
    <mergeCell ref="A20:B20"/>
    <mergeCell ref="A21:B21"/>
    <mergeCell ref="A22:B22"/>
    <mergeCell ref="A23:B23"/>
    <mergeCell ref="A24:B24"/>
    <mergeCell ref="A26:B26"/>
    <mergeCell ref="A27:B27"/>
    <mergeCell ref="A6:P6"/>
    <mergeCell ref="A9:B10"/>
    <mergeCell ref="C9:C10"/>
    <mergeCell ref="D9:M9"/>
    <mergeCell ref="N9:N10"/>
    <mergeCell ref="O9:O10"/>
    <mergeCell ref="P9:P10"/>
    <mergeCell ref="A16:B17"/>
    <mergeCell ref="C16:C17"/>
    <mergeCell ref="D16:D17"/>
    <mergeCell ref="E16:E17"/>
    <mergeCell ref="F16:F17"/>
    <mergeCell ref="AD87:AD89"/>
    <mergeCell ref="AE87:AE89"/>
    <mergeCell ref="V88:W88"/>
    <mergeCell ref="X88:AA88"/>
    <mergeCell ref="A31:B31"/>
    <mergeCell ref="A33:B34"/>
    <mergeCell ref="C33:C34"/>
    <mergeCell ref="D33:P33"/>
    <mergeCell ref="Q33:Q34"/>
    <mergeCell ref="R33:R34"/>
    <mergeCell ref="S33:S34"/>
    <mergeCell ref="T33:T34"/>
    <mergeCell ref="U33:U34"/>
    <mergeCell ref="R57:R58"/>
    <mergeCell ref="A59:B59"/>
    <mergeCell ref="A60:B60"/>
    <mergeCell ref="A61:B61"/>
    <mergeCell ref="A62:A68"/>
    <mergeCell ref="A69:A70"/>
    <mergeCell ref="A53:A54"/>
    <mergeCell ref="A55:B55"/>
    <mergeCell ref="A57:B58"/>
    <mergeCell ref="C57:C58"/>
    <mergeCell ref="D57:P57"/>
    <mergeCell ref="A28:B28"/>
    <mergeCell ref="A29:B29"/>
    <mergeCell ref="A30:B30"/>
    <mergeCell ref="A38:A44"/>
    <mergeCell ref="A45:A46"/>
    <mergeCell ref="A47:A48"/>
    <mergeCell ref="A49:B49"/>
    <mergeCell ref="A50:B50"/>
    <mergeCell ref="A51:A52"/>
    <mergeCell ref="A35:B35"/>
    <mergeCell ref="A36:B36"/>
    <mergeCell ref="A37:B37"/>
    <mergeCell ref="Q57:Q58"/>
    <mergeCell ref="A84:B84"/>
    <mergeCell ref="A85:B85"/>
    <mergeCell ref="A87:B89"/>
    <mergeCell ref="C87:E88"/>
    <mergeCell ref="A71:A72"/>
    <mergeCell ref="A73:B73"/>
    <mergeCell ref="A74:B74"/>
    <mergeCell ref="A75:A76"/>
    <mergeCell ref="A77:A78"/>
    <mergeCell ref="A79:B79"/>
    <mergeCell ref="P88:Q88"/>
    <mergeCell ref="R88:S88"/>
    <mergeCell ref="T88:U88"/>
    <mergeCell ref="F87:K87"/>
    <mergeCell ref="L87:Q87"/>
    <mergeCell ref="R87:W87"/>
    <mergeCell ref="X87:AA87"/>
    <mergeCell ref="AB87:AC88"/>
    <mergeCell ref="A90:B90"/>
    <mergeCell ref="F88:G88"/>
    <mergeCell ref="H88:I88"/>
    <mergeCell ref="J88:K88"/>
    <mergeCell ref="L88:M88"/>
    <mergeCell ref="N88:O88"/>
    <mergeCell ref="A91:B91"/>
    <mergeCell ref="A92:B92"/>
    <mergeCell ref="A93:B93"/>
    <mergeCell ref="F103:M103"/>
    <mergeCell ref="F104:G104"/>
    <mergeCell ref="H104:I104"/>
    <mergeCell ref="J104:K104"/>
    <mergeCell ref="L104:M104"/>
    <mergeCell ref="A106:B106"/>
    <mergeCell ref="A101:B101"/>
    <mergeCell ref="A100:B100"/>
    <mergeCell ref="A99:B99"/>
    <mergeCell ref="A98:B98"/>
    <mergeCell ref="A107:B107"/>
    <mergeCell ref="A108:B108"/>
    <mergeCell ref="A109:B109"/>
    <mergeCell ref="A111:B113"/>
    <mergeCell ref="C111:E112"/>
    <mergeCell ref="A103:B105"/>
    <mergeCell ref="C103:E104"/>
    <mergeCell ref="F111:AG111"/>
    <mergeCell ref="AH111:AH113"/>
    <mergeCell ref="AI111:AI113"/>
    <mergeCell ref="F112:G112"/>
    <mergeCell ref="H112:I112"/>
    <mergeCell ref="J112:K112"/>
    <mergeCell ref="L112:M112"/>
    <mergeCell ref="N112:O112"/>
    <mergeCell ref="P112:Q112"/>
    <mergeCell ref="R112:S112"/>
    <mergeCell ref="AF112:AG112"/>
    <mergeCell ref="T112:U112"/>
    <mergeCell ref="V112:W112"/>
    <mergeCell ref="X112:Y112"/>
    <mergeCell ref="Z112:AA112"/>
    <mergeCell ref="AB112:AC112"/>
    <mergeCell ref="AD112:AE112"/>
    <mergeCell ref="A114:B114"/>
    <mergeCell ref="A115:A121"/>
    <mergeCell ref="A122:B122"/>
    <mergeCell ref="A124:B126"/>
    <mergeCell ref="C124:E125"/>
    <mergeCell ref="F124:AG124"/>
    <mergeCell ref="T125:U125"/>
    <mergeCell ref="V125:W125"/>
    <mergeCell ref="X125:Y125"/>
    <mergeCell ref="AH124:AK124"/>
    <mergeCell ref="AL124:AL126"/>
    <mergeCell ref="AM124:AM126"/>
    <mergeCell ref="F125:G125"/>
    <mergeCell ref="H125:I125"/>
    <mergeCell ref="J125:K125"/>
    <mergeCell ref="L125:M125"/>
    <mergeCell ref="N125:O125"/>
    <mergeCell ref="P125:Q125"/>
    <mergeCell ref="R125:S125"/>
    <mergeCell ref="AJ125:AJ126"/>
    <mergeCell ref="AK125:AK126"/>
    <mergeCell ref="A127:B127"/>
    <mergeCell ref="A128:A134"/>
    <mergeCell ref="A136:B138"/>
    <mergeCell ref="C136:E137"/>
    <mergeCell ref="F136:AM136"/>
    <mergeCell ref="T137:U137"/>
    <mergeCell ref="V137:W137"/>
    <mergeCell ref="X137:Y137"/>
    <mergeCell ref="Z125:AA125"/>
    <mergeCell ref="AB125:AC125"/>
    <mergeCell ref="AD125:AE125"/>
    <mergeCell ref="AF125:AG125"/>
    <mergeCell ref="AH125:AH126"/>
    <mergeCell ref="AI125:AI126"/>
    <mergeCell ref="AN136:AP136"/>
    <mergeCell ref="AQ136:AQ138"/>
    <mergeCell ref="AR136:AR138"/>
    <mergeCell ref="F137:G137"/>
    <mergeCell ref="H137:I137"/>
    <mergeCell ref="J137:K137"/>
    <mergeCell ref="L137:M137"/>
    <mergeCell ref="N137:O137"/>
    <mergeCell ref="P137:Q137"/>
    <mergeCell ref="R137:S137"/>
    <mergeCell ref="AL137:AM137"/>
    <mergeCell ref="AN137:AN138"/>
    <mergeCell ref="AO137:AO138"/>
    <mergeCell ref="AP137:AP138"/>
    <mergeCell ref="A139:B139"/>
    <mergeCell ref="A140:B140"/>
    <mergeCell ref="Z137:AA137"/>
    <mergeCell ref="AB137:AC137"/>
    <mergeCell ref="AD137:AE137"/>
    <mergeCell ref="AF137:AG137"/>
    <mergeCell ref="AH137:AI137"/>
    <mergeCell ref="AJ137:AK137"/>
    <mergeCell ref="J145:K145"/>
    <mergeCell ref="L145:M145"/>
    <mergeCell ref="N145:N146"/>
    <mergeCell ref="O145:O146"/>
    <mergeCell ref="A147:A149"/>
    <mergeCell ref="A150:B150"/>
    <mergeCell ref="A141:A142"/>
    <mergeCell ref="A143:B143"/>
    <mergeCell ref="A145:B146"/>
    <mergeCell ref="C145:E145"/>
    <mergeCell ref="F145:G145"/>
    <mergeCell ref="H145:I145"/>
    <mergeCell ref="N158:P158"/>
    <mergeCell ref="A151:A154"/>
    <mergeCell ref="A155:B155"/>
    <mergeCell ref="A156:B156"/>
    <mergeCell ref="A158:B159"/>
    <mergeCell ref="C158:E158"/>
    <mergeCell ref="F158:G158"/>
    <mergeCell ref="A160:A162"/>
    <mergeCell ref="A163:B163"/>
    <mergeCell ref="A164:A167"/>
    <mergeCell ref="A168:B168"/>
    <mergeCell ref="A169:B169"/>
    <mergeCell ref="A171:B172"/>
    <mergeCell ref="H158:I158"/>
    <mergeCell ref="J158:K158"/>
    <mergeCell ref="L158:M158"/>
    <mergeCell ref="A173:A176"/>
    <mergeCell ref="A177:A180"/>
    <mergeCell ref="A184:B185"/>
    <mergeCell ref="C184:E184"/>
    <mergeCell ref="F184:G184"/>
    <mergeCell ref="H184:I184"/>
    <mergeCell ref="J184:K184"/>
    <mergeCell ref="L184:M184"/>
    <mergeCell ref="C171:E171"/>
    <mergeCell ref="F171:G171"/>
    <mergeCell ref="H171:I171"/>
    <mergeCell ref="J171:K171"/>
    <mergeCell ref="L171:M171"/>
    <mergeCell ref="A191:A192"/>
    <mergeCell ref="A194:A201"/>
    <mergeCell ref="A202:A206"/>
    <mergeCell ref="A207:A210"/>
    <mergeCell ref="A211:A215"/>
    <mergeCell ref="A216:A218"/>
    <mergeCell ref="AT184:AU184"/>
    <mergeCell ref="AV184:AW184"/>
    <mergeCell ref="A186:B186"/>
    <mergeCell ref="A187:B187"/>
    <mergeCell ref="A188:A189"/>
    <mergeCell ref="A190:B190"/>
    <mergeCell ref="AL184:AM184"/>
    <mergeCell ref="AN184:AN185"/>
    <mergeCell ref="AO184:AO185"/>
    <mergeCell ref="AP184:AQ184"/>
    <mergeCell ref="AR184:AR185"/>
    <mergeCell ref="AS184:AS185"/>
    <mergeCell ref="Z184:AA184"/>
    <mergeCell ref="AB184:AC184"/>
    <mergeCell ref="AD184:AE184"/>
    <mergeCell ref="AF184:AG184"/>
    <mergeCell ref="AH184:AI184"/>
    <mergeCell ref="AJ184:AK184"/>
    <mergeCell ref="A229:B229"/>
    <mergeCell ref="A230:B230"/>
    <mergeCell ref="A232:B233"/>
    <mergeCell ref="C232:E232"/>
    <mergeCell ref="F232:G232"/>
    <mergeCell ref="H232:I232"/>
    <mergeCell ref="A219:B219"/>
    <mergeCell ref="A220:B220"/>
    <mergeCell ref="A221:B221"/>
    <mergeCell ref="A222:B222"/>
    <mergeCell ref="A223:B223"/>
    <mergeCell ref="A224:A228"/>
    <mergeCell ref="AW232:AW233"/>
    <mergeCell ref="AX232:AX233"/>
    <mergeCell ref="A234:B234"/>
    <mergeCell ref="AH232:AI232"/>
    <mergeCell ref="AJ232:AK232"/>
    <mergeCell ref="AL232:AM232"/>
    <mergeCell ref="AN232:AP232"/>
    <mergeCell ref="AQ232:AQ233"/>
    <mergeCell ref="AR232:AR233"/>
    <mergeCell ref="V232:W232"/>
    <mergeCell ref="X232:Y232"/>
    <mergeCell ref="Z232:AA232"/>
    <mergeCell ref="AB232:AC232"/>
    <mergeCell ref="AD232:AE232"/>
    <mergeCell ref="AF232:AG232"/>
    <mergeCell ref="J232:K232"/>
    <mergeCell ref="L232:M232"/>
    <mergeCell ref="N232:O232"/>
    <mergeCell ref="P232:Q232"/>
    <mergeCell ref="R232:S232"/>
    <mergeCell ref="T232:U232"/>
    <mergeCell ref="A235:B235"/>
    <mergeCell ref="A236:A237"/>
    <mergeCell ref="A238:B238"/>
    <mergeCell ref="A239:A240"/>
    <mergeCell ref="A242:A249"/>
    <mergeCell ref="A250:A254"/>
    <mergeCell ref="AS232:AT232"/>
    <mergeCell ref="AU232:AU233"/>
    <mergeCell ref="AV232:AV233"/>
    <mergeCell ref="A270:B270"/>
    <mergeCell ref="A271:B271"/>
    <mergeCell ref="A272:A276"/>
    <mergeCell ref="A277:B277"/>
    <mergeCell ref="A278:B278"/>
    <mergeCell ref="A280:A282"/>
    <mergeCell ref="B280:B282"/>
    <mergeCell ref="A255:A258"/>
    <mergeCell ref="A259:A263"/>
    <mergeCell ref="A264:A266"/>
    <mergeCell ref="A267:B267"/>
    <mergeCell ref="A268:B268"/>
    <mergeCell ref="A269:B269"/>
    <mergeCell ref="C280:E281"/>
    <mergeCell ref="F280:AK280"/>
    <mergeCell ref="AL280:AL282"/>
    <mergeCell ref="AM280:AM282"/>
    <mergeCell ref="AN280:AN282"/>
    <mergeCell ref="AO280:AO282"/>
    <mergeCell ref="F281:G281"/>
    <mergeCell ref="H281:I281"/>
    <mergeCell ref="J281:K281"/>
    <mergeCell ref="L281:M281"/>
    <mergeCell ref="Z281:AA281"/>
    <mergeCell ref="AB281:AC281"/>
    <mergeCell ref="AD281:AE281"/>
    <mergeCell ref="AF281:AG281"/>
    <mergeCell ref="AH281:AI281"/>
    <mergeCell ref="AJ281:AK281"/>
    <mergeCell ref="N281:O281"/>
    <mergeCell ref="P281:Q281"/>
    <mergeCell ref="R281:S281"/>
    <mergeCell ref="T281:U281"/>
    <mergeCell ref="V281:W281"/>
    <mergeCell ref="X281:Y281"/>
    <mergeCell ref="A283:A284"/>
    <mergeCell ref="A285:A286"/>
    <mergeCell ref="A288:B290"/>
    <mergeCell ref="C288:E289"/>
    <mergeCell ref="F288:AM288"/>
    <mergeCell ref="AN288:AP288"/>
    <mergeCell ref="P289:Q289"/>
    <mergeCell ref="R289:S289"/>
    <mergeCell ref="T289:U289"/>
    <mergeCell ref="V289:W289"/>
    <mergeCell ref="AQ288:AR289"/>
    <mergeCell ref="AS288:AS290"/>
    <mergeCell ref="AT288:AT290"/>
    <mergeCell ref="AU288:AU290"/>
    <mergeCell ref="AV288:AV290"/>
    <mergeCell ref="F289:G289"/>
    <mergeCell ref="H289:I289"/>
    <mergeCell ref="J289:K289"/>
    <mergeCell ref="L289:M289"/>
    <mergeCell ref="N289:O289"/>
    <mergeCell ref="AJ289:AK289"/>
    <mergeCell ref="AL289:AM289"/>
    <mergeCell ref="AN289:AN290"/>
    <mergeCell ref="AO289:AO290"/>
    <mergeCell ref="AP289:AP290"/>
    <mergeCell ref="A291:B291"/>
    <mergeCell ref="X289:Y289"/>
    <mergeCell ref="Z289:AA289"/>
    <mergeCell ref="AB289:AC289"/>
    <mergeCell ref="AD289:AE289"/>
    <mergeCell ref="AF289:AG289"/>
    <mergeCell ref="AH289:AI289"/>
    <mergeCell ref="A292:A300"/>
    <mergeCell ref="A301:A309"/>
    <mergeCell ref="AU311:AU313"/>
    <mergeCell ref="AV311:AV313"/>
    <mergeCell ref="AW311:AW313"/>
    <mergeCell ref="F312:G312"/>
    <mergeCell ref="H312:I312"/>
    <mergeCell ref="J312:K312"/>
    <mergeCell ref="L312:M312"/>
    <mergeCell ref="N312:O312"/>
    <mergeCell ref="P312:Q312"/>
    <mergeCell ref="AL312:AM312"/>
    <mergeCell ref="AN312:AO312"/>
    <mergeCell ref="AP312:AQ312"/>
    <mergeCell ref="F311:AQ311"/>
    <mergeCell ref="AR311:AS312"/>
    <mergeCell ref="R312:S312"/>
    <mergeCell ref="T312:U312"/>
    <mergeCell ref="V312:W312"/>
    <mergeCell ref="X312:Y312"/>
    <mergeCell ref="AT311:AT313"/>
    <mergeCell ref="A314:A315"/>
    <mergeCell ref="A316:B316"/>
    <mergeCell ref="A317:B317"/>
    <mergeCell ref="Z312:AA312"/>
    <mergeCell ref="AB312:AC312"/>
    <mergeCell ref="AD312:AE312"/>
    <mergeCell ref="AF312:AG312"/>
    <mergeCell ref="AH312:AI312"/>
    <mergeCell ref="AJ312:AK312"/>
    <mergeCell ref="A311:B313"/>
    <mergeCell ref="C311:E312"/>
    <mergeCell ref="A318:B318"/>
    <mergeCell ref="A319:B319"/>
    <mergeCell ref="A320:A324"/>
    <mergeCell ref="A326:B328"/>
    <mergeCell ref="C326:E327"/>
    <mergeCell ref="F326:AG326"/>
    <mergeCell ref="T327:U327"/>
    <mergeCell ref="V327:W327"/>
    <mergeCell ref="X327:Y327"/>
    <mergeCell ref="Z327:AA327"/>
    <mergeCell ref="AB327:AC327"/>
    <mergeCell ref="AD327:AE327"/>
    <mergeCell ref="AF327:AG327"/>
    <mergeCell ref="AH326:AI327"/>
    <mergeCell ref="AJ326:AJ328"/>
    <mergeCell ref="AK326:AK328"/>
    <mergeCell ref="F327:G327"/>
    <mergeCell ref="H327:I327"/>
    <mergeCell ref="J327:K327"/>
    <mergeCell ref="L327:M327"/>
    <mergeCell ref="N327:O327"/>
    <mergeCell ref="P327:Q327"/>
    <mergeCell ref="R327:S327"/>
    <mergeCell ref="F339:AG339"/>
    <mergeCell ref="AH339:AH341"/>
    <mergeCell ref="T340:U340"/>
    <mergeCell ref="V340:W340"/>
    <mergeCell ref="X340:Y340"/>
    <mergeCell ref="Z340:AA340"/>
    <mergeCell ref="AD340:AE340"/>
    <mergeCell ref="AF340:AG340"/>
    <mergeCell ref="A329:B329"/>
    <mergeCell ref="A330:B330"/>
    <mergeCell ref="A331:B331"/>
    <mergeCell ref="M334:N334"/>
    <mergeCell ref="P333:P335"/>
    <mergeCell ref="A333:A335"/>
    <mergeCell ref="B333:D334"/>
    <mergeCell ref="E333:M333"/>
    <mergeCell ref="S333:S335"/>
    <mergeCell ref="E334:F334"/>
    <mergeCell ref="G334:H334"/>
    <mergeCell ref="I334:J334"/>
    <mergeCell ref="K334:L334"/>
    <mergeCell ref="Q333:Q335"/>
    <mergeCell ref="O333:O335"/>
    <mergeCell ref="R333:R335"/>
    <mergeCell ref="A342:A344"/>
    <mergeCell ref="A345:A347"/>
    <mergeCell ref="A348:A351"/>
    <mergeCell ref="A354:A356"/>
    <mergeCell ref="B354:B356"/>
    <mergeCell ref="C354:E355"/>
    <mergeCell ref="AB340:AC340"/>
    <mergeCell ref="F354:AM354"/>
    <mergeCell ref="AJ340:AJ341"/>
    <mergeCell ref="AK340:AK341"/>
    <mergeCell ref="AL340:AL341"/>
    <mergeCell ref="AI339:AI341"/>
    <mergeCell ref="AJ339:AL339"/>
    <mergeCell ref="AM339:AM341"/>
    <mergeCell ref="F340:G340"/>
    <mergeCell ref="H340:I340"/>
    <mergeCell ref="J340:K340"/>
    <mergeCell ref="L340:M340"/>
    <mergeCell ref="N340:O340"/>
    <mergeCell ref="P340:Q340"/>
    <mergeCell ref="R340:S340"/>
    <mergeCell ref="A339:A341"/>
    <mergeCell ref="B339:B341"/>
    <mergeCell ref="C339:E340"/>
    <mergeCell ref="AN354:AN356"/>
    <mergeCell ref="AO354:AO356"/>
    <mergeCell ref="F355:G355"/>
    <mergeCell ref="H355:I355"/>
    <mergeCell ref="J355:K355"/>
    <mergeCell ref="L355:M355"/>
    <mergeCell ref="N355:O355"/>
    <mergeCell ref="P355:Q355"/>
    <mergeCell ref="R355:S355"/>
    <mergeCell ref="AL355:AM355"/>
    <mergeCell ref="AF355:AG355"/>
    <mergeCell ref="AH355:AI355"/>
    <mergeCell ref="AJ355:AK355"/>
    <mergeCell ref="A357:A359"/>
    <mergeCell ref="A360:B360"/>
    <mergeCell ref="T355:U355"/>
    <mergeCell ref="V355:W355"/>
    <mergeCell ref="X355:Y355"/>
    <mergeCell ref="Z355:AA355"/>
    <mergeCell ref="AB355:AC355"/>
    <mergeCell ref="AD355:AE355"/>
    <mergeCell ref="P362:P364"/>
    <mergeCell ref="C363:C364"/>
    <mergeCell ref="D363:D364"/>
    <mergeCell ref="E363:E364"/>
    <mergeCell ref="F363:F364"/>
    <mergeCell ref="G363:J363"/>
    <mergeCell ref="K363:K364"/>
    <mergeCell ref="L363:L364"/>
    <mergeCell ref="M363:M364"/>
    <mergeCell ref="N363:N364"/>
    <mergeCell ref="O363:O364"/>
    <mergeCell ref="A362:A364"/>
    <mergeCell ref="B362:B364"/>
    <mergeCell ref="C362:J362"/>
    <mergeCell ref="K362:O362"/>
  </mergeCells>
  <dataValidations count="2">
    <dataValidation type="whole" allowBlank="1" showInputMessage="1" showErrorMessage="1" sqref="C354:E360 C362:C363 AN354:AO356 F356:AM356 F360:AO360 G363:G364 H364:J364 D363:F363 L363:O364 K362:K363 P362" xr:uid="{00000000-0002-0000-0500-000000000000}">
      <formula1>0</formula1>
      <formula2>1E+30</formula2>
    </dataValidation>
    <dataValidation type="whole" operator="greaterThanOrEqual" allowBlank="1" showInputMessage="1" showErrorMessage="1" sqref="D11:R14 C18:F31 F234:AX278 D60:R79 B82 D85:E85 F106:M109 F114:AI122 F139:AR143 F127:AM134 F147:O149 F160:R162 F164:R167 F151:O154 F173:Q175 F186:AW230 E336:U337 F283:AO286 F292:AV309 F314:AW324 F329:AK331 F342:AM351 F357:AO359 C365:P369 F98:AE101 F90:AE93 F177:Q180 D36:U55" xr:uid="{00000000-0002-0000-0500-000001000000}">
      <formula1>0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DR197"/>
  <sheetViews>
    <sheetView showGridLines="0" workbookViewId="0"/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2.140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4" width="11.42578125" customWidth="1"/>
    <col min="75" max="91" width="11.42578125" hidden="1" customWidth="1"/>
    <col min="92" max="92" width="12.140625" hidden="1" customWidth="1"/>
    <col min="93" max="95" width="12.140625" customWidth="1"/>
    <col min="96" max="96" width="12.28515625" customWidth="1"/>
    <col min="97" max="148" width="11.42578125" customWidth="1"/>
  </cols>
  <sheetData>
    <row r="1" spans="1:122" x14ac:dyDescent="0.25">
      <c r="A1" s="779" t="s">
        <v>3878</v>
      </c>
    </row>
    <row r="2" spans="1:122" x14ac:dyDescent="0.25">
      <c r="A2" s="779" t="str">
        <f>CONCATENATE("COMUNA: ",NOMBRE!B2," - ","( ",NOMBRE!C2,NOMBRE!D2,NOMBRE!E2,NOMBRE!F2,NOMBRE!G2," )")</f>
        <v>COMUNA:  - (  )</v>
      </c>
    </row>
    <row r="3" spans="1:122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22" x14ac:dyDescent="0.25">
      <c r="A4" s="779" t="str">
        <f>CONCATENATE("MES: ",NOMBRE!B6," - ","( ",NOMBRE!C6,NOMBRE!D6," )")</f>
        <v>MES:  - (  )</v>
      </c>
    </row>
    <row r="5" spans="1:122" x14ac:dyDescent="0.25">
      <c r="A5" s="779" t="str">
        <f>CONCATENATE("AÑO: ",NOMBRE!B7)</f>
        <v>AÑO: 2024</v>
      </c>
    </row>
    <row r="6" spans="1:122" s="2585" customFormat="1" ht="18" customHeight="1" x14ac:dyDescent="0.2">
      <c r="A6" s="7243" t="s">
        <v>64</v>
      </c>
      <c r="B6" s="7243"/>
      <c r="C6" s="7243"/>
      <c r="D6" s="7243"/>
      <c r="E6" s="7243"/>
      <c r="F6" s="7243"/>
      <c r="G6" s="7243"/>
      <c r="H6" s="7243"/>
      <c r="I6" s="7243"/>
      <c r="J6" s="7243"/>
      <c r="K6" s="7243"/>
      <c r="L6" s="7243"/>
      <c r="M6" s="7243"/>
      <c r="N6" s="7243"/>
      <c r="O6" s="7243"/>
      <c r="P6" s="7243"/>
      <c r="Q6" s="7243"/>
      <c r="R6" s="7243"/>
      <c r="S6" s="7243"/>
      <c r="T6" s="7243"/>
      <c r="U6" s="7243"/>
      <c r="V6" s="7243"/>
      <c r="W6" s="7243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20"/>
      <c r="AR6" s="20"/>
      <c r="AS6" s="20"/>
      <c r="AT6" s="20"/>
      <c r="AU6" s="20"/>
      <c r="CP6" s="2586"/>
      <c r="CQ6" s="2586"/>
      <c r="CR6" s="2586"/>
      <c r="CS6" s="2586"/>
      <c r="CT6" s="2586"/>
      <c r="CU6" s="2586"/>
      <c r="CV6" s="2586"/>
      <c r="CW6" s="2586"/>
      <c r="CX6" s="2586"/>
      <c r="CY6" s="2586"/>
      <c r="CZ6" s="2586"/>
      <c r="DA6" s="2586"/>
      <c r="DB6" s="2586"/>
      <c r="DC6" s="2586"/>
      <c r="DD6" s="2586"/>
      <c r="DE6" s="2586"/>
      <c r="DF6" s="2586"/>
      <c r="DG6" s="2586"/>
      <c r="DH6" s="2586"/>
      <c r="DI6" s="2586"/>
      <c r="DJ6" s="2586"/>
      <c r="DK6" s="2586"/>
      <c r="DL6" s="2586"/>
      <c r="DM6" s="2586"/>
      <c r="DN6" s="2586"/>
      <c r="DO6" s="2586"/>
      <c r="DP6" s="2586"/>
      <c r="DQ6" s="2586"/>
      <c r="DR6" s="2586"/>
    </row>
    <row r="8" spans="1:122" s="17" customFormat="1" ht="18" customHeight="1" x14ac:dyDescent="0.2">
      <c r="A8" s="49" t="s">
        <v>65</v>
      </c>
      <c r="B8" s="7"/>
      <c r="C8" s="7"/>
      <c r="D8" s="7"/>
      <c r="E8" s="7"/>
      <c r="F8" s="7"/>
      <c r="G8" s="7"/>
      <c r="H8" s="7"/>
      <c r="I8" s="7"/>
      <c r="J8" s="7"/>
      <c r="K8" s="50"/>
      <c r="L8" s="7"/>
      <c r="M8" s="7"/>
      <c r="N8" s="7"/>
      <c r="O8" s="19"/>
      <c r="P8" s="19"/>
      <c r="Q8" s="19"/>
      <c r="R8" s="19"/>
      <c r="S8" s="19"/>
      <c r="T8" s="19"/>
      <c r="U8" s="19"/>
      <c r="V8" s="50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6"/>
      <c r="AQ8" s="16"/>
      <c r="AR8" s="16"/>
      <c r="AS8" s="16"/>
      <c r="AT8" s="16"/>
      <c r="AU8" s="16"/>
      <c r="AV8" s="15"/>
    </row>
    <row r="9" spans="1:122" x14ac:dyDescent="0.25">
      <c r="A9" s="7177" t="s">
        <v>58</v>
      </c>
      <c r="B9" s="7177" t="s">
        <v>61</v>
      </c>
      <c r="C9" s="7193" t="s">
        <v>59</v>
      </c>
      <c r="D9" s="7194"/>
      <c r="E9" s="7157"/>
      <c r="F9" s="7191" t="s">
        <v>66</v>
      </c>
      <c r="G9" s="7197"/>
      <c r="H9" s="7197"/>
      <c r="I9" s="7197"/>
      <c r="J9" s="7197"/>
      <c r="K9" s="7197"/>
      <c r="L9" s="7197"/>
      <c r="M9" s="7197"/>
      <c r="N9" s="7197"/>
      <c r="O9" s="7197"/>
      <c r="P9" s="7197"/>
      <c r="Q9" s="7197"/>
      <c r="R9" s="7197"/>
      <c r="S9" s="7197"/>
      <c r="T9" s="7197"/>
      <c r="U9" s="7197"/>
      <c r="V9" s="7197"/>
      <c r="W9" s="7197"/>
      <c r="X9" s="7197"/>
      <c r="Y9" s="7197"/>
      <c r="Z9" s="7197"/>
      <c r="AA9" s="7197"/>
      <c r="AB9" s="7197"/>
      <c r="AC9" s="7197"/>
      <c r="AD9" s="7197"/>
      <c r="AE9" s="7197"/>
      <c r="AF9" s="7197"/>
      <c r="AG9" s="7197"/>
      <c r="AH9" s="7197"/>
      <c r="AI9" s="7197"/>
      <c r="AJ9" s="7197"/>
      <c r="AK9" s="7197"/>
      <c r="AL9" s="7197"/>
      <c r="AM9" s="7198"/>
      <c r="AN9" s="7157" t="s">
        <v>67</v>
      </c>
      <c r="AO9" s="7157" t="s">
        <v>49</v>
      </c>
      <c r="AP9" s="7157" t="s">
        <v>45</v>
      </c>
      <c r="AQ9" s="7157" t="s">
        <v>2</v>
      </c>
      <c r="AR9" s="7157" t="s">
        <v>3</v>
      </c>
      <c r="AS9" s="7157" t="s">
        <v>68</v>
      </c>
      <c r="AT9" s="7189" t="s">
        <v>69</v>
      </c>
      <c r="AU9" s="7242"/>
    </row>
    <row r="10" spans="1:122" x14ac:dyDescent="0.25">
      <c r="A10" s="7178"/>
      <c r="B10" s="7178"/>
      <c r="C10" s="7245"/>
      <c r="D10" s="7084"/>
      <c r="E10" s="7217"/>
      <c r="F10" s="7191" t="s">
        <v>36</v>
      </c>
      <c r="G10" s="7192"/>
      <c r="H10" s="7191" t="s">
        <v>37</v>
      </c>
      <c r="I10" s="7192"/>
      <c r="J10" s="7191" t="s">
        <v>38</v>
      </c>
      <c r="K10" s="7192"/>
      <c r="L10" s="7191" t="s">
        <v>4</v>
      </c>
      <c r="M10" s="7192"/>
      <c r="N10" s="7191" t="s">
        <v>5</v>
      </c>
      <c r="O10" s="7192"/>
      <c r="P10" s="7180" t="s">
        <v>6</v>
      </c>
      <c r="Q10" s="7182"/>
      <c r="R10" s="7180" t="s">
        <v>7</v>
      </c>
      <c r="S10" s="7182"/>
      <c r="T10" s="7180" t="s">
        <v>8</v>
      </c>
      <c r="U10" s="7182"/>
      <c r="V10" s="7180" t="s">
        <v>9</v>
      </c>
      <c r="W10" s="7182"/>
      <c r="X10" s="7180" t="s">
        <v>10</v>
      </c>
      <c r="Y10" s="7182"/>
      <c r="Z10" s="7180" t="s">
        <v>11</v>
      </c>
      <c r="AA10" s="7182"/>
      <c r="AB10" s="7180" t="s">
        <v>18</v>
      </c>
      <c r="AC10" s="7182"/>
      <c r="AD10" s="7180" t="s">
        <v>19</v>
      </c>
      <c r="AE10" s="7182"/>
      <c r="AF10" s="7180" t="s">
        <v>20</v>
      </c>
      <c r="AG10" s="7182"/>
      <c r="AH10" s="7180" t="s">
        <v>70</v>
      </c>
      <c r="AI10" s="7182"/>
      <c r="AJ10" s="7180" t="s">
        <v>71</v>
      </c>
      <c r="AK10" s="7182"/>
      <c r="AL10" s="7180" t="s">
        <v>72</v>
      </c>
      <c r="AM10" s="7199"/>
      <c r="AN10" s="6924"/>
      <c r="AO10" s="6924"/>
      <c r="AP10" s="6924"/>
      <c r="AQ10" s="6924"/>
      <c r="AR10" s="6924"/>
      <c r="AS10" s="6924"/>
      <c r="AT10" s="7238" t="s">
        <v>41</v>
      </c>
      <c r="AU10" s="7239" t="s">
        <v>42</v>
      </c>
    </row>
    <row r="11" spans="1:122" ht="22.5" customHeight="1" x14ac:dyDescent="0.25">
      <c r="A11" s="7244"/>
      <c r="B11" s="7244"/>
      <c r="C11" s="4998" t="s">
        <v>26</v>
      </c>
      <c r="D11" s="4999" t="s">
        <v>22</v>
      </c>
      <c r="E11" s="2648" t="s">
        <v>27</v>
      </c>
      <c r="F11" s="5000" t="s">
        <v>22</v>
      </c>
      <c r="G11" s="2648" t="s">
        <v>27</v>
      </c>
      <c r="H11" s="5000" t="s">
        <v>22</v>
      </c>
      <c r="I11" s="2648" t="s">
        <v>27</v>
      </c>
      <c r="J11" s="5000" t="s">
        <v>22</v>
      </c>
      <c r="K11" s="2648" t="s">
        <v>27</v>
      </c>
      <c r="L11" s="5000" t="s">
        <v>22</v>
      </c>
      <c r="M11" s="2648" t="s">
        <v>27</v>
      </c>
      <c r="N11" s="5000" t="s">
        <v>22</v>
      </c>
      <c r="O11" s="2648" t="s">
        <v>27</v>
      </c>
      <c r="P11" s="5000" t="s">
        <v>22</v>
      </c>
      <c r="Q11" s="2648" t="s">
        <v>27</v>
      </c>
      <c r="R11" s="5000" t="s">
        <v>22</v>
      </c>
      <c r="S11" s="2648" t="s">
        <v>27</v>
      </c>
      <c r="T11" s="5000" t="s">
        <v>22</v>
      </c>
      <c r="U11" s="2648" t="s">
        <v>27</v>
      </c>
      <c r="V11" s="5000" t="s">
        <v>22</v>
      </c>
      <c r="W11" s="2648" t="s">
        <v>27</v>
      </c>
      <c r="X11" s="5000" t="s">
        <v>22</v>
      </c>
      <c r="Y11" s="2648" t="s">
        <v>27</v>
      </c>
      <c r="Z11" s="5000" t="s">
        <v>22</v>
      </c>
      <c r="AA11" s="2648" t="s">
        <v>27</v>
      </c>
      <c r="AB11" s="5000" t="s">
        <v>22</v>
      </c>
      <c r="AC11" s="2648" t="s">
        <v>27</v>
      </c>
      <c r="AD11" s="5000" t="s">
        <v>22</v>
      </c>
      <c r="AE11" s="2648" t="s">
        <v>27</v>
      </c>
      <c r="AF11" s="5000" t="s">
        <v>22</v>
      </c>
      <c r="AG11" s="2648" t="s">
        <v>27</v>
      </c>
      <c r="AH11" s="5000" t="s">
        <v>22</v>
      </c>
      <c r="AI11" s="2648" t="s">
        <v>27</v>
      </c>
      <c r="AJ11" s="5000" t="s">
        <v>22</v>
      </c>
      <c r="AK11" s="2648" t="s">
        <v>27</v>
      </c>
      <c r="AL11" s="5000" t="s">
        <v>22</v>
      </c>
      <c r="AM11" s="44" t="s">
        <v>27</v>
      </c>
      <c r="AN11" s="7217"/>
      <c r="AO11" s="7217"/>
      <c r="AP11" s="7217"/>
      <c r="AQ11" s="7217"/>
      <c r="AR11" s="7217"/>
      <c r="AS11" s="7217"/>
      <c r="AT11" s="7238"/>
      <c r="AU11" s="7239"/>
    </row>
    <row r="12" spans="1:122" ht="15" customHeight="1" x14ac:dyDescent="0.25">
      <c r="A12" s="7231" t="s">
        <v>73</v>
      </c>
      <c r="B12" s="5001" t="s">
        <v>74</v>
      </c>
      <c r="C12" s="5002">
        <f>SUM(D12+E12)</f>
        <v>0</v>
      </c>
      <c r="D12" s="5003">
        <f>SUM(F12+H12+J12+L12+N12+P12+R12+T12+V12+X12+Z12+AB12+AD12+AF12+AH12+AJ12+AL12)</f>
        <v>0</v>
      </c>
      <c r="E12" s="5004">
        <f>SUM(G12+I12+K12+M12+O12+Q12+S12+U12+W12+Y12+AA12+AC12+AE12+AG12+AI12+AK12+AM12)</f>
        <v>0</v>
      </c>
      <c r="F12" s="5005"/>
      <c r="G12" s="5006"/>
      <c r="H12" s="5005"/>
      <c r="I12" s="5006"/>
      <c r="J12" s="5005"/>
      <c r="K12" s="5007"/>
      <c r="L12" s="5005"/>
      <c r="M12" s="5007"/>
      <c r="N12" s="5005"/>
      <c r="O12" s="5007"/>
      <c r="P12" s="5005"/>
      <c r="Q12" s="5007"/>
      <c r="R12" s="5005"/>
      <c r="S12" s="5007"/>
      <c r="T12" s="5005"/>
      <c r="U12" s="5007"/>
      <c r="V12" s="5005"/>
      <c r="W12" s="5007"/>
      <c r="X12" s="5005"/>
      <c r="Y12" s="5007"/>
      <c r="Z12" s="5005"/>
      <c r="AA12" s="5007"/>
      <c r="AB12" s="5005"/>
      <c r="AC12" s="5007"/>
      <c r="AD12" s="5005"/>
      <c r="AE12" s="5007"/>
      <c r="AF12" s="5005"/>
      <c r="AG12" s="5007"/>
      <c r="AH12" s="5005"/>
      <c r="AI12" s="5007"/>
      <c r="AJ12" s="5005"/>
      <c r="AK12" s="5007"/>
      <c r="AL12" s="5008"/>
      <c r="AM12" s="5009"/>
      <c r="AN12" s="5006"/>
      <c r="AO12" s="5006"/>
      <c r="AP12" s="5006"/>
      <c r="AQ12" s="5006"/>
      <c r="AR12" s="5006"/>
      <c r="AS12" s="5006"/>
      <c r="AT12" s="5938"/>
      <c r="AU12" s="5939"/>
      <c r="AV12" t="str">
        <f>BW12&amp;BX12&amp;BY12&amp;BZ12&amp;CA12&amp;CB12&amp;CC12&amp;CD12</f>
        <v/>
      </c>
      <c r="BW12" s="1791" t="str">
        <f>IF(AND(C12&gt;0,AN12="")," * No olvide digitar la variable Beneficiarios. Digite Cero si no tiene.",IF(AN12&gt;C12," * La variable Beneficiarios No puede ser mayor al Total.",""))</f>
        <v/>
      </c>
      <c r="BX12" s="1791" t="str">
        <f>IF(AND(C12&gt;0,AO12="")," * No olvide digitar la variable Niños, Niñas, adolescentes y Jóvenes SENAME. Digite Cero si no tiene.",IF(AO12&gt;C12," * La variable Niños, Niñas, adolescentes y Jóvenes SENAME No puede ser mayor al Total.",""))</f>
        <v/>
      </c>
      <c r="BY12" s="1791" t="str">
        <f>IF(AND(C12&gt;0,AP12="")," * No olvide digitar la variable Niños, Niñas, adolescentes y Jóvenes Mejor Niñez. Digite Cero si no tiene.",IF(AP12&gt;C12," * La variable Niños, Niñas, adolescentes y Jóvenes Mejor Niñez No puede ser mayor al Total.",""))</f>
        <v/>
      </c>
      <c r="BZ12" s="1791" t="str">
        <f>IF(AND(C12&gt;0,AQ12="")," * No olvide digitar la variable Pueblos originarios. Digite Cero si no tiene.",IF(AQ12&gt;C12," * La variable Pueblos Originarios No puede ser mayor al Total.",""))</f>
        <v/>
      </c>
      <c r="CA12" s="1791" t="str">
        <f>IF(AND(C12&gt;0,AR12="")," * No olvide digitar la variable Migrantes. Digite Cero si no tiene.",IF(AR12&gt;C12," * La variable Migrantes No puede ser mayor al Total.",""))</f>
        <v/>
      </c>
      <c r="CB12" s="1791" t="str">
        <f>IF(AND(C12&gt;0,AS12="")," * No olvide digitar la variable Demencia. Digite Cero si no tiene.",IF(AS12&gt;C12," * La variable Demencia No puede ser mayor al Total.",""))</f>
        <v/>
      </c>
      <c r="CC12" s="1791" t="str">
        <f>IF(AND(E12&gt;0,OR(AT12=""))," * No olvide digitar la variable Trans (Masculino). Digite Cero si no tiene.",IF((AT12)&gt;E12," * La variable Trans (Masculino) No puede ser mayor al Total Mujeres.",""))</f>
        <v/>
      </c>
      <c r="CD12" s="1791" t="str">
        <f>IF(AND(D12&gt;0,OR(AU12=""))," * No olvide digitar la variable Trans (Femenino). Digite Cero si no tiene.",IF((AU12)&gt;D12," * La variable Trans (Femenino) No puede ser mayor al Total Hombres.",""))</f>
        <v/>
      </c>
      <c r="CF12" s="1793">
        <f>IF(AND(C12&gt;0,AN12=""),1,IF(AN12&gt;C12,1,0))</f>
        <v>0</v>
      </c>
      <c r="CG12" s="1793">
        <f>IF(AND(C12&gt;0,AO12=""),1,IF(AO12&gt;C12,1,0))</f>
        <v>0</v>
      </c>
      <c r="CH12" s="1793">
        <f>IF(AND(C12&gt;0,AP12=""),1,IF(AP12&gt;C12,1,0))</f>
        <v>0</v>
      </c>
      <c r="CI12" s="1793">
        <f>IF(AND(C12&gt;0,AQ12=""),1,IF(AQ12&gt;C12,1,0))</f>
        <v>0</v>
      </c>
      <c r="CJ12" s="1793">
        <f>IF(AND(C12&gt;0,AR12=""),1,IF(AR12&gt;C12,1,0))</f>
        <v>0</v>
      </c>
      <c r="CK12" s="1793">
        <f>IF(AND(C12&gt;0,AS12=""),1,IF(AS12&gt;C12,1,0))</f>
        <v>0</v>
      </c>
      <c r="CL12" s="1793">
        <f>IF(AND(E12&gt;0,OR(AT12="")),1,IF((AT12)&gt;E12,1,0))</f>
        <v>0</v>
      </c>
      <c r="CM12" s="1793">
        <f>IF(AND(D12&gt;0,OR(AU12="")),1,IF((AU12)&gt;D12,1,0))</f>
        <v>0</v>
      </c>
    </row>
    <row r="13" spans="1:122" ht="15" customHeight="1" x14ac:dyDescent="0.25">
      <c r="A13" s="7044"/>
      <c r="B13" s="5010" t="s">
        <v>75</v>
      </c>
      <c r="C13" s="1622">
        <f t="shared" ref="C13:C26" si="0">SUM(D13+E13)</f>
        <v>0</v>
      </c>
      <c r="D13" s="5011">
        <f t="shared" ref="D13:E26" si="1">SUM(F13+H13+J13+L13+N13+P13+R13+T13+V13+X13+Z13+AB13+AD13+AF13+AH13+AJ13+AL13)</f>
        <v>0</v>
      </c>
      <c r="E13" s="5012">
        <f t="shared" si="1"/>
        <v>0</v>
      </c>
      <c r="F13" s="1113"/>
      <c r="G13" s="4055"/>
      <c r="H13" s="1113"/>
      <c r="I13" s="4055"/>
      <c r="J13" s="1113"/>
      <c r="K13" s="1117"/>
      <c r="L13" s="1113"/>
      <c r="M13" s="1117"/>
      <c r="N13" s="1113"/>
      <c r="O13" s="1117"/>
      <c r="P13" s="1113"/>
      <c r="Q13" s="1117"/>
      <c r="R13" s="1113"/>
      <c r="S13" s="1117"/>
      <c r="T13" s="1113"/>
      <c r="U13" s="1117"/>
      <c r="V13" s="1113"/>
      <c r="W13" s="1117"/>
      <c r="X13" s="1113"/>
      <c r="Y13" s="1117"/>
      <c r="Z13" s="1113"/>
      <c r="AA13" s="1117"/>
      <c r="AB13" s="1113"/>
      <c r="AC13" s="1117"/>
      <c r="AD13" s="1113"/>
      <c r="AE13" s="1117"/>
      <c r="AF13" s="1113"/>
      <c r="AG13" s="1117"/>
      <c r="AH13" s="1113"/>
      <c r="AI13" s="1117"/>
      <c r="AJ13" s="1113"/>
      <c r="AK13" s="1117"/>
      <c r="AL13" s="4529"/>
      <c r="AM13" s="1118"/>
      <c r="AN13" s="4055"/>
      <c r="AO13" s="4055"/>
      <c r="AP13" s="4055"/>
      <c r="AQ13" s="4055"/>
      <c r="AR13" s="4055"/>
      <c r="AS13" s="4055"/>
      <c r="AT13" s="4054"/>
      <c r="AU13" s="4069"/>
      <c r="AV13" t="str">
        <f t="shared" ref="AV13:AV26" si="2">BW13&amp;BX13&amp;BY13&amp;BZ13&amp;CA13&amp;CB13&amp;CC13&amp;CD13</f>
        <v/>
      </c>
      <c r="BW13" s="1791" t="str">
        <f t="shared" ref="BW13:BW21" si="3">IF(AND(C13&gt;0,AN13="")," * No olvide digitar la variable Beneficiarios. Digite Cero si no tiene.",IF(AN13&gt;C13," * La variable Beneficiarios No puede ser mayor al Total.",""))</f>
        <v/>
      </c>
      <c r="BX13" s="1791" t="str">
        <f t="shared" ref="BX13:BX21" si="4">IF(AND(C13&gt;0,AO13="")," * No olvide digitar la variable Niños, Niñas, adolescentes y Jóvenes SENAME. Digite Cero si no tiene.",IF(AO13&gt;C13," * La variable Niños, Niñas, adolescentes y Jóvenes SENAME No puede ser mayor al Total.",""))</f>
        <v/>
      </c>
      <c r="BY13" s="1791" t="str">
        <f t="shared" ref="BY13:BY21" si="5">IF(AND(C13&gt;0,AP13="")," * No olvide digitar la variable Niños, Niñas, adolescentes y Jóvenes Mejor Niñez. Digite Cero si no tiene.",IF(AP13&gt;C13," * La variable Niños, Niñas, adolescentes y Jóvenes Mejor Niñez No puede ser mayor al Total.",""))</f>
        <v/>
      </c>
      <c r="BZ13" s="1791" t="str">
        <f t="shared" ref="BZ13:BZ21" si="6">IF(AND(C13&gt;0,AQ13="")," * No olvide digitar la variable Pueblos originarios. Digite Cero si no tiene.",IF(AQ13&gt;C13," * La variable Pueblos Originarios No puede ser mayor al Total.",""))</f>
        <v/>
      </c>
      <c r="CA13" s="1791" t="str">
        <f t="shared" ref="CA13:CA21" si="7">IF(AND(C13&gt;0,AR13="")," * No olvide digitar la variable Migrantes. Digite Cero si no tiene.",IF(AR13&gt;C13," * La variable Migrantes No puede ser mayor al Total.",""))</f>
        <v/>
      </c>
      <c r="CB13" s="1791" t="str">
        <f t="shared" ref="CB13:CB21" si="8">IF(AND(C13&gt;0,AS13="")," * No olvide digitar la variable Demencia. Digite Cero si no tiene.",IF(AS13&gt;C13," * La variable Demencia No puede ser mayor al Total.",""))</f>
        <v/>
      </c>
      <c r="CC13" s="1791" t="str">
        <f t="shared" ref="CC13:CC21" si="9">IF(AND(E13&gt;0,OR(AT13=""))," * No olvide digitar la variable Trans (Masculino). Digite Cero si no tiene.",IF((AT13)&gt;E13," * La variable Trans (Masculino) No puede ser mayor al Total Mujeres.",""))</f>
        <v/>
      </c>
      <c r="CD13" s="1791" t="str">
        <f t="shared" ref="CD13:CD21" si="10">IF(AND(D13&gt;0,OR(AU13=""))," * No olvide digitar la variable Trans (Femenino). Digite Cero si no tiene.",IF((AU13)&gt;D13," * La variable Trans (Femenino) No puede ser mayor al Total Hombres.",""))</f>
        <v/>
      </c>
      <c r="CF13" s="1793">
        <f t="shared" ref="CF13:CF21" si="11">IF(AND(C13&gt;0,AN13=""),1,IF(AN13&gt;C13,1,0))</f>
        <v>0</v>
      </c>
      <c r="CG13" s="1793">
        <f t="shared" ref="CG13:CG21" si="12">IF(AND(C13&gt;0,AO13=""),1,IF(AO13&gt;C13,1,0))</f>
        <v>0</v>
      </c>
      <c r="CH13" s="1793">
        <f t="shared" ref="CH13:CH21" si="13">IF(AND(C13&gt;0,AP13=""),1,IF(AP13&gt;C13,1,0))</f>
        <v>0</v>
      </c>
      <c r="CI13" s="1793">
        <f t="shared" ref="CI13:CI21" si="14">IF(AND(C13&gt;0,AQ13=""),1,IF(AQ13&gt;C13,1,0))</f>
        <v>0</v>
      </c>
      <c r="CJ13" s="1793">
        <f t="shared" ref="CJ13:CJ21" si="15">IF(AND(C13&gt;0,AR13=""),1,IF(AR13&gt;C13,1,0))</f>
        <v>0</v>
      </c>
      <c r="CK13" s="1793">
        <f t="shared" ref="CK13:CK21" si="16">IF(AND(C13&gt;0,AS13=""),1,IF(AS13&gt;C13,1,0))</f>
        <v>0</v>
      </c>
      <c r="CL13" s="1793">
        <f t="shared" ref="CL13:CL21" si="17">IF(AND(E13&gt;0,OR(AT13="")),1,IF((AT13)&gt;E13,1,0))</f>
        <v>0</v>
      </c>
      <c r="CM13" s="1793">
        <f t="shared" ref="CM13:CM21" si="18">IF(AND(D13&gt;0,OR(AU13="")),1,IF((AU13)&gt;D13,1,0))</f>
        <v>0</v>
      </c>
    </row>
    <row r="14" spans="1:122" ht="15" customHeight="1" x14ac:dyDescent="0.25">
      <c r="A14" s="7044"/>
      <c r="B14" s="5010" t="s">
        <v>76</v>
      </c>
      <c r="C14" s="1622">
        <f t="shared" si="0"/>
        <v>0</v>
      </c>
      <c r="D14" s="5013">
        <f t="shared" si="1"/>
        <v>0</v>
      </c>
      <c r="E14" s="5012">
        <f t="shared" si="1"/>
        <v>0</v>
      </c>
      <c r="F14" s="1113"/>
      <c r="G14" s="4055"/>
      <c r="H14" s="1113"/>
      <c r="I14" s="4055"/>
      <c r="J14" s="1113"/>
      <c r="K14" s="1117"/>
      <c r="L14" s="1113"/>
      <c r="M14" s="1117"/>
      <c r="N14" s="1113"/>
      <c r="O14" s="1117"/>
      <c r="P14" s="1113"/>
      <c r="Q14" s="1117"/>
      <c r="R14" s="1113"/>
      <c r="S14" s="1117"/>
      <c r="T14" s="1113"/>
      <c r="U14" s="1117"/>
      <c r="V14" s="1113"/>
      <c r="W14" s="1117"/>
      <c r="X14" s="1113"/>
      <c r="Y14" s="1117"/>
      <c r="Z14" s="1113"/>
      <c r="AA14" s="1117"/>
      <c r="AB14" s="1113"/>
      <c r="AC14" s="1117"/>
      <c r="AD14" s="1113"/>
      <c r="AE14" s="1117"/>
      <c r="AF14" s="1113"/>
      <c r="AG14" s="1117"/>
      <c r="AH14" s="1113"/>
      <c r="AI14" s="1117"/>
      <c r="AJ14" s="1113"/>
      <c r="AK14" s="1117"/>
      <c r="AL14" s="4529"/>
      <c r="AM14" s="1118"/>
      <c r="AN14" s="4055"/>
      <c r="AO14" s="4055"/>
      <c r="AP14" s="4055"/>
      <c r="AQ14" s="4055"/>
      <c r="AR14" s="4055"/>
      <c r="AS14" s="4055"/>
      <c r="AT14" s="4054"/>
      <c r="AU14" s="4069"/>
      <c r="AV14" t="str">
        <f t="shared" si="2"/>
        <v/>
      </c>
      <c r="BW14" s="1791" t="str">
        <f t="shared" si="3"/>
        <v/>
      </c>
      <c r="BX14" s="1791" t="str">
        <f t="shared" si="4"/>
        <v/>
      </c>
      <c r="BY14" s="1791" t="str">
        <f t="shared" si="5"/>
        <v/>
      </c>
      <c r="BZ14" s="1791" t="str">
        <f t="shared" si="6"/>
        <v/>
      </c>
      <c r="CA14" s="1791" t="str">
        <f t="shared" si="7"/>
        <v/>
      </c>
      <c r="CB14" s="1791" t="str">
        <f t="shared" si="8"/>
        <v/>
      </c>
      <c r="CC14" s="1791" t="str">
        <f t="shared" si="9"/>
        <v/>
      </c>
      <c r="CD14" s="1791" t="str">
        <f t="shared" si="10"/>
        <v/>
      </c>
      <c r="CF14" s="1793">
        <f t="shared" si="11"/>
        <v>0</v>
      </c>
      <c r="CG14" s="1793">
        <f t="shared" si="12"/>
        <v>0</v>
      </c>
      <c r="CH14" s="1793">
        <f t="shared" si="13"/>
        <v>0</v>
      </c>
      <c r="CI14" s="1793">
        <f t="shared" si="14"/>
        <v>0</v>
      </c>
      <c r="CJ14" s="1793">
        <f t="shared" si="15"/>
        <v>0</v>
      </c>
      <c r="CK14" s="1793">
        <f t="shared" si="16"/>
        <v>0</v>
      </c>
      <c r="CL14" s="1793">
        <f t="shared" si="17"/>
        <v>0</v>
      </c>
      <c r="CM14" s="1793">
        <f t="shared" si="18"/>
        <v>0</v>
      </c>
    </row>
    <row r="15" spans="1:122" ht="15" customHeight="1" x14ac:dyDescent="0.25">
      <c r="A15" s="7044"/>
      <c r="B15" s="5010" t="s">
        <v>77</v>
      </c>
      <c r="C15" s="1622">
        <f t="shared" si="0"/>
        <v>0</v>
      </c>
      <c r="D15" s="5013">
        <f t="shared" si="1"/>
        <v>0</v>
      </c>
      <c r="E15" s="5012">
        <f t="shared" si="1"/>
        <v>0</v>
      </c>
      <c r="F15" s="1113"/>
      <c r="G15" s="4055"/>
      <c r="H15" s="1113"/>
      <c r="I15" s="4055"/>
      <c r="J15" s="1113"/>
      <c r="K15" s="1117"/>
      <c r="L15" s="1113"/>
      <c r="M15" s="1117"/>
      <c r="N15" s="1113"/>
      <c r="O15" s="1117"/>
      <c r="P15" s="1113"/>
      <c r="Q15" s="1117"/>
      <c r="R15" s="1113"/>
      <c r="S15" s="1117"/>
      <c r="T15" s="1113"/>
      <c r="U15" s="1117"/>
      <c r="V15" s="1113"/>
      <c r="W15" s="1117"/>
      <c r="X15" s="1113"/>
      <c r="Y15" s="1117"/>
      <c r="Z15" s="1113"/>
      <c r="AA15" s="1117"/>
      <c r="AB15" s="1113"/>
      <c r="AC15" s="1117"/>
      <c r="AD15" s="1113"/>
      <c r="AE15" s="1117"/>
      <c r="AF15" s="1113"/>
      <c r="AG15" s="1117"/>
      <c r="AH15" s="1113"/>
      <c r="AI15" s="1117"/>
      <c r="AJ15" s="1113"/>
      <c r="AK15" s="1117"/>
      <c r="AL15" s="4529"/>
      <c r="AM15" s="1118"/>
      <c r="AN15" s="4055"/>
      <c r="AO15" s="4055"/>
      <c r="AP15" s="4055"/>
      <c r="AQ15" s="4055"/>
      <c r="AR15" s="4055"/>
      <c r="AS15" s="4055"/>
      <c r="AT15" s="4054"/>
      <c r="AU15" s="4069"/>
      <c r="AV15" t="str">
        <f t="shared" si="2"/>
        <v/>
      </c>
      <c r="BW15" s="1791" t="str">
        <f t="shared" si="3"/>
        <v/>
      </c>
      <c r="BX15" s="1791" t="str">
        <f t="shared" si="4"/>
        <v/>
      </c>
      <c r="BY15" s="1791" t="str">
        <f t="shared" si="5"/>
        <v/>
      </c>
      <c r="BZ15" s="1791" t="str">
        <f t="shared" si="6"/>
        <v/>
      </c>
      <c r="CA15" s="1791" t="str">
        <f t="shared" si="7"/>
        <v/>
      </c>
      <c r="CB15" s="1791" t="str">
        <f t="shared" si="8"/>
        <v/>
      </c>
      <c r="CC15" s="1791" t="str">
        <f t="shared" si="9"/>
        <v/>
      </c>
      <c r="CD15" s="1791" t="str">
        <f t="shared" si="10"/>
        <v/>
      </c>
      <c r="CF15" s="1793">
        <f t="shared" si="11"/>
        <v>0</v>
      </c>
      <c r="CG15" s="1793">
        <f t="shared" si="12"/>
        <v>0</v>
      </c>
      <c r="CH15" s="1793">
        <f t="shared" si="13"/>
        <v>0</v>
      </c>
      <c r="CI15" s="1793">
        <f t="shared" si="14"/>
        <v>0</v>
      </c>
      <c r="CJ15" s="1793">
        <f t="shared" si="15"/>
        <v>0</v>
      </c>
      <c r="CK15" s="1793">
        <f t="shared" si="16"/>
        <v>0</v>
      </c>
      <c r="CL15" s="1793">
        <f t="shared" si="17"/>
        <v>0</v>
      </c>
      <c r="CM15" s="1793">
        <f t="shared" si="18"/>
        <v>0</v>
      </c>
    </row>
    <row r="16" spans="1:122" ht="15" customHeight="1" x14ac:dyDescent="0.25">
      <c r="A16" s="7044"/>
      <c r="B16" s="5010" t="s">
        <v>62</v>
      </c>
      <c r="C16" s="1622">
        <f t="shared" si="0"/>
        <v>0</v>
      </c>
      <c r="D16" s="5013">
        <f t="shared" si="1"/>
        <v>0</v>
      </c>
      <c r="E16" s="5012">
        <f t="shared" si="1"/>
        <v>0</v>
      </c>
      <c r="F16" s="1113"/>
      <c r="G16" s="4055"/>
      <c r="H16" s="1113"/>
      <c r="I16" s="4055"/>
      <c r="J16" s="1113"/>
      <c r="K16" s="1117"/>
      <c r="L16" s="1113"/>
      <c r="M16" s="1117"/>
      <c r="N16" s="1113"/>
      <c r="O16" s="1117"/>
      <c r="P16" s="1113"/>
      <c r="Q16" s="1117"/>
      <c r="R16" s="1113"/>
      <c r="S16" s="1117"/>
      <c r="T16" s="1113"/>
      <c r="U16" s="1117"/>
      <c r="V16" s="1113"/>
      <c r="W16" s="1117"/>
      <c r="X16" s="1113"/>
      <c r="Y16" s="1117"/>
      <c r="Z16" s="1113"/>
      <c r="AA16" s="1117"/>
      <c r="AB16" s="1113"/>
      <c r="AC16" s="1117"/>
      <c r="AD16" s="1113"/>
      <c r="AE16" s="1117"/>
      <c r="AF16" s="1113"/>
      <c r="AG16" s="1117"/>
      <c r="AH16" s="1113"/>
      <c r="AI16" s="1117"/>
      <c r="AJ16" s="1113"/>
      <c r="AK16" s="1117"/>
      <c r="AL16" s="4529"/>
      <c r="AM16" s="1118"/>
      <c r="AN16" s="4055"/>
      <c r="AO16" s="4055"/>
      <c r="AP16" s="4055"/>
      <c r="AQ16" s="4055"/>
      <c r="AR16" s="4055"/>
      <c r="AS16" s="4055"/>
      <c r="AT16" s="4054"/>
      <c r="AU16" s="4069"/>
      <c r="AV16" t="str">
        <f t="shared" si="2"/>
        <v/>
      </c>
      <c r="BW16" s="1791" t="str">
        <f t="shared" si="3"/>
        <v/>
      </c>
      <c r="BX16" s="1791" t="str">
        <f t="shared" si="4"/>
        <v/>
      </c>
      <c r="BY16" s="1791" t="str">
        <f t="shared" si="5"/>
        <v/>
      </c>
      <c r="BZ16" s="1791" t="str">
        <f t="shared" si="6"/>
        <v/>
      </c>
      <c r="CA16" s="1791" t="str">
        <f t="shared" si="7"/>
        <v/>
      </c>
      <c r="CB16" s="1791" t="str">
        <f t="shared" si="8"/>
        <v/>
      </c>
      <c r="CC16" s="1791" t="str">
        <f t="shared" si="9"/>
        <v/>
      </c>
      <c r="CD16" s="1791" t="str">
        <f t="shared" si="10"/>
        <v/>
      </c>
      <c r="CF16" s="1793">
        <f t="shared" si="11"/>
        <v>0</v>
      </c>
      <c r="CG16" s="1793">
        <f t="shared" si="12"/>
        <v>0</v>
      </c>
      <c r="CH16" s="1793">
        <f t="shared" si="13"/>
        <v>0</v>
      </c>
      <c r="CI16" s="1793">
        <f t="shared" si="14"/>
        <v>0</v>
      </c>
      <c r="CJ16" s="1793">
        <f t="shared" si="15"/>
        <v>0</v>
      </c>
      <c r="CK16" s="1793">
        <f t="shared" si="16"/>
        <v>0</v>
      </c>
      <c r="CL16" s="1793">
        <f t="shared" si="17"/>
        <v>0</v>
      </c>
      <c r="CM16" s="1793">
        <f t="shared" si="18"/>
        <v>0</v>
      </c>
    </row>
    <row r="17" spans="1:91" ht="21" x14ac:dyDescent="0.25">
      <c r="A17" s="7044"/>
      <c r="B17" s="5010" t="s">
        <v>78</v>
      </c>
      <c r="C17" s="1622">
        <f t="shared" si="0"/>
        <v>0</v>
      </c>
      <c r="D17" s="5013">
        <f t="shared" si="1"/>
        <v>0</v>
      </c>
      <c r="E17" s="5012">
        <f t="shared" si="1"/>
        <v>0</v>
      </c>
      <c r="F17" s="1113"/>
      <c r="G17" s="4055"/>
      <c r="H17" s="1113"/>
      <c r="I17" s="4055"/>
      <c r="J17" s="1113"/>
      <c r="K17" s="1117"/>
      <c r="L17" s="1113"/>
      <c r="M17" s="1117"/>
      <c r="N17" s="1113"/>
      <c r="O17" s="1117"/>
      <c r="P17" s="1113"/>
      <c r="Q17" s="1117"/>
      <c r="R17" s="1113"/>
      <c r="S17" s="1117"/>
      <c r="T17" s="1113"/>
      <c r="U17" s="1117"/>
      <c r="V17" s="1113"/>
      <c r="W17" s="1117"/>
      <c r="X17" s="1113"/>
      <c r="Y17" s="1117"/>
      <c r="Z17" s="1113"/>
      <c r="AA17" s="1117"/>
      <c r="AB17" s="1113"/>
      <c r="AC17" s="1117"/>
      <c r="AD17" s="1113"/>
      <c r="AE17" s="1117"/>
      <c r="AF17" s="1113"/>
      <c r="AG17" s="1117"/>
      <c r="AH17" s="1113"/>
      <c r="AI17" s="1117"/>
      <c r="AJ17" s="1113"/>
      <c r="AK17" s="1117"/>
      <c r="AL17" s="4529"/>
      <c r="AM17" s="1118"/>
      <c r="AN17" s="4055"/>
      <c r="AO17" s="4055"/>
      <c r="AP17" s="4055"/>
      <c r="AQ17" s="4055"/>
      <c r="AR17" s="4055"/>
      <c r="AS17" s="4055"/>
      <c r="AT17" s="4054"/>
      <c r="AU17" s="4069"/>
      <c r="AV17" t="str">
        <f t="shared" si="2"/>
        <v/>
      </c>
      <c r="BW17" s="1791" t="str">
        <f t="shared" si="3"/>
        <v/>
      </c>
      <c r="BX17" s="1791" t="str">
        <f t="shared" si="4"/>
        <v/>
      </c>
      <c r="BY17" s="1791" t="str">
        <f t="shared" si="5"/>
        <v/>
      </c>
      <c r="BZ17" s="1791" t="str">
        <f t="shared" si="6"/>
        <v/>
      </c>
      <c r="CA17" s="1791" t="str">
        <f t="shared" si="7"/>
        <v/>
      </c>
      <c r="CB17" s="1791" t="str">
        <f t="shared" si="8"/>
        <v/>
      </c>
      <c r="CC17" s="1791" t="str">
        <f t="shared" si="9"/>
        <v/>
      </c>
      <c r="CD17" s="1791" t="str">
        <f t="shared" si="10"/>
        <v/>
      </c>
      <c r="CF17" s="1793">
        <f t="shared" si="11"/>
        <v>0</v>
      </c>
      <c r="CG17" s="1793">
        <f t="shared" si="12"/>
        <v>0</v>
      </c>
      <c r="CH17" s="1793">
        <f t="shared" si="13"/>
        <v>0</v>
      </c>
      <c r="CI17" s="1793">
        <f t="shared" si="14"/>
        <v>0</v>
      </c>
      <c r="CJ17" s="1793">
        <f t="shared" si="15"/>
        <v>0</v>
      </c>
      <c r="CK17" s="1793">
        <f t="shared" si="16"/>
        <v>0</v>
      </c>
      <c r="CL17" s="1793">
        <f t="shared" si="17"/>
        <v>0</v>
      </c>
      <c r="CM17" s="1793">
        <f t="shared" si="18"/>
        <v>0</v>
      </c>
    </row>
    <row r="18" spans="1:91" ht="15" customHeight="1" x14ac:dyDescent="0.25">
      <c r="A18" s="7044"/>
      <c r="B18" s="5010" t="s">
        <v>79</v>
      </c>
      <c r="C18" s="46">
        <f t="shared" si="0"/>
        <v>0</v>
      </c>
      <c r="D18" s="47">
        <f t="shared" si="1"/>
        <v>0</v>
      </c>
      <c r="E18" s="32">
        <f t="shared" si="1"/>
        <v>0</v>
      </c>
      <c r="F18" s="9"/>
      <c r="G18" s="11"/>
      <c r="H18" s="9"/>
      <c r="I18" s="11"/>
      <c r="J18" s="9"/>
      <c r="K18" s="25"/>
      <c r="L18" s="9"/>
      <c r="M18" s="25"/>
      <c r="N18" s="9"/>
      <c r="O18" s="25"/>
      <c r="P18" s="9"/>
      <c r="Q18" s="25"/>
      <c r="R18" s="9"/>
      <c r="S18" s="25"/>
      <c r="T18" s="9"/>
      <c r="U18" s="25"/>
      <c r="V18" s="9"/>
      <c r="W18" s="25"/>
      <c r="X18" s="9"/>
      <c r="Y18" s="25"/>
      <c r="Z18" s="9"/>
      <c r="AA18" s="25"/>
      <c r="AB18" s="9"/>
      <c r="AC18" s="25"/>
      <c r="AD18" s="9"/>
      <c r="AE18" s="25"/>
      <c r="AF18" s="9"/>
      <c r="AG18" s="25"/>
      <c r="AH18" s="9"/>
      <c r="AI18" s="25"/>
      <c r="AJ18" s="9"/>
      <c r="AK18" s="25"/>
      <c r="AL18" s="48"/>
      <c r="AM18" s="23"/>
      <c r="AN18" s="11"/>
      <c r="AO18" s="11"/>
      <c r="AP18" s="11"/>
      <c r="AQ18" s="11"/>
      <c r="AR18" s="11"/>
      <c r="AS18" s="11"/>
      <c r="AT18" s="9"/>
      <c r="AU18" s="25"/>
      <c r="AV18" t="str">
        <f t="shared" si="2"/>
        <v/>
      </c>
      <c r="BW18" s="1791" t="str">
        <f t="shared" si="3"/>
        <v/>
      </c>
      <c r="BX18" s="1791" t="str">
        <f t="shared" si="4"/>
        <v/>
      </c>
      <c r="BY18" s="1791" t="str">
        <f t="shared" si="5"/>
        <v/>
      </c>
      <c r="BZ18" s="1791" t="str">
        <f t="shared" si="6"/>
        <v/>
      </c>
      <c r="CA18" s="1791" t="str">
        <f t="shared" si="7"/>
        <v/>
      </c>
      <c r="CB18" s="1791" t="str">
        <f t="shared" si="8"/>
        <v/>
      </c>
      <c r="CC18" s="1791" t="str">
        <f t="shared" si="9"/>
        <v/>
      </c>
      <c r="CD18" s="1791" t="str">
        <f t="shared" si="10"/>
        <v/>
      </c>
      <c r="CF18" s="1793">
        <f t="shared" si="11"/>
        <v>0</v>
      </c>
      <c r="CG18" s="1793">
        <f t="shared" si="12"/>
        <v>0</v>
      </c>
      <c r="CH18" s="1793">
        <f t="shared" si="13"/>
        <v>0</v>
      </c>
      <c r="CI18" s="1793">
        <f t="shared" si="14"/>
        <v>0</v>
      </c>
      <c r="CJ18" s="1793">
        <f t="shared" si="15"/>
        <v>0</v>
      </c>
      <c r="CK18" s="1793">
        <f t="shared" si="16"/>
        <v>0</v>
      </c>
      <c r="CL18" s="1793">
        <f t="shared" si="17"/>
        <v>0</v>
      </c>
      <c r="CM18" s="1793">
        <f t="shared" si="18"/>
        <v>0</v>
      </c>
    </row>
    <row r="19" spans="1:91" ht="21" x14ac:dyDescent="0.25">
      <c r="A19" s="7044"/>
      <c r="B19" s="5010" t="s">
        <v>80</v>
      </c>
      <c r="C19" s="46">
        <f t="shared" si="0"/>
        <v>0</v>
      </c>
      <c r="D19" s="47">
        <f t="shared" si="1"/>
        <v>0</v>
      </c>
      <c r="E19" s="32">
        <f t="shared" si="1"/>
        <v>0</v>
      </c>
      <c r="F19" s="9"/>
      <c r="G19" s="11"/>
      <c r="H19" s="9"/>
      <c r="I19" s="11"/>
      <c r="J19" s="9"/>
      <c r="K19" s="25"/>
      <c r="L19" s="9"/>
      <c r="M19" s="25"/>
      <c r="N19" s="9"/>
      <c r="O19" s="25"/>
      <c r="P19" s="9"/>
      <c r="Q19" s="25"/>
      <c r="R19" s="9"/>
      <c r="S19" s="25"/>
      <c r="T19" s="9"/>
      <c r="U19" s="25"/>
      <c r="V19" s="9"/>
      <c r="W19" s="25"/>
      <c r="X19" s="9"/>
      <c r="Y19" s="25"/>
      <c r="Z19" s="9"/>
      <c r="AA19" s="25"/>
      <c r="AB19" s="9"/>
      <c r="AC19" s="25"/>
      <c r="AD19" s="9"/>
      <c r="AE19" s="25"/>
      <c r="AF19" s="9"/>
      <c r="AG19" s="25"/>
      <c r="AH19" s="9"/>
      <c r="AI19" s="25"/>
      <c r="AJ19" s="9"/>
      <c r="AK19" s="25"/>
      <c r="AL19" s="48"/>
      <c r="AM19" s="23"/>
      <c r="AN19" s="11"/>
      <c r="AO19" s="11"/>
      <c r="AP19" s="11"/>
      <c r="AQ19" s="11"/>
      <c r="AR19" s="11"/>
      <c r="AS19" s="11"/>
      <c r="AT19" s="9"/>
      <c r="AU19" s="25"/>
      <c r="AV19" t="str">
        <f t="shared" si="2"/>
        <v/>
      </c>
      <c r="BW19" s="1791" t="str">
        <f t="shared" si="3"/>
        <v/>
      </c>
      <c r="BX19" s="1791" t="str">
        <f t="shared" si="4"/>
        <v/>
      </c>
      <c r="BY19" s="1791" t="str">
        <f t="shared" si="5"/>
        <v/>
      </c>
      <c r="BZ19" s="1791" t="str">
        <f t="shared" si="6"/>
        <v/>
      </c>
      <c r="CA19" s="1791" t="str">
        <f t="shared" si="7"/>
        <v/>
      </c>
      <c r="CB19" s="1791" t="str">
        <f t="shared" si="8"/>
        <v/>
      </c>
      <c r="CC19" s="1791" t="str">
        <f t="shared" si="9"/>
        <v/>
      </c>
      <c r="CD19" s="1791" t="str">
        <f t="shared" si="10"/>
        <v/>
      </c>
      <c r="CF19" s="1793">
        <f t="shared" si="11"/>
        <v>0</v>
      </c>
      <c r="CG19" s="1793">
        <f t="shared" si="12"/>
        <v>0</v>
      </c>
      <c r="CH19" s="1793">
        <f t="shared" si="13"/>
        <v>0</v>
      </c>
      <c r="CI19" s="1793">
        <f t="shared" si="14"/>
        <v>0</v>
      </c>
      <c r="CJ19" s="1793">
        <f t="shared" si="15"/>
        <v>0</v>
      </c>
      <c r="CK19" s="1793">
        <f t="shared" si="16"/>
        <v>0</v>
      </c>
      <c r="CL19" s="1793">
        <f t="shared" si="17"/>
        <v>0</v>
      </c>
      <c r="CM19" s="1793">
        <f t="shared" si="18"/>
        <v>0</v>
      </c>
    </row>
    <row r="20" spans="1:91" ht="15" customHeight="1" x14ac:dyDescent="0.25">
      <c r="A20" s="7044"/>
      <c r="B20" s="5010" t="s">
        <v>81</v>
      </c>
      <c r="C20" s="46">
        <f t="shared" si="0"/>
        <v>0</v>
      </c>
      <c r="D20" s="47">
        <f t="shared" si="1"/>
        <v>0</v>
      </c>
      <c r="E20" s="32">
        <f t="shared" si="1"/>
        <v>0</v>
      </c>
      <c r="F20" s="9"/>
      <c r="G20" s="11"/>
      <c r="H20" s="9"/>
      <c r="I20" s="11"/>
      <c r="J20" s="9"/>
      <c r="K20" s="25"/>
      <c r="L20" s="9"/>
      <c r="M20" s="25"/>
      <c r="N20" s="9"/>
      <c r="O20" s="25"/>
      <c r="P20" s="9"/>
      <c r="Q20" s="25"/>
      <c r="R20" s="9"/>
      <c r="S20" s="25"/>
      <c r="T20" s="9"/>
      <c r="U20" s="25"/>
      <c r="V20" s="9"/>
      <c r="W20" s="25"/>
      <c r="X20" s="9"/>
      <c r="Y20" s="25"/>
      <c r="Z20" s="9"/>
      <c r="AA20" s="25"/>
      <c r="AB20" s="9"/>
      <c r="AC20" s="25"/>
      <c r="AD20" s="9"/>
      <c r="AE20" s="25"/>
      <c r="AF20" s="9"/>
      <c r="AG20" s="25"/>
      <c r="AH20" s="9"/>
      <c r="AI20" s="25"/>
      <c r="AJ20" s="9"/>
      <c r="AK20" s="25"/>
      <c r="AL20" s="48"/>
      <c r="AM20" s="23"/>
      <c r="AN20" s="11"/>
      <c r="AO20" s="11"/>
      <c r="AP20" s="11"/>
      <c r="AQ20" s="11"/>
      <c r="AR20" s="11"/>
      <c r="AS20" s="11"/>
      <c r="AT20" s="9"/>
      <c r="AU20" s="25"/>
      <c r="AV20" t="str">
        <f t="shared" si="2"/>
        <v/>
      </c>
      <c r="BW20" s="1791" t="str">
        <f t="shared" si="3"/>
        <v/>
      </c>
      <c r="BX20" s="1791" t="str">
        <f t="shared" si="4"/>
        <v/>
      </c>
      <c r="BY20" s="1791" t="str">
        <f t="shared" si="5"/>
        <v/>
      </c>
      <c r="BZ20" s="1791" t="str">
        <f t="shared" si="6"/>
        <v/>
      </c>
      <c r="CA20" s="1791" t="str">
        <f t="shared" si="7"/>
        <v/>
      </c>
      <c r="CB20" s="1791" t="str">
        <f t="shared" si="8"/>
        <v/>
      </c>
      <c r="CC20" s="1791" t="str">
        <f t="shared" si="9"/>
        <v/>
      </c>
      <c r="CD20" s="1791" t="str">
        <f t="shared" si="10"/>
        <v/>
      </c>
      <c r="CF20" s="1793">
        <f t="shared" si="11"/>
        <v>0</v>
      </c>
      <c r="CG20" s="1793">
        <f t="shared" si="12"/>
        <v>0</v>
      </c>
      <c r="CH20" s="1793">
        <f t="shared" si="13"/>
        <v>0</v>
      </c>
      <c r="CI20" s="1793">
        <f t="shared" si="14"/>
        <v>0</v>
      </c>
      <c r="CJ20" s="1793">
        <f t="shared" si="15"/>
        <v>0</v>
      </c>
      <c r="CK20" s="1793">
        <f t="shared" si="16"/>
        <v>0</v>
      </c>
      <c r="CL20" s="1793">
        <f t="shared" si="17"/>
        <v>0</v>
      </c>
      <c r="CM20" s="1793">
        <f t="shared" si="18"/>
        <v>0</v>
      </c>
    </row>
    <row r="21" spans="1:91" ht="21" x14ac:dyDescent="0.25">
      <c r="A21" s="7044"/>
      <c r="B21" s="5010" t="s">
        <v>82</v>
      </c>
      <c r="C21" s="46">
        <f t="shared" si="0"/>
        <v>0</v>
      </c>
      <c r="D21" s="5014">
        <f t="shared" si="1"/>
        <v>0</v>
      </c>
      <c r="E21" s="32">
        <f t="shared" si="1"/>
        <v>0</v>
      </c>
      <c r="F21" s="9"/>
      <c r="G21" s="11"/>
      <c r="H21" s="9"/>
      <c r="I21" s="11"/>
      <c r="J21" s="9"/>
      <c r="K21" s="25"/>
      <c r="L21" s="9"/>
      <c r="M21" s="25"/>
      <c r="N21" s="9"/>
      <c r="O21" s="25"/>
      <c r="P21" s="9"/>
      <c r="Q21" s="25"/>
      <c r="R21" s="9"/>
      <c r="S21" s="25"/>
      <c r="T21" s="9"/>
      <c r="U21" s="25"/>
      <c r="V21" s="9"/>
      <c r="W21" s="25"/>
      <c r="X21" s="9"/>
      <c r="Y21" s="25"/>
      <c r="Z21" s="9"/>
      <c r="AA21" s="25"/>
      <c r="AB21" s="9"/>
      <c r="AC21" s="25"/>
      <c r="AD21" s="9"/>
      <c r="AE21" s="25"/>
      <c r="AF21" s="9"/>
      <c r="AG21" s="25"/>
      <c r="AH21" s="9"/>
      <c r="AI21" s="25"/>
      <c r="AJ21" s="9"/>
      <c r="AK21" s="25"/>
      <c r="AL21" s="48"/>
      <c r="AM21" s="23"/>
      <c r="AN21" s="11"/>
      <c r="AO21" s="11"/>
      <c r="AP21" s="11"/>
      <c r="AQ21" s="11"/>
      <c r="AR21" s="11"/>
      <c r="AS21" s="11"/>
      <c r="AT21" s="9"/>
      <c r="AU21" s="25"/>
      <c r="AV21" t="str">
        <f t="shared" si="2"/>
        <v/>
      </c>
      <c r="BW21" s="1791" t="str">
        <f t="shared" si="3"/>
        <v/>
      </c>
      <c r="BX21" s="1791" t="str">
        <f t="shared" si="4"/>
        <v/>
      </c>
      <c r="BY21" s="1791" t="str">
        <f t="shared" si="5"/>
        <v/>
      </c>
      <c r="BZ21" s="1791" t="str">
        <f t="shared" si="6"/>
        <v/>
      </c>
      <c r="CA21" s="1791" t="str">
        <f t="shared" si="7"/>
        <v/>
      </c>
      <c r="CB21" s="1791" t="str">
        <f t="shared" si="8"/>
        <v/>
      </c>
      <c r="CC21" s="1791" t="str">
        <f t="shared" si="9"/>
        <v/>
      </c>
      <c r="CD21" s="1791" t="str">
        <f t="shared" si="10"/>
        <v/>
      </c>
      <c r="CF21" s="1793">
        <f t="shared" si="11"/>
        <v>0</v>
      </c>
      <c r="CG21" s="1793">
        <f t="shared" si="12"/>
        <v>0</v>
      </c>
      <c r="CH21" s="1793">
        <f t="shared" si="13"/>
        <v>0</v>
      </c>
      <c r="CI21" s="1793">
        <f t="shared" si="14"/>
        <v>0</v>
      </c>
      <c r="CJ21" s="1793">
        <f t="shared" si="15"/>
        <v>0</v>
      </c>
      <c r="CK21" s="1793">
        <f t="shared" si="16"/>
        <v>0</v>
      </c>
      <c r="CL21" s="1793">
        <f t="shared" si="17"/>
        <v>0</v>
      </c>
      <c r="CM21" s="1793">
        <f t="shared" si="18"/>
        <v>0</v>
      </c>
    </row>
    <row r="22" spans="1:91" ht="15" customHeight="1" x14ac:dyDescent="0.25">
      <c r="A22" s="7232"/>
      <c r="B22" s="5016" t="s">
        <v>24</v>
      </c>
      <c r="C22" s="5017">
        <f>SUM(D22+E22)</f>
        <v>0</v>
      </c>
      <c r="D22" s="5018">
        <f t="shared" si="1"/>
        <v>0</v>
      </c>
      <c r="E22" s="5019">
        <f t="shared" si="1"/>
        <v>0</v>
      </c>
      <c r="F22" s="5020">
        <f>SUM(F12:F21)</f>
        <v>0</v>
      </c>
      <c r="G22" s="5021">
        <f t="shared" ref="G22:AS22" si="19">SUM(G12:G21)</f>
        <v>0</v>
      </c>
      <c r="H22" s="5020">
        <f t="shared" si="19"/>
        <v>0</v>
      </c>
      <c r="I22" s="5021">
        <f t="shared" si="19"/>
        <v>0</v>
      </c>
      <c r="J22" s="5020">
        <f t="shared" si="19"/>
        <v>0</v>
      </c>
      <c r="K22" s="5022">
        <f t="shared" si="19"/>
        <v>0</v>
      </c>
      <c r="L22" s="5020">
        <f t="shared" si="19"/>
        <v>0</v>
      </c>
      <c r="M22" s="5022">
        <f t="shared" si="19"/>
        <v>0</v>
      </c>
      <c r="N22" s="5020">
        <f t="shared" si="19"/>
        <v>0</v>
      </c>
      <c r="O22" s="5022">
        <f t="shared" si="19"/>
        <v>0</v>
      </c>
      <c r="P22" s="5020">
        <f t="shared" si="19"/>
        <v>0</v>
      </c>
      <c r="Q22" s="5022">
        <f t="shared" si="19"/>
        <v>0</v>
      </c>
      <c r="R22" s="5020">
        <f t="shared" si="19"/>
        <v>0</v>
      </c>
      <c r="S22" s="5022">
        <f t="shared" si="19"/>
        <v>0</v>
      </c>
      <c r="T22" s="5020">
        <f t="shared" si="19"/>
        <v>0</v>
      </c>
      <c r="U22" s="5022">
        <f t="shared" si="19"/>
        <v>0</v>
      </c>
      <c r="V22" s="5020">
        <f t="shared" si="19"/>
        <v>0</v>
      </c>
      <c r="W22" s="5022">
        <f t="shared" si="19"/>
        <v>0</v>
      </c>
      <c r="X22" s="5020">
        <f t="shared" si="19"/>
        <v>0</v>
      </c>
      <c r="Y22" s="5022">
        <f t="shared" si="19"/>
        <v>0</v>
      </c>
      <c r="Z22" s="5020">
        <f t="shared" si="19"/>
        <v>0</v>
      </c>
      <c r="AA22" s="5022">
        <f t="shared" si="19"/>
        <v>0</v>
      </c>
      <c r="AB22" s="5020">
        <f t="shared" si="19"/>
        <v>0</v>
      </c>
      <c r="AC22" s="5022">
        <f t="shared" si="19"/>
        <v>0</v>
      </c>
      <c r="AD22" s="5020">
        <f t="shared" si="19"/>
        <v>0</v>
      </c>
      <c r="AE22" s="5022">
        <f t="shared" si="19"/>
        <v>0</v>
      </c>
      <c r="AF22" s="5020">
        <f t="shared" si="19"/>
        <v>0</v>
      </c>
      <c r="AG22" s="5022">
        <f t="shared" si="19"/>
        <v>0</v>
      </c>
      <c r="AH22" s="5020">
        <f t="shared" si="19"/>
        <v>0</v>
      </c>
      <c r="AI22" s="5022">
        <f t="shared" si="19"/>
        <v>0</v>
      </c>
      <c r="AJ22" s="5020">
        <f t="shared" si="19"/>
        <v>0</v>
      </c>
      <c r="AK22" s="5022">
        <f t="shared" si="19"/>
        <v>0</v>
      </c>
      <c r="AL22" s="5023">
        <f t="shared" si="19"/>
        <v>0</v>
      </c>
      <c r="AM22" s="5024">
        <f t="shared" si="19"/>
        <v>0</v>
      </c>
      <c r="AN22" s="5021">
        <f t="shared" si="19"/>
        <v>0</v>
      </c>
      <c r="AO22" s="5021">
        <f t="shared" si="19"/>
        <v>0</v>
      </c>
      <c r="AP22" s="5021">
        <f>SUM(AP12:AP21)</f>
        <v>0</v>
      </c>
      <c r="AQ22" s="5021">
        <f t="shared" si="19"/>
        <v>0</v>
      </c>
      <c r="AR22" s="5021">
        <f t="shared" si="19"/>
        <v>0</v>
      </c>
      <c r="AS22" s="5021">
        <f t="shared" si="19"/>
        <v>0</v>
      </c>
      <c r="AT22" s="6187">
        <f>SUM(AT12:AT21)</f>
        <v>0</v>
      </c>
      <c r="AU22" s="6188">
        <f>SUM(AU12:AU21)</f>
        <v>0</v>
      </c>
    </row>
    <row r="23" spans="1:91" ht="15" customHeight="1" x14ac:dyDescent="0.25">
      <c r="A23" s="7240" t="s">
        <v>83</v>
      </c>
      <c r="B23" s="7241"/>
      <c r="C23" s="5025">
        <f t="shared" si="0"/>
        <v>0</v>
      </c>
      <c r="D23" s="5026">
        <f t="shared" si="1"/>
        <v>0</v>
      </c>
      <c r="E23" s="5019">
        <f t="shared" si="1"/>
        <v>0</v>
      </c>
      <c r="F23" s="5027"/>
      <c r="G23" s="5028"/>
      <c r="H23" s="5027"/>
      <c r="I23" s="5028"/>
      <c r="J23" s="5027"/>
      <c r="K23" s="5029"/>
      <c r="L23" s="5027"/>
      <c r="M23" s="5029"/>
      <c r="N23" s="5027"/>
      <c r="O23" s="5029"/>
      <c r="P23" s="5027"/>
      <c r="Q23" s="5029"/>
      <c r="R23" s="5027"/>
      <c r="S23" s="5029"/>
      <c r="T23" s="5027"/>
      <c r="U23" s="5029"/>
      <c r="V23" s="5027"/>
      <c r="W23" s="5029"/>
      <c r="X23" s="5027"/>
      <c r="Y23" s="5029"/>
      <c r="Z23" s="5027"/>
      <c r="AA23" s="5029"/>
      <c r="AB23" s="5027"/>
      <c r="AC23" s="5029"/>
      <c r="AD23" s="5027"/>
      <c r="AE23" s="5029"/>
      <c r="AF23" s="5027"/>
      <c r="AG23" s="5029"/>
      <c r="AH23" s="5027"/>
      <c r="AI23" s="5029"/>
      <c r="AJ23" s="5027"/>
      <c r="AK23" s="5029"/>
      <c r="AL23" s="5030"/>
      <c r="AM23" s="5031"/>
      <c r="AN23" s="5028"/>
      <c r="AO23" s="5028"/>
      <c r="AP23" s="5028"/>
      <c r="AQ23" s="5028"/>
      <c r="AR23" s="5028"/>
      <c r="AS23" s="5028"/>
      <c r="AT23" s="6189"/>
      <c r="AU23" s="6190"/>
      <c r="AV23" t="str">
        <f t="shared" si="2"/>
        <v/>
      </c>
      <c r="BW23" s="1791" t="str">
        <f t="shared" ref="BW23:BW26" si="20">IF(AND(C23&gt;0,AN23="")," * No olvide digitar la variable Beneficiarios. Digite Cero si no tiene.",IF(AN23&gt;C23," * La variable Beneficiarios No puede ser mayor al Total.",""))</f>
        <v/>
      </c>
      <c r="BX23" s="1791" t="str">
        <f t="shared" ref="BX23:BX26" si="21">IF(AND(C23&gt;0,AO23="")," * No olvide digitar la variable Niños, Niñas, adolescentes y Jóvenes SENAME. Digite Cero si no tiene.",IF(AO23&gt;C23," * La variable Niños, Niñas, adolescentes y Jóvenes SENAME No puede ser mayor al Total.",""))</f>
        <v/>
      </c>
      <c r="BY23" s="1791" t="str">
        <f t="shared" ref="BY23:BY26" si="22">IF(AND(C23&gt;0,AP23="")," * No olvide digitar la variable Niños, Niñas, adolescentes y Jóvenes Mejor Niñez. Digite Cero si no tiene.",IF(AP23&gt;C23," * La variable Niños, Niñas, adolescentes y Jóvenes Mejor Niñez No puede ser mayor al Total.",""))</f>
        <v/>
      </c>
      <c r="BZ23" s="1791" t="str">
        <f t="shared" ref="BZ23:BZ26" si="23">IF(AND(C23&gt;0,AQ23="")," * No olvide digitar la variable Pueblos originarios. Digite Cero si no tiene.",IF(AQ23&gt;C23," * La variable Pueblos Originarios No puede ser mayor al Total.",""))</f>
        <v/>
      </c>
      <c r="CA23" s="1791" t="str">
        <f t="shared" ref="CA23:CA26" si="24">IF(AND(C23&gt;0,AR23="")," * No olvide digitar la variable Migrantes. Digite Cero si no tiene.",IF(AR23&gt;C23," * La variable Migrantes No puede ser mayor al Total.",""))</f>
        <v/>
      </c>
      <c r="CB23" s="1791" t="str">
        <f t="shared" ref="CB23:CB26" si="25">IF(AND(C23&gt;0,AS23="")," * No olvide digitar la variable Demencia. Digite Cero si no tiene.",IF(AS23&gt;C23," * La variable Demencia No puede ser mayor al Total.",""))</f>
        <v/>
      </c>
      <c r="CC23" s="1791" t="str">
        <f t="shared" ref="CC23:CC26" si="26">IF(AND(E23&gt;0,OR(AT23=""))," * No olvide digitar la variable Trans (Masculino). Digite Cero si no tiene.",IF((AT23)&gt;E23," * La variable Trans (Masculino) No puede ser mayor al Total Mujeres.",""))</f>
        <v/>
      </c>
      <c r="CD23" s="1791" t="str">
        <f t="shared" ref="CD23:CD26" si="27">IF(AND(D23&gt;0,OR(AU23=""))," * No olvide digitar la variable Trans (Femenino). Digite Cero si no tiene.",IF((AU23)&gt;D23," * La variable Trans (Femenino) No puede ser mayor al Total Hombres.",""))</f>
        <v/>
      </c>
      <c r="CF23" s="1793">
        <f t="shared" ref="CF23:CF26" si="28">IF(AND(C23&gt;0,AN23=""),1,IF(AN23&gt;C23,1,0))</f>
        <v>0</v>
      </c>
      <c r="CG23" s="1793">
        <f t="shared" ref="CG23:CG26" si="29">IF(AND(C23&gt;0,AO23=""),1,IF(AO23&gt;C23,1,0))</f>
        <v>0</v>
      </c>
      <c r="CH23" s="1793">
        <f t="shared" ref="CH23:CH26" si="30">IF(AND(C23&gt;0,AP23=""),1,IF(AP23&gt;C23,1,0))</f>
        <v>0</v>
      </c>
      <c r="CI23" s="1793">
        <f t="shared" ref="CI23:CI26" si="31">IF(AND(C23&gt;0,AQ23=""),1,IF(AQ23&gt;C23,1,0))</f>
        <v>0</v>
      </c>
      <c r="CJ23" s="1793">
        <f t="shared" ref="CJ23:CJ26" si="32">IF(AND(C23&gt;0,AR23=""),1,IF(AR23&gt;C23,1,0))</f>
        <v>0</v>
      </c>
      <c r="CK23" s="1793">
        <f t="shared" ref="CK23:CK26" si="33">IF(AND(C23&gt;0,AS23=""),1,IF(AS23&gt;C23,1,0))</f>
        <v>0</v>
      </c>
      <c r="CL23" s="1793">
        <f t="shared" ref="CL23:CL26" si="34">IF(AND(E23&gt;0,OR(AT23="")),1,IF((AT23)&gt;E23,1,0))</f>
        <v>0</v>
      </c>
      <c r="CM23" s="1793">
        <f t="shared" ref="CM23:CM26" si="35">IF(AND(D23&gt;0,OR(AU23="")),1,IF((AU23)&gt;D23,1,0))</f>
        <v>0</v>
      </c>
    </row>
    <row r="24" spans="1:91" ht="15" customHeight="1" x14ac:dyDescent="0.25">
      <c r="A24" s="5032" t="s">
        <v>84</v>
      </c>
      <c r="B24" s="5033" t="s">
        <v>75</v>
      </c>
      <c r="C24" s="5034">
        <f t="shared" si="0"/>
        <v>0</v>
      </c>
      <c r="D24" s="5035">
        <f t="shared" si="1"/>
        <v>0</v>
      </c>
      <c r="E24" s="5036">
        <f t="shared" si="1"/>
        <v>0</v>
      </c>
      <c r="F24" s="5037"/>
      <c r="G24" s="5038"/>
      <c r="H24" s="5037"/>
      <c r="I24" s="5038"/>
      <c r="J24" s="5037"/>
      <c r="K24" s="5039"/>
      <c r="L24" s="5037"/>
      <c r="M24" s="5039"/>
      <c r="N24" s="5037"/>
      <c r="O24" s="5039"/>
      <c r="P24" s="5037"/>
      <c r="Q24" s="5039"/>
      <c r="R24" s="5037"/>
      <c r="S24" s="5039"/>
      <c r="T24" s="5037"/>
      <c r="U24" s="5039"/>
      <c r="V24" s="5037"/>
      <c r="W24" s="5039"/>
      <c r="X24" s="5037"/>
      <c r="Y24" s="5039"/>
      <c r="Z24" s="5037"/>
      <c r="AA24" s="5039"/>
      <c r="AB24" s="5037"/>
      <c r="AC24" s="5039"/>
      <c r="AD24" s="5037"/>
      <c r="AE24" s="5039"/>
      <c r="AF24" s="5037"/>
      <c r="AG24" s="5039"/>
      <c r="AH24" s="5037"/>
      <c r="AI24" s="5039"/>
      <c r="AJ24" s="5037"/>
      <c r="AK24" s="5039"/>
      <c r="AL24" s="5040"/>
      <c r="AM24" s="5041"/>
      <c r="AN24" s="5038"/>
      <c r="AO24" s="5038"/>
      <c r="AP24" s="5038"/>
      <c r="AQ24" s="5038"/>
      <c r="AR24" s="5038"/>
      <c r="AS24" s="5038"/>
      <c r="AT24" s="6191"/>
      <c r="AU24" s="6192"/>
      <c r="AV24" t="str">
        <f t="shared" si="2"/>
        <v/>
      </c>
      <c r="BW24" s="1791" t="str">
        <f t="shared" si="20"/>
        <v/>
      </c>
      <c r="BX24" s="1791" t="str">
        <f t="shared" si="21"/>
        <v/>
      </c>
      <c r="BY24" s="1791" t="str">
        <f t="shared" si="22"/>
        <v/>
      </c>
      <c r="BZ24" s="1791" t="str">
        <f t="shared" si="23"/>
        <v/>
      </c>
      <c r="CA24" s="1791" t="str">
        <f t="shared" si="24"/>
        <v/>
      </c>
      <c r="CB24" s="1791" t="str">
        <f t="shared" si="25"/>
        <v/>
      </c>
      <c r="CC24" s="1791" t="str">
        <f t="shared" si="26"/>
        <v/>
      </c>
      <c r="CD24" s="1791" t="str">
        <f t="shared" si="27"/>
        <v/>
      </c>
      <c r="CF24" s="1793">
        <f t="shared" si="28"/>
        <v>0</v>
      </c>
      <c r="CG24" s="1793">
        <f t="shared" si="29"/>
        <v>0</v>
      </c>
      <c r="CH24" s="1793">
        <f t="shared" si="30"/>
        <v>0</v>
      </c>
      <c r="CI24" s="1793">
        <f t="shared" si="31"/>
        <v>0</v>
      </c>
      <c r="CJ24" s="1793">
        <f t="shared" si="32"/>
        <v>0</v>
      </c>
      <c r="CK24" s="1793">
        <f t="shared" si="33"/>
        <v>0</v>
      </c>
      <c r="CL24" s="1793">
        <f t="shared" si="34"/>
        <v>0</v>
      </c>
      <c r="CM24" s="1793">
        <f t="shared" si="35"/>
        <v>0</v>
      </c>
    </row>
    <row r="25" spans="1:91" ht="15" customHeight="1" x14ac:dyDescent="0.25">
      <c r="A25" s="7231" t="s">
        <v>85</v>
      </c>
      <c r="B25" s="5042" t="s">
        <v>75</v>
      </c>
      <c r="C25" s="5002">
        <f t="shared" si="0"/>
        <v>0</v>
      </c>
      <c r="D25" s="5003">
        <f t="shared" si="1"/>
        <v>0</v>
      </c>
      <c r="E25" s="5004">
        <f t="shared" si="1"/>
        <v>0</v>
      </c>
      <c r="F25" s="5005"/>
      <c r="G25" s="5006"/>
      <c r="H25" s="5005"/>
      <c r="I25" s="5006"/>
      <c r="J25" s="5005"/>
      <c r="K25" s="5007"/>
      <c r="L25" s="5005"/>
      <c r="M25" s="5007"/>
      <c r="N25" s="5005"/>
      <c r="O25" s="5007"/>
      <c r="P25" s="5005"/>
      <c r="Q25" s="5007"/>
      <c r="R25" s="5005"/>
      <c r="S25" s="5007"/>
      <c r="T25" s="5005"/>
      <c r="U25" s="5007"/>
      <c r="V25" s="5005"/>
      <c r="W25" s="5007"/>
      <c r="X25" s="5005"/>
      <c r="Y25" s="5007"/>
      <c r="Z25" s="5005"/>
      <c r="AA25" s="5007"/>
      <c r="AB25" s="5005"/>
      <c r="AC25" s="5007"/>
      <c r="AD25" s="5005"/>
      <c r="AE25" s="5007"/>
      <c r="AF25" s="5005"/>
      <c r="AG25" s="5007"/>
      <c r="AH25" s="5005"/>
      <c r="AI25" s="5007"/>
      <c r="AJ25" s="5005"/>
      <c r="AK25" s="5007"/>
      <c r="AL25" s="5008"/>
      <c r="AM25" s="5009"/>
      <c r="AN25" s="5006"/>
      <c r="AO25" s="5006"/>
      <c r="AP25" s="5006"/>
      <c r="AQ25" s="5006"/>
      <c r="AR25" s="5006"/>
      <c r="AS25" s="5006"/>
      <c r="AT25" s="5938"/>
      <c r="AU25" s="5939"/>
      <c r="AV25" t="str">
        <f t="shared" si="2"/>
        <v/>
      </c>
      <c r="BW25" s="1791" t="str">
        <f t="shared" si="20"/>
        <v/>
      </c>
      <c r="BX25" s="1791" t="str">
        <f t="shared" si="21"/>
        <v/>
      </c>
      <c r="BY25" s="1791" t="str">
        <f t="shared" si="22"/>
        <v/>
      </c>
      <c r="BZ25" s="1791" t="str">
        <f t="shared" si="23"/>
        <v/>
      </c>
      <c r="CA25" s="1791" t="str">
        <f t="shared" si="24"/>
        <v/>
      </c>
      <c r="CB25" s="1791" t="str">
        <f t="shared" si="25"/>
        <v/>
      </c>
      <c r="CC25" s="1791" t="str">
        <f t="shared" si="26"/>
        <v/>
      </c>
      <c r="CD25" s="1791" t="str">
        <f t="shared" si="27"/>
        <v/>
      </c>
      <c r="CF25" s="1793">
        <f t="shared" si="28"/>
        <v>0</v>
      </c>
      <c r="CG25" s="1793">
        <f t="shared" si="29"/>
        <v>0</v>
      </c>
      <c r="CH25" s="1793">
        <f t="shared" si="30"/>
        <v>0</v>
      </c>
      <c r="CI25" s="1793">
        <f t="shared" si="31"/>
        <v>0</v>
      </c>
      <c r="CJ25" s="1793">
        <f t="shared" si="32"/>
        <v>0</v>
      </c>
      <c r="CK25" s="1793">
        <f t="shared" si="33"/>
        <v>0</v>
      </c>
      <c r="CL25" s="1793">
        <f t="shared" si="34"/>
        <v>0</v>
      </c>
      <c r="CM25" s="1793">
        <f t="shared" si="35"/>
        <v>0</v>
      </c>
    </row>
    <row r="26" spans="1:91" ht="15" customHeight="1" x14ac:dyDescent="0.25">
      <c r="A26" s="7232"/>
      <c r="B26" s="5043" t="s">
        <v>86</v>
      </c>
      <c r="C26" s="5044">
        <f t="shared" si="0"/>
        <v>0</v>
      </c>
      <c r="D26" s="5045">
        <f t="shared" si="1"/>
        <v>0</v>
      </c>
      <c r="E26" s="5046">
        <f t="shared" si="1"/>
        <v>0</v>
      </c>
      <c r="F26" s="4431"/>
      <c r="G26" s="5047"/>
      <c r="H26" s="4431"/>
      <c r="I26" s="4073"/>
      <c r="J26" s="4431"/>
      <c r="K26" s="4073"/>
      <c r="L26" s="4431"/>
      <c r="M26" s="4073"/>
      <c r="N26" s="4431"/>
      <c r="O26" s="12"/>
      <c r="P26" s="4431"/>
      <c r="Q26" s="5047"/>
      <c r="R26" s="5048"/>
      <c r="S26" s="4073"/>
      <c r="T26" s="4431"/>
      <c r="U26" s="4073"/>
      <c r="V26" s="4431"/>
      <c r="W26" s="4073"/>
      <c r="X26" s="4431"/>
      <c r="Y26" s="5047"/>
      <c r="Z26" s="4431"/>
      <c r="AA26" s="5047"/>
      <c r="AB26" s="4431"/>
      <c r="AC26" s="4073"/>
      <c r="AD26" s="4431"/>
      <c r="AE26" s="5047"/>
      <c r="AF26" s="4431"/>
      <c r="AG26" s="5047"/>
      <c r="AH26" s="4431"/>
      <c r="AI26" s="4073"/>
      <c r="AJ26" s="4431"/>
      <c r="AK26" s="4073"/>
      <c r="AL26" s="22"/>
      <c r="AM26" s="4074"/>
      <c r="AN26" s="12"/>
      <c r="AO26" s="12"/>
      <c r="AP26" s="12"/>
      <c r="AQ26" s="12"/>
      <c r="AR26" s="12"/>
      <c r="AS26" s="12"/>
      <c r="AT26" s="3"/>
      <c r="AU26" s="4073"/>
      <c r="AV26" t="str">
        <f t="shared" si="2"/>
        <v/>
      </c>
      <c r="BW26" s="1791" t="str">
        <f t="shared" si="20"/>
        <v/>
      </c>
      <c r="BX26" s="1791" t="str">
        <f t="shared" si="21"/>
        <v/>
      </c>
      <c r="BY26" s="1791" t="str">
        <f t="shared" si="22"/>
        <v/>
      </c>
      <c r="BZ26" s="1791" t="str">
        <f t="shared" si="23"/>
        <v/>
      </c>
      <c r="CA26" s="1791" t="str">
        <f t="shared" si="24"/>
        <v/>
      </c>
      <c r="CB26" s="1791" t="str">
        <f t="shared" si="25"/>
        <v/>
      </c>
      <c r="CC26" s="1791" t="str">
        <f t="shared" si="26"/>
        <v/>
      </c>
      <c r="CD26" s="1791" t="str">
        <f t="shared" si="27"/>
        <v/>
      </c>
      <c r="CF26" s="1793">
        <f t="shared" si="28"/>
        <v>0</v>
      </c>
      <c r="CG26" s="1793">
        <f t="shared" si="29"/>
        <v>0</v>
      </c>
      <c r="CH26" s="1793">
        <f t="shared" si="30"/>
        <v>0</v>
      </c>
      <c r="CI26" s="1793">
        <f t="shared" si="31"/>
        <v>0</v>
      </c>
      <c r="CJ26" s="1793">
        <f t="shared" si="32"/>
        <v>0</v>
      </c>
      <c r="CK26" s="1793">
        <f t="shared" si="33"/>
        <v>0</v>
      </c>
      <c r="CL26" s="1793">
        <f t="shared" si="34"/>
        <v>0</v>
      </c>
      <c r="CM26" s="1793">
        <f t="shared" si="35"/>
        <v>0</v>
      </c>
    </row>
    <row r="27" spans="1:91" s="17" customFormat="1" ht="18" customHeight="1" x14ac:dyDescent="0.2">
      <c r="A27" s="14" t="s">
        <v>87</v>
      </c>
      <c r="B27" s="14"/>
      <c r="C27" s="49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15"/>
      <c r="Q27" s="15"/>
      <c r="R27" s="15"/>
      <c r="S27" s="15"/>
      <c r="T27" s="15"/>
      <c r="U27" s="15"/>
      <c r="V27" s="1794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91" ht="21.75" customHeight="1" x14ac:dyDescent="0.25">
      <c r="A28" s="7162" t="s">
        <v>58</v>
      </c>
      <c r="B28" s="7162" t="s">
        <v>88</v>
      </c>
      <c r="C28" s="7191" t="s">
        <v>89</v>
      </c>
      <c r="D28" s="7192"/>
      <c r="E28" s="7191" t="s">
        <v>90</v>
      </c>
      <c r="F28" s="7197"/>
      <c r="G28" s="7192"/>
      <c r="H28" s="7191" t="s">
        <v>36</v>
      </c>
      <c r="I28" s="7192"/>
      <c r="J28" s="7191" t="s">
        <v>37</v>
      </c>
      <c r="K28" s="7192"/>
      <c r="L28" s="7191" t="s">
        <v>38</v>
      </c>
      <c r="M28" s="7192"/>
      <c r="N28" s="7191" t="s">
        <v>4</v>
      </c>
      <c r="O28" s="7192"/>
      <c r="P28" s="7191" t="s">
        <v>5</v>
      </c>
      <c r="Q28" s="7192"/>
      <c r="R28" s="7180" t="s">
        <v>6</v>
      </c>
      <c r="S28" s="7182"/>
      <c r="T28" s="7180" t="s">
        <v>7</v>
      </c>
      <c r="U28" s="7182"/>
      <c r="V28" s="7180" t="s">
        <v>8</v>
      </c>
      <c r="W28" s="7182"/>
      <c r="X28" s="7180" t="s">
        <v>9</v>
      </c>
      <c r="Y28" s="7182"/>
      <c r="Z28" s="7180" t="s">
        <v>10</v>
      </c>
      <c r="AA28" s="7182"/>
      <c r="AB28" s="7180" t="s">
        <v>11</v>
      </c>
      <c r="AC28" s="7182"/>
      <c r="AD28" s="7180" t="s">
        <v>18</v>
      </c>
      <c r="AE28" s="7182"/>
      <c r="AF28" s="7180" t="s">
        <v>19</v>
      </c>
      <c r="AG28" s="7182"/>
      <c r="AH28" s="7180" t="s">
        <v>20</v>
      </c>
      <c r="AI28" s="7182"/>
      <c r="AJ28" s="7180" t="s">
        <v>70</v>
      </c>
      <c r="AK28" s="7182"/>
      <c r="AL28" s="7180" t="s">
        <v>71</v>
      </c>
      <c r="AM28" s="7182"/>
      <c r="AN28" s="7180" t="s">
        <v>72</v>
      </c>
      <c r="AO28" s="7199"/>
      <c r="AP28" s="7157" t="s">
        <v>2</v>
      </c>
      <c r="AQ28" s="7157" t="s">
        <v>3</v>
      </c>
      <c r="AR28" s="7157" t="s">
        <v>49</v>
      </c>
      <c r="AS28" s="7157" t="s">
        <v>45</v>
      </c>
      <c r="AT28" s="7162" t="s">
        <v>91</v>
      </c>
      <c r="AU28" s="7162" t="s">
        <v>92</v>
      </c>
    </row>
    <row r="29" spans="1:91" ht="42" x14ac:dyDescent="0.25">
      <c r="A29" s="7204"/>
      <c r="B29" s="7204"/>
      <c r="C29" s="5050" t="s">
        <v>95</v>
      </c>
      <c r="D29" s="5050" t="s">
        <v>96</v>
      </c>
      <c r="E29" s="5000" t="s">
        <v>26</v>
      </c>
      <c r="F29" s="5051" t="s">
        <v>22</v>
      </c>
      <c r="G29" s="4996" t="s">
        <v>27</v>
      </c>
      <c r="H29" s="5000" t="s">
        <v>22</v>
      </c>
      <c r="I29" s="4996" t="s">
        <v>27</v>
      </c>
      <c r="J29" s="5000" t="s">
        <v>22</v>
      </c>
      <c r="K29" s="4996" t="s">
        <v>27</v>
      </c>
      <c r="L29" s="5000" t="s">
        <v>22</v>
      </c>
      <c r="M29" s="4996" t="s">
        <v>27</v>
      </c>
      <c r="N29" s="5000" t="s">
        <v>22</v>
      </c>
      <c r="O29" s="4996" t="s">
        <v>27</v>
      </c>
      <c r="P29" s="5000" t="s">
        <v>22</v>
      </c>
      <c r="Q29" s="4996" t="s">
        <v>27</v>
      </c>
      <c r="R29" s="5000" t="s">
        <v>22</v>
      </c>
      <c r="S29" s="4996" t="s">
        <v>27</v>
      </c>
      <c r="T29" s="5000" t="s">
        <v>22</v>
      </c>
      <c r="U29" s="4994" t="s">
        <v>27</v>
      </c>
      <c r="V29" s="5000" t="s">
        <v>22</v>
      </c>
      <c r="W29" s="4996" t="s">
        <v>27</v>
      </c>
      <c r="X29" s="5000" t="s">
        <v>22</v>
      </c>
      <c r="Y29" s="4996" t="s">
        <v>27</v>
      </c>
      <c r="Z29" s="5000" t="s">
        <v>22</v>
      </c>
      <c r="AA29" s="4996" t="s">
        <v>27</v>
      </c>
      <c r="AB29" s="5000" t="s">
        <v>22</v>
      </c>
      <c r="AC29" s="4996" t="s">
        <v>27</v>
      </c>
      <c r="AD29" s="5000" t="s">
        <v>22</v>
      </c>
      <c r="AE29" s="4996" t="s">
        <v>27</v>
      </c>
      <c r="AF29" s="5000" t="s">
        <v>22</v>
      </c>
      <c r="AG29" s="4996" t="s">
        <v>27</v>
      </c>
      <c r="AH29" s="5000" t="s">
        <v>22</v>
      </c>
      <c r="AI29" s="4996" t="s">
        <v>27</v>
      </c>
      <c r="AJ29" s="5000" t="s">
        <v>22</v>
      </c>
      <c r="AK29" s="4996" t="s">
        <v>27</v>
      </c>
      <c r="AL29" s="5000" t="s">
        <v>22</v>
      </c>
      <c r="AM29" s="4996" t="s">
        <v>27</v>
      </c>
      <c r="AN29" s="5000" t="s">
        <v>22</v>
      </c>
      <c r="AO29" s="4995" t="s">
        <v>27</v>
      </c>
      <c r="AP29" s="7217"/>
      <c r="AQ29" s="7217"/>
      <c r="AR29" s="7217"/>
      <c r="AS29" s="7217"/>
      <c r="AT29" s="7204"/>
      <c r="AU29" s="7204"/>
    </row>
    <row r="30" spans="1:91" x14ac:dyDescent="0.25">
      <c r="A30" s="5042" t="s">
        <v>93</v>
      </c>
      <c r="B30" s="5052">
        <f>SUM(C30:D30)</f>
        <v>0</v>
      </c>
      <c r="C30" s="5006"/>
      <c r="D30" s="5053"/>
      <c r="E30" s="5054">
        <f>SUM(F30+G30)</f>
        <v>0</v>
      </c>
      <c r="F30" s="5055">
        <f>SUM(H30+J30+L30+N30+P30+R30+T30+V30+X30+Z30+AB30+AD30+AF30+AH30+AJ30+AL30+AN30)</f>
        <v>0</v>
      </c>
      <c r="G30" s="5056">
        <f>SUM(I30+K30+M30+O30+Q30+S30+U30+W30+Y30+AA30+AC30+AE30+AG30+AI30+AK30+AM30+AO30)</f>
        <v>0</v>
      </c>
      <c r="H30" s="5005"/>
      <c r="I30" s="5006"/>
      <c r="J30" s="5005"/>
      <c r="K30" s="5007"/>
      <c r="L30" s="5005"/>
      <c r="M30" s="5007"/>
      <c r="N30" s="5005"/>
      <c r="O30" s="5007"/>
      <c r="P30" s="5005"/>
      <c r="Q30" s="5006"/>
      <c r="R30" s="5005"/>
      <c r="S30" s="5006"/>
      <c r="T30" s="5008"/>
      <c r="U30" s="5007"/>
      <c r="V30" s="5005"/>
      <c r="W30" s="5007"/>
      <c r="X30" s="5005"/>
      <c r="Y30" s="5007"/>
      <c r="Z30" s="5005"/>
      <c r="AA30" s="5006"/>
      <c r="AB30" s="5005"/>
      <c r="AC30" s="5006"/>
      <c r="AD30" s="5005"/>
      <c r="AE30" s="5007"/>
      <c r="AF30" s="5005"/>
      <c r="AG30" s="5006"/>
      <c r="AH30" s="5005"/>
      <c r="AI30" s="5006"/>
      <c r="AJ30" s="5005"/>
      <c r="AK30" s="5007"/>
      <c r="AL30" s="5005"/>
      <c r="AM30" s="5007"/>
      <c r="AN30" s="5008"/>
      <c r="AO30" s="5009"/>
      <c r="AP30" s="5006"/>
      <c r="AQ30" s="5006"/>
      <c r="AR30" s="5006"/>
      <c r="AS30" s="5006"/>
      <c r="AT30" s="5006"/>
      <c r="AU30" s="5006"/>
      <c r="AV30" t="str">
        <f>BW30&amp;BX30&amp;BY30&amp;BZ30&amp;CA30&amp;CB30</f>
        <v/>
      </c>
      <c r="BW30" s="1791" t="str">
        <f>IF(AND(E30&gt;0,AP30=""),"  * No olvide digitar la variable Pueblos originarios. Digite Cero si no tiene.",IF(AP30&gt;E30," * La variable Pueblos originarios No puede ser mayor al Total.",""))</f>
        <v/>
      </c>
      <c r="BX30" s="1791" t="str">
        <f>IF(AND(E30&gt;0,AQ30=""),"  * No olvide digitar la variable Migrantes. Digite Cero si no tiene.",IF(AQ30&gt;E30," * La variable Migrantes No puede ser mayor al Total.",""))</f>
        <v/>
      </c>
      <c r="BY30" s="1791" t="str">
        <f>IF(AND(E30&gt;0,AR30=""),"  * No olvide digitar la variable Niños, Niñas, adolescentes y jóvenes SENAME. Digite Cero si no tiene.",IF(AR30&gt;E30," * La variable Niños, Niñas, adolescentes y jóvenes SENAME No puede ser mayor al Total.",""))</f>
        <v/>
      </c>
      <c r="BZ30" s="1791" t="str">
        <f>IF(AND(E30&gt;0,AS30=""),"  * No olvide digitar la variable Niños, Niñas, adolescentes y jóvenes Mejor Niñez. Digite Cero si no tiene.",IF(AS30&gt;E30," * La variable Niños, Niñas, adolescentes y jóvenes Mejor Niñez No puede ser mayor al Total.",""))</f>
        <v/>
      </c>
      <c r="CA30" s="1791" t="str">
        <f>IF(AND(E30&gt;0,AT30=""),"  * No olvide digitar la variable Personas con sospecha de demencia. Digite Cero si no tiene.",IF(AT30&gt;E30," * La variable Personas con sospecha de demencia No puede ser mayor al Total.",""))</f>
        <v/>
      </c>
      <c r="CB30" s="1791" t="str">
        <f>IF(AND(E30&gt;0,AU30=""),"  * No olvide digitar la variable Personas con diagnóstico de demencia. Digite Cero si no tiene.",IF(AU30&gt;E30," * La variable Personas con diagnóstico de demencia No puede ser mayor al Total.",""))</f>
        <v/>
      </c>
      <c r="CF30" s="1793">
        <f>IF(AND(E30&gt;0,AP30=""),1,IF(AP30&gt;E30,1,0))</f>
        <v>0</v>
      </c>
      <c r="CG30" s="1793">
        <f>IF(AND(E30&gt;0,AQ30=""),1,IF(AQ30&gt;E30,1,0))</f>
        <v>0</v>
      </c>
      <c r="CH30" s="1793">
        <f>IF(AND(E30&gt;0,AR30=""),1,IF(AR30&gt;E30,1,0))</f>
        <v>0</v>
      </c>
      <c r="CI30" s="1793">
        <f>IF(AND(E30&gt;0,AS30=""),1,IF(AS30&gt;E30,1,0))</f>
        <v>0</v>
      </c>
      <c r="CJ30" s="1793">
        <f>IF(AND(E30&gt;0,AT30=""),1,IF(AT30&gt;E30,1,0))</f>
        <v>0</v>
      </c>
      <c r="CK30" s="1793">
        <f>IF(AND(E30&gt;0,AU30=""),1,IF(AU30&gt;E30,1,0))</f>
        <v>0</v>
      </c>
    </row>
    <row r="31" spans="1:91" x14ac:dyDescent="0.25">
      <c r="A31" s="54" t="s">
        <v>94</v>
      </c>
      <c r="B31" s="51">
        <f>SUM(C31:D31)</f>
        <v>0</v>
      </c>
      <c r="C31" s="12"/>
      <c r="D31" s="30"/>
      <c r="E31" s="52">
        <f>SUM(F31+G31)</f>
        <v>0</v>
      </c>
      <c r="F31" s="5057">
        <f>SUM(H31+J31+L31+N31+P31+R31+T31+V31+X31+Z31+AB31+AD31+AF31+AH31+AJ31+AL31+AN31)</f>
        <v>0</v>
      </c>
      <c r="G31" s="13">
        <f>SUM(I31+K31+M31+O31+Q31+S31+U31+W31+Y31+AA31+AC31+AE31+AG31+AI31+AK31+AM31+AO31)</f>
        <v>0</v>
      </c>
      <c r="H31" s="4431"/>
      <c r="I31" s="12"/>
      <c r="J31" s="4431"/>
      <c r="K31" s="4073"/>
      <c r="L31" s="4431"/>
      <c r="M31" s="4073"/>
      <c r="N31" s="4431"/>
      <c r="O31" s="4073"/>
      <c r="P31" s="4431"/>
      <c r="Q31" s="12"/>
      <c r="R31" s="4431"/>
      <c r="S31" s="12"/>
      <c r="T31" s="22"/>
      <c r="U31" s="4073"/>
      <c r="V31" s="4431"/>
      <c r="W31" s="4073"/>
      <c r="X31" s="4431"/>
      <c r="Y31" s="4073"/>
      <c r="Z31" s="4431"/>
      <c r="AA31" s="12"/>
      <c r="AB31" s="4431"/>
      <c r="AC31" s="12"/>
      <c r="AD31" s="4431"/>
      <c r="AE31" s="4073"/>
      <c r="AF31" s="4431"/>
      <c r="AG31" s="12"/>
      <c r="AH31" s="4431"/>
      <c r="AI31" s="12"/>
      <c r="AJ31" s="4431"/>
      <c r="AK31" s="4073"/>
      <c r="AL31" s="4431"/>
      <c r="AM31" s="4073"/>
      <c r="AN31" s="22"/>
      <c r="AO31" s="4074"/>
      <c r="AP31" s="12"/>
      <c r="AQ31" s="12"/>
      <c r="AR31" s="12"/>
      <c r="AS31" s="12"/>
      <c r="AT31" s="12"/>
      <c r="AU31" s="12"/>
      <c r="AV31" t="str">
        <f>BW31&amp;BX31&amp;BY31&amp;BZ31&amp;CA31&amp;CB31</f>
        <v/>
      </c>
      <c r="BW31" s="1791" t="str">
        <f>IF(AND(E31&gt;0,AP31=""),"  * No olvide digitar la variable Pueblos originarios. Digite Cero si no tiene.",IF(AP31&gt;E31," * La variable Pueblos originarios No puede ser mayor al Total.",""))</f>
        <v/>
      </c>
      <c r="BX31" s="1791" t="str">
        <f>IF(AND(E31&gt;0,AQ31=""),"  * No olvide digitar la variable Migrantes. Digite Cero si no tiene.",IF(AQ31&gt;E31," * La variable Migrantes No puede ser mayor al Total.",""))</f>
        <v/>
      </c>
      <c r="BY31" s="1791" t="str">
        <f>IF(AND(E31&gt;0,AR31=""),"  * No olvide digitar la variable Niños, Niñas, adolescentes y jóvenes SENAME. Digite Cero si no tiene.",IF(AR31&gt;E31," * La variable Niños, Niñas, adolescentes y jóvenes SENAME No puede ser mayor al Total.",""))</f>
        <v/>
      </c>
      <c r="BZ31" s="1791" t="str">
        <f>IF(AND(E31&gt;0,AS31=""),"  * No olvide digitar la variable Niños, Niñas, adolescentes y jóvenes Mejor Niñez. Digite Cero si no tiene.",IF(AS31&gt;E31," * La variable Niños, Niñas, adolescentes y jóvenes Mejor Niñez No puede ser mayor al Total.",""))</f>
        <v/>
      </c>
      <c r="CA31" s="1791" t="str">
        <f>IF(AND(E31&gt;0,AT31=""),"  * No olvide digitar la variable Personas con sospecha de demencia. Digite Cero si no tiene.",IF(AT31&gt;E31," * La variable Personas con sospecha de demencia No puede ser mayor al Total.",""))</f>
        <v/>
      </c>
      <c r="CB31" s="1791" t="str">
        <f>IF(AND(E31&gt;0,AU31=""),"  * No olvide digitar la variable Personas con diagnóstico de demencia. Digite Cero si no tiene.",IF(AU31&gt;E31," * La variable Personas con diagnóstico de demencia No puede ser mayor al Total.",""))</f>
        <v/>
      </c>
      <c r="CF31" s="1793">
        <f>IF(AND(E31&gt;0,AP31=""),1,IF(AP31&gt;E31,1,0))</f>
        <v>0</v>
      </c>
      <c r="CG31" s="1793">
        <f>IF(AND(E31&gt;0,AQ31=""),1,IF(AQ31&gt;E31,1,0))</f>
        <v>0</v>
      </c>
      <c r="CH31" s="1793">
        <f>IF(AND(E31&gt;0,AR31=""),1,IF(AR31&gt;E31,1,0))</f>
        <v>0</v>
      </c>
      <c r="CI31" s="1793">
        <f>IF(AND(E31&gt;0,AS31=""),1,IF(AS31&gt;E31,1,0))</f>
        <v>0</v>
      </c>
      <c r="CJ31" s="1793">
        <f>IF(AND(E31&gt;0,AT31=""),1,IF(AT31&gt;E31,1,0))</f>
        <v>0</v>
      </c>
      <c r="CK31" s="1793">
        <f>IF(AND(E31&gt;0,AU31=""),1,IF(AU31&gt;E31,1,0))</f>
        <v>0</v>
      </c>
    </row>
    <row r="32" spans="1:91" s="170" customFormat="1" ht="15" customHeight="1" x14ac:dyDescent="0.15">
      <c r="A32" s="5058" t="s">
        <v>24</v>
      </c>
      <c r="B32" s="5059">
        <f t="shared" ref="B32:H32" si="36">SUM(B30:B31)</f>
        <v>0</v>
      </c>
      <c r="C32" s="5021">
        <f t="shared" si="36"/>
        <v>0</v>
      </c>
      <c r="D32" s="5059">
        <f t="shared" si="36"/>
        <v>0</v>
      </c>
      <c r="E32" s="5060">
        <f t="shared" si="36"/>
        <v>0</v>
      </c>
      <c r="F32" s="5060">
        <f t="shared" si="36"/>
        <v>0</v>
      </c>
      <c r="G32" s="5060">
        <f t="shared" si="36"/>
        <v>0</v>
      </c>
      <c r="H32" s="5020">
        <f t="shared" si="36"/>
        <v>0</v>
      </c>
      <c r="I32" s="5060">
        <f t="shared" ref="I32:AU32" si="37">SUM(I30:I31)</f>
        <v>0</v>
      </c>
      <c r="J32" s="5020">
        <f t="shared" si="37"/>
        <v>0</v>
      </c>
      <c r="K32" s="5060">
        <f t="shared" si="37"/>
        <v>0</v>
      </c>
      <c r="L32" s="5020">
        <f t="shared" si="37"/>
        <v>0</v>
      </c>
      <c r="M32" s="5060">
        <f t="shared" si="37"/>
        <v>0</v>
      </c>
      <c r="N32" s="5020">
        <f t="shared" si="37"/>
        <v>0</v>
      </c>
      <c r="O32" s="5060">
        <f t="shared" si="37"/>
        <v>0</v>
      </c>
      <c r="P32" s="5020">
        <f t="shared" si="37"/>
        <v>0</v>
      </c>
      <c r="Q32" s="5060">
        <f t="shared" si="37"/>
        <v>0</v>
      </c>
      <c r="R32" s="5020">
        <f t="shared" si="37"/>
        <v>0</v>
      </c>
      <c r="S32" s="5060">
        <f t="shared" si="37"/>
        <v>0</v>
      </c>
      <c r="T32" s="5020">
        <f t="shared" si="37"/>
        <v>0</v>
      </c>
      <c r="U32" s="5060">
        <f t="shared" si="37"/>
        <v>0</v>
      </c>
      <c r="V32" s="5020">
        <f t="shared" si="37"/>
        <v>0</v>
      </c>
      <c r="W32" s="5060">
        <f t="shared" si="37"/>
        <v>0</v>
      </c>
      <c r="X32" s="5020">
        <f t="shared" si="37"/>
        <v>0</v>
      </c>
      <c r="Y32" s="5060">
        <f t="shared" si="37"/>
        <v>0</v>
      </c>
      <c r="Z32" s="5020">
        <f t="shared" si="37"/>
        <v>0</v>
      </c>
      <c r="AA32" s="5060">
        <f t="shared" si="37"/>
        <v>0</v>
      </c>
      <c r="AB32" s="5020">
        <f t="shared" si="37"/>
        <v>0</v>
      </c>
      <c r="AC32" s="5060">
        <f t="shared" si="37"/>
        <v>0</v>
      </c>
      <c r="AD32" s="5020">
        <f t="shared" si="37"/>
        <v>0</v>
      </c>
      <c r="AE32" s="5060">
        <f t="shared" si="37"/>
        <v>0</v>
      </c>
      <c r="AF32" s="5020">
        <f t="shared" si="37"/>
        <v>0</v>
      </c>
      <c r="AG32" s="5060">
        <f t="shared" si="37"/>
        <v>0</v>
      </c>
      <c r="AH32" s="5020">
        <f t="shared" si="37"/>
        <v>0</v>
      </c>
      <c r="AI32" s="5060">
        <f t="shared" si="37"/>
        <v>0</v>
      </c>
      <c r="AJ32" s="5020">
        <f t="shared" si="37"/>
        <v>0</v>
      </c>
      <c r="AK32" s="5060">
        <f t="shared" si="37"/>
        <v>0</v>
      </c>
      <c r="AL32" s="5020">
        <f t="shared" si="37"/>
        <v>0</v>
      </c>
      <c r="AM32" s="5060">
        <f t="shared" si="37"/>
        <v>0</v>
      </c>
      <c r="AN32" s="5020">
        <f t="shared" si="37"/>
        <v>0</v>
      </c>
      <c r="AO32" s="5061">
        <f t="shared" si="37"/>
        <v>0</v>
      </c>
      <c r="AP32" s="5021">
        <f t="shared" si="37"/>
        <v>0</v>
      </c>
      <c r="AQ32" s="5021">
        <f t="shared" si="37"/>
        <v>0</v>
      </c>
      <c r="AR32" s="5021">
        <f t="shared" si="37"/>
        <v>0</v>
      </c>
      <c r="AS32" s="5021">
        <f t="shared" si="37"/>
        <v>0</v>
      </c>
      <c r="AT32" s="5021">
        <f t="shared" si="37"/>
        <v>0</v>
      </c>
      <c r="AU32" s="5021">
        <f t="shared" si="37"/>
        <v>0</v>
      </c>
    </row>
    <row r="33" spans="1:42" s="17" customFormat="1" ht="18" customHeight="1" x14ac:dyDescent="0.2">
      <c r="A33" s="14" t="s">
        <v>97</v>
      </c>
      <c r="B33" s="14"/>
      <c r="C33" s="49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42" ht="27" customHeight="1" x14ac:dyDescent="0.25">
      <c r="A34" s="7162" t="s">
        <v>58</v>
      </c>
      <c r="B34" s="7162" t="s">
        <v>98</v>
      </c>
      <c r="C34" s="7191" t="s">
        <v>99</v>
      </c>
      <c r="D34" s="7192"/>
      <c r="E34" s="7191" t="s">
        <v>90</v>
      </c>
      <c r="F34" s="7197"/>
      <c r="G34" s="7192"/>
      <c r="H34" s="7235" t="s">
        <v>100</v>
      </c>
      <c r="I34" s="7236"/>
      <c r="J34" s="7236"/>
      <c r="K34" s="7236"/>
      <c r="L34" s="7236"/>
      <c r="M34" s="7237"/>
    </row>
    <row r="35" spans="1:42" ht="42" x14ac:dyDescent="0.25">
      <c r="A35" s="7204"/>
      <c r="B35" s="7204"/>
      <c r="C35" s="5050" t="s">
        <v>95</v>
      </c>
      <c r="D35" s="5050" t="s">
        <v>107</v>
      </c>
      <c r="E35" s="5000" t="s">
        <v>26</v>
      </c>
      <c r="F35" s="5051" t="s">
        <v>22</v>
      </c>
      <c r="G35" s="5062" t="s">
        <v>27</v>
      </c>
      <c r="H35" s="5063" t="s">
        <v>101</v>
      </c>
      <c r="I35" s="5064" t="s">
        <v>102</v>
      </c>
      <c r="J35" s="5064" t="s">
        <v>103</v>
      </c>
      <c r="K35" s="5064" t="s">
        <v>104</v>
      </c>
      <c r="L35" s="5064" t="s">
        <v>105</v>
      </c>
      <c r="M35" s="5065" t="s">
        <v>106</v>
      </c>
    </row>
    <row r="36" spans="1:42" ht="15" customHeight="1" x14ac:dyDescent="0.25">
      <c r="A36" s="5042" t="s">
        <v>93</v>
      </c>
      <c r="B36" s="5052">
        <f>SUM(C36:D36)</f>
        <v>0</v>
      </c>
      <c r="C36" s="5006"/>
      <c r="D36" s="5006"/>
      <c r="E36" s="5066">
        <f>SUM(F36:G36)</f>
        <v>0</v>
      </c>
      <c r="F36" s="5067"/>
      <c r="G36" s="5006"/>
      <c r="H36" s="5005"/>
      <c r="I36" s="5068"/>
      <c r="J36" s="5068"/>
      <c r="K36" s="5068"/>
      <c r="L36" s="5068"/>
      <c r="M36" s="5007"/>
    </row>
    <row r="37" spans="1:42" ht="15" customHeight="1" x14ac:dyDescent="0.25">
      <c r="A37" s="5015" t="s">
        <v>94</v>
      </c>
      <c r="B37" s="5069">
        <f>SUM(C37:D37)</f>
        <v>0</v>
      </c>
      <c r="C37" s="5047"/>
      <c r="D37" s="5047"/>
      <c r="E37" s="5070">
        <f>SUM(F37:G37)</f>
        <v>0</v>
      </c>
      <c r="F37" s="2449"/>
      <c r="G37" s="5047"/>
      <c r="H37" s="5071"/>
      <c r="I37" s="2242"/>
      <c r="J37" s="2242"/>
      <c r="K37" s="2242"/>
      <c r="L37" s="2242"/>
      <c r="M37" s="5072"/>
    </row>
    <row r="38" spans="1:42" ht="15" customHeight="1" x14ac:dyDescent="0.25">
      <c r="A38" s="5058" t="s">
        <v>24</v>
      </c>
      <c r="B38" s="5059">
        <f t="shared" ref="B38:M38" si="38">SUM(B36:B37)</f>
        <v>0</v>
      </c>
      <c r="C38" s="5073">
        <f t="shared" si="38"/>
        <v>0</v>
      </c>
      <c r="D38" s="5074">
        <f t="shared" si="38"/>
        <v>0</v>
      </c>
      <c r="E38" s="5074">
        <f t="shared" si="38"/>
        <v>0</v>
      </c>
      <c r="F38" s="5075">
        <f t="shared" si="38"/>
        <v>0</v>
      </c>
      <c r="G38" s="5075">
        <f t="shared" si="38"/>
        <v>0</v>
      </c>
      <c r="H38" s="5073">
        <f t="shared" si="38"/>
        <v>0</v>
      </c>
      <c r="I38" s="5076">
        <f t="shared" si="38"/>
        <v>0</v>
      </c>
      <c r="J38" s="5076">
        <f t="shared" si="38"/>
        <v>0</v>
      </c>
      <c r="K38" s="5076">
        <f t="shared" si="38"/>
        <v>0</v>
      </c>
      <c r="L38" s="5076">
        <f t="shared" si="38"/>
        <v>0</v>
      </c>
      <c r="M38" s="5077">
        <f t="shared" si="38"/>
        <v>0</v>
      </c>
    </row>
    <row r="39" spans="1:42" s="17" customFormat="1" ht="18" customHeight="1" x14ac:dyDescent="0.2">
      <c r="A39" s="53" t="s">
        <v>108</v>
      </c>
      <c r="B39" s="7"/>
      <c r="C39" s="7"/>
    </row>
    <row r="40" spans="1:42" x14ac:dyDescent="0.25">
      <c r="A40" s="4992" t="s">
        <v>58</v>
      </c>
      <c r="B40" s="5049" t="s">
        <v>61</v>
      </c>
      <c r="C40" s="5049" t="s">
        <v>59</v>
      </c>
    </row>
    <row r="41" spans="1:42" x14ac:dyDescent="0.25">
      <c r="A41" s="7231" t="s">
        <v>109</v>
      </c>
      <c r="B41" s="5033" t="s">
        <v>86</v>
      </c>
      <c r="C41" s="5078"/>
    </row>
    <row r="42" spans="1:42" x14ac:dyDescent="0.25">
      <c r="A42" s="7232"/>
      <c r="B42" s="4213" t="s">
        <v>75</v>
      </c>
      <c r="C42" s="4051"/>
    </row>
    <row r="43" spans="1:42" x14ac:dyDescent="0.25">
      <c r="A43" s="7231" t="s">
        <v>110</v>
      </c>
      <c r="B43" s="5033" t="s">
        <v>86</v>
      </c>
      <c r="C43" s="5078"/>
    </row>
    <row r="44" spans="1:42" x14ac:dyDescent="0.25">
      <c r="A44" s="7232"/>
      <c r="B44" s="55" t="s">
        <v>75</v>
      </c>
      <c r="C44" s="30"/>
    </row>
    <row r="45" spans="1:42" s="17" customFormat="1" ht="18" customHeight="1" x14ac:dyDescent="0.2">
      <c r="A45" s="14" t="s">
        <v>111</v>
      </c>
      <c r="B45" s="5079"/>
      <c r="C45" s="5079"/>
      <c r="D45" s="5080"/>
      <c r="E45" s="5080"/>
      <c r="F45" s="5080"/>
      <c r="G45" s="5080"/>
      <c r="H45" s="5080"/>
      <c r="I45" s="5080"/>
      <c r="J45" s="5080"/>
      <c r="K45" s="5080"/>
      <c r="L45" s="5081"/>
      <c r="M45" s="5082"/>
      <c r="N45" s="5083"/>
      <c r="O45" s="5084"/>
      <c r="P45" s="5084"/>
      <c r="Q45" s="5084"/>
      <c r="R45" s="5084"/>
      <c r="S45" s="5084"/>
      <c r="T45" s="5084"/>
      <c r="U45" s="5084"/>
      <c r="V45" s="5085"/>
      <c r="W45" s="5084"/>
      <c r="X45" s="5084"/>
      <c r="Y45" s="5084"/>
      <c r="Z45" s="5084"/>
      <c r="AA45" s="5084"/>
      <c r="AB45" s="5084"/>
      <c r="AC45" s="5084"/>
      <c r="AD45" s="5084"/>
      <c r="AE45" s="5084"/>
      <c r="AF45" s="5084"/>
      <c r="AG45" s="5084"/>
      <c r="AH45" s="5084"/>
      <c r="AI45" s="5084"/>
      <c r="AJ45" s="5084"/>
      <c r="AK45" s="5084"/>
      <c r="AL45" s="5084"/>
      <c r="AM45" s="5084"/>
      <c r="AN45" s="56"/>
      <c r="AO45" s="57"/>
      <c r="AP45" s="57"/>
    </row>
    <row r="46" spans="1:42" ht="15" customHeight="1" x14ac:dyDescent="0.25">
      <c r="A46" s="7219" t="s">
        <v>112</v>
      </c>
      <c r="B46" s="7220"/>
      <c r="C46" s="7233" t="s">
        <v>59</v>
      </c>
      <c r="D46" s="7225"/>
      <c r="E46" s="7226"/>
      <c r="F46" s="7191" t="s">
        <v>30</v>
      </c>
      <c r="G46" s="7197"/>
      <c r="H46" s="7197"/>
      <c r="I46" s="7197"/>
      <c r="J46" s="7197"/>
      <c r="K46" s="7197"/>
      <c r="L46" s="7197"/>
      <c r="M46" s="7197"/>
      <c r="N46" s="7197"/>
      <c r="O46" s="7197"/>
      <c r="P46" s="7197"/>
      <c r="Q46" s="7197"/>
      <c r="R46" s="7197"/>
      <c r="S46" s="7197"/>
      <c r="T46" s="7197"/>
      <c r="U46" s="7197"/>
      <c r="V46" s="7197"/>
      <c r="W46" s="7197"/>
      <c r="X46" s="7197"/>
      <c r="Y46" s="7197"/>
      <c r="Z46" s="7197"/>
      <c r="AA46" s="7197"/>
      <c r="AB46" s="7197"/>
      <c r="AC46" s="7197"/>
      <c r="AD46" s="7197"/>
      <c r="AE46" s="7197"/>
      <c r="AF46" s="7197"/>
      <c r="AG46" s="7197"/>
      <c r="AH46" s="7197"/>
      <c r="AI46" s="7197"/>
      <c r="AJ46" s="7197"/>
      <c r="AK46" s="7198"/>
      <c r="AL46" s="7157" t="s">
        <v>67</v>
      </c>
      <c r="AM46" s="7157" t="s">
        <v>2</v>
      </c>
      <c r="AN46" s="7157" t="s">
        <v>3</v>
      </c>
    </row>
    <row r="47" spans="1:42" x14ac:dyDescent="0.25">
      <c r="A47" s="7221"/>
      <c r="B47" s="7222"/>
      <c r="C47" s="7234"/>
      <c r="D47" s="7227"/>
      <c r="E47" s="7228"/>
      <c r="F47" s="7191" t="s">
        <v>37</v>
      </c>
      <c r="G47" s="7192"/>
      <c r="H47" s="7191" t="s">
        <v>38</v>
      </c>
      <c r="I47" s="7192"/>
      <c r="J47" s="7191" t="s">
        <v>4</v>
      </c>
      <c r="K47" s="7192"/>
      <c r="L47" s="7191" t="s">
        <v>5</v>
      </c>
      <c r="M47" s="7192"/>
      <c r="N47" s="7180" t="s">
        <v>6</v>
      </c>
      <c r="O47" s="7182"/>
      <c r="P47" s="7180" t="s">
        <v>7</v>
      </c>
      <c r="Q47" s="7182"/>
      <c r="R47" s="7180" t="s">
        <v>8</v>
      </c>
      <c r="S47" s="7182"/>
      <c r="T47" s="7180" t="s">
        <v>9</v>
      </c>
      <c r="U47" s="7182"/>
      <c r="V47" s="7180" t="s">
        <v>10</v>
      </c>
      <c r="W47" s="7182"/>
      <c r="X47" s="7180" t="s">
        <v>11</v>
      </c>
      <c r="Y47" s="7182"/>
      <c r="Z47" s="7180" t="s">
        <v>18</v>
      </c>
      <c r="AA47" s="7182"/>
      <c r="AB47" s="7180" t="s">
        <v>19</v>
      </c>
      <c r="AC47" s="7182"/>
      <c r="AD47" s="7180" t="s">
        <v>20</v>
      </c>
      <c r="AE47" s="7182"/>
      <c r="AF47" s="7180" t="s">
        <v>70</v>
      </c>
      <c r="AG47" s="7182"/>
      <c r="AH47" s="7180" t="s">
        <v>71</v>
      </c>
      <c r="AI47" s="7182"/>
      <c r="AJ47" s="7180" t="s">
        <v>72</v>
      </c>
      <c r="AK47" s="7199"/>
      <c r="AL47" s="6924"/>
      <c r="AM47" s="6924"/>
      <c r="AN47" s="6924"/>
    </row>
    <row r="48" spans="1:42" x14ac:dyDescent="0.25">
      <c r="A48" s="7223"/>
      <c r="B48" s="7224"/>
      <c r="C48" s="5087" t="s">
        <v>26</v>
      </c>
      <c r="D48" s="5088" t="s">
        <v>22</v>
      </c>
      <c r="E48" s="5086" t="s">
        <v>27</v>
      </c>
      <c r="F48" s="5000" t="s">
        <v>22</v>
      </c>
      <c r="G48" s="4996" t="s">
        <v>27</v>
      </c>
      <c r="H48" s="5000" t="s">
        <v>22</v>
      </c>
      <c r="I48" s="4996" t="s">
        <v>27</v>
      </c>
      <c r="J48" s="5000" t="s">
        <v>22</v>
      </c>
      <c r="K48" s="4996" t="s">
        <v>27</v>
      </c>
      <c r="L48" s="5000" t="s">
        <v>22</v>
      </c>
      <c r="M48" s="4996" t="s">
        <v>27</v>
      </c>
      <c r="N48" s="5000" t="s">
        <v>22</v>
      </c>
      <c r="O48" s="4996" t="s">
        <v>27</v>
      </c>
      <c r="P48" s="5000" t="s">
        <v>22</v>
      </c>
      <c r="Q48" s="4996" t="s">
        <v>27</v>
      </c>
      <c r="R48" s="5000" t="s">
        <v>22</v>
      </c>
      <c r="S48" s="4996" t="s">
        <v>27</v>
      </c>
      <c r="T48" s="5000" t="s">
        <v>22</v>
      </c>
      <c r="U48" s="4996" t="s">
        <v>27</v>
      </c>
      <c r="V48" s="5000" t="s">
        <v>22</v>
      </c>
      <c r="W48" s="4996" t="s">
        <v>27</v>
      </c>
      <c r="X48" s="5000" t="s">
        <v>22</v>
      </c>
      <c r="Y48" s="4996" t="s">
        <v>27</v>
      </c>
      <c r="Z48" s="5000" t="s">
        <v>22</v>
      </c>
      <c r="AA48" s="4996" t="s">
        <v>27</v>
      </c>
      <c r="AB48" s="5000" t="s">
        <v>22</v>
      </c>
      <c r="AC48" s="4996" t="s">
        <v>27</v>
      </c>
      <c r="AD48" s="5000" t="s">
        <v>22</v>
      </c>
      <c r="AE48" s="4996" t="s">
        <v>27</v>
      </c>
      <c r="AF48" s="5000" t="s">
        <v>22</v>
      </c>
      <c r="AG48" s="4996" t="s">
        <v>27</v>
      </c>
      <c r="AH48" s="5000" t="s">
        <v>22</v>
      </c>
      <c r="AI48" s="4996" t="s">
        <v>27</v>
      </c>
      <c r="AJ48" s="5089" t="s">
        <v>22</v>
      </c>
      <c r="AK48" s="4995" t="s">
        <v>27</v>
      </c>
      <c r="AL48" s="7217"/>
      <c r="AM48" s="7217"/>
      <c r="AN48" s="7217"/>
    </row>
    <row r="49" spans="1:86" x14ac:dyDescent="0.25">
      <c r="A49" s="5934" t="s">
        <v>46</v>
      </c>
      <c r="B49" s="5934" t="s">
        <v>114</v>
      </c>
      <c r="C49" s="5935">
        <f>SUM(D49+E49)</f>
        <v>0</v>
      </c>
      <c r="D49" s="5936">
        <f>SUM(F49+H49+J49+L49+N49+P49+R49+T49+V49+X49+Z49+AB49+AD49+AF49+AH49+AJ49)</f>
        <v>0</v>
      </c>
      <c r="E49" s="5937">
        <f>SUM(G49+I49+K49+M49+O49+Q49+S49+U49+W49+Y49+AA49+AC49+AE49+AG49+AI49+AK49)</f>
        <v>0</v>
      </c>
      <c r="F49" s="5938"/>
      <c r="G49" s="5938"/>
      <c r="H49" s="5938"/>
      <c r="I49" s="5938"/>
      <c r="J49" s="5938"/>
      <c r="K49" s="5939"/>
      <c r="L49" s="5938"/>
      <c r="M49" s="5939"/>
      <c r="N49" s="5940"/>
      <c r="O49" s="5939"/>
      <c r="P49" s="5940"/>
      <c r="Q49" s="5939"/>
      <c r="R49" s="5940"/>
      <c r="S49" s="5939"/>
      <c r="T49" s="5940"/>
      <c r="U49" s="5939"/>
      <c r="V49" s="5940"/>
      <c r="W49" s="5939"/>
      <c r="X49" s="5940"/>
      <c r="Y49" s="5939"/>
      <c r="Z49" s="5940"/>
      <c r="AA49" s="5939"/>
      <c r="AB49" s="5940"/>
      <c r="AC49" s="5939"/>
      <c r="AD49" s="5940"/>
      <c r="AE49" s="5939"/>
      <c r="AF49" s="5940"/>
      <c r="AG49" s="5939"/>
      <c r="AH49" s="5940"/>
      <c r="AI49" s="5939"/>
      <c r="AJ49" s="5941"/>
      <c r="AK49" s="5921"/>
      <c r="AL49" s="5942"/>
      <c r="AM49" s="5942"/>
      <c r="AN49" s="5942"/>
      <c r="AO49" t="str">
        <f>BW49&amp;BX49&amp;BY49&amp;BZ49</f>
        <v/>
      </c>
      <c r="BW49" s="1791" t="str">
        <f>IF(AND(C49&gt;0,AL49=""),"  * No olvide digitar la variable Beneficiarios. Digite Cero si no tiene.",IF(AL49&gt;C49,"  * La variable Beneficiarios No puede ser mayor al Total.",""))</f>
        <v/>
      </c>
      <c r="BX49" s="1791" t="str">
        <f>IF(AND(C49&gt;0,AM49=""),"  * No olvide digitar la variable Pueblos originarios. Digite Cero si no tiene.",IF(AM49&gt;C49,"  * La variable Pueblos originarios No puede ser mayor al Total.",""))</f>
        <v/>
      </c>
      <c r="BY49" s="1791" t="str">
        <f>IF(AND(C49&gt;0,AN49=""),"  * No olvide digitar la variable Migrantes. Digite Cero si no tiene.",IF(AN49&gt;C49,"  * La variable Migrantes No puede ser mayor al Total.",""))</f>
        <v/>
      </c>
      <c r="BZ49" s="1791"/>
      <c r="CA49" s="1791"/>
      <c r="CB49" s="1791"/>
      <c r="CC49" s="1791"/>
      <c r="CD49" s="1791"/>
      <c r="CF49" s="1793">
        <f>IF(AND(C49&gt;0,AL49=""),1,IF(AL49&gt;C49,1,0))</f>
        <v>0</v>
      </c>
      <c r="CG49" s="1793">
        <f>IF(AND(C49&gt;0,AM49=""),1,IF(AM49&gt;C49,1,0))</f>
        <v>0</v>
      </c>
      <c r="CH49" s="1793">
        <f>IF(AND(C49&gt;0,AN49=""),1,IF(AN49&gt;C49,1,0))</f>
        <v>0</v>
      </c>
    </row>
    <row r="50" spans="1:86" x14ac:dyDescent="0.25">
      <c r="A50" s="5926" t="s">
        <v>113</v>
      </c>
      <c r="B50" s="5926" t="s">
        <v>114</v>
      </c>
      <c r="C50" s="5927">
        <f>SUM(D50+E50)</f>
        <v>0</v>
      </c>
      <c r="D50" s="5928">
        <f>SUM(F50+H50+J50+L50+N50+P50+R50+T50+V50+X50+Z50+AB50+AD50+AF50+AH50+AJ50)</f>
        <v>0</v>
      </c>
      <c r="E50" s="5929">
        <f>SUM(G50+I50+K50+M50+O50+Q50+S50+U50+W50+Y50+AA50+AC50+AE50+AG50+AI50+AK50)</f>
        <v>0</v>
      </c>
      <c r="F50" s="5647"/>
      <c r="G50" s="5647"/>
      <c r="H50" s="5647"/>
      <c r="I50" s="5647"/>
      <c r="J50" s="5647"/>
      <c r="K50" s="5072"/>
      <c r="L50" s="5647"/>
      <c r="M50" s="5072"/>
      <c r="N50" s="5930"/>
      <c r="O50" s="5072"/>
      <c r="P50" s="5930"/>
      <c r="Q50" s="5072"/>
      <c r="R50" s="5930"/>
      <c r="S50" s="5072"/>
      <c r="T50" s="5930"/>
      <c r="U50" s="5072"/>
      <c r="V50" s="5930"/>
      <c r="W50" s="5072"/>
      <c r="X50" s="5930"/>
      <c r="Y50" s="5072"/>
      <c r="Z50" s="5930"/>
      <c r="AA50" s="5072"/>
      <c r="AB50" s="5930"/>
      <c r="AC50" s="5072"/>
      <c r="AD50" s="5930"/>
      <c r="AE50" s="5072"/>
      <c r="AF50" s="5930"/>
      <c r="AG50" s="5072"/>
      <c r="AH50" s="5930"/>
      <c r="AI50" s="5072"/>
      <c r="AJ50" s="5931"/>
      <c r="AK50" s="5932"/>
      <c r="AL50" s="5933"/>
      <c r="AM50" s="5933"/>
      <c r="AN50" s="5933"/>
      <c r="AO50" t="str">
        <f>BW50&amp;BX50&amp;BY50&amp;BZ50</f>
        <v/>
      </c>
      <c r="BW50" s="1791" t="str">
        <f>IF(AND(C50&gt;0,AL50=""),"  * No olvide digitar la variable Beneficiarios. Digite Cero si no tiene.",IF(AL50&gt;C50,"  * La variable Beneficiarios No puede ser mayor al Total.",""))</f>
        <v/>
      </c>
      <c r="BX50" s="1791" t="str">
        <f>IF(AND(C50&gt;0,AM50=""),"  * No olvide digitar la variable Pueblos originarios. Digite Cero si no tiene.",IF(AM50&gt;C50,"  * La variable Pueblos originarios No puede ser mayor al Total.",""))</f>
        <v/>
      </c>
      <c r="BY50" s="1791" t="str">
        <f>IF(AND(C50&gt;0,AN50=""),"  * No olvide digitar la variable Migrantes. Digite Cero si no tiene.",IF(AN50&gt;C50,"  * La variable Migrantes No puede ser mayor al Total.",""))</f>
        <v/>
      </c>
      <c r="BZ50" s="1791"/>
      <c r="CA50" s="1791"/>
      <c r="CB50" s="1791"/>
      <c r="CC50" s="1791"/>
      <c r="CD50" s="1791"/>
      <c r="CF50" s="1793">
        <f>IF(AND(C50&gt;0,AL50=""),1,IF(AL50&gt;C50,1,0))</f>
        <v>0</v>
      </c>
      <c r="CG50" s="1793">
        <f>IF(AND(C50&gt;0,AM50=""),1,IF(AM50&gt;C50,1,0))</f>
        <v>0</v>
      </c>
      <c r="CH50" s="1793">
        <f>IF(AND(C50&gt;0,AN50=""),1,IF(AN50&gt;C50,1,0))</f>
        <v>0</v>
      </c>
    </row>
    <row r="51" spans="1:86" s="17" customFormat="1" ht="18" customHeight="1" x14ac:dyDescent="0.2">
      <c r="A51" s="7218" t="s">
        <v>115</v>
      </c>
      <c r="B51" s="7218"/>
      <c r="C51" s="7218"/>
      <c r="D51" s="7218"/>
      <c r="E51" s="7218"/>
      <c r="F51" s="7218"/>
      <c r="G51" s="7218"/>
      <c r="H51" s="7218"/>
      <c r="I51" s="7218"/>
      <c r="J51" s="7218"/>
      <c r="K51" s="7218"/>
      <c r="L51" s="7218"/>
      <c r="M51" s="7218"/>
      <c r="N51" s="1795"/>
      <c r="O51" s="1796"/>
      <c r="P51" s="1796"/>
      <c r="Q51" s="1796"/>
      <c r="R51" s="1796"/>
      <c r="S51" s="1796"/>
      <c r="T51" s="1796"/>
      <c r="U51" s="1796"/>
      <c r="V51" s="1797"/>
      <c r="W51" s="1796"/>
      <c r="X51" s="1796"/>
      <c r="Y51" s="1796"/>
      <c r="Z51" s="1796"/>
      <c r="AA51" s="1796"/>
      <c r="AB51" s="1796"/>
      <c r="AC51" s="1796"/>
      <c r="AD51" s="1796"/>
      <c r="AE51" s="1796"/>
      <c r="AF51" s="1796"/>
      <c r="AG51" s="1796"/>
      <c r="AH51" s="1796"/>
      <c r="AI51" s="1796"/>
      <c r="AJ51" s="1796"/>
      <c r="AK51" s="1796"/>
      <c r="AL51" s="1796"/>
      <c r="AM51" s="1796"/>
      <c r="AN51" s="1796"/>
      <c r="AO51" s="1798"/>
    </row>
    <row r="52" spans="1:86" ht="15" customHeight="1" x14ac:dyDescent="0.25">
      <c r="A52" s="7219" t="s">
        <v>58</v>
      </c>
      <c r="B52" s="7220"/>
      <c r="C52" s="7225" t="s">
        <v>59</v>
      </c>
      <c r="D52" s="7225"/>
      <c r="E52" s="7226"/>
      <c r="F52" s="7207" t="s">
        <v>30</v>
      </c>
      <c r="G52" s="7229"/>
      <c r="H52" s="7229"/>
      <c r="I52" s="7229"/>
      <c r="J52" s="7229"/>
      <c r="K52" s="7229"/>
      <c r="L52" s="7229"/>
      <c r="M52" s="7229"/>
      <c r="N52" s="7229"/>
      <c r="O52" s="7229"/>
      <c r="P52" s="7229"/>
      <c r="Q52" s="7229"/>
      <c r="R52" s="7229"/>
      <c r="S52" s="7229"/>
      <c r="T52" s="7229"/>
      <c r="U52" s="7229"/>
      <c r="V52" s="7229"/>
      <c r="W52" s="7229"/>
      <c r="X52" s="7229"/>
      <c r="Y52" s="7229"/>
      <c r="Z52" s="7229"/>
      <c r="AA52" s="7229"/>
      <c r="AB52" s="7229"/>
      <c r="AC52" s="7229"/>
      <c r="AD52" s="7229"/>
      <c r="AE52" s="7229"/>
      <c r="AF52" s="7229"/>
      <c r="AG52" s="7229"/>
      <c r="AH52" s="7229"/>
      <c r="AI52" s="7229"/>
      <c r="AJ52" s="7229"/>
      <c r="AK52" s="7230"/>
      <c r="AL52" s="7157" t="s">
        <v>2</v>
      </c>
      <c r="AM52" s="7157" t="s">
        <v>3</v>
      </c>
    </row>
    <row r="53" spans="1:86" x14ac:dyDescent="0.25">
      <c r="A53" s="7221"/>
      <c r="B53" s="7222"/>
      <c r="C53" s="7227"/>
      <c r="D53" s="7227"/>
      <c r="E53" s="7228"/>
      <c r="F53" s="7191" t="s">
        <v>37</v>
      </c>
      <c r="G53" s="7192"/>
      <c r="H53" s="7191" t="s">
        <v>38</v>
      </c>
      <c r="I53" s="7192"/>
      <c r="J53" s="7191" t="s">
        <v>4</v>
      </c>
      <c r="K53" s="7192"/>
      <c r="L53" s="7191" t="s">
        <v>5</v>
      </c>
      <c r="M53" s="7192"/>
      <c r="N53" s="7180" t="s">
        <v>6</v>
      </c>
      <c r="O53" s="7182"/>
      <c r="P53" s="7180" t="s">
        <v>7</v>
      </c>
      <c r="Q53" s="7182"/>
      <c r="R53" s="7180" t="s">
        <v>8</v>
      </c>
      <c r="S53" s="7182"/>
      <c r="T53" s="7180" t="s">
        <v>9</v>
      </c>
      <c r="U53" s="7182"/>
      <c r="V53" s="7180" t="s">
        <v>10</v>
      </c>
      <c r="W53" s="7182"/>
      <c r="X53" s="7180" t="s">
        <v>11</v>
      </c>
      <c r="Y53" s="7182"/>
      <c r="Z53" s="7180" t="s">
        <v>18</v>
      </c>
      <c r="AA53" s="7182"/>
      <c r="AB53" s="7180" t="s">
        <v>19</v>
      </c>
      <c r="AC53" s="7182"/>
      <c r="AD53" s="7180" t="s">
        <v>20</v>
      </c>
      <c r="AE53" s="7182"/>
      <c r="AF53" s="7180" t="s">
        <v>70</v>
      </c>
      <c r="AG53" s="7182"/>
      <c r="AH53" s="7180" t="s">
        <v>71</v>
      </c>
      <c r="AI53" s="7182"/>
      <c r="AJ53" s="7180" t="s">
        <v>72</v>
      </c>
      <c r="AK53" s="7199"/>
      <c r="AL53" s="6924"/>
      <c r="AM53" s="6924"/>
    </row>
    <row r="54" spans="1:86" x14ac:dyDescent="0.25">
      <c r="A54" s="7223"/>
      <c r="B54" s="7224"/>
      <c r="C54" s="5092" t="s">
        <v>26</v>
      </c>
      <c r="D54" s="5093" t="s">
        <v>22</v>
      </c>
      <c r="E54" s="5094" t="s">
        <v>27</v>
      </c>
      <c r="F54" s="4998" t="s">
        <v>22</v>
      </c>
      <c r="G54" s="4993" t="s">
        <v>27</v>
      </c>
      <c r="H54" s="4998" t="s">
        <v>22</v>
      </c>
      <c r="I54" s="4993" t="s">
        <v>27</v>
      </c>
      <c r="J54" s="4998" t="s">
        <v>22</v>
      </c>
      <c r="K54" s="4993" t="s">
        <v>27</v>
      </c>
      <c r="L54" s="4998" t="s">
        <v>22</v>
      </c>
      <c r="M54" s="4993" t="s">
        <v>27</v>
      </c>
      <c r="N54" s="4998" t="s">
        <v>22</v>
      </c>
      <c r="O54" s="4993" t="s">
        <v>27</v>
      </c>
      <c r="P54" s="4998" t="s">
        <v>22</v>
      </c>
      <c r="Q54" s="4993" t="s">
        <v>27</v>
      </c>
      <c r="R54" s="4998" t="s">
        <v>22</v>
      </c>
      <c r="S54" s="4993" t="s">
        <v>27</v>
      </c>
      <c r="T54" s="4998" t="s">
        <v>22</v>
      </c>
      <c r="U54" s="4993" t="s">
        <v>27</v>
      </c>
      <c r="V54" s="4998" t="s">
        <v>22</v>
      </c>
      <c r="W54" s="4993" t="s">
        <v>27</v>
      </c>
      <c r="X54" s="4998" t="s">
        <v>22</v>
      </c>
      <c r="Y54" s="4993" t="s">
        <v>27</v>
      </c>
      <c r="Z54" s="4998" t="s">
        <v>22</v>
      </c>
      <c r="AA54" s="4993" t="s">
        <v>27</v>
      </c>
      <c r="AB54" s="4998" t="s">
        <v>22</v>
      </c>
      <c r="AC54" s="4993" t="s">
        <v>27</v>
      </c>
      <c r="AD54" s="4998" t="s">
        <v>22</v>
      </c>
      <c r="AE54" s="4993" t="s">
        <v>27</v>
      </c>
      <c r="AF54" s="4998" t="s">
        <v>22</v>
      </c>
      <c r="AG54" s="4993" t="s">
        <v>27</v>
      </c>
      <c r="AH54" s="4998" t="s">
        <v>22</v>
      </c>
      <c r="AI54" s="4993" t="s">
        <v>27</v>
      </c>
      <c r="AJ54" s="1789" t="s">
        <v>22</v>
      </c>
      <c r="AK54" s="5095" t="s">
        <v>27</v>
      </c>
      <c r="AL54" s="7217"/>
      <c r="AM54" s="7217"/>
    </row>
    <row r="55" spans="1:86" x14ac:dyDescent="0.25">
      <c r="A55" s="7214" t="s">
        <v>117</v>
      </c>
      <c r="B55" s="5096" t="s">
        <v>74</v>
      </c>
      <c r="C55" s="5002">
        <f>SUM(D55+E55)</f>
        <v>0</v>
      </c>
      <c r="D55" s="5003">
        <f t="shared" ref="D55:E60" si="39">SUM(F55+H55+J55+L55+N55+P55+R55+T55+V55+X55+Z55+AB55+AD55+AF55+AH55+AJ55)</f>
        <v>0</v>
      </c>
      <c r="E55" s="5004">
        <f t="shared" si="39"/>
        <v>0</v>
      </c>
      <c r="F55" s="5005"/>
      <c r="G55" s="5006"/>
      <c r="H55" s="5005"/>
      <c r="I55" s="5007"/>
      <c r="J55" s="5005"/>
      <c r="K55" s="5007"/>
      <c r="L55" s="5005"/>
      <c r="M55" s="5007"/>
      <c r="N55" s="5008"/>
      <c r="O55" s="5007"/>
      <c r="P55" s="5008"/>
      <c r="Q55" s="5007"/>
      <c r="R55" s="5008"/>
      <c r="S55" s="5007"/>
      <c r="T55" s="5008"/>
      <c r="U55" s="5007"/>
      <c r="V55" s="5008"/>
      <c r="W55" s="5007"/>
      <c r="X55" s="5008"/>
      <c r="Y55" s="5007"/>
      <c r="Z55" s="5008"/>
      <c r="AA55" s="5007"/>
      <c r="AB55" s="5008"/>
      <c r="AC55" s="5007"/>
      <c r="AD55" s="5008"/>
      <c r="AE55" s="5007"/>
      <c r="AF55" s="5008"/>
      <c r="AG55" s="5007"/>
      <c r="AH55" s="5008"/>
      <c r="AI55" s="5007"/>
      <c r="AJ55" s="5008"/>
      <c r="AK55" s="5009"/>
      <c r="AL55" s="5097"/>
      <c r="AM55" s="5097"/>
      <c r="AN55" t="str">
        <f>BW55&amp;BX55&amp;BY55</f>
        <v/>
      </c>
      <c r="BW55" s="1791" t="str">
        <f>IF(AND(C55&gt;0,AL55="")," *  No olvide digitar la variable Pueblos Originarios. Digite cero si no tiene.",IF(AL55&gt;C55," * La variable Pueblos Originarios no puede ser mayor al Total.",""))</f>
        <v/>
      </c>
      <c r="BX55" s="1791" t="str">
        <f>IF(AND(C55&gt;0,AM55="")," *  No olvide digitar la variable Migrantes. Digite cero si no tiene.",IF(AM55&gt;C55," * La variable Migrantes no puede ser mayor al Total.",""))</f>
        <v/>
      </c>
      <c r="BY55" s="1791"/>
      <c r="BZ55" s="1791"/>
      <c r="CA55" s="1791"/>
      <c r="CB55" s="1791"/>
      <c r="CC55" s="1791"/>
      <c r="CD55" s="1791"/>
      <c r="CF55" s="1793">
        <f>IF(AND(C55&gt;0,AL55=""),1,IF(AL55&gt;C55,1,0))</f>
        <v>0</v>
      </c>
      <c r="CG55" s="1793">
        <f>IF(AND(C55&gt;0,AM55=""),1,IF(AM55&gt;C55,1,0))</f>
        <v>0</v>
      </c>
    </row>
    <row r="56" spans="1:86" x14ac:dyDescent="0.25">
      <c r="A56" s="7215"/>
      <c r="B56" s="5098" t="s">
        <v>86</v>
      </c>
      <c r="C56" s="1622">
        <f t="shared" ref="C56:C76" si="40">SUM(D56+E56)</f>
        <v>0</v>
      </c>
      <c r="D56" s="5013">
        <f t="shared" si="39"/>
        <v>0</v>
      </c>
      <c r="E56" s="5012">
        <f t="shared" si="39"/>
        <v>0</v>
      </c>
      <c r="F56" s="1113"/>
      <c r="G56" s="4055"/>
      <c r="H56" s="1113"/>
      <c r="I56" s="1117"/>
      <c r="J56" s="1113"/>
      <c r="K56" s="1117"/>
      <c r="L56" s="1113"/>
      <c r="M56" s="1117"/>
      <c r="N56" s="4529"/>
      <c r="O56" s="1117"/>
      <c r="P56" s="4529"/>
      <c r="Q56" s="1117"/>
      <c r="R56" s="4529"/>
      <c r="S56" s="1117"/>
      <c r="T56" s="4529"/>
      <c r="U56" s="1117"/>
      <c r="V56" s="4529"/>
      <c r="W56" s="1117"/>
      <c r="X56" s="4529"/>
      <c r="Y56" s="1117"/>
      <c r="Z56" s="4529"/>
      <c r="AA56" s="1117"/>
      <c r="AB56" s="4529"/>
      <c r="AC56" s="1117"/>
      <c r="AD56" s="4529"/>
      <c r="AE56" s="1117"/>
      <c r="AF56" s="4529"/>
      <c r="AG56" s="1117"/>
      <c r="AH56" s="4529"/>
      <c r="AI56" s="1117"/>
      <c r="AJ56" s="4529"/>
      <c r="AK56" s="1118"/>
      <c r="AL56" s="5099"/>
      <c r="AM56" s="5099"/>
      <c r="AN56" t="str">
        <f t="shared" ref="AN56:AN76" si="41">BW56&amp;BX56&amp;BY56</f>
        <v/>
      </c>
      <c r="BW56" s="1791" t="str">
        <f t="shared" ref="BW56:BW76" si="42">IF(AND(C56&gt;0,AL56="")," *  No olvide digitar la variable Pueblos Originarios. Digite cero si no tiene.",IF(AL56&gt;C56," * La variable Pueblos Originarios no puede ser mayor al Total.",""))</f>
        <v/>
      </c>
      <c r="BX56" s="1791" t="str">
        <f t="shared" ref="BX56:BX76" si="43">IF(AND(C56&gt;0,AM56="")," *  No olvide digitar la variable Migrantes. Digite cero si no tiene.",IF(AM56&gt;C56," * La variable Migrantes no puede ser mayor al Total.",""))</f>
        <v/>
      </c>
      <c r="BY56" s="1791"/>
      <c r="BZ56" s="1791"/>
      <c r="CA56" s="1791"/>
      <c r="CB56" s="1791"/>
      <c r="CC56" s="1791"/>
      <c r="CD56" s="1791"/>
      <c r="CF56" s="1793">
        <f t="shared" ref="CF56:CF76" si="44">IF(AND(C56&gt;0,AL56=""),1,IF(AL56&gt;C56,1,0))</f>
        <v>0</v>
      </c>
      <c r="CG56" s="1793">
        <f t="shared" ref="CG56:CG76" si="45">IF(AND(C56&gt;0,AM56=""),1,IF(AM56&gt;C56,1,0))</f>
        <v>0</v>
      </c>
    </row>
    <row r="57" spans="1:86" x14ac:dyDescent="0.25">
      <c r="A57" s="7215"/>
      <c r="B57" s="5098" t="s">
        <v>75</v>
      </c>
      <c r="C57" s="1622">
        <f t="shared" si="40"/>
        <v>0</v>
      </c>
      <c r="D57" s="5013">
        <f t="shared" si="39"/>
        <v>0</v>
      </c>
      <c r="E57" s="5012">
        <f t="shared" si="39"/>
        <v>0</v>
      </c>
      <c r="F57" s="1113"/>
      <c r="G57" s="4055"/>
      <c r="H57" s="1113"/>
      <c r="I57" s="1117"/>
      <c r="J57" s="1113"/>
      <c r="K57" s="1117"/>
      <c r="L57" s="1113"/>
      <c r="M57" s="1117"/>
      <c r="N57" s="4529"/>
      <c r="O57" s="1117"/>
      <c r="P57" s="4529"/>
      <c r="Q57" s="1117"/>
      <c r="R57" s="4529"/>
      <c r="S57" s="1117"/>
      <c r="T57" s="4529"/>
      <c r="U57" s="1117"/>
      <c r="V57" s="4529"/>
      <c r="W57" s="1117"/>
      <c r="X57" s="4529"/>
      <c r="Y57" s="1117"/>
      <c r="Z57" s="4529"/>
      <c r="AA57" s="1117"/>
      <c r="AB57" s="4529"/>
      <c r="AC57" s="1117"/>
      <c r="AD57" s="4529"/>
      <c r="AE57" s="1117"/>
      <c r="AF57" s="4529"/>
      <c r="AG57" s="1117"/>
      <c r="AH57" s="4529"/>
      <c r="AI57" s="1117"/>
      <c r="AJ57" s="4529"/>
      <c r="AK57" s="1118"/>
      <c r="AL57" s="5099"/>
      <c r="AM57" s="5099"/>
      <c r="AN57" t="str">
        <f t="shared" si="41"/>
        <v/>
      </c>
      <c r="BW57" s="1791" t="str">
        <f t="shared" si="42"/>
        <v/>
      </c>
      <c r="BX57" s="1791" t="str">
        <f t="shared" si="43"/>
        <v/>
      </c>
      <c r="BY57" s="1791"/>
      <c r="BZ57" s="1791"/>
      <c r="CA57" s="1791"/>
      <c r="CB57" s="1791"/>
      <c r="CC57" s="1791"/>
      <c r="CD57" s="1791"/>
      <c r="CF57" s="1793">
        <f t="shared" si="44"/>
        <v>0</v>
      </c>
      <c r="CG57" s="1793">
        <f t="shared" si="45"/>
        <v>0</v>
      </c>
    </row>
    <row r="58" spans="1:86" x14ac:dyDescent="0.25">
      <c r="A58" s="7215"/>
      <c r="B58" s="5098" t="s">
        <v>122</v>
      </c>
      <c r="C58" s="1622">
        <f t="shared" si="40"/>
        <v>0</v>
      </c>
      <c r="D58" s="5013">
        <f t="shared" si="39"/>
        <v>0</v>
      </c>
      <c r="E58" s="5012">
        <f t="shared" si="39"/>
        <v>0</v>
      </c>
      <c r="F58" s="1113"/>
      <c r="G58" s="4055"/>
      <c r="H58" s="1113"/>
      <c r="I58" s="1117"/>
      <c r="J58" s="1113"/>
      <c r="K58" s="1117"/>
      <c r="L58" s="1113"/>
      <c r="M58" s="1117"/>
      <c r="N58" s="4529"/>
      <c r="O58" s="1117"/>
      <c r="P58" s="4529"/>
      <c r="Q58" s="1117"/>
      <c r="R58" s="4529"/>
      <c r="S58" s="1117"/>
      <c r="T58" s="4529"/>
      <c r="U58" s="1117"/>
      <c r="V58" s="4529"/>
      <c r="W58" s="1117"/>
      <c r="X58" s="4529"/>
      <c r="Y58" s="1117"/>
      <c r="Z58" s="4529"/>
      <c r="AA58" s="1117"/>
      <c r="AB58" s="4529"/>
      <c r="AC58" s="1117"/>
      <c r="AD58" s="4529"/>
      <c r="AE58" s="1117"/>
      <c r="AF58" s="4529"/>
      <c r="AG58" s="1117"/>
      <c r="AH58" s="4529"/>
      <c r="AI58" s="1117"/>
      <c r="AJ58" s="4529"/>
      <c r="AK58" s="1118"/>
      <c r="AL58" s="5099"/>
      <c r="AM58" s="5099"/>
      <c r="AN58" t="str">
        <f t="shared" si="41"/>
        <v/>
      </c>
      <c r="BW58" s="1791" t="str">
        <f t="shared" si="42"/>
        <v/>
      </c>
      <c r="BX58" s="1791" t="str">
        <f t="shared" si="43"/>
        <v/>
      </c>
      <c r="BY58" s="1791"/>
      <c r="BZ58" s="1791"/>
      <c r="CA58" s="1791"/>
      <c r="CB58" s="1791"/>
      <c r="CC58" s="1791"/>
      <c r="CD58" s="1791"/>
      <c r="CF58" s="1793">
        <f t="shared" si="44"/>
        <v>0</v>
      </c>
      <c r="CG58" s="1793">
        <f t="shared" si="45"/>
        <v>0</v>
      </c>
    </row>
    <row r="59" spans="1:86" x14ac:dyDescent="0.25">
      <c r="A59" s="7215"/>
      <c r="B59" s="5098" t="s">
        <v>62</v>
      </c>
      <c r="C59" s="1622">
        <f t="shared" si="40"/>
        <v>0</v>
      </c>
      <c r="D59" s="5013">
        <f t="shared" si="39"/>
        <v>0</v>
      </c>
      <c r="E59" s="5012">
        <f t="shared" si="39"/>
        <v>0</v>
      </c>
      <c r="F59" s="1113"/>
      <c r="G59" s="4055"/>
      <c r="H59" s="1113"/>
      <c r="I59" s="1117"/>
      <c r="J59" s="1113"/>
      <c r="K59" s="1117"/>
      <c r="L59" s="1113"/>
      <c r="M59" s="1117"/>
      <c r="N59" s="4529"/>
      <c r="O59" s="1117"/>
      <c r="P59" s="4529"/>
      <c r="Q59" s="1117"/>
      <c r="R59" s="4529"/>
      <c r="S59" s="1117"/>
      <c r="T59" s="4529"/>
      <c r="U59" s="1117"/>
      <c r="V59" s="4529"/>
      <c r="W59" s="1117"/>
      <c r="X59" s="4529"/>
      <c r="Y59" s="1117"/>
      <c r="Z59" s="4529"/>
      <c r="AA59" s="1117"/>
      <c r="AB59" s="4529"/>
      <c r="AC59" s="1117"/>
      <c r="AD59" s="4529"/>
      <c r="AE59" s="1117"/>
      <c r="AF59" s="4529"/>
      <c r="AG59" s="1117"/>
      <c r="AH59" s="4529"/>
      <c r="AI59" s="1117"/>
      <c r="AJ59" s="4529"/>
      <c r="AK59" s="1118"/>
      <c r="AL59" s="5099"/>
      <c r="AM59" s="5099"/>
      <c r="AN59" t="str">
        <f t="shared" si="41"/>
        <v/>
      </c>
      <c r="BW59" s="1791" t="str">
        <f t="shared" si="42"/>
        <v/>
      </c>
      <c r="BX59" s="1791" t="str">
        <f t="shared" si="43"/>
        <v/>
      </c>
      <c r="BY59" s="1791"/>
      <c r="BZ59" s="1791"/>
      <c r="CA59" s="1791"/>
      <c r="CB59" s="1791"/>
      <c r="CC59" s="1791"/>
      <c r="CD59" s="1791"/>
      <c r="CF59" s="1793">
        <f t="shared" si="44"/>
        <v>0</v>
      </c>
      <c r="CG59" s="1793">
        <f t="shared" si="45"/>
        <v>0</v>
      </c>
    </row>
    <row r="60" spans="1:86" x14ac:dyDescent="0.25">
      <c r="A60" s="7216"/>
      <c r="B60" s="58" t="s">
        <v>123</v>
      </c>
      <c r="C60" s="5100">
        <f t="shared" si="40"/>
        <v>0</v>
      </c>
      <c r="D60" s="5014">
        <f t="shared" si="39"/>
        <v>0</v>
      </c>
      <c r="E60" s="37">
        <f t="shared" si="39"/>
        <v>0</v>
      </c>
      <c r="F60" s="4431"/>
      <c r="G60" s="12"/>
      <c r="H60" s="4431"/>
      <c r="I60" s="4073"/>
      <c r="J60" s="4431"/>
      <c r="K60" s="4073"/>
      <c r="L60" s="4431"/>
      <c r="M60" s="4073"/>
      <c r="N60" s="22"/>
      <c r="O60" s="4073"/>
      <c r="P60" s="22"/>
      <c r="Q60" s="4073"/>
      <c r="R60" s="22"/>
      <c r="S60" s="4073"/>
      <c r="T60" s="22"/>
      <c r="U60" s="4073"/>
      <c r="V60" s="22"/>
      <c r="W60" s="4073"/>
      <c r="X60" s="22"/>
      <c r="Y60" s="4073"/>
      <c r="Z60" s="22"/>
      <c r="AA60" s="4073"/>
      <c r="AB60" s="22"/>
      <c r="AC60" s="4073"/>
      <c r="AD60" s="22"/>
      <c r="AE60" s="4073"/>
      <c r="AF60" s="22"/>
      <c r="AG60" s="4073"/>
      <c r="AH60" s="22"/>
      <c r="AI60" s="4073"/>
      <c r="AJ60" s="22"/>
      <c r="AK60" s="4074"/>
      <c r="AL60" s="59"/>
      <c r="AM60" s="59"/>
      <c r="AN60" t="str">
        <f t="shared" si="41"/>
        <v/>
      </c>
      <c r="BW60" s="1791" t="str">
        <f t="shared" si="42"/>
        <v/>
      </c>
      <c r="BX60" s="1791" t="str">
        <f t="shared" si="43"/>
        <v/>
      </c>
      <c r="BY60" s="1791"/>
      <c r="BZ60" s="1791"/>
      <c r="CA60" s="1791"/>
      <c r="CB60" s="1791"/>
      <c r="CC60" s="1791"/>
      <c r="CD60" s="1791"/>
      <c r="CF60" s="1793">
        <f t="shared" si="44"/>
        <v>0</v>
      </c>
      <c r="CG60" s="1793">
        <f t="shared" si="45"/>
        <v>0</v>
      </c>
    </row>
    <row r="61" spans="1:86" x14ac:dyDescent="0.25">
      <c r="A61" s="7214" t="s">
        <v>116</v>
      </c>
      <c r="B61" s="5096" t="s">
        <v>75</v>
      </c>
      <c r="C61" s="5002">
        <f t="shared" si="40"/>
        <v>0</v>
      </c>
      <c r="D61" s="5003">
        <f t="shared" ref="D61:E66" si="46">SUM(H61+J61+L61)</f>
        <v>0</v>
      </c>
      <c r="E61" s="5004">
        <f t="shared" si="46"/>
        <v>0</v>
      </c>
      <c r="F61" s="5101"/>
      <c r="G61" s="5102"/>
      <c r="H61" s="5005"/>
      <c r="I61" s="5007"/>
      <c r="J61" s="5005"/>
      <c r="K61" s="5007"/>
      <c r="L61" s="5005"/>
      <c r="M61" s="5007"/>
      <c r="N61" s="5103"/>
      <c r="O61" s="5104"/>
      <c r="P61" s="5103"/>
      <c r="Q61" s="5104"/>
      <c r="R61" s="5103"/>
      <c r="S61" s="5104"/>
      <c r="T61" s="5103"/>
      <c r="U61" s="5104"/>
      <c r="V61" s="5103"/>
      <c r="W61" s="5104"/>
      <c r="X61" s="5103"/>
      <c r="Y61" s="5104"/>
      <c r="Z61" s="5103"/>
      <c r="AA61" s="5104"/>
      <c r="AB61" s="5103"/>
      <c r="AC61" s="5104"/>
      <c r="AD61" s="5103"/>
      <c r="AE61" s="5104"/>
      <c r="AF61" s="5103"/>
      <c r="AG61" s="5104"/>
      <c r="AH61" s="5101"/>
      <c r="AI61" s="5104"/>
      <c r="AJ61" s="5103"/>
      <c r="AK61" s="5105"/>
      <c r="AL61" s="5097"/>
      <c r="AM61" s="5097"/>
      <c r="AN61" t="str">
        <f t="shared" si="41"/>
        <v/>
      </c>
      <c r="BW61" s="1791" t="str">
        <f t="shared" si="42"/>
        <v/>
      </c>
      <c r="BX61" s="1791" t="str">
        <f t="shared" si="43"/>
        <v/>
      </c>
      <c r="BY61" s="1791"/>
      <c r="BZ61" s="1791"/>
      <c r="CA61" s="1791"/>
      <c r="CB61" s="1791"/>
      <c r="CC61" s="1791"/>
      <c r="CD61" s="1791"/>
      <c r="CF61" s="1793">
        <f t="shared" si="44"/>
        <v>0</v>
      </c>
      <c r="CG61" s="1793">
        <f t="shared" si="45"/>
        <v>0</v>
      </c>
    </row>
    <row r="62" spans="1:86" x14ac:dyDescent="0.25">
      <c r="A62" s="7216"/>
      <c r="B62" s="5098" t="s">
        <v>62</v>
      </c>
      <c r="C62" s="5100">
        <f t="shared" si="40"/>
        <v>0</v>
      </c>
      <c r="D62" s="5014">
        <f t="shared" si="46"/>
        <v>0</v>
      </c>
      <c r="E62" s="37">
        <f t="shared" si="46"/>
        <v>0</v>
      </c>
      <c r="F62" s="5106"/>
      <c r="G62" s="36"/>
      <c r="H62" s="4431"/>
      <c r="I62" s="4073"/>
      <c r="J62" s="4431"/>
      <c r="K62" s="4073"/>
      <c r="L62" s="4431"/>
      <c r="M62" s="4073"/>
      <c r="N62" s="41"/>
      <c r="O62" s="5107"/>
      <c r="P62" s="41"/>
      <c r="Q62" s="5107"/>
      <c r="R62" s="41"/>
      <c r="S62" s="5107"/>
      <c r="T62" s="41"/>
      <c r="U62" s="5107"/>
      <c r="V62" s="41"/>
      <c r="W62" s="5107"/>
      <c r="X62" s="41"/>
      <c r="Y62" s="5107"/>
      <c r="Z62" s="41"/>
      <c r="AA62" s="5107"/>
      <c r="AB62" s="41"/>
      <c r="AC62" s="5107"/>
      <c r="AD62" s="41"/>
      <c r="AE62" s="5107"/>
      <c r="AF62" s="41"/>
      <c r="AG62" s="5107"/>
      <c r="AH62" s="5106"/>
      <c r="AI62" s="5107"/>
      <c r="AJ62" s="41"/>
      <c r="AK62" s="5108"/>
      <c r="AL62" s="59"/>
      <c r="AM62" s="59"/>
      <c r="AN62" t="str">
        <f t="shared" si="41"/>
        <v/>
      </c>
      <c r="BW62" s="1791" t="str">
        <f t="shared" si="42"/>
        <v/>
      </c>
      <c r="BX62" s="1791" t="str">
        <f t="shared" si="43"/>
        <v/>
      </c>
      <c r="BY62" s="1791"/>
      <c r="BZ62" s="1791"/>
      <c r="CA62" s="1791"/>
      <c r="CB62" s="1791"/>
      <c r="CC62" s="1791"/>
      <c r="CD62" s="1791"/>
      <c r="CF62" s="1793">
        <f t="shared" si="44"/>
        <v>0</v>
      </c>
      <c r="CG62" s="1793">
        <f t="shared" si="45"/>
        <v>0</v>
      </c>
    </row>
    <row r="63" spans="1:86" x14ac:dyDescent="0.25">
      <c r="A63" s="7214" t="s">
        <v>118</v>
      </c>
      <c r="B63" s="5096" t="s">
        <v>74</v>
      </c>
      <c r="C63" s="5002">
        <f t="shared" si="40"/>
        <v>0</v>
      </c>
      <c r="D63" s="5003">
        <f t="shared" si="46"/>
        <v>0</v>
      </c>
      <c r="E63" s="5004">
        <f t="shared" si="46"/>
        <v>0</v>
      </c>
      <c r="F63" s="5101"/>
      <c r="G63" s="5102"/>
      <c r="H63" s="5005"/>
      <c r="I63" s="5007"/>
      <c r="J63" s="5005"/>
      <c r="K63" s="5007"/>
      <c r="L63" s="5005"/>
      <c r="M63" s="5007"/>
      <c r="N63" s="5103"/>
      <c r="O63" s="5104"/>
      <c r="P63" s="5103"/>
      <c r="Q63" s="5104"/>
      <c r="R63" s="5103"/>
      <c r="S63" s="5104"/>
      <c r="T63" s="5103"/>
      <c r="U63" s="5104"/>
      <c r="V63" s="5103"/>
      <c r="W63" s="5104"/>
      <c r="X63" s="5103"/>
      <c r="Y63" s="5104"/>
      <c r="Z63" s="5103"/>
      <c r="AA63" s="5104"/>
      <c r="AB63" s="5103"/>
      <c r="AC63" s="5104"/>
      <c r="AD63" s="5103"/>
      <c r="AE63" s="5104"/>
      <c r="AF63" s="5103"/>
      <c r="AG63" s="5104"/>
      <c r="AH63" s="5101"/>
      <c r="AI63" s="5104"/>
      <c r="AJ63" s="5103"/>
      <c r="AK63" s="5105"/>
      <c r="AL63" s="5097"/>
      <c r="AM63" s="5097"/>
      <c r="AN63" t="str">
        <f t="shared" si="41"/>
        <v/>
      </c>
      <c r="BW63" s="1791" t="str">
        <f t="shared" si="42"/>
        <v/>
      </c>
      <c r="BX63" s="1791" t="str">
        <f t="shared" si="43"/>
        <v/>
      </c>
      <c r="BY63" s="1791"/>
      <c r="BZ63" s="1791"/>
      <c r="CA63" s="1791"/>
      <c r="CB63" s="1791"/>
      <c r="CC63" s="1791"/>
      <c r="CD63" s="1791"/>
      <c r="CF63" s="1793">
        <f t="shared" si="44"/>
        <v>0</v>
      </c>
      <c r="CG63" s="1793">
        <f t="shared" si="45"/>
        <v>0</v>
      </c>
    </row>
    <row r="64" spans="1:86" x14ac:dyDescent="0.25">
      <c r="A64" s="7215"/>
      <c r="B64" s="5098" t="s">
        <v>86</v>
      </c>
      <c r="C64" s="1622">
        <f t="shared" si="40"/>
        <v>0</v>
      </c>
      <c r="D64" s="5013">
        <f t="shared" si="46"/>
        <v>0</v>
      </c>
      <c r="E64" s="5012">
        <f t="shared" si="46"/>
        <v>0</v>
      </c>
      <c r="F64" s="1598"/>
      <c r="G64" s="5109"/>
      <c r="H64" s="1113"/>
      <c r="I64" s="1117"/>
      <c r="J64" s="1113"/>
      <c r="K64" s="1117"/>
      <c r="L64" s="1113"/>
      <c r="M64" s="1117"/>
      <c r="N64" s="5110"/>
      <c r="O64" s="1597"/>
      <c r="P64" s="5110"/>
      <c r="Q64" s="1597"/>
      <c r="R64" s="5110"/>
      <c r="S64" s="1597"/>
      <c r="T64" s="5110"/>
      <c r="U64" s="1597"/>
      <c r="V64" s="5110"/>
      <c r="W64" s="1597"/>
      <c r="X64" s="5110"/>
      <c r="Y64" s="1597"/>
      <c r="Z64" s="5110"/>
      <c r="AA64" s="1597"/>
      <c r="AB64" s="5110"/>
      <c r="AC64" s="1597"/>
      <c r="AD64" s="5110"/>
      <c r="AE64" s="1597"/>
      <c r="AF64" s="5110"/>
      <c r="AG64" s="1597"/>
      <c r="AH64" s="1598"/>
      <c r="AI64" s="1597"/>
      <c r="AJ64" s="5110"/>
      <c r="AK64" s="5111"/>
      <c r="AL64" s="5099"/>
      <c r="AM64" s="5099"/>
      <c r="AN64" t="str">
        <f t="shared" si="41"/>
        <v/>
      </c>
      <c r="BW64" s="1791" t="str">
        <f t="shared" si="42"/>
        <v/>
      </c>
      <c r="BX64" s="1791" t="str">
        <f t="shared" si="43"/>
        <v/>
      </c>
      <c r="BY64" s="1791"/>
      <c r="BZ64" s="1791"/>
      <c r="CA64" s="1791"/>
      <c r="CB64" s="1791"/>
      <c r="CC64" s="1791"/>
      <c r="CD64" s="1791"/>
      <c r="CF64" s="1793">
        <f t="shared" si="44"/>
        <v>0</v>
      </c>
      <c r="CG64" s="1793">
        <f t="shared" si="45"/>
        <v>0</v>
      </c>
    </row>
    <row r="65" spans="1:85" x14ac:dyDescent="0.25">
      <c r="A65" s="7215"/>
      <c r="B65" s="5098" t="s">
        <v>75</v>
      </c>
      <c r="C65" s="1622">
        <f t="shared" si="40"/>
        <v>0</v>
      </c>
      <c r="D65" s="5013">
        <f t="shared" si="46"/>
        <v>0</v>
      </c>
      <c r="E65" s="5012">
        <f t="shared" si="46"/>
        <v>0</v>
      </c>
      <c r="F65" s="1598"/>
      <c r="G65" s="5109"/>
      <c r="H65" s="1113"/>
      <c r="I65" s="1117"/>
      <c r="J65" s="1113"/>
      <c r="K65" s="1117"/>
      <c r="L65" s="1113"/>
      <c r="M65" s="1117"/>
      <c r="N65" s="5110"/>
      <c r="O65" s="1597"/>
      <c r="P65" s="5110"/>
      <c r="Q65" s="1597"/>
      <c r="R65" s="5110"/>
      <c r="S65" s="1597"/>
      <c r="T65" s="5110"/>
      <c r="U65" s="1597"/>
      <c r="V65" s="5110"/>
      <c r="W65" s="1597"/>
      <c r="X65" s="5110"/>
      <c r="Y65" s="1597"/>
      <c r="Z65" s="5110"/>
      <c r="AA65" s="1597"/>
      <c r="AB65" s="5110"/>
      <c r="AC65" s="1597"/>
      <c r="AD65" s="5110"/>
      <c r="AE65" s="1597"/>
      <c r="AF65" s="5110"/>
      <c r="AG65" s="1597"/>
      <c r="AH65" s="1598"/>
      <c r="AI65" s="1597"/>
      <c r="AJ65" s="5110"/>
      <c r="AK65" s="5111"/>
      <c r="AL65" s="5099"/>
      <c r="AM65" s="5099"/>
      <c r="AN65" t="str">
        <f t="shared" si="41"/>
        <v/>
      </c>
      <c r="BW65" s="1791" t="str">
        <f t="shared" si="42"/>
        <v/>
      </c>
      <c r="BX65" s="1791" t="str">
        <f t="shared" si="43"/>
        <v/>
      </c>
      <c r="BY65" s="1791"/>
      <c r="BZ65" s="1791"/>
      <c r="CA65" s="1791"/>
      <c r="CB65" s="1791"/>
      <c r="CC65" s="1791"/>
      <c r="CD65" s="1791"/>
      <c r="CF65" s="1793">
        <f t="shared" si="44"/>
        <v>0</v>
      </c>
      <c r="CG65" s="1793">
        <f t="shared" si="45"/>
        <v>0</v>
      </c>
    </row>
    <row r="66" spans="1:85" x14ac:dyDescent="0.25">
      <c r="A66" s="7216"/>
      <c r="B66" s="5098" t="s">
        <v>62</v>
      </c>
      <c r="C66" s="5100">
        <f t="shared" si="40"/>
        <v>0</v>
      </c>
      <c r="D66" s="5014">
        <f t="shared" si="46"/>
        <v>0</v>
      </c>
      <c r="E66" s="37">
        <f t="shared" si="46"/>
        <v>0</v>
      </c>
      <c r="F66" s="5106"/>
      <c r="G66" s="36"/>
      <c r="H66" s="4431"/>
      <c r="I66" s="4073"/>
      <c r="J66" s="4431"/>
      <c r="K66" s="4073"/>
      <c r="L66" s="4431"/>
      <c r="M66" s="4073"/>
      <c r="N66" s="41"/>
      <c r="O66" s="5107"/>
      <c r="P66" s="41"/>
      <c r="Q66" s="5107"/>
      <c r="R66" s="41"/>
      <c r="S66" s="5107"/>
      <c r="T66" s="41"/>
      <c r="U66" s="5107"/>
      <c r="V66" s="41"/>
      <c r="W66" s="5107"/>
      <c r="X66" s="41"/>
      <c r="Y66" s="5107"/>
      <c r="Z66" s="41"/>
      <c r="AA66" s="5107"/>
      <c r="AB66" s="41"/>
      <c r="AC66" s="5107"/>
      <c r="AD66" s="41"/>
      <c r="AE66" s="5107"/>
      <c r="AF66" s="41"/>
      <c r="AG66" s="5107"/>
      <c r="AH66" s="5106"/>
      <c r="AI66" s="5107"/>
      <c r="AJ66" s="41"/>
      <c r="AK66" s="5108"/>
      <c r="AL66" s="59"/>
      <c r="AM66" s="59"/>
      <c r="AN66" t="str">
        <f t="shared" si="41"/>
        <v/>
      </c>
      <c r="BW66" s="1791" t="str">
        <f t="shared" si="42"/>
        <v/>
      </c>
      <c r="BX66" s="1791" t="str">
        <f t="shared" si="43"/>
        <v/>
      </c>
      <c r="BY66" s="1791"/>
      <c r="BZ66" s="1791"/>
      <c r="CA66" s="1791"/>
      <c r="CB66" s="1791"/>
      <c r="CC66" s="1791"/>
      <c r="CD66" s="1791"/>
      <c r="CF66" s="1793">
        <f t="shared" si="44"/>
        <v>0</v>
      </c>
      <c r="CG66" s="1793">
        <f t="shared" si="45"/>
        <v>0</v>
      </c>
    </row>
    <row r="67" spans="1:85" x14ac:dyDescent="0.25">
      <c r="A67" s="7214" t="s">
        <v>119</v>
      </c>
      <c r="B67" s="5096" t="s">
        <v>74</v>
      </c>
      <c r="C67" s="5002">
        <f t="shared" si="40"/>
        <v>0</v>
      </c>
      <c r="D67" s="5003">
        <f t="shared" ref="D67:D76" si="47">SUM(H67+J67+L67+N67+P67+R67+T67+V67+X67+Z67+AB67+AD67+AF67+AH67+AJ67)</f>
        <v>0</v>
      </c>
      <c r="E67" s="5004">
        <f t="shared" ref="E67:E76" si="48">SUM(I67+K67+M67+O67+Q67+S67+U67+W67+Y67+AA67+AC67+AE67+AG67+AI67+AK67)</f>
        <v>0</v>
      </c>
      <c r="F67" s="5101"/>
      <c r="G67" s="5104"/>
      <c r="H67" s="5005"/>
      <c r="I67" s="5007"/>
      <c r="J67" s="5005"/>
      <c r="K67" s="5007"/>
      <c r="L67" s="5005"/>
      <c r="M67" s="5007"/>
      <c r="N67" s="5005"/>
      <c r="O67" s="5007"/>
      <c r="P67" s="5005"/>
      <c r="Q67" s="5007"/>
      <c r="R67" s="5005"/>
      <c r="S67" s="5007"/>
      <c r="T67" s="5005"/>
      <c r="U67" s="5007"/>
      <c r="V67" s="5005"/>
      <c r="W67" s="5007"/>
      <c r="X67" s="5005"/>
      <c r="Y67" s="5007"/>
      <c r="Z67" s="5005"/>
      <c r="AA67" s="5007"/>
      <c r="AB67" s="5005"/>
      <c r="AC67" s="5007"/>
      <c r="AD67" s="5005"/>
      <c r="AE67" s="5007"/>
      <c r="AF67" s="5005"/>
      <c r="AG67" s="5007"/>
      <c r="AH67" s="5005"/>
      <c r="AI67" s="5007"/>
      <c r="AJ67" s="5005"/>
      <c r="AK67" s="5009"/>
      <c r="AL67" s="5097"/>
      <c r="AM67" s="5097"/>
      <c r="AN67" t="str">
        <f t="shared" si="41"/>
        <v/>
      </c>
      <c r="BW67" s="1791" t="str">
        <f t="shared" si="42"/>
        <v/>
      </c>
      <c r="BX67" s="1791" t="str">
        <f t="shared" si="43"/>
        <v/>
      </c>
      <c r="BY67" s="1791"/>
      <c r="BZ67" s="1791"/>
      <c r="CA67" s="1791"/>
      <c r="CB67" s="1791"/>
      <c r="CC67" s="1791"/>
      <c r="CD67" s="1791"/>
      <c r="CF67" s="1793">
        <f t="shared" si="44"/>
        <v>0</v>
      </c>
      <c r="CG67" s="1793">
        <f t="shared" si="45"/>
        <v>0</v>
      </c>
    </row>
    <row r="68" spans="1:85" x14ac:dyDescent="0.25">
      <c r="A68" s="7216"/>
      <c r="B68" s="5098" t="s">
        <v>86</v>
      </c>
      <c r="C68" s="46">
        <f t="shared" si="40"/>
        <v>0</v>
      </c>
      <c r="D68" s="47">
        <f t="shared" si="47"/>
        <v>0</v>
      </c>
      <c r="E68" s="37">
        <f t="shared" si="48"/>
        <v>0</v>
      </c>
      <c r="F68" s="5106"/>
      <c r="G68" s="5107"/>
      <c r="H68" s="4431"/>
      <c r="I68" s="4073"/>
      <c r="J68" s="4431"/>
      <c r="K68" s="4073"/>
      <c r="L68" s="4431"/>
      <c r="M68" s="4073"/>
      <c r="N68" s="4431"/>
      <c r="O68" s="4073"/>
      <c r="P68" s="4431"/>
      <c r="Q68" s="4073"/>
      <c r="R68" s="4431"/>
      <c r="S68" s="4073"/>
      <c r="T68" s="4431"/>
      <c r="U68" s="4073"/>
      <c r="V68" s="4431"/>
      <c r="W68" s="4073"/>
      <c r="X68" s="4431"/>
      <c r="Y68" s="4073"/>
      <c r="Z68" s="4431"/>
      <c r="AA68" s="4073"/>
      <c r="AB68" s="4431"/>
      <c r="AC68" s="4073"/>
      <c r="AD68" s="4431"/>
      <c r="AE68" s="4073"/>
      <c r="AF68" s="4431"/>
      <c r="AG68" s="4073"/>
      <c r="AH68" s="4431"/>
      <c r="AI68" s="4073"/>
      <c r="AJ68" s="4431"/>
      <c r="AK68" s="4074"/>
      <c r="AL68" s="59"/>
      <c r="AM68" s="59"/>
      <c r="AN68" t="str">
        <f t="shared" si="41"/>
        <v/>
      </c>
      <c r="BW68" s="1791" t="str">
        <f t="shared" si="42"/>
        <v/>
      </c>
      <c r="BX68" s="1791" t="str">
        <f t="shared" si="43"/>
        <v/>
      </c>
      <c r="BY68" s="1791"/>
      <c r="BZ68" s="1791"/>
      <c r="CA68" s="1791"/>
      <c r="CB68" s="1791"/>
      <c r="CC68" s="1791"/>
      <c r="CD68" s="1791"/>
      <c r="CF68" s="1793">
        <f t="shared" si="44"/>
        <v>0</v>
      </c>
      <c r="CG68" s="1793">
        <f t="shared" si="45"/>
        <v>0</v>
      </c>
    </row>
    <row r="69" spans="1:85" x14ac:dyDescent="0.25">
      <c r="A69" s="7214" t="s">
        <v>120</v>
      </c>
      <c r="B69" s="5096" t="s">
        <v>74</v>
      </c>
      <c r="C69" s="5002">
        <f t="shared" si="40"/>
        <v>0</v>
      </c>
      <c r="D69" s="5003">
        <f t="shared" si="47"/>
        <v>0</v>
      </c>
      <c r="E69" s="5004">
        <f t="shared" si="48"/>
        <v>0</v>
      </c>
      <c r="F69" s="5101"/>
      <c r="G69" s="5102"/>
      <c r="H69" s="5005"/>
      <c r="I69" s="5007"/>
      <c r="J69" s="5005"/>
      <c r="K69" s="5007"/>
      <c r="L69" s="5005"/>
      <c r="M69" s="5007"/>
      <c r="N69" s="5005"/>
      <c r="O69" s="5007"/>
      <c r="P69" s="5005"/>
      <c r="Q69" s="5007"/>
      <c r="R69" s="5005"/>
      <c r="S69" s="5007"/>
      <c r="T69" s="5005"/>
      <c r="U69" s="5007"/>
      <c r="V69" s="5005"/>
      <c r="W69" s="5007"/>
      <c r="X69" s="5005"/>
      <c r="Y69" s="5007"/>
      <c r="Z69" s="5005"/>
      <c r="AA69" s="5007"/>
      <c r="AB69" s="5005"/>
      <c r="AC69" s="5007"/>
      <c r="AD69" s="5005"/>
      <c r="AE69" s="5007"/>
      <c r="AF69" s="5005"/>
      <c r="AG69" s="5007"/>
      <c r="AH69" s="5005"/>
      <c r="AI69" s="5007"/>
      <c r="AJ69" s="5005"/>
      <c r="AK69" s="5009"/>
      <c r="AL69" s="5097"/>
      <c r="AM69" s="5097"/>
      <c r="AN69" t="str">
        <f t="shared" si="41"/>
        <v/>
      </c>
      <c r="BW69" s="1791" t="str">
        <f t="shared" si="42"/>
        <v/>
      </c>
      <c r="BX69" s="1791" t="str">
        <f t="shared" si="43"/>
        <v/>
      </c>
      <c r="BY69" s="1791"/>
      <c r="BZ69" s="1791"/>
      <c r="CA69" s="1791"/>
      <c r="CB69" s="1791"/>
      <c r="CC69" s="1791"/>
      <c r="CD69" s="1791"/>
      <c r="CF69" s="1793">
        <f t="shared" si="44"/>
        <v>0</v>
      </c>
      <c r="CG69" s="1793">
        <f t="shared" si="45"/>
        <v>0</v>
      </c>
    </row>
    <row r="70" spans="1:85" x14ac:dyDescent="0.25">
      <c r="A70" s="7216"/>
      <c r="B70" s="5098" t="s">
        <v>86</v>
      </c>
      <c r="C70" s="5100">
        <f t="shared" si="40"/>
        <v>0</v>
      </c>
      <c r="D70" s="5014">
        <f t="shared" si="47"/>
        <v>0</v>
      </c>
      <c r="E70" s="37">
        <f t="shared" si="48"/>
        <v>0</v>
      </c>
      <c r="F70" s="5106"/>
      <c r="G70" s="36"/>
      <c r="H70" s="4431"/>
      <c r="I70" s="4073"/>
      <c r="J70" s="4431"/>
      <c r="K70" s="4073"/>
      <c r="L70" s="4431"/>
      <c r="M70" s="4073"/>
      <c r="N70" s="4431"/>
      <c r="O70" s="4073"/>
      <c r="P70" s="4431"/>
      <c r="Q70" s="4073"/>
      <c r="R70" s="4431"/>
      <c r="S70" s="4073"/>
      <c r="T70" s="4431"/>
      <c r="U70" s="4073"/>
      <c r="V70" s="4431"/>
      <c r="W70" s="4073"/>
      <c r="X70" s="4431"/>
      <c r="Y70" s="4073"/>
      <c r="Z70" s="4431"/>
      <c r="AA70" s="4073"/>
      <c r="AB70" s="4431"/>
      <c r="AC70" s="4073"/>
      <c r="AD70" s="4431"/>
      <c r="AE70" s="4073"/>
      <c r="AF70" s="4431"/>
      <c r="AG70" s="4073"/>
      <c r="AH70" s="4431"/>
      <c r="AI70" s="4073"/>
      <c r="AJ70" s="4431"/>
      <c r="AK70" s="4074"/>
      <c r="AL70" s="59"/>
      <c r="AM70" s="59"/>
      <c r="AN70" t="str">
        <f t="shared" si="41"/>
        <v/>
      </c>
      <c r="BW70" s="1791" t="str">
        <f t="shared" si="42"/>
        <v/>
      </c>
      <c r="BX70" s="1791" t="str">
        <f t="shared" si="43"/>
        <v/>
      </c>
      <c r="BY70" s="1791"/>
      <c r="BZ70" s="1791"/>
      <c r="CA70" s="1791"/>
      <c r="CB70" s="1791"/>
      <c r="CC70" s="1791"/>
      <c r="CD70" s="1791"/>
      <c r="CF70" s="1793">
        <f t="shared" si="44"/>
        <v>0</v>
      </c>
      <c r="CG70" s="1793">
        <f t="shared" si="45"/>
        <v>0</v>
      </c>
    </row>
    <row r="71" spans="1:85" x14ac:dyDescent="0.25">
      <c r="A71" s="7214" t="s">
        <v>121</v>
      </c>
      <c r="B71" s="5096" t="s">
        <v>74</v>
      </c>
      <c r="C71" s="5002">
        <f t="shared" si="40"/>
        <v>0</v>
      </c>
      <c r="D71" s="5003">
        <f t="shared" si="47"/>
        <v>0</v>
      </c>
      <c r="E71" s="5004">
        <f t="shared" si="48"/>
        <v>0</v>
      </c>
      <c r="F71" s="5101"/>
      <c r="G71" s="5102"/>
      <c r="H71" s="5005"/>
      <c r="I71" s="5007"/>
      <c r="J71" s="5005"/>
      <c r="K71" s="5007"/>
      <c r="L71" s="5005"/>
      <c r="M71" s="5007"/>
      <c r="N71" s="5005"/>
      <c r="O71" s="5007"/>
      <c r="P71" s="5005"/>
      <c r="Q71" s="5007"/>
      <c r="R71" s="5005"/>
      <c r="S71" s="5007"/>
      <c r="T71" s="5005"/>
      <c r="U71" s="5007"/>
      <c r="V71" s="5005"/>
      <c r="W71" s="5007"/>
      <c r="X71" s="5005"/>
      <c r="Y71" s="5007"/>
      <c r="Z71" s="5005"/>
      <c r="AA71" s="5007"/>
      <c r="AB71" s="5005"/>
      <c r="AC71" s="5007"/>
      <c r="AD71" s="5005"/>
      <c r="AE71" s="5007"/>
      <c r="AF71" s="5005"/>
      <c r="AG71" s="5007"/>
      <c r="AH71" s="5005"/>
      <c r="AI71" s="5007"/>
      <c r="AJ71" s="5005"/>
      <c r="AK71" s="5009"/>
      <c r="AL71" s="5097"/>
      <c r="AM71" s="5097"/>
      <c r="AN71" t="str">
        <f t="shared" si="41"/>
        <v/>
      </c>
      <c r="BW71" s="1791" t="str">
        <f t="shared" si="42"/>
        <v/>
      </c>
      <c r="BX71" s="1791" t="str">
        <f t="shared" si="43"/>
        <v/>
      </c>
      <c r="BY71" s="1791"/>
      <c r="BZ71" s="1791"/>
      <c r="CA71" s="1791"/>
      <c r="CB71" s="1791"/>
      <c r="CC71" s="1791"/>
      <c r="CD71" s="1791"/>
      <c r="CF71" s="1793">
        <f t="shared" si="44"/>
        <v>0</v>
      </c>
      <c r="CG71" s="1793">
        <f t="shared" si="45"/>
        <v>0</v>
      </c>
    </row>
    <row r="72" spans="1:85" x14ac:dyDescent="0.25">
      <c r="A72" s="7215"/>
      <c r="B72" s="5098" t="s">
        <v>86</v>
      </c>
      <c r="C72" s="1622">
        <f t="shared" si="40"/>
        <v>0</v>
      </c>
      <c r="D72" s="5013">
        <f t="shared" si="47"/>
        <v>0</v>
      </c>
      <c r="E72" s="5012">
        <f t="shared" si="48"/>
        <v>0</v>
      </c>
      <c r="F72" s="1598"/>
      <c r="G72" s="5109"/>
      <c r="H72" s="1113"/>
      <c r="I72" s="1117"/>
      <c r="J72" s="1113"/>
      <c r="K72" s="1117"/>
      <c r="L72" s="1113"/>
      <c r="M72" s="1117"/>
      <c r="N72" s="1113"/>
      <c r="O72" s="1117"/>
      <c r="P72" s="1113"/>
      <c r="Q72" s="1117"/>
      <c r="R72" s="1113"/>
      <c r="S72" s="1117"/>
      <c r="T72" s="1113"/>
      <c r="U72" s="1117"/>
      <c r="V72" s="1113"/>
      <c r="W72" s="1117"/>
      <c r="X72" s="1113"/>
      <c r="Y72" s="1117"/>
      <c r="Z72" s="1113"/>
      <c r="AA72" s="1117"/>
      <c r="AB72" s="1113"/>
      <c r="AC72" s="1117"/>
      <c r="AD72" s="1113"/>
      <c r="AE72" s="1117"/>
      <c r="AF72" s="1113"/>
      <c r="AG72" s="1117"/>
      <c r="AH72" s="1113"/>
      <c r="AI72" s="1117"/>
      <c r="AJ72" s="1113"/>
      <c r="AK72" s="1118"/>
      <c r="AL72" s="5099"/>
      <c r="AM72" s="5099"/>
      <c r="AN72" t="str">
        <f t="shared" si="41"/>
        <v/>
      </c>
      <c r="BW72" s="1791" t="str">
        <f t="shared" si="42"/>
        <v/>
      </c>
      <c r="BX72" s="1791" t="str">
        <f t="shared" si="43"/>
        <v/>
      </c>
      <c r="BY72" s="1791"/>
      <c r="BZ72" s="1791"/>
      <c r="CA72" s="1791"/>
      <c r="CB72" s="1791"/>
      <c r="CC72" s="1791"/>
      <c r="CD72" s="1791"/>
      <c r="CF72" s="1793">
        <f t="shared" si="44"/>
        <v>0</v>
      </c>
      <c r="CG72" s="1793">
        <f t="shared" si="45"/>
        <v>0</v>
      </c>
    </row>
    <row r="73" spans="1:85" x14ac:dyDescent="0.25">
      <c r="A73" s="7215"/>
      <c r="B73" s="5098" t="s">
        <v>75</v>
      </c>
      <c r="C73" s="1622">
        <f t="shared" si="40"/>
        <v>0</v>
      </c>
      <c r="D73" s="5013">
        <f t="shared" si="47"/>
        <v>0</v>
      </c>
      <c r="E73" s="5012">
        <f t="shared" si="48"/>
        <v>0</v>
      </c>
      <c r="F73" s="1598"/>
      <c r="G73" s="5109"/>
      <c r="H73" s="1113"/>
      <c r="I73" s="1117"/>
      <c r="J73" s="1113"/>
      <c r="K73" s="1117"/>
      <c r="L73" s="1113"/>
      <c r="M73" s="1117"/>
      <c r="N73" s="1113"/>
      <c r="O73" s="1117"/>
      <c r="P73" s="1113"/>
      <c r="Q73" s="1117"/>
      <c r="R73" s="1113"/>
      <c r="S73" s="1117"/>
      <c r="T73" s="1113"/>
      <c r="U73" s="1117"/>
      <c r="V73" s="1113"/>
      <c r="W73" s="1117"/>
      <c r="X73" s="1113"/>
      <c r="Y73" s="1117"/>
      <c r="Z73" s="1113"/>
      <c r="AA73" s="1117"/>
      <c r="AB73" s="1113"/>
      <c r="AC73" s="1117"/>
      <c r="AD73" s="1113"/>
      <c r="AE73" s="1117"/>
      <c r="AF73" s="1113"/>
      <c r="AG73" s="1117"/>
      <c r="AH73" s="1113"/>
      <c r="AI73" s="1117"/>
      <c r="AJ73" s="1113"/>
      <c r="AK73" s="1118"/>
      <c r="AL73" s="5099"/>
      <c r="AM73" s="5099"/>
      <c r="AN73" t="str">
        <f t="shared" si="41"/>
        <v/>
      </c>
      <c r="BW73" s="1791" t="str">
        <f t="shared" si="42"/>
        <v/>
      </c>
      <c r="BX73" s="1791" t="str">
        <f t="shared" si="43"/>
        <v/>
      </c>
      <c r="BY73" s="1791"/>
      <c r="BZ73" s="1791"/>
      <c r="CA73" s="1791"/>
      <c r="CB73" s="1791"/>
      <c r="CC73" s="1791"/>
      <c r="CD73" s="1791"/>
      <c r="CF73" s="1793">
        <f t="shared" si="44"/>
        <v>0</v>
      </c>
      <c r="CG73" s="1793">
        <f t="shared" si="45"/>
        <v>0</v>
      </c>
    </row>
    <row r="74" spans="1:85" x14ac:dyDescent="0.25">
      <c r="A74" s="7215"/>
      <c r="B74" s="5098" t="s">
        <v>122</v>
      </c>
      <c r="C74" s="1622">
        <f t="shared" si="40"/>
        <v>0</v>
      </c>
      <c r="D74" s="5013">
        <f t="shared" si="47"/>
        <v>0</v>
      </c>
      <c r="E74" s="5012">
        <f t="shared" si="48"/>
        <v>0</v>
      </c>
      <c r="F74" s="1598"/>
      <c r="G74" s="5109"/>
      <c r="H74" s="1113"/>
      <c r="I74" s="1117"/>
      <c r="J74" s="1113"/>
      <c r="K74" s="1117"/>
      <c r="L74" s="1113"/>
      <c r="M74" s="1117"/>
      <c r="N74" s="1113"/>
      <c r="O74" s="1117"/>
      <c r="P74" s="1113"/>
      <c r="Q74" s="1117"/>
      <c r="R74" s="1113"/>
      <c r="S74" s="1117"/>
      <c r="T74" s="1113"/>
      <c r="U74" s="1117"/>
      <c r="V74" s="1113"/>
      <c r="W74" s="1117"/>
      <c r="X74" s="1113"/>
      <c r="Y74" s="1117"/>
      <c r="Z74" s="1113"/>
      <c r="AA74" s="1117"/>
      <c r="AB74" s="1113"/>
      <c r="AC74" s="1117"/>
      <c r="AD74" s="1113"/>
      <c r="AE74" s="1117"/>
      <c r="AF74" s="1113"/>
      <c r="AG74" s="1117"/>
      <c r="AH74" s="1113"/>
      <c r="AI74" s="1117"/>
      <c r="AJ74" s="1113"/>
      <c r="AK74" s="1118"/>
      <c r="AL74" s="5099"/>
      <c r="AM74" s="5099"/>
      <c r="AN74" t="str">
        <f t="shared" si="41"/>
        <v/>
      </c>
      <c r="BW74" s="1791" t="str">
        <f t="shared" si="42"/>
        <v/>
      </c>
      <c r="BX74" s="1791" t="str">
        <f t="shared" si="43"/>
        <v/>
      </c>
      <c r="BY74" s="1791"/>
      <c r="BZ74" s="1791"/>
      <c r="CA74" s="1791"/>
      <c r="CB74" s="1791"/>
      <c r="CC74" s="1791"/>
      <c r="CD74" s="1791"/>
      <c r="CF74" s="1793">
        <f t="shared" si="44"/>
        <v>0</v>
      </c>
      <c r="CG74" s="1793">
        <f t="shared" si="45"/>
        <v>0</v>
      </c>
    </row>
    <row r="75" spans="1:85" x14ac:dyDescent="0.25">
      <c r="A75" s="7215"/>
      <c r="B75" s="5098" t="s">
        <v>62</v>
      </c>
      <c r="C75" s="1622">
        <f t="shared" si="40"/>
        <v>0</v>
      </c>
      <c r="D75" s="5013">
        <f t="shared" si="47"/>
        <v>0</v>
      </c>
      <c r="E75" s="5012">
        <f t="shared" si="48"/>
        <v>0</v>
      </c>
      <c r="F75" s="1598"/>
      <c r="G75" s="5109"/>
      <c r="H75" s="1113"/>
      <c r="I75" s="1117"/>
      <c r="J75" s="1113"/>
      <c r="K75" s="1117"/>
      <c r="L75" s="1113"/>
      <c r="M75" s="1117"/>
      <c r="N75" s="1113"/>
      <c r="O75" s="1117"/>
      <c r="P75" s="1113"/>
      <c r="Q75" s="1117"/>
      <c r="R75" s="1113"/>
      <c r="S75" s="1117"/>
      <c r="T75" s="1113"/>
      <c r="U75" s="1117"/>
      <c r="V75" s="1113"/>
      <c r="W75" s="1117"/>
      <c r="X75" s="1113"/>
      <c r="Y75" s="1117"/>
      <c r="Z75" s="1113"/>
      <c r="AA75" s="1117"/>
      <c r="AB75" s="1113"/>
      <c r="AC75" s="1117"/>
      <c r="AD75" s="1113"/>
      <c r="AE75" s="1117"/>
      <c r="AF75" s="1113"/>
      <c r="AG75" s="1117"/>
      <c r="AH75" s="1113"/>
      <c r="AI75" s="1117"/>
      <c r="AJ75" s="1113"/>
      <c r="AK75" s="1118"/>
      <c r="AL75" s="5099"/>
      <c r="AM75" s="5099"/>
      <c r="AN75" t="str">
        <f t="shared" si="41"/>
        <v/>
      </c>
      <c r="BW75" s="1791" t="str">
        <f t="shared" si="42"/>
        <v/>
      </c>
      <c r="BX75" s="1791" t="str">
        <f t="shared" si="43"/>
        <v/>
      </c>
      <c r="BY75" s="1791"/>
      <c r="BZ75" s="1791"/>
      <c r="CA75" s="1791"/>
      <c r="CB75" s="1791"/>
      <c r="CC75" s="1791"/>
      <c r="CD75" s="1791"/>
      <c r="CF75" s="1793">
        <f t="shared" si="44"/>
        <v>0</v>
      </c>
      <c r="CG75" s="1793">
        <f t="shared" si="45"/>
        <v>0</v>
      </c>
    </row>
    <row r="76" spans="1:85" x14ac:dyDescent="0.25">
      <c r="A76" s="7216"/>
      <c r="B76" s="58" t="s">
        <v>123</v>
      </c>
      <c r="C76" s="5100">
        <f t="shared" si="40"/>
        <v>0</v>
      </c>
      <c r="D76" s="5014">
        <f t="shared" si="47"/>
        <v>0</v>
      </c>
      <c r="E76" s="37">
        <f t="shared" si="48"/>
        <v>0</v>
      </c>
      <c r="F76" s="5106"/>
      <c r="G76" s="36"/>
      <c r="H76" s="4431"/>
      <c r="I76" s="4073"/>
      <c r="J76" s="4431"/>
      <c r="K76" s="4073"/>
      <c r="L76" s="4431"/>
      <c r="M76" s="4073"/>
      <c r="N76" s="4431"/>
      <c r="O76" s="4073"/>
      <c r="P76" s="4431"/>
      <c r="Q76" s="4073"/>
      <c r="R76" s="4431"/>
      <c r="S76" s="4073"/>
      <c r="T76" s="4431"/>
      <c r="U76" s="4073"/>
      <c r="V76" s="4431"/>
      <c r="W76" s="4073"/>
      <c r="X76" s="4431"/>
      <c r="Y76" s="4073"/>
      <c r="Z76" s="4431"/>
      <c r="AA76" s="4073"/>
      <c r="AB76" s="4431"/>
      <c r="AC76" s="4073"/>
      <c r="AD76" s="4431"/>
      <c r="AE76" s="4073"/>
      <c r="AF76" s="4431"/>
      <c r="AG76" s="4073"/>
      <c r="AH76" s="4431"/>
      <c r="AI76" s="4073"/>
      <c r="AJ76" s="4431"/>
      <c r="AK76" s="4074"/>
      <c r="AL76" s="59"/>
      <c r="AM76" s="59"/>
      <c r="AN76" t="str">
        <f t="shared" si="41"/>
        <v/>
      </c>
      <c r="BW76" s="1791" t="str">
        <f t="shared" si="42"/>
        <v/>
      </c>
      <c r="BX76" s="1791" t="str">
        <f t="shared" si="43"/>
        <v/>
      </c>
      <c r="BY76" s="1791"/>
      <c r="BZ76" s="1791"/>
      <c r="CA76" s="1791"/>
      <c r="CB76" s="1791"/>
      <c r="CC76" s="1791"/>
      <c r="CD76" s="1791"/>
      <c r="CF76" s="1793">
        <f t="shared" si="44"/>
        <v>0</v>
      </c>
      <c r="CG76" s="1793">
        <f t="shared" si="45"/>
        <v>0</v>
      </c>
    </row>
    <row r="77" spans="1:85" s="17" customFormat="1" ht="18" customHeight="1" x14ac:dyDescent="0.2">
      <c r="A77" s="5112" t="s">
        <v>124</v>
      </c>
      <c r="B77" s="5090"/>
      <c r="C77" s="5090"/>
      <c r="D77" s="5113"/>
      <c r="E77" s="5113"/>
      <c r="F77" s="5113"/>
      <c r="G77" s="1797"/>
      <c r="H77" s="1797"/>
      <c r="I77" s="1797"/>
    </row>
    <row r="78" spans="1:85" ht="23.25" customHeight="1" x14ac:dyDescent="0.25">
      <c r="A78" s="7205" t="s">
        <v>125</v>
      </c>
      <c r="B78" s="7212" t="s">
        <v>126</v>
      </c>
      <c r="C78" s="7212"/>
      <c r="D78" s="7212" t="s">
        <v>127</v>
      </c>
      <c r="E78" s="7213"/>
      <c r="F78" s="7208" t="s">
        <v>128</v>
      </c>
      <c r="G78" s="7212"/>
      <c r="H78" s="7208" t="s">
        <v>129</v>
      </c>
      <c r="I78" s="7212"/>
    </row>
    <row r="79" spans="1:85" ht="23.25" customHeight="1" x14ac:dyDescent="0.25">
      <c r="A79" s="7206"/>
      <c r="B79" s="5116" t="s">
        <v>130</v>
      </c>
      <c r="C79" s="5117" t="s">
        <v>131</v>
      </c>
      <c r="D79" s="5116" t="s">
        <v>130</v>
      </c>
      <c r="E79" s="5118" t="s">
        <v>131</v>
      </c>
      <c r="F79" s="5119" t="s">
        <v>130</v>
      </c>
      <c r="G79" s="5117" t="s">
        <v>131</v>
      </c>
      <c r="H79" s="5119" t="s">
        <v>130</v>
      </c>
      <c r="I79" s="5117" t="s">
        <v>131</v>
      </c>
    </row>
    <row r="80" spans="1:85" ht="15" customHeight="1" x14ac:dyDescent="0.25">
      <c r="A80" s="5120" t="s">
        <v>132</v>
      </c>
      <c r="B80" s="5121"/>
      <c r="C80" s="5122"/>
      <c r="D80" s="5121"/>
      <c r="E80" s="5123"/>
      <c r="F80" s="5124"/>
      <c r="G80" s="5122"/>
      <c r="H80" s="5124"/>
      <c r="I80" s="5122"/>
    </row>
    <row r="81" spans="1:9" ht="15" customHeight="1" x14ac:dyDescent="0.25">
      <c r="A81" s="5125" t="s">
        <v>133</v>
      </c>
      <c r="B81" s="5126"/>
      <c r="C81" s="5127"/>
      <c r="D81" s="5126"/>
      <c r="E81" s="5128"/>
      <c r="F81" s="5129"/>
      <c r="G81" s="5127"/>
      <c r="H81" s="5129"/>
      <c r="I81" s="5127"/>
    </row>
    <row r="82" spans="1:9" ht="15" customHeight="1" x14ac:dyDescent="0.25">
      <c r="A82" s="5125" t="s">
        <v>134</v>
      </c>
      <c r="B82" s="5126"/>
      <c r="C82" s="5127"/>
      <c r="D82" s="5126"/>
      <c r="E82" s="5128"/>
      <c r="F82" s="5129"/>
      <c r="G82" s="5127"/>
      <c r="H82" s="5129"/>
      <c r="I82" s="5127"/>
    </row>
    <row r="83" spans="1:9" ht="15" customHeight="1" x14ac:dyDescent="0.25">
      <c r="A83" s="60" t="s">
        <v>135</v>
      </c>
      <c r="B83" s="4431"/>
      <c r="C83" s="5107"/>
      <c r="D83" s="4431"/>
      <c r="E83" s="5108"/>
      <c r="F83" s="21"/>
      <c r="G83" s="5107"/>
      <c r="H83" s="21"/>
      <c r="I83" s="5107"/>
    </row>
    <row r="84" spans="1:9" s="17" customFormat="1" ht="18" customHeight="1" x14ac:dyDescent="0.2">
      <c r="A84" s="14" t="s">
        <v>136</v>
      </c>
      <c r="B84" s="5080"/>
      <c r="C84" s="5080"/>
      <c r="D84" s="5080"/>
    </row>
    <row r="85" spans="1:9" ht="31.5" x14ac:dyDescent="0.25">
      <c r="A85" s="6072" t="s">
        <v>137</v>
      </c>
      <c r="B85" s="5114" t="s">
        <v>138</v>
      </c>
      <c r="C85" s="5572" t="s">
        <v>139</v>
      </c>
      <c r="D85" s="5573" t="s">
        <v>140</v>
      </c>
    </row>
    <row r="86" spans="1:9" x14ac:dyDescent="0.25">
      <c r="A86" s="61" t="s">
        <v>141</v>
      </c>
      <c r="B86" s="5130"/>
      <c r="C86" s="5131"/>
      <c r="D86" s="5132"/>
    </row>
    <row r="87" spans="1:9" x14ac:dyDescent="0.25">
      <c r="A87" s="5125" t="s">
        <v>142</v>
      </c>
      <c r="B87" s="3822"/>
      <c r="C87" s="1152"/>
      <c r="D87" s="3823"/>
    </row>
    <row r="88" spans="1:9" x14ac:dyDescent="0.25">
      <c r="A88" s="5125" t="s">
        <v>143</v>
      </c>
      <c r="B88" s="3822"/>
      <c r="C88" s="1152"/>
      <c r="D88" s="3823"/>
    </row>
    <row r="89" spans="1:9" x14ac:dyDescent="0.25">
      <c r="A89" s="5133" t="s">
        <v>144</v>
      </c>
      <c r="B89" s="3822"/>
      <c r="C89" s="1152"/>
      <c r="D89" s="3823"/>
    </row>
    <row r="90" spans="1:9" ht="22.5" x14ac:dyDescent="0.25">
      <c r="A90" s="4053" t="s">
        <v>145</v>
      </c>
      <c r="B90" s="3822"/>
      <c r="C90" s="1152"/>
      <c r="D90" s="3823"/>
    </row>
    <row r="91" spans="1:9" ht="22.5" x14ac:dyDescent="0.25">
      <c r="A91" s="4053" t="s">
        <v>146</v>
      </c>
      <c r="B91" s="3826"/>
      <c r="C91" s="1152"/>
      <c r="D91" s="3823"/>
    </row>
    <row r="92" spans="1:9" ht="22.5" x14ac:dyDescent="0.25">
      <c r="A92" s="2" t="s">
        <v>147</v>
      </c>
      <c r="B92" s="63"/>
      <c r="C92" s="3812"/>
      <c r="D92" s="65"/>
    </row>
    <row r="93" spans="1:9" s="17" customFormat="1" ht="18" customHeight="1" x14ac:dyDescent="0.2">
      <c r="A93" s="5083" t="s">
        <v>148</v>
      </c>
      <c r="B93" s="56"/>
      <c r="C93" s="56"/>
      <c r="D93" s="56"/>
      <c r="E93" s="19"/>
      <c r="F93" s="56"/>
    </row>
    <row r="94" spans="1:9" x14ac:dyDescent="0.25">
      <c r="A94" s="7162" t="s">
        <v>149</v>
      </c>
      <c r="B94" s="7205" t="s">
        <v>3750</v>
      </c>
      <c r="C94" s="7205" t="s">
        <v>150</v>
      </c>
      <c r="D94" s="7205" t="s">
        <v>3760</v>
      </c>
      <c r="E94" s="7207" t="s">
        <v>151</v>
      </c>
      <c r="F94" s="7208"/>
    </row>
    <row r="95" spans="1:9" x14ac:dyDescent="0.25">
      <c r="A95" s="7204"/>
      <c r="B95" s="7206"/>
      <c r="C95" s="7206"/>
      <c r="D95" s="7206"/>
      <c r="E95" s="5116" t="s">
        <v>152</v>
      </c>
      <c r="F95" s="5115" t="s">
        <v>153</v>
      </c>
    </row>
    <row r="96" spans="1:9" x14ac:dyDescent="0.25">
      <c r="A96" s="5134" t="s">
        <v>154</v>
      </c>
      <c r="B96" s="4051"/>
      <c r="C96" s="4051"/>
      <c r="D96" s="5053"/>
      <c r="E96" s="5005"/>
      <c r="F96" s="5006"/>
    </row>
    <row r="97" spans="1:85" x14ac:dyDescent="0.25">
      <c r="A97" s="3786" t="s">
        <v>155</v>
      </c>
      <c r="B97" s="4051"/>
      <c r="C97" s="4051"/>
      <c r="D97" s="4051"/>
      <c r="E97" s="1113"/>
      <c r="F97" s="4055"/>
    </row>
    <row r="98" spans="1:85" x14ac:dyDescent="0.25">
      <c r="A98" s="3786" t="s">
        <v>156</v>
      </c>
      <c r="B98" s="4051"/>
      <c r="C98" s="4051"/>
      <c r="D98" s="4051"/>
      <c r="E98" s="1113"/>
      <c r="F98" s="4055"/>
    </row>
    <row r="99" spans="1:85" x14ac:dyDescent="0.25">
      <c r="A99" s="3786" t="s">
        <v>157</v>
      </c>
      <c r="B99" s="4051"/>
      <c r="C99" s="4051"/>
      <c r="D99" s="4051"/>
      <c r="E99" s="1113"/>
      <c r="F99" s="4055"/>
    </row>
    <row r="100" spans="1:85" x14ac:dyDescent="0.25">
      <c r="A100" s="3786" t="s">
        <v>158</v>
      </c>
      <c r="B100" s="4051"/>
      <c r="C100" s="4051"/>
      <c r="D100" s="4051"/>
      <c r="E100" s="1113"/>
      <c r="F100" s="4055"/>
    </row>
    <row r="101" spans="1:85" x14ac:dyDescent="0.25">
      <c r="A101" s="5091" t="s">
        <v>24</v>
      </c>
      <c r="B101" s="5135">
        <f>SUM(B96:B100)</f>
        <v>0</v>
      </c>
      <c r="C101" s="5135">
        <f>SUM(C96:C100)</f>
        <v>0</v>
      </c>
      <c r="D101" s="5135">
        <f>SUM(D96:D100)</f>
        <v>0</v>
      </c>
      <c r="E101" s="5136">
        <f>SUM(E96:E100)</f>
        <v>0</v>
      </c>
      <c r="F101" s="5137">
        <f>SUM(F96:F100)</f>
        <v>0</v>
      </c>
    </row>
    <row r="102" spans="1:85" s="17" customFormat="1" ht="18" customHeight="1" x14ac:dyDescent="0.2">
      <c r="A102" s="5138" t="s">
        <v>159</v>
      </c>
      <c r="B102" s="15"/>
      <c r="C102" s="15"/>
      <c r="D102" s="15"/>
      <c r="E102" s="5084"/>
      <c r="F102" s="5139"/>
      <c r="G102" s="5084"/>
      <c r="H102" s="5084"/>
      <c r="I102" s="5084"/>
      <c r="J102" s="5084"/>
      <c r="K102" s="5084"/>
      <c r="L102" s="5084"/>
      <c r="M102" s="5084"/>
      <c r="N102" s="56"/>
      <c r="O102" s="56"/>
      <c r="P102" s="56"/>
    </row>
    <row r="103" spans="1:85" x14ac:dyDescent="0.25">
      <c r="A103" s="7177" t="s">
        <v>58</v>
      </c>
      <c r="B103" s="7193" t="s">
        <v>59</v>
      </c>
      <c r="C103" s="7194"/>
      <c r="D103" s="7157"/>
      <c r="E103" s="7191" t="s">
        <v>30</v>
      </c>
      <c r="F103" s="7197"/>
      <c r="G103" s="7197"/>
      <c r="H103" s="7197"/>
      <c r="I103" s="7197"/>
      <c r="J103" s="7197"/>
      <c r="K103" s="7197"/>
      <c r="L103" s="7197"/>
      <c r="M103" s="7197"/>
      <c r="N103" s="5140"/>
      <c r="O103" s="7157" t="s">
        <v>2</v>
      </c>
      <c r="P103" s="7157" t="s">
        <v>3</v>
      </c>
    </row>
    <row r="104" spans="1:85" x14ac:dyDescent="0.25">
      <c r="A104" s="7178"/>
      <c r="B104" s="7210"/>
      <c r="C104" s="7211"/>
      <c r="D104" s="7203"/>
      <c r="E104" s="7191" t="s">
        <v>36</v>
      </c>
      <c r="F104" s="7192"/>
      <c r="G104" s="7191" t="s">
        <v>37</v>
      </c>
      <c r="H104" s="7192"/>
      <c r="I104" s="7191" t="s">
        <v>38</v>
      </c>
      <c r="J104" s="7192"/>
      <c r="K104" s="7191" t="s">
        <v>4</v>
      </c>
      <c r="L104" s="7192"/>
      <c r="M104" s="7191" t="s">
        <v>5</v>
      </c>
      <c r="N104" s="7198"/>
      <c r="O104" s="6924"/>
      <c r="P104" s="6924"/>
    </row>
    <row r="105" spans="1:85" x14ac:dyDescent="0.25">
      <c r="A105" s="7209"/>
      <c r="B105" s="5142" t="s">
        <v>26</v>
      </c>
      <c r="C105" s="5143" t="s">
        <v>22</v>
      </c>
      <c r="D105" s="5141" t="s">
        <v>27</v>
      </c>
      <c r="E105" s="5000" t="s">
        <v>22</v>
      </c>
      <c r="F105" s="4996" t="s">
        <v>27</v>
      </c>
      <c r="G105" s="5000" t="s">
        <v>22</v>
      </c>
      <c r="H105" s="4996" t="s">
        <v>27</v>
      </c>
      <c r="I105" s="5000" t="s">
        <v>22</v>
      </c>
      <c r="J105" s="4996" t="s">
        <v>27</v>
      </c>
      <c r="K105" s="5000" t="s">
        <v>22</v>
      </c>
      <c r="L105" s="4996" t="s">
        <v>27</v>
      </c>
      <c r="M105" s="5000" t="s">
        <v>22</v>
      </c>
      <c r="N105" s="4995" t="s">
        <v>27</v>
      </c>
      <c r="O105" s="7203"/>
      <c r="P105" s="7203"/>
    </row>
    <row r="106" spans="1:85" x14ac:dyDescent="0.25">
      <c r="A106" s="5042" t="s">
        <v>160</v>
      </c>
      <c r="B106" s="5144">
        <f>SUM(C106:D106)</f>
        <v>0</v>
      </c>
      <c r="C106" s="5145">
        <f t="shared" ref="C106:D108" si="49">SUM(E106+G106+I106+K106+M106)</f>
        <v>0</v>
      </c>
      <c r="D106" s="5004">
        <f>SUM(F106+H106+J106+L106+N106)</f>
        <v>0</v>
      </c>
      <c r="E106" s="5131"/>
      <c r="F106" s="5132"/>
      <c r="G106" s="5131"/>
      <c r="H106" s="5132"/>
      <c r="I106" s="5131"/>
      <c r="J106" s="5146"/>
      <c r="K106" s="5131"/>
      <c r="L106" s="5146"/>
      <c r="M106" s="5147"/>
      <c r="N106" s="5148"/>
      <c r="O106" s="5132"/>
      <c r="P106" s="5132"/>
      <c r="Q106" t="str">
        <f>BW106&amp;BX106</f>
        <v/>
      </c>
      <c r="BW106" s="1791" t="str">
        <f>IF(AND(B106&gt;0,O106="")," * No olvide digitar la variable Pueblos Originarios. Digite cero si no tiene.",IF(O106&gt;B106,"* La variable Pueblos Originarios no puede ser mayor al Total.",""))</f>
        <v/>
      </c>
      <c r="BX106" s="1791" t="str">
        <f>IF(AND(B106&gt;0,P106="")," * No olvide digitar la variable Migrantes. Digite cero si no tiene.",IF(P106&gt;B106,"* La variable Migrantes no puede ser mayor al Total.",""))</f>
        <v/>
      </c>
      <c r="BY106" s="1791"/>
      <c r="BZ106" s="1791"/>
      <c r="CA106" s="1791"/>
      <c r="CB106" s="1791"/>
      <c r="CC106" s="1791"/>
      <c r="CD106" s="1791"/>
      <c r="CF106" s="1793">
        <f>IF(AND(B106&gt;0,O106=""),1,IF(O106&gt;B106,1,0))</f>
        <v>0</v>
      </c>
      <c r="CG106" s="1793">
        <f>IF(AND(B106&gt;0,P106=""),1,IF(P106&gt;B106,1,0))</f>
        <v>0</v>
      </c>
    </row>
    <row r="107" spans="1:85" ht="21" x14ac:dyDescent="0.25">
      <c r="A107" s="3786" t="s">
        <v>161</v>
      </c>
      <c r="B107" s="5149">
        <f>SUM(C107:D107)</f>
        <v>0</v>
      </c>
      <c r="C107" s="5150">
        <f t="shared" si="49"/>
        <v>0</v>
      </c>
      <c r="D107" s="5012">
        <f t="shared" si="49"/>
        <v>0</v>
      </c>
      <c r="E107" s="1152"/>
      <c r="F107" s="3823"/>
      <c r="G107" s="1152"/>
      <c r="H107" s="3823"/>
      <c r="I107" s="1152"/>
      <c r="J107" s="3823"/>
      <c r="K107" s="1152"/>
      <c r="L107" s="3823"/>
      <c r="M107" s="5151"/>
      <c r="N107" s="1156"/>
      <c r="O107" s="3823"/>
      <c r="P107" s="3823"/>
      <c r="Q107" t="str">
        <f t="shared" ref="Q107:Q108" si="50">BW107&amp;BX107</f>
        <v/>
      </c>
      <c r="BW107" s="1791" t="str">
        <f t="shared" ref="BW107:BW108" si="51">IF(AND(B107&gt;0,O107="")," * No olvide digitar la variable Pueblos Originarios. Digite cero si no tiene.",IF(O107&gt;B107,"* La variable Pueblos Originarios no puede ser mayor al Total.",""))</f>
        <v/>
      </c>
      <c r="BX107" s="1791" t="str">
        <f t="shared" ref="BX107:BX108" si="52">IF(AND(B107&gt;0,P107="")," * No olvide digitar la variable Migrantes. Digite cero si no tiene.",IF(P107&gt;B107,"* La variable Migrantes no puede ser mayor al Total.",""))</f>
        <v/>
      </c>
      <c r="BY107" s="1791"/>
      <c r="BZ107" s="1791"/>
      <c r="CA107" s="1791"/>
      <c r="CB107" s="1791"/>
      <c r="CC107" s="1791"/>
      <c r="CD107" s="1791"/>
      <c r="CF107" s="1793">
        <f t="shared" ref="CF107:CF108" si="53">IF(AND(B107&gt;0,O107=""),1,IF(O107&gt;B107,1,0))</f>
        <v>0</v>
      </c>
      <c r="CG107" s="1793">
        <f t="shared" ref="CG107:CG108" si="54">IF(AND(B107&gt;0,P107=""),1,IF(P107&gt;B107,1,0))</f>
        <v>0</v>
      </c>
    </row>
    <row r="108" spans="1:85" ht="21" x14ac:dyDescent="0.25">
      <c r="A108" s="5152" t="s">
        <v>162</v>
      </c>
      <c r="B108" s="5153">
        <f>SUM(C108:D108)</f>
        <v>0</v>
      </c>
      <c r="C108" s="5154">
        <f t="shared" si="49"/>
        <v>0</v>
      </c>
      <c r="D108" s="5155">
        <f t="shared" si="49"/>
        <v>0</v>
      </c>
      <c r="E108" s="5156"/>
      <c r="F108" s="5157"/>
      <c r="G108" s="5156"/>
      <c r="H108" s="5158"/>
      <c r="I108" s="5156"/>
      <c r="J108" s="5157"/>
      <c r="K108" s="5156"/>
      <c r="L108" s="5157"/>
      <c r="M108" s="5159"/>
      <c r="N108" s="5160"/>
      <c r="O108" s="5157"/>
      <c r="P108" s="5157"/>
      <c r="Q108" t="str">
        <f t="shared" si="50"/>
        <v/>
      </c>
      <c r="BW108" s="1791" t="str">
        <f t="shared" si="51"/>
        <v/>
      </c>
      <c r="BX108" s="1791" t="str">
        <f t="shared" si="52"/>
        <v/>
      </c>
      <c r="BY108" s="1791"/>
      <c r="BZ108" s="1791"/>
      <c r="CA108" s="1791"/>
      <c r="CB108" s="1791"/>
      <c r="CC108" s="1791"/>
      <c r="CD108" s="1791"/>
      <c r="CF108" s="1793">
        <f t="shared" si="53"/>
        <v>0</v>
      </c>
      <c r="CG108" s="1793">
        <f t="shared" si="54"/>
        <v>0</v>
      </c>
    </row>
    <row r="109" spans="1:85" s="17" customFormat="1" ht="18" customHeight="1" x14ac:dyDescent="0.2">
      <c r="A109" s="49" t="s">
        <v>163</v>
      </c>
      <c r="D109" s="15"/>
    </row>
    <row r="110" spans="1:85" x14ac:dyDescent="0.25">
      <c r="A110" s="7162" t="s">
        <v>164</v>
      </c>
      <c r="B110" s="7180" t="s">
        <v>165</v>
      </c>
      <c r="C110" s="7181"/>
      <c r="D110" s="7199"/>
      <c r="E110" s="7201" t="s">
        <v>169</v>
      </c>
    </row>
    <row r="111" spans="1:85" x14ac:dyDescent="0.25">
      <c r="A111" s="7200"/>
      <c r="B111" s="5161" t="s">
        <v>166</v>
      </c>
      <c r="C111" s="5161" t="s">
        <v>167</v>
      </c>
      <c r="D111" s="5162" t="s">
        <v>168</v>
      </c>
      <c r="E111" s="7202"/>
    </row>
    <row r="112" spans="1:85" x14ac:dyDescent="0.25">
      <c r="A112" s="5091" t="s">
        <v>24</v>
      </c>
      <c r="B112" s="5163"/>
      <c r="C112" s="5163"/>
      <c r="D112" s="5164"/>
      <c r="E112" s="5165"/>
    </row>
    <row r="113" spans="1:88" s="17" customFormat="1" ht="18" customHeight="1" x14ac:dyDescent="0.2">
      <c r="A113" s="5166" t="s">
        <v>170</v>
      </c>
      <c r="B113" s="15"/>
      <c r="C113" s="15"/>
      <c r="D113" s="19"/>
      <c r="E113" s="19"/>
      <c r="F113" s="19"/>
      <c r="G113" s="19"/>
      <c r="H113" s="5167"/>
      <c r="I113" s="5167"/>
      <c r="J113" s="5167"/>
    </row>
    <row r="114" spans="1:88" x14ac:dyDescent="0.25">
      <c r="A114" s="7177" t="s">
        <v>58</v>
      </c>
      <c r="B114" s="7193" t="s">
        <v>59</v>
      </c>
      <c r="C114" s="7194"/>
      <c r="D114" s="7157"/>
      <c r="E114" s="7187" t="s">
        <v>3744</v>
      </c>
      <c r="F114" s="7187"/>
      <c r="G114" s="7187" t="s">
        <v>3745</v>
      </c>
      <c r="H114" s="7187"/>
      <c r="I114" s="7187" t="s">
        <v>3746</v>
      </c>
      <c r="J114" s="7187"/>
    </row>
    <row r="115" spans="1:88" x14ac:dyDescent="0.25">
      <c r="A115" s="7179"/>
      <c r="B115" s="5142" t="s">
        <v>26</v>
      </c>
      <c r="C115" s="5574" t="s">
        <v>22</v>
      </c>
      <c r="D115" s="5575" t="s">
        <v>27</v>
      </c>
      <c r="E115" s="5000" t="s">
        <v>22</v>
      </c>
      <c r="F115" s="4996" t="s">
        <v>27</v>
      </c>
      <c r="G115" s="5000" t="s">
        <v>22</v>
      </c>
      <c r="H115" s="4996" t="s">
        <v>27</v>
      </c>
      <c r="I115" s="5000" t="s">
        <v>22</v>
      </c>
      <c r="J115" s="4996" t="s">
        <v>27</v>
      </c>
    </row>
    <row r="116" spans="1:88" ht="21" x14ac:dyDescent="0.25">
      <c r="A116" s="54" t="s">
        <v>171</v>
      </c>
      <c r="B116" s="5144">
        <f>SUM(C116:D116)</f>
        <v>0</v>
      </c>
      <c r="C116" s="5145">
        <f t="shared" ref="C116:D118" si="55">+E116+G116+I116</f>
        <v>0</v>
      </c>
      <c r="D116" s="5004">
        <f t="shared" si="55"/>
        <v>0</v>
      </c>
      <c r="E116" s="5131"/>
      <c r="F116" s="5132"/>
      <c r="G116" s="5131"/>
      <c r="H116" s="5132"/>
      <c r="I116" s="5131"/>
      <c r="J116" s="5146"/>
    </row>
    <row r="117" spans="1:88" ht="21" x14ac:dyDescent="0.25">
      <c r="A117" s="70" t="s">
        <v>172</v>
      </c>
      <c r="B117" s="43">
        <f>SUM(C117:D117)</f>
        <v>0</v>
      </c>
      <c r="C117" s="5168">
        <f t="shared" si="55"/>
        <v>0</v>
      </c>
      <c r="D117" s="5169">
        <f t="shared" si="55"/>
        <v>0</v>
      </c>
      <c r="E117" s="68"/>
      <c r="F117" s="5170"/>
      <c r="G117" s="68"/>
      <c r="H117" s="5170"/>
      <c r="I117" s="68"/>
      <c r="J117" s="4971"/>
    </row>
    <row r="118" spans="1:88" ht="21" x14ac:dyDescent="0.25">
      <c r="A118" s="55" t="s">
        <v>173</v>
      </c>
      <c r="B118" s="5171">
        <f>SUM(C118:D118)</f>
        <v>0</v>
      </c>
      <c r="C118" s="5172">
        <f t="shared" si="55"/>
        <v>0</v>
      </c>
      <c r="D118" s="5173">
        <f t="shared" si="55"/>
        <v>0</v>
      </c>
      <c r="E118" s="5174"/>
      <c r="F118" s="5175"/>
      <c r="G118" s="5174"/>
      <c r="H118" s="5158"/>
      <c r="I118" s="5174"/>
      <c r="J118" s="5175"/>
    </row>
    <row r="119" spans="1:88" s="17" customFormat="1" ht="18" customHeight="1" x14ac:dyDescent="0.2">
      <c r="A119" s="5176" t="s">
        <v>174</v>
      </c>
      <c r="B119" s="5177"/>
      <c r="C119" s="71"/>
      <c r="D119" s="71"/>
      <c r="E119" s="19"/>
      <c r="F119" s="5178"/>
      <c r="G119" s="5179"/>
      <c r="H119" s="5179"/>
    </row>
    <row r="120" spans="1:88" ht="23.25" customHeight="1" x14ac:dyDescent="0.25">
      <c r="A120" s="7157" t="s">
        <v>58</v>
      </c>
      <c r="B120" s="7177" t="s">
        <v>24</v>
      </c>
      <c r="C120" s="7193" t="s">
        <v>3743</v>
      </c>
      <c r="D120" s="7157"/>
      <c r="E120" s="7193" t="s">
        <v>175</v>
      </c>
      <c r="F120" s="7157"/>
      <c r="G120" s="7191" t="s">
        <v>176</v>
      </c>
      <c r="H120" s="7197"/>
      <c r="I120" s="7192"/>
    </row>
    <row r="121" spans="1:88" ht="42" x14ac:dyDescent="0.25">
      <c r="A121" s="7158"/>
      <c r="B121" s="7179"/>
      <c r="C121" s="5000" t="s">
        <v>22</v>
      </c>
      <c r="D121" s="5180" t="s">
        <v>27</v>
      </c>
      <c r="E121" s="5089" t="s">
        <v>177</v>
      </c>
      <c r="F121" s="4996" t="s">
        <v>178</v>
      </c>
      <c r="G121" s="5089" t="s">
        <v>179</v>
      </c>
      <c r="H121" s="5051" t="s">
        <v>180</v>
      </c>
      <c r="I121" s="4996" t="s">
        <v>181</v>
      </c>
    </row>
    <row r="122" spans="1:88" x14ac:dyDescent="0.25">
      <c r="A122" s="5181" t="s">
        <v>182</v>
      </c>
      <c r="B122" s="5182">
        <f>SUM(C122:D122)</f>
        <v>0</v>
      </c>
      <c r="C122" s="5183"/>
      <c r="D122" s="5184"/>
      <c r="E122" s="5183"/>
      <c r="F122" s="5185"/>
      <c r="G122" s="5183"/>
      <c r="H122" s="5183"/>
      <c r="I122" s="5185"/>
    </row>
    <row r="123" spans="1:88" s="17" customFormat="1" ht="18" customHeight="1" x14ac:dyDescent="0.2">
      <c r="A123" s="42" t="s">
        <v>183</v>
      </c>
      <c r="C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</row>
    <row r="124" spans="1:88" x14ac:dyDescent="0.25">
      <c r="A124" s="7177" t="s">
        <v>58</v>
      </c>
      <c r="B124" s="7177" t="s">
        <v>61</v>
      </c>
      <c r="C124" s="7193" t="s">
        <v>59</v>
      </c>
      <c r="D124" s="7194"/>
      <c r="E124" s="7157"/>
      <c r="F124" s="7191" t="s">
        <v>30</v>
      </c>
      <c r="G124" s="7197"/>
      <c r="H124" s="7197"/>
      <c r="I124" s="7197"/>
      <c r="J124" s="7197"/>
      <c r="K124" s="7197"/>
      <c r="L124" s="7197"/>
      <c r="M124" s="7197"/>
      <c r="N124" s="7197"/>
      <c r="O124" s="7197"/>
      <c r="P124" s="7197"/>
      <c r="Q124" s="7197"/>
      <c r="R124" s="7197"/>
      <c r="S124" s="7197"/>
      <c r="T124" s="7197"/>
      <c r="U124" s="7197"/>
      <c r="V124" s="7197"/>
      <c r="W124" s="7197"/>
      <c r="X124" s="7197"/>
      <c r="Y124" s="7197"/>
      <c r="Z124" s="7197"/>
      <c r="AA124" s="7197"/>
      <c r="AB124" s="7197"/>
      <c r="AC124" s="7197"/>
      <c r="AD124" s="7197"/>
      <c r="AE124" s="7197"/>
      <c r="AF124" s="7197"/>
      <c r="AG124" s="7197"/>
      <c r="AH124" s="7197"/>
      <c r="AI124" s="7197"/>
      <c r="AJ124" s="7197"/>
      <c r="AK124" s="7197"/>
      <c r="AL124" s="7197"/>
      <c r="AM124" s="7198"/>
      <c r="AN124" s="7157" t="s">
        <v>67</v>
      </c>
      <c r="AO124" s="7157" t="s">
        <v>40</v>
      </c>
      <c r="AP124" s="7157" t="s">
        <v>45</v>
      </c>
      <c r="AQ124" s="7162" t="s">
        <v>2</v>
      </c>
      <c r="AR124" s="7157" t="s">
        <v>3</v>
      </c>
    </row>
    <row r="125" spans="1:88" x14ac:dyDescent="0.25">
      <c r="A125" s="7178"/>
      <c r="B125" s="7178"/>
      <c r="C125" s="7195"/>
      <c r="D125" s="7196"/>
      <c r="E125" s="7158"/>
      <c r="F125" s="7191" t="s">
        <v>36</v>
      </c>
      <c r="G125" s="7192"/>
      <c r="H125" s="7191" t="s">
        <v>37</v>
      </c>
      <c r="I125" s="7192"/>
      <c r="J125" s="7191" t="s">
        <v>38</v>
      </c>
      <c r="K125" s="7192"/>
      <c r="L125" s="7191" t="s">
        <v>4</v>
      </c>
      <c r="M125" s="7192"/>
      <c r="N125" s="7191" t="s">
        <v>5</v>
      </c>
      <c r="O125" s="7192"/>
      <c r="P125" s="7180" t="s">
        <v>6</v>
      </c>
      <c r="Q125" s="7182"/>
      <c r="R125" s="7180" t="s">
        <v>7</v>
      </c>
      <c r="S125" s="7182"/>
      <c r="T125" s="7180" t="s">
        <v>8</v>
      </c>
      <c r="U125" s="7182"/>
      <c r="V125" s="7180" t="s">
        <v>9</v>
      </c>
      <c r="W125" s="7182"/>
      <c r="X125" s="7180" t="s">
        <v>10</v>
      </c>
      <c r="Y125" s="7182"/>
      <c r="Z125" s="7180" t="s">
        <v>11</v>
      </c>
      <c r="AA125" s="7182"/>
      <c r="AB125" s="7180" t="s">
        <v>18</v>
      </c>
      <c r="AC125" s="7182"/>
      <c r="AD125" s="7180" t="s">
        <v>19</v>
      </c>
      <c r="AE125" s="7182"/>
      <c r="AF125" s="7180" t="s">
        <v>20</v>
      </c>
      <c r="AG125" s="7182"/>
      <c r="AH125" s="7180" t="s">
        <v>70</v>
      </c>
      <c r="AI125" s="7182"/>
      <c r="AJ125" s="7180" t="s">
        <v>71</v>
      </c>
      <c r="AK125" s="7182"/>
      <c r="AL125" s="7180" t="s">
        <v>72</v>
      </c>
      <c r="AM125" s="7199"/>
      <c r="AN125" s="6924"/>
      <c r="AO125" s="6924"/>
      <c r="AP125" s="6924"/>
      <c r="AQ125" s="6968"/>
      <c r="AR125" s="6924"/>
    </row>
    <row r="126" spans="1:88" ht="27" customHeight="1" x14ac:dyDescent="0.25">
      <c r="A126" s="7179"/>
      <c r="B126" s="7179"/>
      <c r="C126" s="4998" t="s">
        <v>26</v>
      </c>
      <c r="D126" s="4999" t="s">
        <v>22</v>
      </c>
      <c r="E126" s="2648" t="s">
        <v>27</v>
      </c>
      <c r="F126" s="5000" t="s">
        <v>22</v>
      </c>
      <c r="G126" s="2648" t="s">
        <v>27</v>
      </c>
      <c r="H126" s="5000" t="s">
        <v>22</v>
      </c>
      <c r="I126" s="2648" t="s">
        <v>27</v>
      </c>
      <c r="J126" s="5000" t="s">
        <v>22</v>
      </c>
      <c r="K126" s="2648" t="s">
        <v>27</v>
      </c>
      <c r="L126" s="5000" t="s">
        <v>22</v>
      </c>
      <c r="M126" s="2648" t="s">
        <v>27</v>
      </c>
      <c r="N126" s="5000" t="s">
        <v>22</v>
      </c>
      <c r="O126" s="2648" t="s">
        <v>27</v>
      </c>
      <c r="P126" s="5000" t="s">
        <v>22</v>
      </c>
      <c r="Q126" s="2648" t="s">
        <v>27</v>
      </c>
      <c r="R126" s="5000" t="s">
        <v>22</v>
      </c>
      <c r="S126" s="2648" t="s">
        <v>27</v>
      </c>
      <c r="T126" s="5000" t="s">
        <v>22</v>
      </c>
      <c r="U126" s="2648" t="s">
        <v>27</v>
      </c>
      <c r="V126" s="5000" t="s">
        <v>22</v>
      </c>
      <c r="W126" s="2648" t="s">
        <v>27</v>
      </c>
      <c r="X126" s="5000" t="s">
        <v>22</v>
      </c>
      <c r="Y126" s="2648" t="s">
        <v>27</v>
      </c>
      <c r="Z126" s="5000" t="s">
        <v>22</v>
      </c>
      <c r="AA126" s="2648" t="s">
        <v>27</v>
      </c>
      <c r="AB126" s="5000" t="s">
        <v>22</v>
      </c>
      <c r="AC126" s="2648" t="s">
        <v>27</v>
      </c>
      <c r="AD126" s="5000" t="s">
        <v>22</v>
      </c>
      <c r="AE126" s="2648" t="s">
        <v>27</v>
      </c>
      <c r="AF126" s="5000" t="s">
        <v>22</v>
      </c>
      <c r="AG126" s="2648" t="s">
        <v>27</v>
      </c>
      <c r="AH126" s="5000" t="s">
        <v>22</v>
      </c>
      <c r="AI126" s="2648" t="s">
        <v>27</v>
      </c>
      <c r="AJ126" s="5000" t="s">
        <v>22</v>
      </c>
      <c r="AK126" s="2648" t="s">
        <v>27</v>
      </c>
      <c r="AL126" s="5000" t="s">
        <v>22</v>
      </c>
      <c r="AM126" s="44" t="s">
        <v>27</v>
      </c>
      <c r="AN126" s="7158"/>
      <c r="AO126" s="7158"/>
      <c r="AP126" s="7158"/>
      <c r="AQ126" s="7163"/>
      <c r="AR126" s="7158"/>
    </row>
    <row r="127" spans="1:88" x14ac:dyDescent="0.25">
      <c r="A127" s="7174" t="s">
        <v>184</v>
      </c>
      <c r="B127" s="5186" t="s">
        <v>185</v>
      </c>
      <c r="C127" s="5187">
        <f>SUM(D127+E127)</f>
        <v>0</v>
      </c>
      <c r="D127" s="5188">
        <f t="shared" ref="D127:E130" si="56">SUM(F127+H127+J127+L127+N127+P127+R127+T127+V127+X127+Z127+AB127+AD127+AF127+AH127+AJ127+AL127)</f>
        <v>0</v>
      </c>
      <c r="E127" s="5189">
        <f t="shared" si="56"/>
        <v>0</v>
      </c>
      <c r="F127" s="5005"/>
      <c r="G127" s="5007"/>
      <c r="H127" s="5005"/>
      <c r="I127" s="5007"/>
      <c r="J127" s="5005"/>
      <c r="K127" s="5007"/>
      <c r="L127" s="5005"/>
      <c r="M127" s="5007"/>
      <c r="N127" s="5005"/>
      <c r="O127" s="5007"/>
      <c r="P127" s="5005"/>
      <c r="Q127" s="5007"/>
      <c r="R127" s="5005"/>
      <c r="S127" s="5007"/>
      <c r="T127" s="5005"/>
      <c r="U127" s="5007"/>
      <c r="V127" s="5005"/>
      <c r="W127" s="5007"/>
      <c r="X127" s="5005"/>
      <c r="Y127" s="5007"/>
      <c r="Z127" s="5005"/>
      <c r="AA127" s="5007"/>
      <c r="AB127" s="5005"/>
      <c r="AC127" s="5007"/>
      <c r="AD127" s="5005"/>
      <c r="AE127" s="5007"/>
      <c r="AF127" s="5005"/>
      <c r="AG127" s="5007"/>
      <c r="AH127" s="5005"/>
      <c r="AI127" s="5007"/>
      <c r="AJ127" s="5005"/>
      <c r="AK127" s="5007"/>
      <c r="AL127" s="5005"/>
      <c r="AM127" s="5009"/>
      <c r="AN127" s="5006"/>
      <c r="AO127" s="5006"/>
      <c r="AP127" s="5006"/>
      <c r="AQ127" s="5053"/>
      <c r="AR127" s="5006"/>
      <c r="AS127" t="str">
        <f>BW127&amp;BX127&amp;BY127&amp;BZ127&amp;CA127&amp;CB127&amp;CC127</f>
        <v/>
      </c>
      <c r="BW127" s="1791" t="str">
        <f>IF(AND(C127&gt;0,AN127="")," No olvide digitar la variable Beneficiarios. Digite cero si no tiene.",IF(AN127&gt;C127," *  La variable Beneficiarios no puede ser mayor al Total.",""))</f>
        <v/>
      </c>
      <c r="BX127" s="1791" t="str">
        <f>IF(AND(C127&gt;0,AO127="")," No olvide digitar la variable Niños, Niñas, adolescentes y jóvenes SENAME. Digite cero si no tiene.",IF(AO127&gt;C127," *  La variable Niños, Niñas, adolescentes y jóvenes SENAME no puede ser mayor al Total.",""))</f>
        <v/>
      </c>
      <c r="BY127" s="1791" t="str">
        <f>IF(AND(C127&gt;0,AP127="")," No olvide digitar la variable Niños, Niñas, adolescentes y jóvenes mejor Niñez. Digite cero si no tiene.",IF(AP127&gt;C127," *  La variable Niños, Niñas, adolescentes y jóvenes mejor Niñez no puede ser mayor al Total.",""))</f>
        <v/>
      </c>
      <c r="BZ127" s="1791" t="str">
        <f>IF(AND(C127&gt;0,AQ127="")," No olvide digitar la variable Pueblos originarios. Digite cero si no tiene.",IF(AQ127&gt;C127," *  La variable Pueblos originarios no puede ser mayor al Total.",""))</f>
        <v/>
      </c>
      <c r="CA127" s="1791" t="str">
        <f>IF(AND(C127&gt;0,AR127="")," No olvide digitar la variable Migrantes. Digite cero si no tiene.",IF(AR127&gt;C127," *  La variable Migrantes no puede ser mayor al Total.",""))</f>
        <v/>
      </c>
      <c r="CB127" s="1791"/>
      <c r="CC127" s="1791"/>
      <c r="CD127" s="1791"/>
      <c r="CF127" s="1793">
        <f>IF(AND(C127&gt;0,AN127=""),1,IF(AN127&gt;C127,1,0))</f>
        <v>0</v>
      </c>
      <c r="CG127" s="1793">
        <f>IF(AND(C127&gt;0,AO127=""),1,IF(AO127&gt;C127,1,0))</f>
        <v>0</v>
      </c>
      <c r="CH127" s="1793">
        <f>IF(AND(C127&gt;0,AP127=""),1,IF(AP127&gt;C127,1,0))</f>
        <v>0</v>
      </c>
      <c r="CI127" s="1793">
        <f>IF(AND(C127&gt;0,AQ127=""),1,IF(AQ127&gt;C127,1,0))</f>
        <v>0</v>
      </c>
      <c r="CJ127" s="1793">
        <f>IF(AND(C127&gt;0,AR127=""),1,IF(AR127&gt;C127,1,0))</f>
        <v>0</v>
      </c>
    </row>
    <row r="128" spans="1:88" x14ac:dyDescent="0.25">
      <c r="A128" s="7175"/>
      <c r="B128" s="5190" t="s">
        <v>186</v>
      </c>
      <c r="C128" s="2470">
        <f>SUM(D128+E128)</f>
        <v>0</v>
      </c>
      <c r="D128" s="2471">
        <f t="shared" si="56"/>
        <v>0</v>
      </c>
      <c r="E128" s="5191">
        <f t="shared" si="56"/>
        <v>0</v>
      </c>
      <c r="F128" s="1113"/>
      <c r="G128" s="1117"/>
      <c r="H128" s="1113"/>
      <c r="I128" s="1117"/>
      <c r="J128" s="1113"/>
      <c r="K128" s="1117"/>
      <c r="L128" s="1113"/>
      <c r="M128" s="1117"/>
      <c r="N128" s="1113"/>
      <c r="O128" s="1117"/>
      <c r="P128" s="1113"/>
      <c r="Q128" s="1117"/>
      <c r="R128" s="1113"/>
      <c r="S128" s="1117"/>
      <c r="T128" s="1113"/>
      <c r="U128" s="1117"/>
      <c r="V128" s="1113"/>
      <c r="W128" s="1117"/>
      <c r="X128" s="1113"/>
      <c r="Y128" s="1117"/>
      <c r="Z128" s="1113"/>
      <c r="AA128" s="1117"/>
      <c r="AB128" s="1113"/>
      <c r="AC128" s="1117"/>
      <c r="AD128" s="1113"/>
      <c r="AE128" s="1117"/>
      <c r="AF128" s="1113"/>
      <c r="AG128" s="1117"/>
      <c r="AH128" s="1113"/>
      <c r="AI128" s="1117"/>
      <c r="AJ128" s="1113"/>
      <c r="AK128" s="1117"/>
      <c r="AL128" s="1113"/>
      <c r="AM128" s="1118"/>
      <c r="AN128" s="4055"/>
      <c r="AO128" s="4055"/>
      <c r="AP128" s="4055"/>
      <c r="AQ128" s="4051"/>
      <c r="AR128" s="4055"/>
      <c r="AS128" t="str">
        <f t="shared" ref="AS128:AS129" si="57">BW128&amp;BX128&amp;BY128&amp;BZ128&amp;CA128&amp;CB128&amp;CC128</f>
        <v/>
      </c>
      <c r="BW128" s="1791" t="str">
        <f t="shared" ref="BW128:BW129" si="58">IF(AND(C128&gt;0,AN128="")," No olvide digitar la variable Beneficiarios. Digite cero si no tiene.",IF(AN128&gt;C128," *  La variable Beneficiarios no puede ser mayor al Total.",""))</f>
        <v/>
      </c>
      <c r="BX128" s="1791" t="str">
        <f t="shared" ref="BX128:BX129" si="59">IF(AND(C128&gt;0,AO128="")," No olvide digitar la variable Niños, Niñas, adolescentes y jóvenes SENAME. Digite cero si no tiene.",IF(AO128&gt;C128," *  La variable Niños, Niñas, adolescentes y jóvenes SENAME no puede ser mayor al Total.",""))</f>
        <v/>
      </c>
      <c r="BY128" s="1791" t="str">
        <f t="shared" ref="BY128:BY129" si="60">IF(AND(C128&gt;0,AP128="")," No olvide digitar la variable Niños, Niñas, adolescentes y jóvenes mejor Niñez. Digite cero si no tiene.",IF(AP128&gt;C128," *  La variable Niños, Niñas, adolescentes y jóvenes mejor Niñez no puede ser mayor al Total.",""))</f>
        <v/>
      </c>
      <c r="BZ128" s="1791" t="str">
        <f t="shared" ref="BZ128:BZ129" si="61">IF(AND(C128&gt;0,AQ128="")," No olvide digitar la variable Pueblos originarios. Digite cero si no tiene.",IF(AQ128&gt;C128," *  La variable Pueblos originarios no puede ser mayor al Total.",""))</f>
        <v/>
      </c>
      <c r="CA128" s="1791" t="str">
        <f t="shared" ref="CA128:CA129" si="62">IF(AND(C128&gt;0,AR128="")," No olvide digitar la variable Migrantes. Digite cero si no tiene.",IF(AR128&gt;C128," *  La variable Migrantes no puede ser mayor al Total.",""))</f>
        <v/>
      </c>
      <c r="CB128" s="1791"/>
      <c r="CC128" s="1791"/>
      <c r="CD128" s="1791"/>
      <c r="CF128" s="1793">
        <f t="shared" ref="CF128:CF129" si="63">IF(AND(C128&gt;0,AN128=""),1,IF(AN128&gt;C128,1,0))</f>
        <v>0</v>
      </c>
      <c r="CG128" s="1793">
        <f t="shared" ref="CG128:CG129" si="64">IF(AND(C128&gt;0,AO128=""),1,IF(AO128&gt;C128,1,0))</f>
        <v>0</v>
      </c>
      <c r="CH128" s="1793">
        <f t="shared" ref="CH128:CH129" si="65">IF(AND(C128&gt;0,AP128=""),1,IF(AP128&gt;C128,1,0))</f>
        <v>0</v>
      </c>
      <c r="CI128" s="1793">
        <f t="shared" ref="CI128:CI129" si="66">IF(AND(C128&gt;0,AQ128=""),1,IF(AQ128&gt;C128,1,0))</f>
        <v>0</v>
      </c>
      <c r="CJ128" s="1793">
        <f t="shared" ref="CJ128:CJ129" si="67">IF(AND(C128&gt;0,AR128=""),1,IF(AR128&gt;C128,1,0))</f>
        <v>0</v>
      </c>
    </row>
    <row r="129" spans="1:88" x14ac:dyDescent="0.25">
      <c r="A129" s="7175"/>
      <c r="B129" s="5190" t="s">
        <v>187</v>
      </c>
      <c r="C129" s="2470">
        <f>SUM(D129+E129)</f>
        <v>0</v>
      </c>
      <c r="D129" s="2471">
        <f t="shared" si="56"/>
        <v>0</v>
      </c>
      <c r="E129" s="5191">
        <f t="shared" si="56"/>
        <v>0</v>
      </c>
      <c r="F129" s="4431"/>
      <c r="G129" s="4073"/>
      <c r="H129" s="4431"/>
      <c r="I129" s="4073"/>
      <c r="J129" s="4431"/>
      <c r="K129" s="4073"/>
      <c r="L129" s="4431"/>
      <c r="M129" s="4073"/>
      <c r="N129" s="4431"/>
      <c r="O129" s="4073"/>
      <c r="P129" s="4431"/>
      <c r="Q129" s="4073"/>
      <c r="R129" s="4431"/>
      <c r="S129" s="4073"/>
      <c r="T129" s="4431"/>
      <c r="U129" s="4073"/>
      <c r="V129" s="4431"/>
      <c r="W129" s="4073"/>
      <c r="X129" s="4431"/>
      <c r="Y129" s="4073"/>
      <c r="Z129" s="4431"/>
      <c r="AA129" s="4073"/>
      <c r="AB129" s="4431"/>
      <c r="AC129" s="4073"/>
      <c r="AD129" s="4431"/>
      <c r="AE129" s="4073"/>
      <c r="AF129" s="4431"/>
      <c r="AG129" s="4073"/>
      <c r="AH129" s="4431"/>
      <c r="AI129" s="4073"/>
      <c r="AJ129" s="4431"/>
      <c r="AK129" s="4073"/>
      <c r="AL129" s="4431"/>
      <c r="AM129" s="4074"/>
      <c r="AN129" s="12"/>
      <c r="AO129" s="12"/>
      <c r="AP129" s="12"/>
      <c r="AQ129" s="30"/>
      <c r="AR129" s="12"/>
      <c r="AS129" t="str">
        <f t="shared" si="57"/>
        <v/>
      </c>
      <c r="BW129" s="1791" t="str">
        <f t="shared" si="58"/>
        <v/>
      </c>
      <c r="BX129" s="1791" t="str">
        <f t="shared" si="59"/>
        <v/>
      </c>
      <c r="BY129" s="1791" t="str">
        <f t="shared" si="60"/>
        <v/>
      </c>
      <c r="BZ129" s="1791" t="str">
        <f t="shared" si="61"/>
        <v/>
      </c>
      <c r="CA129" s="1791" t="str">
        <f t="shared" si="62"/>
        <v/>
      </c>
      <c r="CB129" s="1791"/>
      <c r="CC129" s="1791"/>
      <c r="CD129" s="1791"/>
      <c r="CF129" s="1793">
        <f t="shared" si="63"/>
        <v>0</v>
      </c>
      <c r="CG129" s="1793">
        <f t="shared" si="64"/>
        <v>0</v>
      </c>
      <c r="CH129" s="1793">
        <f t="shared" si="65"/>
        <v>0</v>
      </c>
      <c r="CI129" s="1793">
        <f t="shared" si="66"/>
        <v>0</v>
      </c>
      <c r="CJ129" s="1793">
        <f t="shared" si="67"/>
        <v>0</v>
      </c>
    </row>
    <row r="130" spans="1:88" x14ac:dyDescent="0.25">
      <c r="A130" s="7176"/>
      <c r="B130" s="5016" t="s">
        <v>24</v>
      </c>
      <c r="C130" s="5017">
        <f>SUM(D130+E130)</f>
        <v>0</v>
      </c>
      <c r="D130" s="5018">
        <f t="shared" si="56"/>
        <v>0</v>
      </c>
      <c r="E130" s="5019">
        <f t="shared" si="56"/>
        <v>0</v>
      </c>
      <c r="F130" s="5020">
        <f>SUM(F127:F129)</f>
        <v>0</v>
      </c>
      <c r="G130" s="5021">
        <f t="shared" ref="G130:AR130" si="68">SUM(G127:G129)</f>
        <v>0</v>
      </c>
      <c r="H130" s="5020">
        <f t="shared" si="68"/>
        <v>0</v>
      </c>
      <c r="I130" s="5021">
        <f t="shared" si="68"/>
        <v>0</v>
      </c>
      <c r="J130" s="5020">
        <f t="shared" si="68"/>
        <v>0</v>
      </c>
      <c r="K130" s="5022">
        <f t="shared" si="68"/>
        <v>0</v>
      </c>
      <c r="L130" s="5020">
        <f t="shared" si="68"/>
        <v>0</v>
      </c>
      <c r="M130" s="5022">
        <f t="shared" si="68"/>
        <v>0</v>
      </c>
      <c r="N130" s="5020">
        <f t="shared" si="68"/>
        <v>0</v>
      </c>
      <c r="O130" s="5022">
        <f t="shared" si="68"/>
        <v>0</v>
      </c>
      <c r="P130" s="5020">
        <f t="shared" si="68"/>
        <v>0</v>
      </c>
      <c r="Q130" s="5022">
        <f t="shared" si="68"/>
        <v>0</v>
      </c>
      <c r="R130" s="5020">
        <f t="shared" si="68"/>
        <v>0</v>
      </c>
      <c r="S130" s="5022">
        <f t="shared" si="68"/>
        <v>0</v>
      </c>
      <c r="T130" s="5020">
        <f t="shared" si="68"/>
        <v>0</v>
      </c>
      <c r="U130" s="5022">
        <f t="shared" si="68"/>
        <v>0</v>
      </c>
      <c r="V130" s="5020">
        <f t="shared" si="68"/>
        <v>0</v>
      </c>
      <c r="W130" s="5022">
        <f t="shared" si="68"/>
        <v>0</v>
      </c>
      <c r="X130" s="5020">
        <f t="shared" si="68"/>
        <v>0</v>
      </c>
      <c r="Y130" s="5022">
        <f t="shared" si="68"/>
        <v>0</v>
      </c>
      <c r="Z130" s="5020">
        <f t="shared" si="68"/>
        <v>0</v>
      </c>
      <c r="AA130" s="5022">
        <f t="shared" si="68"/>
        <v>0</v>
      </c>
      <c r="AB130" s="5020">
        <f t="shared" si="68"/>
        <v>0</v>
      </c>
      <c r="AC130" s="5022">
        <f t="shared" si="68"/>
        <v>0</v>
      </c>
      <c r="AD130" s="5020">
        <f t="shared" si="68"/>
        <v>0</v>
      </c>
      <c r="AE130" s="5022">
        <f t="shared" si="68"/>
        <v>0</v>
      </c>
      <c r="AF130" s="5020">
        <f t="shared" si="68"/>
        <v>0</v>
      </c>
      <c r="AG130" s="5022">
        <f t="shared" si="68"/>
        <v>0</v>
      </c>
      <c r="AH130" s="5020">
        <f t="shared" si="68"/>
        <v>0</v>
      </c>
      <c r="AI130" s="5022">
        <f t="shared" si="68"/>
        <v>0</v>
      </c>
      <c r="AJ130" s="5020">
        <f t="shared" si="68"/>
        <v>0</v>
      </c>
      <c r="AK130" s="5022">
        <f t="shared" si="68"/>
        <v>0</v>
      </c>
      <c r="AL130" s="5023">
        <f t="shared" si="68"/>
        <v>0</v>
      </c>
      <c r="AM130" s="5024">
        <f t="shared" si="68"/>
        <v>0</v>
      </c>
      <c r="AN130" s="5021">
        <f t="shared" si="68"/>
        <v>0</v>
      </c>
      <c r="AO130" s="5021">
        <f t="shared" si="68"/>
        <v>0</v>
      </c>
      <c r="AP130" s="5021">
        <f>SUM(AP127:AP129)</f>
        <v>0</v>
      </c>
      <c r="AQ130" s="5059">
        <f t="shared" si="68"/>
        <v>0</v>
      </c>
      <c r="AR130" s="5021">
        <f t="shared" si="68"/>
        <v>0</v>
      </c>
    </row>
    <row r="131" spans="1:88" s="17" customFormat="1" ht="18" customHeight="1" x14ac:dyDescent="0.2">
      <c r="A131" s="5192" t="s">
        <v>188</v>
      </c>
      <c r="B131" s="5192"/>
      <c r="C131" s="5192"/>
      <c r="D131" s="5192"/>
      <c r="E131" s="5192"/>
      <c r="F131" s="5192"/>
      <c r="G131" s="5192"/>
      <c r="H131" s="5193"/>
      <c r="I131" s="15"/>
    </row>
    <row r="132" spans="1:88" ht="15" customHeight="1" x14ac:dyDescent="0.25">
      <c r="A132" s="7177" t="s">
        <v>12</v>
      </c>
      <c r="B132" s="7180" t="s">
        <v>189</v>
      </c>
      <c r="C132" s="7181"/>
      <c r="D132" s="7181"/>
      <c r="E132" s="7181"/>
      <c r="F132" s="7182"/>
      <c r="G132" s="7183" t="s">
        <v>196</v>
      </c>
      <c r="H132" s="7186" t="s">
        <v>3747</v>
      </c>
      <c r="I132" s="7187"/>
    </row>
    <row r="133" spans="1:88" ht="15" customHeight="1" x14ac:dyDescent="0.25">
      <c r="A133" s="7178"/>
      <c r="B133" s="7189" t="s">
        <v>24</v>
      </c>
      <c r="C133" s="7180" t="s">
        <v>1211</v>
      </c>
      <c r="D133" s="7181"/>
      <c r="E133" s="7181"/>
      <c r="F133" s="7182"/>
      <c r="G133" s="7184"/>
      <c r="H133" s="7188"/>
      <c r="I133" s="7187"/>
    </row>
    <row r="134" spans="1:88" ht="31.5" x14ac:dyDescent="0.25">
      <c r="A134" s="7179"/>
      <c r="B134" s="7147"/>
      <c r="C134" s="5000" t="s">
        <v>191</v>
      </c>
      <c r="D134" s="5089" t="s">
        <v>192</v>
      </c>
      <c r="E134" s="5051" t="s">
        <v>193</v>
      </c>
      <c r="F134" s="5180" t="s">
        <v>194</v>
      </c>
      <c r="G134" s="7185"/>
      <c r="H134" s="4996" t="s">
        <v>195</v>
      </c>
      <c r="I134" s="4997" t="s">
        <v>196</v>
      </c>
    </row>
    <row r="135" spans="1:88" ht="15" customHeight="1" x14ac:dyDescent="0.25">
      <c r="A135" s="5194" t="s">
        <v>3726</v>
      </c>
      <c r="B135" s="5195">
        <f>SUM(C135:F135)+H135</f>
        <v>0</v>
      </c>
      <c r="C135" s="1113"/>
      <c r="D135" s="4066"/>
      <c r="E135" s="1476"/>
      <c r="F135" s="1117"/>
      <c r="G135" s="4529"/>
      <c r="H135" s="1474"/>
      <c r="I135" s="4051"/>
    </row>
    <row r="136" spans="1:88" ht="15" customHeight="1" x14ac:dyDescent="0.25">
      <c r="A136" s="5194" t="s">
        <v>37</v>
      </c>
      <c r="B136" s="5195">
        <f t="shared" ref="B136:B140" si="69">SUM(C136:F136)+H136</f>
        <v>0</v>
      </c>
      <c r="C136" s="1113"/>
      <c r="D136" s="4066"/>
      <c r="E136" s="1476"/>
      <c r="F136" s="1117"/>
      <c r="G136" s="4529"/>
      <c r="H136" s="1474"/>
      <c r="I136" s="4051"/>
    </row>
    <row r="137" spans="1:88" ht="15" customHeight="1" x14ac:dyDescent="0.25">
      <c r="A137" s="5196" t="s">
        <v>38</v>
      </c>
      <c r="B137" s="5195">
        <f>SUM(C137:F137)+H137</f>
        <v>0</v>
      </c>
      <c r="C137" s="1113"/>
      <c r="D137" s="4066"/>
      <c r="E137" s="1476"/>
      <c r="F137" s="1117"/>
      <c r="G137" s="4529"/>
      <c r="H137" s="1474"/>
      <c r="I137" s="4051"/>
    </row>
    <row r="138" spans="1:88" ht="15" customHeight="1" x14ac:dyDescent="0.25">
      <c r="A138" s="5196" t="s">
        <v>4</v>
      </c>
      <c r="B138" s="5195">
        <f t="shared" si="69"/>
        <v>0</v>
      </c>
      <c r="C138" s="1113"/>
      <c r="D138" s="4066"/>
      <c r="E138" s="1476"/>
      <c r="F138" s="1117"/>
      <c r="G138" s="4529"/>
      <c r="H138" s="1474"/>
      <c r="I138" s="4051"/>
    </row>
    <row r="139" spans="1:88" ht="15" customHeight="1" x14ac:dyDescent="0.25">
      <c r="A139" s="5194" t="s">
        <v>5</v>
      </c>
      <c r="B139" s="5195">
        <f>SUM(C139:F139)+H139</f>
        <v>0</v>
      </c>
      <c r="C139" s="1113"/>
      <c r="D139" s="4066"/>
      <c r="E139" s="1476"/>
      <c r="F139" s="1117"/>
      <c r="G139" s="4529"/>
      <c r="H139" s="1474"/>
      <c r="I139" s="4051"/>
    </row>
    <row r="140" spans="1:88" ht="15" customHeight="1" x14ac:dyDescent="0.25">
      <c r="A140" s="5194" t="s">
        <v>3719</v>
      </c>
      <c r="B140" s="5195">
        <f t="shared" si="69"/>
        <v>0</v>
      </c>
      <c r="C140" s="1113"/>
      <c r="D140" s="4066"/>
      <c r="E140" s="1476"/>
      <c r="F140" s="1117"/>
      <c r="G140" s="4529"/>
      <c r="H140" s="1474"/>
      <c r="I140" s="4051"/>
    </row>
    <row r="141" spans="1:88" ht="15" customHeight="1" x14ac:dyDescent="0.25">
      <c r="A141" s="4107" t="s">
        <v>3748</v>
      </c>
      <c r="B141" s="72">
        <f>SUM(C141:F141)+H141</f>
        <v>0</v>
      </c>
      <c r="C141" s="9"/>
      <c r="D141" s="24"/>
      <c r="E141" s="10"/>
      <c r="F141" s="25"/>
      <c r="G141" s="48"/>
      <c r="H141" s="26"/>
      <c r="I141" s="27"/>
    </row>
    <row r="142" spans="1:88" ht="15" customHeight="1" x14ac:dyDescent="0.25">
      <c r="A142" s="5197" t="s">
        <v>32</v>
      </c>
      <c r="B142" s="73">
        <f>SUM(C142:F142)+H142</f>
        <v>0</v>
      </c>
      <c r="C142" s="4431"/>
      <c r="D142" s="21"/>
      <c r="E142" s="5198"/>
      <c r="F142" s="4073"/>
      <c r="G142" s="22"/>
      <c r="H142" s="4528"/>
      <c r="I142" s="30"/>
    </row>
    <row r="143" spans="1:88" x14ac:dyDescent="0.25">
      <c r="A143" s="1501" t="s">
        <v>3759</v>
      </c>
    </row>
    <row r="144" spans="1:88" s="17" customFormat="1" ht="18" customHeight="1" x14ac:dyDescent="0.2">
      <c r="A144" s="5199" t="s">
        <v>197</v>
      </c>
      <c r="B144" s="19"/>
      <c r="C144" s="19"/>
    </row>
    <row r="145" spans="1:90" ht="21" x14ac:dyDescent="0.25">
      <c r="A145" s="5200" t="s">
        <v>198</v>
      </c>
      <c r="B145" s="5201" t="s">
        <v>199</v>
      </c>
      <c r="C145" s="5201" t="s">
        <v>200</v>
      </c>
    </row>
    <row r="146" spans="1:90" ht="21" x14ac:dyDescent="0.25">
      <c r="A146" s="5202" t="s">
        <v>201</v>
      </c>
      <c r="B146" s="4055"/>
      <c r="C146" s="4051"/>
    </row>
    <row r="147" spans="1:90" x14ac:dyDescent="0.25">
      <c r="A147" s="75" t="s">
        <v>202</v>
      </c>
      <c r="B147" s="12"/>
      <c r="C147" s="30"/>
    </row>
    <row r="148" spans="1:90" s="17" customFormat="1" ht="18" customHeight="1" x14ac:dyDescent="0.2">
      <c r="A148" s="7164" t="s">
        <v>203</v>
      </c>
      <c r="B148" s="7164"/>
      <c r="C148" s="7164"/>
      <c r="D148" s="7164"/>
      <c r="E148" s="7164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63"/>
      <c r="Q148" s="163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</row>
    <row r="149" spans="1:90" x14ac:dyDescent="0.25">
      <c r="A149" s="7165" t="s">
        <v>58</v>
      </c>
      <c r="B149" s="7165" t="s">
        <v>61</v>
      </c>
      <c r="C149" s="7168" t="s">
        <v>3707</v>
      </c>
      <c r="D149" s="7169"/>
      <c r="E149" s="7155"/>
      <c r="F149" s="7172" t="s">
        <v>30</v>
      </c>
      <c r="G149" s="7172"/>
      <c r="H149" s="7172"/>
      <c r="I149" s="7172"/>
      <c r="J149" s="7172"/>
      <c r="K149" s="7172"/>
      <c r="L149" s="7172"/>
      <c r="M149" s="7173"/>
      <c r="N149" s="7149" t="s">
        <v>205</v>
      </c>
      <c r="O149" s="7149" t="s">
        <v>3708</v>
      </c>
      <c r="P149" s="7149" t="s">
        <v>3768</v>
      </c>
      <c r="Q149" s="7152" t="s">
        <v>204</v>
      </c>
      <c r="R149" s="7155" t="s">
        <v>67</v>
      </c>
      <c r="S149" s="7157" t="s">
        <v>45</v>
      </c>
      <c r="T149" s="7149" t="s">
        <v>1388</v>
      </c>
      <c r="U149" s="7149" t="s">
        <v>2</v>
      </c>
      <c r="V149" s="7149" t="s">
        <v>3</v>
      </c>
      <c r="W149" s="6558" t="s">
        <v>48</v>
      </c>
      <c r="X149" s="7190"/>
    </row>
    <row r="150" spans="1:90" x14ac:dyDescent="0.25">
      <c r="A150" s="7166"/>
      <c r="B150" s="7166"/>
      <c r="C150" s="7170"/>
      <c r="D150" s="7171"/>
      <c r="E150" s="7156"/>
      <c r="F150" s="7172" t="s">
        <v>491</v>
      </c>
      <c r="G150" s="7172"/>
      <c r="H150" s="7172" t="s">
        <v>1301</v>
      </c>
      <c r="I150" s="7172"/>
      <c r="J150" s="7172" t="s">
        <v>3709</v>
      </c>
      <c r="K150" s="7172"/>
      <c r="L150" s="7172" t="s">
        <v>3710</v>
      </c>
      <c r="M150" s="7173"/>
      <c r="N150" s="7151"/>
      <c r="O150" s="7151"/>
      <c r="P150" s="7151"/>
      <c r="Q150" s="7153"/>
      <c r="R150" s="6472"/>
      <c r="S150" s="6924"/>
      <c r="T150" s="7151"/>
      <c r="U150" s="7151"/>
      <c r="V150" s="7151"/>
      <c r="W150" s="7149" t="s">
        <v>41</v>
      </c>
      <c r="X150" s="7149" t="s">
        <v>42</v>
      </c>
    </row>
    <row r="151" spans="1:90" ht="23.25" customHeight="1" x14ac:dyDescent="0.25">
      <c r="A151" s="7167"/>
      <c r="B151" s="7167"/>
      <c r="C151" s="4807" t="s">
        <v>26</v>
      </c>
      <c r="D151" s="5207" t="s">
        <v>22</v>
      </c>
      <c r="E151" s="3077" t="s">
        <v>27</v>
      </c>
      <c r="F151" s="5791" t="s">
        <v>22</v>
      </c>
      <c r="G151" s="5789" t="s">
        <v>27</v>
      </c>
      <c r="H151" s="5791" t="s">
        <v>22</v>
      </c>
      <c r="I151" s="5789" t="s">
        <v>27</v>
      </c>
      <c r="J151" s="5791" t="s">
        <v>22</v>
      </c>
      <c r="K151" s="5789" t="s">
        <v>27</v>
      </c>
      <c r="L151" s="5791" t="s">
        <v>22</v>
      </c>
      <c r="M151" s="5947" t="s">
        <v>27</v>
      </c>
      <c r="N151" s="7150"/>
      <c r="O151" s="7150"/>
      <c r="P151" s="7150"/>
      <c r="Q151" s="7154"/>
      <c r="R151" s="7156"/>
      <c r="S151" s="7158"/>
      <c r="T151" s="7150"/>
      <c r="U151" s="7150"/>
      <c r="V151" s="7150"/>
      <c r="W151" s="7150"/>
      <c r="X151" s="7150"/>
    </row>
    <row r="152" spans="1:90" x14ac:dyDescent="0.25">
      <c r="A152" s="7159" t="s">
        <v>216</v>
      </c>
      <c r="B152" s="5209" t="s">
        <v>74</v>
      </c>
      <c r="C152" s="5210">
        <f>SUM(D152:E152)</f>
        <v>0</v>
      </c>
      <c r="D152" s="5211">
        <f>SUM(F152+H152+J152+L152)</f>
        <v>0</v>
      </c>
      <c r="E152" s="5212">
        <f>SUM(G152+I152+K152+M152)</f>
        <v>0</v>
      </c>
      <c r="F152" s="5891"/>
      <c r="G152" s="5893"/>
      <c r="H152" s="5891"/>
      <c r="I152" s="5893"/>
      <c r="J152" s="5891"/>
      <c r="K152" s="5893"/>
      <c r="L152" s="5891"/>
      <c r="M152" s="5962"/>
      <c r="N152" s="4861"/>
      <c r="O152" s="4861"/>
      <c r="P152" s="4861"/>
      <c r="Q152" s="4925"/>
      <c r="R152" s="4861"/>
      <c r="S152" s="4861"/>
      <c r="T152" s="4861"/>
      <c r="U152" s="4861"/>
      <c r="V152" s="4861"/>
      <c r="W152" s="4861"/>
      <c r="X152" s="4861"/>
      <c r="Y152" t="str">
        <f>BW152&amp;BX152&amp;BY152&amp;BZ152&amp;CA152&amp;CB152&amp;CC152</f>
        <v/>
      </c>
      <c r="BW152" s="1791" t="str">
        <f>IF(AND(C152&gt;0,R152="")," * No olvide digitar la variable Beneficiarios. Digite cero si no tiene.",IF(R152&gt;C152," * La variable Beneficiarios no puede ser mayor al Total.",""))</f>
        <v/>
      </c>
      <c r="BX152" s="1791" t="str">
        <f>IF(AND(C152&gt;0,S152="")," * No olvide digitar la variable Niños, Niñas, Adolescentes y Jóvenes Mejor Niñez. Digite cero si no tiene.",IF(S152&gt;C152," * La variable Niños, Niñas, Adolescentes y Jóvenes Mejor Niñez no puede ser mayor al Total.",""))</f>
        <v/>
      </c>
      <c r="BY152" s="1791" t="str">
        <f>IF(AND(C152&gt;0,T152="")," * No olvide digitar la variable Niños, Niñas, Adolescentes y Jóvenes SENAME. Digite cero si no tiene.",IF(T152&gt;C152," * La variable Niños, Niñas, Adolescentes y Jóvenes SENAME no puede ser mayor al Total.",""))</f>
        <v/>
      </c>
      <c r="BZ152" s="1791" t="str">
        <f>IF(AND(C152&gt;0,U152="")," * No olvide digitar la variable Pueblos Originarios. Digite cero si no tiene.",IF(U152&gt;C152," * La variable Pueblos Originarios no puede ser mayor al Total.",""))</f>
        <v/>
      </c>
      <c r="CA152" s="1791" t="str">
        <f>IF(AND(C152&gt;0,V152="")," * No olvide digitar la variable Migrantes. Digite cero si no tiene.",IF(V152&gt;C152," * La variable Migrantes no puede ser mayor al Total.",""))</f>
        <v/>
      </c>
      <c r="CB152" s="1791" t="str">
        <f>IF(AND(E152&gt;0,OR(W152=""))," * No olvide digitar la variable Trans (Masculino). Digite cero si no tiene.",IF((W152)&gt;E152," * La variable Trans (Masculino) no puede ser mayor al Total Mujeres.",""))</f>
        <v/>
      </c>
      <c r="CC152" s="1791" t="str">
        <f>IF(AND(D152&gt;0,OR(X152=""))," * No olvide digitar la variable Trans (Femenino). Digite cero si no tiene.",IF((X152)&gt;D152," * La variable Trans (Femenino) no puede ser mayor al Total Hombres.",""))</f>
        <v/>
      </c>
      <c r="CF152" s="1793">
        <f>IF(AND(C152&gt;0,R152=""),1,IF(R152&gt;C152,1,0))</f>
        <v>0</v>
      </c>
      <c r="CG152" s="1793">
        <f>IF(AND(C152&gt;0,S152=""),1,IF(S152&gt;C152,1,0))</f>
        <v>0</v>
      </c>
      <c r="CH152" s="1793">
        <f>IF(AND(C152&gt;0,T152=""),1,IF(T152&gt;C152,1,0))</f>
        <v>0</v>
      </c>
      <c r="CI152" s="1793">
        <f>IF(AND(C152&gt;0,U152=""),1,IF(U152&gt;C152,1,0))</f>
        <v>0</v>
      </c>
      <c r="CJ152" s="1793">
        <f>IF(AND(C152&gt;0,V152=""),1,IF(V152&gt;C152,1,0))</f>
        <v>0</v>
      </c>
      <c r="CK152" s="1793">
        <f>IF(AND(E152&gt;0,OR(W152="")),1,IF((W152)&gt;E152,1,0))</f>
        <v>0</v>
      </c>
      <c r="CL152" s="1793">
        <f>IF(AND(D152&gt;0,OR(X152="")),1,IF((X152)&gt;D152,1,0))</f>
        <v>0</v>
      </c>
    </row>
    <row r="153" spans="1:90" x14ac:dyDescent="0.25">
      <c r="A153" s="7159"/>
      <c r="B153" s="3350" t="s">
        <v>2079</v>
      </c>
      <c r="C153" s="1054">
        <f t="shared" ref="C153:C154" si="70">SUM(D153:E153)</f>
        <v>0</v>
      </c>
      <c r="D153" s="972">
        <f>SUM(F153+H153+J153+L153)</f>
        <v>0</v>
      </c>
      <c r="E153" s="2012">
        <f t="shared" ref="E153:E154" si="71">SUM(G153+I153+K153+M153)</f>
        <v>0</v>
      </c>
      <c r="F153" s="620"/>
      <c r="G153" s="3232"/>
      <c r="H153" s="620"/>
      <c r="I153" s="3232"/>
      <c r="J153" s="620"/>
      <c r="K153" s="3232"/>
      <c r="L153" s="620"/>
      <c r="M153" s="3233"/>
      <c r="N153" s="3166"/>
      <c r="O153" s="3166"/>
      <c r="P153" s="3166"/>
      <c r="Q153" s="3236"/>
      <c r="R153" s="3166"/>
      <c r="S153" s="3166"/>
      <c r="T153" s="3166"/>
      <c r="U153" s="3166"/>
      <c r="V153" s="3166"/>
      <c r="W153" s="3166"/>
      <c r="X153" s="3166"/>
      <c r="Y153" t="str">
        <f t="shared" ref="Y153:Y158" si="72">BW153&amp;BX153&amp;BY153&amp;BZ153&amp;CA153&amp;CB153&amp;CC153</f>
        <v/>
      </c>
      <c r="BW153" s="1791" t="str">
        <f t="shared" ref="BW153:BW154" si="73">IF(AND(C153&gt;0,R153="")," * No olvide digitar la variable Beneficiarios. Digite cero si no tiene.",IF(R153&gt;C153," * La variable Beneficiarios no puede ser mayor al Total.",""))</f>
        <v/>
      </c>
      <c r="BX153" s="1791" t="str">
        <f t="shared" ref="BX153:BX154" si="74">IF(AND(C153&gt;0,S153="")," * No olvide digitar la variable Niños, Niñas, Adolescentes y Jóvenes Mejor Niñez. Digite cero si no tiene.",IF(S153&gt;C153," * La variable Niños, Niñas, Adolescentes y Jóvenes Mejor Niñez no puede ser mayor al Total.",""))</f>
        <v/>
      </c>
      <c r="BY153" s="1791" t="str">
        <f t="shared" ref="BY153:BY154" si="75">IF(AND(C153&gt;0,T153="")," * No olvide digitar la variable Niños, Niñas, Adolescentes y Jóvenes SENAME. Digite cero si no tiene.",IF(T153&gt;C153," * La variable Niños, Niñas, Adolescentes y Jóvenes SENAME no puede ser mayor al Total.",""))</f>
        <v/>
      </c>
      <c r="BZ153" s="1791" t="str">
        <f t="shared" ref="BZ153:BZ154" si="76">IF(AND(C153&gt;0,U153="")," * No olvide digitar la variable Pueblos Originarios. Digite cero si no tiene.",IF(U153&gt;C153," * La variable Pueblos Originarios no puede ser mayor al Total.",""))</f>
        <v/>
      </c>
      <c r="CA153" s="1791" t="str">
        <f t="shared" ref="CA153:CA154" si="77">IF(AND(C153&gt;0,V153="")," * No olvide digitar la variable Migrantes. Digite cero si no tiene.",IF(V153&gt;C153," * La variable Migrantes no puede ser mayor al Total.",""))</f>
        <v/>
      </c>
      <c r="CB153" s="1791" t="str">
        <f t="shared" ref="CB153:CB154" si="78">IF(AND(E153&gt;0,OR(W153=""))," * No olvide digitar la variable Trans (Masculino). Digite cero si no tiene.",IF((W153)&gt;E153," * La variable Trans (Masculino) no puede ser mayor al Total Mujeres.",""))</f>
        <v/>
      </c>
      <c r="CC153" s="1791" t="str">
        <f t="shared" ref="CC153:CC154" si="79">IF(AND(D153&gt;0,OR(X153=""))," * No olvide digitar la variable Trans (Femenino). Digite cero si no tiene.",IF((X153)&gt;D153," * La variable Trans (Femenino) no puede ser mayor al Total Hombres.",""))</f>
        <v/>
      </c>
      <c r="CF153" s="1793">
        <f t="shared" ref="CF153:CF154" si="80">IF(AND(C153&gt;0,R153=""),1,IF(R153&gt;C153,1,0))</f>
        <v>0</v>
      </c>
      <c r="CG153" s="1793">
        <f t="shared" ref="CG153:CG154" si="81">IF(AND(C153&gt;0,S153=""),1,IF(S153&gt;C153,1,0))</f>
        <v>0</v>
      </c>
      <c r="CH153" s="1793">
        <f t="shared" ref="CH153:CH154" si="82">IF(AND(C153&gt;0,T153=""),1,IF(T153&gt;C153,1,0))</f>
        <v>0</v>
      </c>
      <c r="CI153" s="1793">
        <f t="shared" ref="CI153:CI154" si="83">IF(AND(C153&gt;0,U153=""),1,IF(U153&gt;C153,1,0))</f>
        <v>0</v>
      </c>
      <c r="CJ153" s="1793">
        <f t="shared" ref="CJ153:CJ154" si="84">IF(AND(C153&gt;0,V153=""),1,IF(V153&gt;C153,1,0))</f>
        <v>0</v>
      </c>
      <c r="CK153" s="1793">
        <f t="shared" ref="CK153:CK154" si="85">IF(AND(E153&gt;0,OR(W153="")),1,IF((W153)&gt;E153,1,0))</f>
        <v>0</v>
      </c>
      <c r="CL153" s="1793">
        <f t="shared" ref="CL153:CL154" si="86">IF(AND(D153&gt;0,OR(X153="")),1,IF((X153)&gt;D153,1,0))</f>
        <v>0</v>
      </c>
    </row>
    <row r="154" spans="1:90" x14ac:dyDescent="0.25">
      <c r="A154" s="7159"/>
      <c r="B154" s="3350" t="s">
        <v>192</v>
      </c>
      <c r="C154" s="3306">
        <f t="shared" si="70"/>
        <v>0</v>
      </c>
      <c r="D154" s="3332">
        <f>SUM(F154+H154+J154+L154)</f>
        <v>0</v>
      </c>
      <c r="E154" s="3622">
        <f t="shared" si="71"/>
        <v>0</v>
      </c>
      <c r="F154" s="620"/>
      <c r="G154" s="3232"/>
      <c r="H154" s="620"/>
      <c r="I154" s="3232"/>
      <c r="J154" s="620"/>
      <c r="K154" s="3232"/>
      <c r="L154" s="620"/>
      <c r="M154" s="3233"/>
      <c r="N154" s="3166"/>
      <c r="O154" s="3166"/>
      <c r="P154" s="3166"/>
      <c r="Q154" s="3236"/>
      <c r="R154" s="3166"/>
      <c r="S154" s="3166"/>
      <c r="T154" s="3166"/>
      <c r="U154" s="3166"/>
      <c r="V154" s="3166"/>
      <c r="W154" s="3166"/>
      <c r="X154" s="3166"/>
      <c r="Y154" t="str">
        <f t="shared" si="72"/>
        <v/>
      </c>
      <c r="BW154" s="1791" t="str">
        <f t="shared" si="73"/>
        <v/>
      </c>
      <c r="BX154" s="1791" t="str">
        <f t="shared" si="74"/>
        <v/>
      </c>
      <c r="BY154" s="1791" t="str">
        <f t="shared" si="75"/>
        <v/>
      </c>
      <c r="BZ154" s="1791" t="str">
        <f t="shared" si="76"/>
        <v/>
      </c>
      <c r="CA154" s="1791" t="str">
        <f t="shared" si="77"/>
        <v/>
      </c>
      <c r="CB154" s="1791" t="str">
        <f t="shared" si="78"/>
        <v/>
      </c>
      <c r="CC154" s="1791" t="str">
        <f t="shared" si="79"/>
        <v/>
      </c>
      <c r="CF154" s="1793">
        <f t="shared" si="80"/>
        <v>0</v>
      </c>
      <c r="CG154" s="1793">
        <f t="shared" si="81"/>
        <v>0</v>
      </c>
      <c r="CH154" s="1793">
        <f t="shared" si="82"/>
        <v>0</v>
      </c>
      <c r="CI154" s="1793">
        <f t="shared" si="83"/>
        <v>0</v>
      </c>
      <c r="CJ154" s="1793">
        <f t="shared" si="84"/>
        <v>0</v>
      </c>
      <c r="CK154" s="1793">
        <f t="shared" si="85"/>
        <v>0</v>
      </c>
      <c r="CL154" s="1793">
        <f t="shared" si="86"/>
        <v>0</v>
      </c>
    </row>
    <row r="155" spans="1:90" x14ac:dyDescent="0.25">
      <c r="A155" s="5214"/>
      <c r="B155" s="5215" t="s">
        <v>24</v>
      </c>
      <c r="C155" s="5216">
        <f>SUM(C152:C154)</f>
        <v>0</v>
      </c>
      <c r="D155" s="5217">
        <f t="shared" ref="D155:Q155" si="87">SUM(D152:D154)</f>
        <v>0</v>
      </c>
      <c r="E155" s="5218">
        <f t="shared" si="87"/>
        <v>0</v>
      </c>
      <c r="F155" s="5811">
        <f t="shared" si="87"/>
        <v>0</v>
      </c>
      <c r="G155" s="5882">
        <f t="shared" si="87"/>
        <v>0</v>
      </c>
      <c r="H155" s="5811">
        <f t="shared" si="87"/>
        <v>0</v>
      </c>
      <c r="I155" s="5882">
        <f t="shared" si="87"/>
        <v>0</v>
      </c>
      <c r="J155" s="5811">
        <f t="shared" si="87"/>
        <v>0</v>
      </c>
      <c r="K155" s="5882">
        <f t="shared" si="87"/>
        <v>0</v>
      </c>
      <c r="L155" s="5811">
        <f t="shared" si="87"/>
        <v>0</v>
      </c>
      <c r="M155" s="5963">
        <f t="shared" si="87"/>
        <v>0</v>
      </c>
      <c r="N155" s="5220">
        <f t="shared" si="87"/>
        <v>0</v>
      </c>
      <c r="O155" s="5220">
        <f t="shared" si="87"/>
        <v>0</v>
      </c>
      <c r="P155" s="5220">
        <f t="shared" si="87"/>
        <v>0</v>
      </c>
      <c r="Q155" s="4926">
        <f t="shared" si="87"/>
        <v>0</v>
      </c>
      <c r="R155" s="5220">
        <f>SUM(R152:R154)</f>
        <v>0</v>
      </c>
      <c r="S155" s="5220">
        <f t="shared" ref="S155:X155" si="88">SUM(S152:S154)</f>
        <v>0</v>
      </c>
      <c r="T155" s="5220">
        <f t="shared" si="88"/>
        <v>0</v>
      </c>
      <c r="U155" s="5220">
        <f t="shared" si="88"/>
        <v>0</v>
      </c>
      <c r="V155" s="5220">
        <f t="shared" si="88"/>
        <v>0</v>
      </c>
      <c r="W155" s="5220">
        <f t="shared" si="88"/>
        <v>0</v>
      </c>
      <c r="X155" s="5220">
        <f t="shared" si="88"/>
        <v>0</v>
      </c>
    </row>
    <row r="156" spans="1:90" x14ac:dyDescent="0.25">
      <c r="A156" s="7159" t="s">
        <v>215</v>
      </c>
      <c r="B156" s="5209" t="s">
        <v>74</v>
      </c>
      <c r="C156" s="145">
        <f>SUM(D156:E156)</f>
        <v>0</v>
      </c>
      <c r="D156" s="5221">
        <f>SUM(F156+H156+J156+L156)</f>
        <v>0</v>
      </c>
      <c r="E156" s="5222">
        <f>SUM(G156+I156+K156+M156)</f>
        <v>0</v>
      </c>
      <c r="F156" s="5891"/>
      <c r="G156" s="5893"/>
      <c r="H156" s="5891"/>
      <c r="I156" s="5893"/>
      <c r="J156" s="5891"/>
      <c r="K156" s="5893"/>
      <c r="L156" s="5891"/>
      <c r="M156" s="5962"/>
      <c r="N156" s="3166"/>
      <c r="O156" s="3166"/>
      <c r="P156" s="3166"/>
      <c r="Q156" s="3236"/>
      <c r="R156" s="3166"/>
      <c r="S156" s="3166"/>
      <c r="T156" s="3166"/>
      <c r="U156" s="3166"/>
      <c r="V156" s="3166"/>
      <c r="W156" s="3166"/>
      <c r="X156" s="3166"/>
      <c r="Y156" t="str">
        <f t="shared" si="72"/>
        <v/>
      </c>
      <c r="BW156" s="1791" t="str">
        <f t="shared" ref="BW156:BW158" si="89">IF(AND(C156&gt;0,R156="")," * No olvide digitar la variable Beneficiarios. Digite cero si no tiene.",IF(R156&gt;C156," * La variable Beneficiarios no puede ser mayor al Total.",""))</f>
        <v/>
      </c>
      <c r="BX156" s="1791" t="str">
        <f t="shared" ref="BX156:BX158" si="90">IF(AND(C156&gt;0,S156="")," * No olvide digitar la variable Niños, Niñas, Adolescentes y Jóvenes Mejor Niñez. Digite cero si no tiene.",IF(S156&gt;C156," * La variable Niños, Niñas, Adolescentes y Jóvenes Mejor Niñez no puede ser mayor al Total.",""))</f>
        <v/>
      </c>
      <c r="BY156" s="1791" t="str">
        <f t="shared" ref="BY156:BY158" si="91">IF(AND(C156&gt;0,T156="")," * No olvide digitar la variable Niños, Niñas, Adolescentes y Jóvenes SENAME. Digite cero si no tiene.",IF(T156&gt;C156," * La variable Niños, Niñas, Adolescentes y Jóvenes SENAME no puede ser mayor al Total.",""))</f>
        <v/>
      </c>
      <c r="BZ156" s="1791" t="str">
        <f t="shared" ref="BZ156:BZ158" si="92">IF(AND(C156&gt;0,U156="")," * No olvide digitar la variable Pueblos Originarios. Digite cero si no tiene.",IF(U156&gt;C156," * La variable Pueblos Originarios no puede ser mayor al Total.",""))</f>
        <v/>
      </c>
      <c r="CA156" s="1791" t="str">
        <f t="shared" ref="CA156:CA158" si="93">IF(AND(C156&gt;0,V156="")," * No olvide digitar la variable Migrantes. Digite cero si no tiene.",IF(V156&gt;C156," * La variable Migrantes no puede ser mayor al Total.",""))</f>
        <v/>
      </c>
      <c r="CB156" s="1791" t="str">
        <f t="shared" ref="CB156:CB158" si="94">IF(AND(E156&gt;0,OR(W156=""))," * No olvide digitar la variable Trans (Masculino). Digite cero si no tiene.",IF((W156)&gt;E156," * La variable Trans (Masculino) no puede ser mayor al Total Mujeres.",""))</f>
        <v/>
      </c>
      <c r="CC156" s="1791" t="str">
        <f t="shared" ref="CC156:CC158" si="95">IF(AND(D156&gt;0,OR(X156=""))," * No olvide digitar la variable Trans (Femenino). Digite cero si no tiene.",IF((X156)&gt;D156," * La variable Trans (Femenino) no puede ser mayor al Total Hombres.",""))</f>
        <v/>
      </c>
      <c r="CF156" s="1793">
        <f t="shared" ref="CF156:CF158" si="96">IF(AND(C156&gt;0,R156=""),1,IF(R156&gt;C156,1,0))</f>
        <v>0</v>
      </c>
      <c r="CG156" s="1793">
        <f t="shared" ref="CG156:CG158" si="97">IF(AND(C156&gt;0,S156=""),1,IF(S156&gt;C156,1,0))</f>
        <v>0</v>
      </c>
      <c r="CH156" s="1793">
        <f t="shared" ref="CH156:CH158" si="98">IF(AND(C156&gt;0,T156=""),1,IF(T156&gt;C156,1,0))</f>
        <v>0</v>
      </c>
      <c r="CI156" s="1793">
        <f t="shared" ref="CI156:CI158" si="99">IF(AND(C156&gt;0,U156=""),1,IF(U156&gt;C156,1,0))</f>
        <v>0</v>
      </c>
      <c r="CJ156" s="1793">
        <f t="shared" ref="CJ156:CJ158" si="100">IF(AND(C156&gt;0,V156=""),1,IF(V156&gt;C156,1,0))</f>
        <v>0</v>
      </c>
      <c r="CK156" s="1793">
        <f t="shared" ref="CK156:CK158" si="101">IF(AND(E156&gt;0,OR(W156="")),1,IF((W156)&gt;E156,1,0))</f>
        <v>0</v>
      </c>
      <c r="CL156" s="1793">
        <f t="shared" ref="CL156:CL158" si="102">IF(AND(D156&gt;0,OR(X156="")),1,IF((X156)&gt;D156,1,0))</f>
        <v>0</v>
      </c>
    </row>
    <row r="157" spans="1:90" x14ac:dyDescent="0.25">
      <c r="A157" s="7159"/>
      <c r="B157" s="3350" t="s">
        <v>2079</v>
      </c>
      <c r="C157" s="1054">
        <f t="shared" ref="C157" si="103">SUM(D157:E157)</f>
        <v>0</v>
      </c>
      <c r="D157" s="972">
        <f>SUM(F157+H157+J157+L157)</f>
        <v>0</v>
      </c>
      <c r="E157" s="2012">
        <f t="shared" ref="E157:E159" si="104">SUM(G157+I157+K157+M157)</f>
        <v>0</v>
      </c>
      <c r="F157" s="620"/>
      <c r="G157" s="3232"/>
      <c r="H157" s="620"/>
      <c r="I157" s="3232"/>
      <c r="J157" s="620"/>
      <c r="K157" s="3232"/>
      <c r="L157" s="620"/>
      <c r="M157" s="3233"/>
      <c r="N157" s="3166"/>
      <c r="O157" s="3166"/>
      <c r="P157" s="3166"/>
      <c r="Q157" s="3236"/>
      <c r="R157" s="3166"/>
      <c r="S157" s="3166"/>
      <c r="T157" s="3166"/>
      <c r="U157" s="3166"/>
      <c r="V157" s="3166"/>
      <c r="W157" s="3166"/>
      <c r="X157" s="3166"/>
      <c r="Y157" t="str">
        <f t="shared" si="72"/>
        <v/>
      </c>
      <c r="BW157" s="1791" t="str">
        <f t="shared" si="89"/>
        <v/>
      </c>
      <c r="BX157" s="1791" t="str">
        <f t="shared" si="90"/>
        <v/>
      </c>
      <c r="BY157" s="1791" t="str">
        <f t="shared" si="91"/>
        <v/>
      </c>
      <c r="BZ157" s="1791" t="str">
        <f t="shared" si="92"/>
        <v/>
      </c>
      <c r="CA157" s="1791" t="str">
        <f t="shared" si="93"/>
        <v/>
      </c>
      <c r="CB157" s="1791" t="str">
        <f t="shared" si="94"/>
        <v/>
      </c>
      <c r="CC157" s="1791" t="str">
        <f t="shared" si="95"/>
        <v/>
      </c>
      <c r="CF157" s="1793">
        <f t="shared" si="96"/>
        <v>0</v>
      </c>
      <c r="CG157" s="1793">
        <f t="shared" si="97"/>
        <v>0</v>
      </c>
      <c r="CH157" s="1793">
        <f t="shared" si="98"/>
        <v>0</v>
      </c>
      <c r="CI157" s="1793">
        <f t="shared" si="99"/>
        <v>0</v>
      </c>
      <c r="CJ157" s="1793">
        <f t="shared" si="100"/>
        <v>0</v>
      </c>
      <c r="CK157" s="1793">
        <f t="shared" si="101"/>
        <v>0</v>
      </c>
      <c r="CL157" s="1793">
        <f t="shared" si="102"/>
        <v>0</v>
      </c>
    </row>
    <row r="158" spans="1:90" x14ac:dyDescent="0.25">
      <c r="A158" s="7159"/>
      <c r="B158" s="3350" t="s">
        <v>192</v>
      </c>
      <c r="C158" s="3306">
        <f>SUM(D158:E158)</f>
        <v>0</v>
      </c>
      <c r="D158" s="3332">
        <f>SUM(F158+H158+J158+L158)</f>
        <v>0</v>
      </c>
      <c r="E158" s="3622">
        <f t="shared" si="104"/>
        <v>0</v>
      </c>
      <c r="F158" s="620"/>
      <c r="G158" s="3232"/>
      <c r="H158" s="620"/>
      <c r="I158" s="3232"/>
      <c r="J158" s="620"/>
      <c r="K158" s="3232"/>
      <c r="L158" s="620"/>
      <c r="M158" s="3233"/>
      <c r="N158" s="3166"/>
      <c r="O158" s="3166"/>
      <c r="P158" s="3166"/>
      <c r="Q158" s="3236"/>
      <c r="R158" s="3166"/>
      <c r="S158" s="3166"/>
      <c r="T158" s="3166"/>
      <c r="U158" s="3166"/>
      <c r="V158" s="3166"/>
      <c r="W158" s="3166"/>
      <c r="X158" s="3166"/>
      <c r="Y158" t="str">
        <f t="shared" si="72"/>
        <v/>
      </c>
      <c r="BW158" s="1791" t="str">
        <f t="shared" si="89"/>
        <v/>
      </c>
      <c r="BX158" s="1791" t="str">
        <f t="shared" si="90"/>
        <v/>
      </c>
      <c r="BY158" s="1791" t="str">
        <f t="shared" si="91"/>
        <v/>
      </c>
      <c r="BZ158" s="1791" t="str">
        <f t="shared" si="92"/>
        <v/>
      </c>
      <c r="CA158" s="1791" t="str">
        <f t="shared" si="93"/>
        <v/>
      </c>
      <c r="CB158" s="1791" t="str">
        <f t="shared" si="94"/>
        <v/>
      </c>
      <c r="CC158" s="1791" t="str">
        <f t="shared" si="95"/>
        <v/>
      </c>
      <c r="CF158" s="1793">
        <f t="shared" si="96"/>
        <v>0</v>
      </c>
      <c r="CG158" s="1793">
        <f t="shared" si="97"/>
        <v>0</v>
      </c>
      <c r="CH158" s="1793">
        <f t="shared" si="98"/>
        <v>0</v>
      </c>
      <c r="CI158" s="1793">
        <f t="shared" si="99"/>
        <v>0</v>
      </c>
      <c r="CJ158" s="1793">
        <f t="shared" si="100"/>
        <v>0</v>
      </c>
      <c r="CK158" s="1793">
        <f t="shared" si="101"/>
        <v>0</v>
      </c>
      <c r="CL158" s="1793">
        <f t="shared" si="102"/>
        <v>0</v>
      </c>
    </row>
    <row r="159" spans="1:90" x14ac:dyDescent="0.25">
      <c r="A159" s="5214"/>
      <c r="B159" s="5215" t="s">
        <v>24</v>
      </c>
      <c r="C159" s="3306">
        <f>SUM(D159:E159)</f>
        <v>0</v>
      </c>
      <c r="D159" s="3332">
        <f>SUM(F159+H159+J159+L159)</f>
        <v>0</v>
      </c>
      <c r="E159" s="3622">
        <f t="shared" si="104"/>
        <v>0</v>
      </c>
      <c r="F159" s="5811">
        <f t="shared" ref="F159:Q159" si="105">SUM(F156:F158)</f>
        <v>0</v>
      </c>
      <c r="G159" s="5882">
        <f t="shared" si="105"/>
        <v>0</v>
      </c>
      <c r="H159" s="5811">
        <f t="shared" si="105"/>
        <v>0</v>
      </c>
      <c r="I159" s="5882">
        <f t="shared" si="105"/>
        <v>0</v>
      </c>
      <c r="J159" s="5811">
        <f t="shared" si="105"/>
        <v>0</v>
      </c>
      <c r="K159" s="5882">
        <f t="shared" si="105"/>
        <v>0</v>
      </c>
      <c r="L159" s="5811">
        <f t="shared" si="105"/>
        <v>0</v>
      </c>
      <c r="M159" s="5963">
        <f t="shared" si="105"/>
        <v>0</v>
      </c>
      <c r="N159" s="5220">
        <f t="shared" si="105"/>
        <v>0</v>
      </c>
      <c r="O159" s="5220">
        <f t="shared" si="105"/>
        <v>0</v>
      </c>
      <c r="P159" s="5220">
        <f t="shared" si="105"/>
        <v>0</v>
      </c>
      <c r="Q159" s="4926">
        <f t="shared" si="105"/>
        <v>0</v>
      </c>
      <c r="R159" s="5220">
        <f>SUM(R156:R158)</f>
        <v>0</v>
      </c>
      <c r="S159" s="5220">
        <f t="shared" ref="S159:X159" si="106">SUM(S156:S158)</f>
        <v>0</v>
      </c>
      <c r="T159" s="5220">
        <f t="shared" si="106"/>
        <v>0</v>
      </c>
      <c r="U159" s="5220">
        <f t="shared" si="106"/>
        <v>0</v>
      </c>
      <c r="V159" s="5220">
        <f t="shared" si="106"/>
        <v>0</v>
      </c>
      <c r="W159" s="5220">
        <f t="shared" si="106"/>
        <v>0</v>
      </c>
      <c r="X159" s="5220">
        <f t="shared" si="106"/>
        <v>0</v>
      </c>
    </row>
    <row r="160" spans="1:90" x14ac:dyDescent="0.25">
      <c r="A160" s="7159" t="s">
        <v>83</v>
      </c>
      <c r="B160" s="7159"/>
      <c r="C160" s="3306">
        <f>SUM(D160:E160)</f>
        <v>0</v>
      </c>
      <c r="D160" s="3332">
        <f>SUM(F160+H160+J160+L160)</f>
        <v>0</v>
      </c>
      <c r="E160" s="3622">
        <f>SUM(G160+I160+K160+M160)</f>
        <v>0</v>
      </c>
      <c r="F160" s="5965"/>
      <c r="G160" s="5961"/>
      <c r="H160" s="5965"/>
      <c r="I160" s="5961"/>
      <c r="J160" s="5965"/>
      <c r="K160" s="5961"/>
      <c r="L160" s="5965"/>
      <c r="M160" s="5964"/>
      <c r="N160" s="5223"/>
      <c r="O160" s="5223"/>
      <c r="P160" s="5223"/>
      <c r="Q160" s="4927"/>
      <c r="R160" s="5223"/>
      <c r="S160" s="5223"/>
      <c r="T160" s="5223"/>
      <c r="U160" s="5223"/>
      <c r="V160" s="5223"/>
      <c r="W160" s="5223"/>
      <c r="X160" s="5223"/>
      <c r="Y160" t="str">
        <f>BW160&amp;BX160&amp;BY160&amp;BZ160&amp;CA160&amp;CB160&amp;CC160</f>
        <v/>
      </c>
      <c r="BW160" s="1791" t="str">
        <f>IF(AND(C160&gt;0,R160="")," * No olvide digitar la variable Beneficiarios. Digite cero si no tiene.",IF(R160&gt;C160," * La variable Beneficiarios no puede ser mayor al Total.",""))</f>
        <v/>
      </c>
      <c r="BX160" s="1791" t="str">
        <f>IF(AND(C160&gt;0,S160="")," * No olvide digitar la variable Niños, Niñas, Adolescentes y Jóvenes Mejor Niñez. Digite cero si no tiene.",IF(S160&gt;C160," * La variable Niños, Niñas, Adolescentes y Jóvenes Mejor Niñez no puede ser mayor al Total.",""))</f>
        <v/>
      </c>
      <c r="BY160" s="1791" t="str">
        <f>IF(AND(C160&gt;0,T160="")," * No olvide digitar la variable Niños, Niñas, Adolescentes y Jóvenes SENAME. Digite cero si no tiene.",IF(T160&gt;C160," * La variable Niños, Niñas, Adolescentes y Jóvenes SENAME no puede ser mayor al Total.",""))</f>
        <v/>
      </c>
      <c r="BZ160" s="1791" t="str">
        <f>IF(AND(C160&gt;0,U160="")," * No olvide digitar la variable Pueblos Originarios. Digite cero si no tiene.",IF(U160&gt;C160," * La variable Pueblos Originarios no puede ser mayor al Total.",""))</f>
        <v/>
      </c>
      <c r="CA160" s="1791" t="str">
        <f>IF(AND(C160&gt;0,V160="")," * No olvide digitar la variable Migrantes. Digite cero si no tiene.",IF(V160&gt;C160," * La variable Migrantes no puede ser mayor al Total.",""))</f>
        <v/>
      </c>
      <c r="CB160" s="1791" t="str">
        <f>IF(AND(E160&gt;0,OR(W160=""))," * No olvide digitar la variable Trans (Masculino). Digite cero si no tiene.",IF((W160)&gt;E160," * La variable Trans (Masculino) no puede ser mayor al Total Mujeres.",""))</f>
        <v/>
      </c>
      <c r="CC160" s="1791" t="str">
        <f>IF(AND(D160&gt;0,OR(X160=""))," * No olvide digitar la variable Trans (Femenino). Digite cero si no tiene.",IF((X160)&gt;D160," * La variable Trans (Femenino) no puede ser mayor al Total Hombres.",""))</f>
        <v/>
      </c>
      <c r="CF160" s="1793">
        <f>IF(AND(C160&gt;0,R160=""),1,IF(R160&gt;C160,1,0))</f>
        <v>0</v>
      </c>
      <c r="CG160" s="1793">
        <f>IF(AND(C160&gt;0,S160=""),1,IF(S160&gt;C160,1,0))</f>
        <v>0</v>
      </c>
      <c r="CH160" s="1793">
        <f>IF(AND(C160&gt;0,T160=""),1,IF(T160&gt;C160,1,0))</f>
        <v>0</v>
      </c>
      <c r="CI160" s="1793">
        <f>IF(AND(C160&gt;0,U160=""),1,IF(U160&gt;C160,1,0))</f>
        <v>0</v>
      </c>
      <c r="CJ160" s="1793">
        <f>IF(AND(C160&gt;0,V160=""),1,IF(V160&gt;C160,1,0))</f>
        <v>0</v>
      </c>
      <c r="CK160" s="1793">
        <f>IF(AND(E160&gt;0,OR(W160="")),1,IF((W160)&gt;E160,1,0))</f>
        <v>0</v>
      </c>
      <c r="CL160" s="1793">
        <f>IF(AND(D160&gt;0,OR(X160="")),1,IF((X160)&gt;D160,1,0))</f>
        <v>0</v>
      </c>
    </row>
    <row r="161" spans="1:4" x14ac:dyDescent="0.25">
      <c r="A161" s="122" t="s">
        <v>3711</v>
      </c>
      <c r="B161" s="5224"/>
      <c r="C161" s="5224"/>
      <c r="D161" s="5224"/>
    </row>
    <row r="162" spans="1:4" x14ac:dyDescent="0.25">
      <c r="A162" s="7149" t="s">
        <v>137</v>
      </c>
      <c r="B162" s="7149" t="s">
        <v>138</v>
      </c>
      <c r="C162" s="7160" t="s">
        <v>3712</v>
      </c>
      <c r="D162" s="6560" t="s">
        <v>3713</v>
      </c>
    </row>
    <row r="163" spans="1:4" x14ac:dyDescent="0.25">
      <c r="A163" s="7150"/>
      <c r="B163" s="7150"/>
      <c r="C163" s="7161"/>
      <c r="D163" s="6545"/>
    </row>
    <row r="164" spans="1:4" x14ac:dyDescent="0.25">
      <c r="A164" s="5225" t="s">
        <v>141</v>
      </c>
      <c r="B164" s="5226"/>
      <c r="C164" s="5227"/>
      <c r="D164" s="5228"/>
    </row>
    <row r="165" spans="1:4" x14ac:dyDescent="0.25">
      <c r="A165" s="3603" t="s">
        <v>3714</v>
      </c>
      <c r="B165" s="4435"/>
      <c r="C165" s="5229"/>
      <c r="D165" s="3609"/>
    </row>
    <row r="166" spans="1:4" x14ac:dyDescent="0.25">
      <c r="A166" s="587" t="s">
        <v>3715</v>
      </c>
      <c r="B166" s="274"/>
      <c r="C166" s="3586"/>
      <c r="D166" s="290"/>
    </row>
    <row r="197" spans="1:2" ht="14.25" hidden="1" customHeight="1" x14ac:dyDescent="0.25">
      <c r="A197" s="4600">
        <f>SUM(C12:C26,B30:B32,E30:E32,B36:B38,E36:E38,C41:C44,C49:C50,C55:C76,B80:I83,B86:D92,B101:F101,B106:B108,B112:E112,B116:B118,B122,C127:C130,B135:B142,B146:C147,C152:C160,B164:D166)</f>
        <v>0</v>
      </c>
      <c r="B197" s="4574">
        <f>SUM(CF12:CM160)</f>
        <v>0</v>
      </c>
    </row>
  </sheetData>
  <sheetProtection algorithmName="SHA-512" hashValue="2DlI2tPfA1Gj2ARftmdQ0KBYwUG4wzNTzOuxQRlVVQR+bm/DAn7p99ra/wG2/2znOIOQlzsQcAU4nGQGNUZa9g==" saltValue="2D7DWmPaG/DoELS3c/vfuQ==" spinCount="100000" sheet="1" objects="1" scenarios="1"/>
  <mergeCells count="212">
    <mergeCell ref="A6:W6"/>
    <mergeCell ref="A9:A11"/>
    <mergeCell ref="B9:B11"/>
    <mergeCell ref="C9:E10"/>
    <mergeCell ref="F9:AM9"/>
    <mergeCell ref="AN9:AN11"/>
    <mergeCell ref="F10:G10"/>
    <mergeCell ref="H10:I10"/>
    <mergeCell ref="J10:K10"/>
    <mergeCell ref="L10:M10"/>
    <mergeCell ref="AL10:AM10"/>
    <mergeCell ref="AT10:AT11"/>
    <mergeCell ref="AU10:AU11"/>
    <mergeCell ref="A12:A22"/>
    <mergeCell ref="A23:B23"/>
    <mergeCell ref="A25:A26"/>
    <mergeCell ref="Z10:AA10"/>
    <mergeCell ref="AB10:AC10"/>
    <mergeCell ref="AD10:AE10"/>
    <mergeCell ref="AF10:AG10"/>
    <mergeCell ref="AH10:AI10"/>
    <mergeCell ref="AJ10:AK10"/>
    <mergeCell ref="N10:O10"/>
    <mergeCell ref="P10:Q10"/>
    <mergeCell ref="R10:S10"/>
    <mergeCell ref="T10:U10"/>
    <mergeCell ref="V10:W10"/>
    <mergeCell ref="X10:Y10"/>
    <mergeCell ref="AO9:AO11"/>
    <mergeCell ref="AP9:AP11"/>
    <mergeCell ref="AQ9:AQ11"/>
    <mergeCell ref="AR9:AR11"/>
    <mergeCell ref="AS9:AS11"/>
    <mergeCell ref="AT9:AU9"/>
    <mergeCell ref="L28:M28"/>
    <mergeCell ref="N28:O28"/>
    <mergeCell ref="P28:Q28"/>
    <mergeCell ref="R28:S28"/>
    <mergeCell ref="T28:U28"/>
    <mergeCell ref="V28:W28"/>
    <mergeCell ref="A28:A29"/>
    <mergeCell ref="B28:B29"/>
    <mergeCell ref="C28:D28"/>
    <mergeCell ref="E28:G28"/>
    <mergeCell ref="H28:I28"/>
    <mergeCell ref="J28:K28"/>
    <mergeCell ref="A41:A42"/>
    <mergeCell ref="A43:A44"/>
    <mergeCell ref="A46:B48"/>
    <mergeCell ref="C46:E47"/>
    <mergeCell ref="AS28:AS29"/>
    <mergeCell ref="AT28:AT29"/>
    <mergeCell ref="AU28:AU29"/>
    <mergeCell ref="A34:A35"/>
    <mergeCell ref="B34:B35"/>
    <mergeCell ref="C34:D34"/>
    <mergeCell ref="E34:G34"/>
    <mergeCell ref="H34:M34"/>
    <mergeCell ref="AJ28:AK28"/>
    <mergeCell ref="AL28:AM28"/>
    <mergeCell ref="AN28:AO28"/>
    <mergeCell ref="AP28:AP29"/>
    <mergeCell ref="AQ28:AQ29"/>
    <mergeCell ref="AR28:AR29"/>
    <mergeCell ref="X28:Y28"/>
    <mergeCell ref="Z28:AA28"/>
    <mergeCell ref="AB28:AC28"/>
    <mergeCell ref="AD28:AE28"/>
    <mergeCell ref="AF28:AG28"/>
    <mergeCell ref="AH28:AI28"/>
    <mergeCell ref="F46:AK46"/>
    <mergeCell ref="AL46:AL48"/>
    <mergeCell ref="AM46:AM48"/>
    <mergeCell ref="AN46:AN48"/>
    <mergeCell ref="F47:G47"/>
    <mergeCell ref="H47:I47"/>
    <mergeCell ref="J47:K47"/>
    <mergeCell ref="L47:M47"/>
    <mergeCell ref="N47:O47"/>
    <mergeCell ref="P47:Q47"/>
    <mergeCell ref="AD47:AE47"/>
    <mergeCell ref="AF47:AG47"/>
    <mergeCell ref="AH47:AI47"/>
    <mergeCell ref="AJ47:AK47"/>
    <mergeCell ref="A51:M51"/>
    <mergeCell ref="A52:B54"/>
    <mergeCell ref="C52:E53"/>
    <mergeCell ref="F52:AK52"/>
    <mergeCell ref="V53:W53"/>
    <mergeCell ref="X53:Y53"/>
    <mergeCell ref="R47:S47"/>
    <mergeCell ref="T47:U47"/>
    <mergeCell ref="V47:W47"/>
    <mergeCell ref="X47:Y47"/>
    <mergeCell ref="Z47:AA47"/>
    <mergeCell ref="AB47:AC47"/>
    <mergeCell ref="Z53:AA53"/>
    <mergeCell ref="AB53:AC53"/>
    <mergeCell ref="AD53:AE53"/>
    <mergeCell ref="AF53:AG53"/>
    <mergeCell ref="AH53:AI53"/>
    <mergeCell ref="AJ53:AK53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78:A79"/>
    <mergeCell ref="B78:C78"/>
    <mergeCell ref="D78:E78"/>
    <mergeCell ref="F78:G78"/>
    <mergeCell ref="H78:I78"/>
    <mergeCell ref="A55:A60"/>
    <mergeCell ref="A61:A62"/>
    <mergeCell ref="A63:A66"/>
    <mergeCell ref="A67:A68"/>
    <mergeCell ref="A69:A70"/>
    <mergeCell ref="A71:A76"/>
    <mergeCell ref="O103:O105"/>
    <mergeCell ref="P103:P105"/>
    <mergeCell ref="E104:F104"/>
    <mergeCell ref="G104:H104"/>
    <mergeCell ref="I104:J104"/>
    <mergeCell ref="K104:L104"/>
    <mergeCell ref="M104:N104"/>
    <mergeCell ref="A94:A95"/>
    <mergeCell ref="B94:B95"/>
    <mergeCell ref="C94:C95"/>
    <mergeCell ref="D94:D95"/>
    <mergeCell ref="E94:F94"/>
    <mergeCell ref="A103:A105"/>
    <mergeCell ref="B103:D104"/>
    <mergeCell ref="E103:M103"/>
    <mergeCell ref="G114:H114"/>
    <mergeCell ref="I114:J114"/>
    <mergeCell ref="A120:A121"/>
    <mergeCell ref="B120:B121"/>
    <mergeCell ref="C120:D120"/>
    <mergeCell ref="E120:F120"/>
    <mergeCell ref="G120:I120"/>
    <mergeCell ref="A110:A111"/>
    <mergeCell ref="B110:D110"/>
    <mergeCell ref="E110:E111"/>
    <mergeCell ref="A114:A115"/>
    <mergeCell ref="B114:D114"/>
    <mergeCell ref="E114:F114"/>
    <mergeCell ref="F125:G125"/>
    <mergeCell ref="H125:I125"/>
    <mergeCell ref="J125:K125"/>
    <mergeCell ref="L125:M125"/>
    <mergeCell ref="N125:O125"/>
    <mergeCell ref="P125:Q125"/>
    <mergeCell ref="R125:S125"/>
    <mergeCell ref="A124:A126"/>
    <mergeCell ref="B124:B126"/>
    <mergeCell ref="C124:E125"/>
    <mergeCell ref="F124:AM124"/>
    <mergeCell ref="T125:U125"/>
    <mergeCell ref="V125:W125"/>
    <mergeCell ref="X125:Y125"/>
    <mergeCell ref="Z125:AA125"/>
    <mergeCell ref="AB125:AC125"/>
    <mergeCell ref="AD125:AE125"/>
    <mergeCell ref="AF125:AG125"/>
    <mergeCell ref="AH125:AI125"/>
    <mergeCell ref="AJ125:AK125"/>
    <mergeCell ref="AL125:AM125"/>
    <mergeCell ref="AP124:AP126"/>
    <mergeCell ref="AQ124:AQ126"/>
    <mergeCell ref="AR124:AR126"/>
    <mergeCell ref="AN124:AN126"/>
    <mergeCell ref="AO124:AO126"/>
    <mergeCell ref="A148:E148"/>
    <mergeCell ref="A149:A151"/>
    <mergeCell ref="B149:B151"/>
    <mergeCell ref="C149:E150"/>
    <mergeCell ref="F149:M149"/>
    <mergeCell ref="N149:N151"/>
    <mergeCell ref="A127:A130"/>
    <mergeCell ref="A132:A134"/>
    <mergeCell ref="B132:F132"/>
    <mergeCell ref="G132:G134"/>
    <mergeCell ref="H132:I133"/>
    <mergeCell ref="B133:B134"/>
    <mergeCell ref="C133:F133"/>
    <mergeCell ref="W149:X149"/>
    <mergeCell ref="F150:G150"/>
    <mergeCell ref="H150:I150"/>
    <mergeCell ref="J150:K150"/>
    <mergeCell ref="L150:M150"/>
    <mergeCell ref="W150:W151"/>
    <mergeCell ref="X150:X151"/>
    <mergeCell ref="O149:O151"/>
    <mergeCell ref="P149:P151"/>
    <mergeCell ref="Q149:Q151"/>
    <mergeCell ref="R149:R151"/>
    <mergeCell ref="S149:S151"/>
    <mergeCell ref="T149:T151"/>
    <mergeCell ref="D162:D163"/>
    <mergeCell ref="A152:A154"/>
    <mergeCell ref="A156:A158"/>
    <mergeCell ref="A160:B160"/>
    <mergeCell ref="A162:A163"/>
    <mergeCell ref="B162:B163"/>
    <mergeCell ref="C162:C163"/>
    <mergeCell ref="U149:U151"/>
    <mergeCell ref="V149:V151"/>
  </mergeCells>
  <dataValidations count="2">
    <dataValidation type="whole" allowBlank="1" showInputMessage="1" showErrorMessage="1" sqref="F148:AS148 S149" xr:uid="{00000000-0002-0000-0600-000000000000}">
      <formula1>0</formula1>
      <formula2>1E+30</formula2>
    </dataValidation>
    <dataValidation type="whole" operator="greaterThanOrEqual" allowBlank="1" showInputMessage="1" showErrorMessage="1" sqref="C30:AU31 C36:M37 C41:C44 F55:AM76 B80:I83 B86:D92 B96:F100 E106:P108 B112:E112 E116:J118 C122:I122 F127:AR129 C135:I142 B146:C147 F12:AU26 F49:AN50 F152:X154 F156:X158 F160:X160 B164:D166" xr:uid="{00000000-0002-0000-0600-000001000000}">
      <formula1>0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EK249"/>
  <sheetViews>
    <sheetView showGridLines="0" zoomScaleNormal="100" workbookViewId="0"/>
  </sheetViews>
  <sheetFormatPr baseColWidth="10" defaultColWidth="11.42578125" defaultRowHeight="15" x14ac:dyDescent="0.25"/>
  <cols>
    <col min="1" max="1" width="52.85546875" customWidth="1"/>
    <col min="2" max="2" width="31.5703125" customWidth="1"/>
    <col min="3" max="3" width="12.140625" customWidth="1"/>
    <col min="4" max="4" width="11.7109375" customWidth="1"/>
    <col min="5" max="18" width="11.28515625" customWidth="1"/>
    <col min="19" max="19" width="13.5703125" customWidth="1"/>
    <col min="20" max="20" width="13.140625" customWidth="1"/>
    <col min="21" max="24" width="11.42578125" customWidth="1"/>
    <col min="25" max="25" width="13.7109375" customWidth="1"/>
    <col min="26" max="28" width="11.42578125" customWidth="1"/>
    <col min="29" max="29" width="13.5703125" customWidth="1"/>
    <col min="30" max="32" width="11.42578125" customWidth="1"/>
    <col min="36" max="36" width="12" bestFit="1" customWidth="1"/>
    <col min="37" max="37" width="14.28515625" customWidth="1"/>
    <col min="38" max="38" width="16.140625" customWidth="1"/>
    <col min="39" max="39" width="13.85546875" customWidth="1"/>
    <col min="40" max="40" width="11.42578125" bestFit="1" customWidth="1"/>
    <col min="41" max="41" width="14" customWidth="1"/>
    <col min="42" max="42" width="14.85546875" customWidth="1"/>
    <col min="45" max="45" width="13.42578125" customWidth="1"/>
    <col min="46" max="46" width="13.85546875" customWidth="1"/>
    <col min="47" max="55" width="14.42578125" customWidth="1"/>
    <col min="56" max="56" width="11.42578125" hidden="1" customWidth="1"/>
    <col min="57" max="57" width="14" hidden="1" customWidth="1"/>
    <col min="58" max="58" width="11.42578125" hidden="1" customWidth="1"/>
    <col min="59" max="62" width="13.42578125" hidden="1" customWidth="1"/>
    <col min="63" max="71" width="11.42578125" hidden="1" customWidth="1"/>
    <col min="89" max="89" width="11.140625" customWidth="1"/>
    <col min="90" max="141" width="11.42578125" customWidth="1"/>
  </cols>
  <sheetData>
    <row r="1" spans="1:141" x14ac:dyDescent="0.25">
      <c r="A1" s="779" t="s">
        <v>3878</v>
      </c>
    </row>
    <row r="2" spans="1:141" x14ac:dyDescent="0.25">
      <c r="A2" s="779" t="str">
        <f>CONCATENATE("COMUNA: ",NOMBRE!B2," - ","( ",NOMBRE!C2,NOMBRE!D2,NOMBRE!E2,NOMBRE!F2,NOMBRE!G2," )")</f>
        <v>COMUNA:  - (  )</v>
      </c>
    </row>
    <row r="3" spans="1:141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41" x14ac:dyDescent="0.25">
      <c r="A4" s="779" t="str">
        <f>CONCATENATE("MES: ",NOMBRE!B6," - ","( ",NOMBRE!C6,NOMBRE!D6," )")</f>
        <v>MES:  - (  )</v>
      </c>
    </row>
    <row r="5" spans="1:141" x14ac:dyDescent="0.25">
      <c r="A5" s="779" t="str">
        <f>CONCATENATE("AÑO: ",NOMBRE!B7)</f>
        <v>AÑO: 2024</v>
      </c>
    </row>
    <row r="6" spans="1:141" s="103" customFormat="1" ht="18" customHeight="1" x14ac:dyDescent="0.25">
      <c r="A6" s="7314" t="s">
        <v>2115</v>
      </c>
      <c r="B6" s="7314"/>
      <c r="C6" s="7314"/>
      <c r="D6" s="7314"/>
      <c r="E6" s="7314"/>
      <c r="F6" s="7314"/>
      <c r="G6" s="7314"/>
      <c r="H6" s="7314"/>
      <c r="I6" s="7314"/>
      <c r="J6" s="7314"/>
      <c r="K6" s="7314"/>
      <c r="L6" s="7314"/>
      <c r="M6" s="7314"/>
      <c r="N6" s="7314"/>
      <c r="O6" s="7314"/>
      <c r="P6" s="7314"/>
      <c r="Q6" s="7314"/>
      <c r="R6" s="7314"/>
      <c r="S6" s="7314"/>
      <c r="T6" s="7314"/>
      <c r="U6" s="7314"/>
      <c r="V6" s="7314"/>
      <c r="W6" s="7314"/>
      <c r="X6" s="7314"/>
      <c r="Y6" s="7314"/>
      <c r="Z6" s="7314"/>
      <c r="AA6" s="7314"/>
      <c r="AB6" s="7314"/>
      <c r="AC6" s="7314"/>
      <c r="AD6" s="7314"/>
      <c r="AE6" s="102"/>
      <c r="AF6" s="102"/>
      <c r="AG6" s="102"/>
      <c r="AH6" s="2476"/>
      <c r="AI6" s="102"/>
      <c r="AJ6" s="102"/>
      <c r="AK6" s="2476"/>
      <c r="AL6" s="102"/>
      <c r="AM6" s="102"/>
      <c r="AN6" s="2477"/>
      <c r="AP6"/>
      <c r="AQ6"/>
      <c r="AR6"/>
      <c r="BE6" s="782"/>
      <c r="BF6" s="782"/>
      <c r="BG6" s="782"/>
      <c r="BH6" s="782"/>
      <c r="BI6" s="782"/>
      <c r="BJ6" s="782"/>
      <c r="BK6" s="782"/>
      <c r="BL6" s="782"/>
      <c r="BM6" s="782"/>
      <c r="BN6" s="782"/>
      <c r="CI6" s="104"/>
      <c r="CJ6" s="104"/>
      <c r="CK6" s="104"/>
      <c r="CL6" s="2660"/>
      <c r="CM6" s="2660"/>
      <c r="CN6" s="2660"/>
      <c r="CO6" s="2660"/>
      <c r="CP6" s="2660"/>
      <c r="CQ6" s="2660"/>
      <c r="CR6"/>
      <c r="CS6"/>
      <c r="CT6"/>
      <c r="CU6"/>
      <c r="CV6"/>
      <c r="CW6"/>
      <c r="CX6"/>
      <c r="CY6"/>
      <c r="CZ6"/>
      <c r="DA6"/>
      <c r="DB6"/>
      <c r="DC6"/>
      <c r="DD6" s="782"/>
      <c r="DE6" s="782"/>
      <c r="DF6" s="782"/>
      <c r="DG6" s="782"/>
      <c r="DH6" s="782"/>
      <c r="DI6" s="782"/>
      <c r="DJ6" s="782"/>
      <c r="DK6" s="782"/>
      <c r="DL6" s="2660"/>
      <c r="DM6" s="2660"/>
      <c r="DN6" s="2660"/>
      <c r="DO6" s="2660"/>
      <c r="DP6" s="2660"/>
      <c r="DQ6" s="782"/>
      <c r="DR6" s="782"/>
      <c r="DS6" s="782"/>
      <c r="DT6" s="782"/>
      <c r="DU6" s="782"/>
      <c r="DV6" s="782"/>
      <c r="DW6" s="782"/>
      <c r="DX6" s="782"/>
      <c r="DY6" s="782"/>
      <c r="DZ6" s="782"/>
      <c r="EA6" s="782"/>
      <c r="EB6" s="782"/>
      <c r="EC6" s="782"/>
      <c r="ED6" s="782"/>
      <c r="EE6" s="782"/>
      <c r="EF6" s="782"/>
      <c r="EG6" s="782"/>
      <c r="EH6" s="782"/>
      <c r="EI6" s="782"/>
      <c r="EJ6" s="782"/>
      <c r="EK6" s="782"/>
    </row>
    <row r="8" spans="1:141" s="17" customFormat="1" ht="18" customHeight="1" x14ac:dyDescent="0.2">
      <c r="A8" s="122" t="s">
        <v>3867</v>
      </c>
      <c r="B8" s="123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2478"/>
      <c r="AE8" s="101"/>
      <c r="AF8" s="101"/>
    </row>
    <row r="9" spans="1:141" x14ac:dyDescent="0.25">
      <c r="A9" s="7168" t="s">
        <v>2116</v>
      </c>
      <c r="B9" s="7315" t="s">
        <v>3924</v>
      </c>
      <c r="C9" s="7316"/>
      <c r="D9" s="7316"/>
      <c r="E9" s="7316"/>
      <c r="F9" s="7316"/>
      <c r="G9" s="7316"/>
      <c r="H9" s="7316"/>
      <c r="I9" s="7316"/>
      <c r="J9" s="7316"/>
      <c r="K9" s="7316"/>
      <c r="L9" s="7316"/>
      <c r="M9" s="7316"/>
      <c r="N9" s="7316"/>
      <c r="O9" s="7316"/>
      <c r="P9" s="7316"/>
      <c r="Q9" s="7316"/>
      <c r="R9" s="7316"/>
      <c r="S9" s="7316"/>
      <c r="T9" s="7316"/>
      <c r="U9" s="7316"/>
      <c r="V9" s="7317"/>
      <c r="W9" s="7168" t="s">
        <v>2117</v>
      </c>
      <c r="X9" s="7169"/>
      <c r="Y9" s="7169"/>
      <c r="Z9" s="7169"/>
      <c r="AA9" s="7169"/>
      <c r="AB9" s="7169"/>
      <c r="AC9" s="7169"/>
      <c r="AD9" s="7155"/>
      <c r="AE9" s="7318" t="s">
        <v>2118</v>
      </c>
      <c r="AF9" s="7318"/>
    </row>
    <row r="10" spans="1:141" ht="15" customHeight="1" x14ac:dyDescent="0.25">
      <c r="A10" s="6600"/>
      <c r="B10" s="7149" t="s">
        <v>59</v>
      </c>
      <c r="C10" s="7168" t="s">
        <v>12</v>
      </c>
      <c r="D10" s="7169"/>
      <c r="E10" s="7169"/>
      <c r="F10" s="7169"/>
      <c r="G10" s="7169"/>
      <c r="H10" s="7169"/>
      <c r="I10" s="7169"/>
      <c r="J10" s="7169"/>
      <c r="K10" s="7169"/>
      <c r="L10" s="7169"/>
      <c r="M10" s="7169"/>
      <c r="N10" s="7169"/>
      <c r="O10" s="7169"/>
      <c r="P10" s="7169"/>
      <c r="Q10" s="7169"/>
      <c r="R10" s="7169"/>
      <c r="S10" s="7155"/>
      <c r="T10" s="7149" t="s">
        <v>67</v>
      </c>
      <c r="U10" s="7285" t="s">
        <v>2119</v>
      </c>
      <c r="V10" s="7286"/>
      <c r="W10" s="7294" t="s">
        <v>218</v>
      </c>
      <c r="X10" s="7294"/>
      <c r="Y10" s="7294"/>
      <c r="Z10" s="7286"/>
      <c r="AA10" s="7285" t="s">
        <v>219</v>
      </c>
      <c r="AB10" s="7294"/>
      <c r="AC10" s="7294"/>
      <c r="AD10" s="7286"/>
      <c r="AE10" s="7318"/>
      <c r="AF10" s="7318"/>
    </row>
    <row r="11" spans="1:141" ht="32.25" customHeight="1" x14ac:dyDescent="0.25">
      <c r="A11" s="7170"/>
      <c r="B11" s="7150"/>
      <c r="C11" s="5233" t="s">
        <v>36</v>
      </c>
      <c r="D11" s="4696" t="s">
        <v>37</v>
      </c>
      <c r="E11" s="4976" t="s">
        <v>38</v>
      </c>
      <c r="F11" s="4976" t="s">
        <v>4</v>
      </c>
      <c r="G11" s="4976" t="s">
        <v>5</v>
      </c>
      <c r="H11" s="4905" t="s">
        <v>6</v>
      </c>
      <c r="I11" s="4905" t="s">
        <v>7</v>
      </c>
      <c r="J11" s="4905" t="s">
        <v>8</v>
      </c>
      <c r="K11" s="4905" t="s">
        <v>9</v>
      </c>
      <c r="L11" s="4905" t="s">
        <v>10</v>
      </c>
      <c r="M11" s="4905" t="s">
        <v>11</v>
      </c>
      <c r="N11" s="4905" t="s">
        <v>18</v>
      </c>
      <c r="O11" s="4905" t="s">
        <v>19</v>
      </c>
      <c r="P11" s="4905" t="s">
        <v>20</v>
      </c>
      <c r="Q11" s="4905" t="s">
        <v>70</v>
      </c>
      <c r="R11" s="4905" t="s">
        <v>71</v>
      </c>
      <c r="S11" s="5234" t="s">
        <v>32</v>
      </c>
      <c r="T11" s="7156"/>
      <c r="U11" s="4990" t="s">
        <v>22</v>
      </c>
      <c r="V11" s="5234" t="s">
        <v>27</v>
      </c>
      <c r="W11" s="5232" t="s">
        <v>50</v>
      </c>
      <c r="X11" s="4791" t="s">
        <v>220</v>
      </c>
      <c r="Y11" s="4976" t="s">
        <v>2120</v>
      </c>
      <c r="Z11" s="5234" t="s">
        <v>2121</v>
      </c>
      <c r="AA11" s="4791" t="s">
        <v>50</v>
      </c>
      <c r="AB11" s="4791" t="s">
        <v>220</v>
      </c>
      <c r="AC11" s="4976" t="s">
        <v>2120</v>
      </c>
      <c r="AD11" s="5234" t="s">
        <v>221</v>
      </c>
      <c r="AE11" s="5233" t="s">
        <v>222</v>
      </c>
      <c r="AF11" s="5234" t="s">
        <v>223</v>
      </c>
    </row>
    <row r="12" spans="1:141" x14ac:dyDescent="0.25">
      <c r="A12" s="2028" t="s">
        <v>224</v>
      </c>
      <c r="B12" s="1760">
        <f>SUM(C12:S12)</f>
        <v>0</v>
      </c>
      <c r="C12" s="5213"/>
      <c r="D12" s="5235"/>
      <c r="E12" s="5235"/>
      <c r="F12" s="5235"/>
      <c r="G12" s="5236"/>
      <c r="H12" s="5236"/>
      <c r="I12" s="5236"/>
      <c r="J12" s="5236"/>
      <c r="K12" s="5236"/>
      <c r="L12" s="5236"/>
      <c r="M12" s="5236"/>
      <c r="N12" s="5236"/>
      <c r="O12" s="5236"/>
      <c r="P12" s="5236"/>
      <c r="Q12" s="5236"/>
      <c r="R12" s="5236"/>
      <c r="S12" s="5237"/>
      <c r="T12" s="4561"/>
      <c r="U12" s="106"/>
      <c r="V12" s="5238"/>
      <c r="W12" s="2028">
        <f>SUM(X12+Y12+Z12)</f>
        <v>0</v>
      </c>
      <c r="X12" s="106"/>
      <c r="Y12" s="5239"/>
      <c r="Z12" s="5238"/>
      <c r="AA12" s="5240">
        <f>SUM(AB12+AC12+AD12)</f>
        <v>0</v>
      </c>
      <c r="AB12" s="106"/>
      <c r="AC12" s="5239"/>
      <c r="AD12" s="5238"/>
      <c r="AE12" s="3329"/>
      <c r="AF12" s="1077"/>
      <c r="AG12" t="str">
        <f>BE12&amp;BF12&amp;BG12</f>
        <v/>
      </c>
      <c r="BE12" s="1791" t="str">
        <f>IF(U12+V12&lt;&gt;B12," * Las consultas según sexo NO DEBEN ser diferente al Total de Consultas","")</f>
        <v/>
      </c>
      <c r="BF12" s="1791" t="str">
        <f>IF(AND(B12&gt;0,T12="")," * No olvide digitar la columna Beneficiarios (Digite CERO si no tiene)",IF(T12&gt;B12," * La variable beneficiarios No puede ser mayor al Total.",""))</f>
        <v/>
      </c>
      <c r="BG12" s="1791" t="str">
        <f>IF((W12+AA12)&gt;B12," * La suma del Total de Consultas Nuevas NO DEBE ser MAYOR que el total de Consultas y Controles médicos.","")</f>
        <v/>
      </c>
      <c r="BL12" s="1793">
        <f>IF(U12+V12&lt;&gt;B12,1,0)</f>
        <v>0</v>
      </c>
      <c r="BM12" s="1793">
        <f>IF(AND(B12&gt;0,T12=""),1,IF(T12&gt;B12,1,0))</f>
        <v>0</v>
      </c>
      <c r="BN12" s="1793">
        <f>IF((W12+AA12)&gt;B12,1,0)</f>
        <v>0</v>
      </c>
    </row>
    <row r="13" spans="1:141" x14ac:dyDescent="0.25">
      <c r="A13" s="3470" t="s">
        <v>225</v>
      </c>
      <c r="B13" s="1760">
        <f t="shared" ref="B13:B71" si="0">SUM(C13:S13)</f>
        <v>0</v>
      </c>
      <c r="C13" s="1089"/>
      <c r="D13" s="1090"/>
      <c r="E13" s="1090"/>
      <c r="F13" s="1090"/>
      <c r="G13" s="1090"/>
      <c r="H13" s="1090"/>
      <c r="I13" s="1090"/>
      <c r="J13" s="1090"/>
      <c r="K13" s="1090"/>
      <c r="L13" s="1090"/>
      <c r="M13" s="1090"/>
      <c r="N13" s="1090"/>
      <c r="O13" s="1090"/>
      <c r="P13" s="1090"/>
      <c r="Q13" s="1090"/>
      <c r="R13" s="1090"/>
      <c r="S13" s="1077"/>
      <c r="T13" s="3166"/>
      <c r="U13" s="1089"/>
      <c r="V13" s="1077"/>
      <c r="W13" s="3470">
        <f t="shared" ref="W13:W37" si="1">SUM(X13+Y13+Z13)</f>
        <v>0</v>
      </c>
      <c r="X13" s="1089"/>
      <c r="Y13" s="1090"/>
      <c r="Z13" s="1077"/>
      <c r="AA13" s="3135">
        <f t="shared" ref="AA13:AA38" si="2">SUM(AB13+AC13+AD13)</f>
        <v>0</v>
      </c>
      <c r="AB13" s="1089"/>
      <c r="AC13" s="3232"/>
      <c r="AD13" s="1077"/>
      <c r="AE13" s="3329"/>
      <c r="AF13" s="1077"/>
      <c r="AG13" t="str">
        <f t="shared" ref="AG13:AG70" si="3">BE13&amp;BF13&amp;BG13</f>
        <v/>
      </c>
      <c r="BE13" s="1791" t="str">
        <f t="shared" ref="BE13:BE71" si="4">IF(U13+V13&lt;&gt;B13," * Las consultas según sexo NO DEBEN ser diferente al Total de Consultas","")</f>
        <v/>
      </c>
      <c r="BF13" s="1791" t="str">
        <f t="shared" ref="BF13:BF71" si="5">IF(AND(B13&gt;0,T13="")," * No olvide digitar la columna Beneficiarios (Digite CERO si no tiene)",IF(T13&gt;B13," * La variable beneficiarios No puede ser mayor al Total.",""))</f>
        <v/>
      </c>
      <c r="BG13" s="1791" t="str">
        <f t="shared" ref="BG13:BG71" si="6">IF((W13+AA13)&gt;B13," * La suma del Total de Consultas Nuevas NO DEBE ser MAYOR que el total de Consultas y Controles médicos.","")</f>
        <v/>
      </c>
      <c r="BL13" s="1793">
        <f t="shared" ref="BL13:BL71" si="7">IF(U13+V13&lt;&gt;B13,1,0)</f>
        <v>0</v>
      </c>
      <c r="BM13" s="1793">
        <f t="shared" ref="BM13:BM71" si="8">IF(AND(B13&gt;0,T13=""),1,IF(T13&gt;B13,1,0))</f>
        <v>0</v>
      </c>
      <c r="BN13" s="1793">
        <f t="shared" ref="BN13:BN71" si="9">IF((W13+AA13)&gt;B13,1,0)</f>
        <v>0</v>
      </c>
    </row>
    <row r="14" spans="1:141" x14ac:dyDescent="0.25">
      <c r="A14" s="3470" t="s">
        <v>226</v>
      </c>
      <c r="B14" s="1760">
        <f>SUM(C14)</f>
        <v>0</v>
      </c>
      <c r="C14" s="1089"/>
      <c r="D14" s="2480"/>
      <c r="E14" s="2480"/>
      <c r="F14" s="2480"/>
      <c r="G14" s="2480"/>
      <c r="H14" s="2480"/>
      <c r="I14" s="2480"/>
      <c r="J14" s="2480"/>
      <c r="K14" s="2480"/>
      <c r="L14" s="2480"/>
      <c r="M14" s="2480"/>
      <c r="N14" s="2480"/>
      <c r="O14" s="2480"/>
      <c r="P14" s="2480"/>
      <c r="Q14" s="2480"/>
      <c r="R14" s="2480"/>
      <c r="S14" s="1088"/>
      <c r="T14" s="3166"/>
      <c r="U14" s="1089"/>
      <c r="V14" s="1077"/>
      <c r="W14" s="3470">
        <f t="shared" si="1"/>
        <v>0</v>
      </c>
      <c r="X14" s="1089"/>
      <c r="Y14" s="1090"/>
      <c r="Z14" s="1077"/>
      <c r="AA14" s="3135">
        <f t="shared" si="2"/>
        <v>0</v>
      </c>
      <c r="AB14" s="1089"/>
      <c r="AC14" s="3232"/>
      <c r="AD14" s="1077"/>
      <c r="AE14" s="3329"/>
      <c r="AF14" s="1077"/>
      <c r="AG14" t="str">
        <f t="shared" si="3"/>
        <v/>
      </c>
      <c r="BE14" s="1791" t="str">
        <f t="shared" si="4"/>
        <v/>
      </c>
      <c r="BF14" s="1791" t="str">
        <f t="shared" si="5"/>
        <v/>
      </c>
      <c r="BG14" s="1791" t="str">
        <f t="shared" si="6"/>
        <v/>
      </c>
      <c r="BL14" s="1793">
        <f t="shared" si="7"/>
        <v>0</v>
      </c>
      <c r="BM14" s="1793">
        <f t="shared" si="8"/>
        <v>0</v>
      </c>
      <c r="BN14" s="1793">
        <f t="shared" si="9"/>
        <v>0</v>
      </c>
    </row>
    <row r="15" spans="1:141" x14ac:dyDescent="0.25">
      <c r="A15" s="3470" t="s">
        <v>2122</v>
      </c>
      <c r="B15" s="1760">
        <f t="shared" si="0"/>
        <v>0</v>
      </c>
      <c r="C15" s="1089"/>
      <c r="D15" s="1090"/>
      <c r="E15" s="1090"/>
      <c r="F15" s="1090"/>
      <c r="G15" s="1090"/>
      <c r="H15" s="1090"/>
      <c r="I15" s="1090"/>
      <c r="J15" s="1090"/>
      <c r="K15" s="1090"/>
      <c r="L15" s="1090"/>
      <c r="M15" s="1090"/>
      <c r="N15" s="1090"/>
      <c r="O15" s="1090"/>
      <c r="P15" s="1090"/>
      <c r="Q15" s="1090"/>
      <c r="R15" s="1090"/>
      <c r="S15" s="1077"/>
      <c r="T15" s="3166"/>
      <c r="U15" s="1089"/>
      <c r="V15" s="1077"/>
      <c r="W15" s="3470">
        <f t="shared" si="1"/>
        <v>0</v>
      </c>
      <c r="X15" s="1089"/>
      <c r="Y15" s="1090"/>
      <c r="Z15" s="1077"/>
      <c r="AA15" s="3135">
        <f t="shared" si="2"/>
        <v>0</v>
      </c>
      <c r="AB15" s="1089"/>
      <c r="AC15" s="3232"/>
      <c r="AD15" s="1077"/>
      <c r="AE15" s="3329"/>
      <c r="AF15" s="1077"/>
      <c r="AG15" t="str">
        <f t="shared" si="3"/>
        <v/>
      </c>
      <c r="BE15" s="1791" t="str">
        <f t="shared" si="4"/>
        <v/>
      </c>
      <c r="BF15" s="1791" t="str">
        <f t="shared" si="5"/>
        <v/>
      </c>
      <c r="BG15" s="1791" t="str">
        <f t="shared" si="6"/>
        <v/>
      </c>
      <c r="BL15" s="1793">
        <f t="shared" si="7"/>
        <v>0</v>
      </c>
      <c r="BM15" s="1793">
        <f t="shared" si="8"/>
        <v>0</v>
      </c>
      <c r="BN15" s="1793">
        <f t="shared" si="9"/>
        <v>0</v>
      </c>
    </row>
    <row r="16" spans="1:141" x14ac:dyDescent="0.25">
      <c r="A16" s="3470" t="s">
        <v>2123</v>
      </c>
      <c r="B16" s="1760">
        <f t="shared" si="0"/>
        <v>0</v>
      </c>
      <c r="C16" s="1089"/>
      <c r="D16" s="1090"/>
      <c r="E16" s="1090"/>
      <c r="F16" s="1090"/>
      <c r="G16" s="1090"/>
      <c r="H16" s="1090"/>
      <c r="I16" s="1090"/>
      <c r="J16" s="1090"/>
      <c r="K16" s="1090"/>
      <c r="L16" s="1090"/>
      <c r="M16" s="1090"/>
      <c r="N16" s="1090"/>
      <c r="O16" s="1090"/>
      <c r="P16" s="1090"/>
      <c r="Q16" s="1090"/>
      <c r="R16" s="1090"/>
      <c r="S16" s="1077"/>
      <c r="T16" s="3166"/>
      <c r="U16" s="1089"/>
      <c r="V16" s="1077"/>
      <c r="W16" s="3470">
        <f t="shared" si="1"/>
        <v>0</v>
      </c>
      <c r="X16" s="1089"/>
      <c r="Y16" s="1090"/>
      <c r="Z16" s="1077"/>
      <c r="AA16" s="1131">
        <f t="shared" si="2"/>
        <v>0</v>
      </c>
      <c r="AB16" s="1089"/>
      <c r="AC16" s="3232"/>
      <c r="AD16" s="1077"/>
      <c r="AE16" s="3329"/>
      <c r="AF16" s="1077"/>
      <c r="AG16" t="str">
        <f t="shared" si="3"/>
        <v/>
      </c>
      <c r="BE16" s="1791" t="str">
        <f t="shared" si="4"/>
        <v/>
      </c>
      <c r="BF16" s="1791" t="str">
        <f t="shared" si="5"/>
        <v/>
      </c>
      <c r="BG16" s="1791" t="str">
        <f t="shared" si="6"/>
        <v/>
      </c>
      <c r="BL16" s="1793">
        <f t="shared" si="7"/>
        <v>0</v>
      </c>
      <c r="BM16" s="1793">
        <f t="shared" si="8"/>
        <v>0</v>
      </c>
      <c r="BN16" s="1793">
        <f t="shared" si="9"/>
        <v>0</v>
      </c>
    </row>
    <row r="17" spans="1:66" x14ac:dyDescent="0.25">
      <c r="A17" s="3470" t="s">
        <v>2124</v>
      </c>
      <c r="B17" s="1760">
        <f t="shared" si="0"/>
        <v>0</v>
      </c>
      <c r="C17" s="1089"/>
      <c r="D17" s="1090"/>
      <c r="E17" s="1090"/>
      <c r="F17" s="1090"/>
      <c r="G17" s="1090"/>
      <c r="H17" s="1090"/>
      <c r="I17" s="1090"/>
      <c r="J17" s="1090"/>
      <c r="K17" s="1090"/>
      <c r="L17" s="1090"/>
      <c r="M17" s="1090"/>
      <c r="N17" s="1090"/>
      <c r="O17" s="1090"/>
      <c r="P17" s="1090"/>
      <c r="Q17" s="1090"/>
      <c r="R17" s="1090"/>
      <c r="S17" s="1077"/>
      <c r="T17" s="3166"/>
      <c r="U17" s="1089"/>
      <c r="V17" s="1077"/>
      <c r="W17" s="3470">
        <f t="shared" si="1"/>
        <v>0</v>
      </c>
      <c r="X17" s="1089"/>
      <c r="Y17" s="1090"/>
      <c r="Z17" s="1077"/>
      <c r="AA17" s="1131">
        <f t="shared" si="2"/>
        <v>0</v>
      </c>
      <c r="AB17" s="1089"/>
      <c r="AC17" s="3232"/>
      <c r="AD17" s="1077"/>
      <c r="AE17" s="3329"/>
      <c r="AF17" s="1077"/>
      <c r="AG17" t="str">
        <f t="shared" si="3"/>
        <v/>
      </c>
      <c r="BE17" s="1791" t="str">
        <f t="shared" si="4"/>
        <v/>
      </c>
      <c r="BF17" s="1791" t="str">
        <f t="shared" si="5"/>
        <v/>
      </c>
      <c r="BG17" s="1791" t="str">
        <f t="shared" si="6"/>
        <v/>
      </c>
      <c r="BL17" s="1793">
        <f t="shared" si="7"/>
        <v>0</v>
      </c>
      <c r="BM17" s="1793">
        <f t="shared" si="8"/>
        <v>0</v>
      </c>
      <c r="BN17" s="1793">
        <f t="shared" si="9"/>
        <v>0</v>
      </c>
    </row>
    <row r="18" spans="1:66" x14ac:dyDescent="0.25">
      <c r="A18" s="3470" t="s">
        <v>2125</v>
      </c>
      <c r="B18" s="1760">
        <f t="shared" si="0"/>
        <v>0</v>
      </c>
      <c r="C18" s="1089"/>
      <c r="D18" s="1090"/>
      <c r="E18" s="1090"/>
      <c r="F18" s="1090"/>
      <c r="G18" s="1090"/>
      <c r="H18" s="1090"/>
      <c r="I18" s="1090"/>
      <c r="J18" s="1090"/>
      <c r="K18" s="1090"/>
      <c r="L18" s="1090"/>
      <c r="M18" s="1090"/>
      <c r="N18" s="1090"/>
      <c r="O18" s="1090"/>
      <c r="P18" s="1090"/>
      <c r="Q18" s="1090"/>
      <c r="R18" s="1090"/>
      <c r="S18" s="1077"/>
      <c r="T18" s="3166"/>
      <c r="U18" s="1089"/>
      <c r="V18" s="1077"/>
      <c r="W18" s="3470">
        <f t="shared" si="1"/>
        <v>0</v>
      </c>
      <c r="X18" s="1089"/>
      <c r="Y18" s="1090"/>
      <c r="Z18" s="1077"/>
      <c r="AA18" s="1131">
        <f t="shared" si="2"/>
        <v>0</v>
      </c>
      <c r="AB18" s="1089"/>
      <c r="AC18" s="3232"/>
      <c r="AD18" s="1077"/>
      <c r="AE18" s="3329"/>
      <c r="AF18" s="1077"/>
      <c r="AG18" t="str">
        <f t="shared" si="3"/>
        <v/>
      </c>
      <c r="BE18" s="1791" t="str">
        <f t="shared" si="4"/>
        <v/>
      </c>
      <c r="BF18" s="1791" t="str">
        <f t="shared" si="5"/>
        <v/>
      </c>
      <c r="BG18" s="1791" t="str">
        <f t="shared" si="6"/>
        <v/>
      </c>
      <c r="BL18" s="1793">
        <f t="shared" si="7"/>
        <v>0</v>
      </c>
      <c r="BM18" s="1793">
        <f t="shared" si="8"/>
        <v>0</v>
      </c>
      <c r="BN18" s="1793">
        <f t="shared" si="9"/>
        <v>0</v>
      </c>
    </row>
    <row r="19" spans="1:66" x14ac:dyDescent="0.25">
      <c r="A19" s="3470" t="s">
        <v>2126</v>
      </c>
      <c r="B19" s="1760">
        <f t="shared" si="0"/>
        <v>0</v>
      </c>
      <c r="C19" s="1089"/>
      <c r="D19" s="1090"/>
      <c r="E19" s="1090"/>
      <c r="F19" s="1090"/>
      <c r="G19" s="1090"/>
      <c r="H19" s="1090"/>
      <c r="I19" s="1090"/>
      <c r="J19" s="1090"/>
      <c r="K19" s="1090"/>
      <c r="L19" s="1090"/>
      <c r="M19" s="1090"/>
      <c r="N19" s="1090"/>
      <c r="O19" s="1090"/>
      <c r="P19" s="1090"/>
      <c r="Q19" s="1090"/>
      <c r="R19" s="1090"/>
      <c r="S19" s="1077"/>
      <c r="T19" s="3166"/>
      <c r="U19" s="1089"/>
      <c r="V19" s="1077"/>
      <c r="W19" s="3470">
        <f t="shared" si="1"/>
        <v>0</v>
      </c>
      <c r="X19" s="1089"/>
      <c r="Y19" s="1090"/>
      <c r="Z19" s="1077"/>
      <c r="AA19" s="1131">
        <f t="shared" si="2"/>
        <v>0</v>
      </c>
      <c r="AB19" s="1089"/>
      <c r="AC19" s="3232"/>
      <c r="AD19" s="1077"/>
      <c r="AE19" s="3329"/>
      <c r="AF19" s="1077"/>
      <c r="AG19" t="str">
        <f t="shared" si="3"/>
        <v/>
      </c>
      <c r="BE19" s="1791" t="str">
        <f t="shared" si="4"/>
        <v/>
      </c>
      <c r="BF19" s="1791" t="str">
        <f t="shared" si="5"/>
        <v/>
      </c>
      <c r="BG19" s="1791" t="str">
        <f t="shared" si="6"/>
        <v/>
      </c>
      <c r="BL19" s="1793">
        <f t="shared" si="7"/>
        <v>0</v>
      </c>
      <c r="BM19" s="1793">
        <f t="shared" si="8"/>
        <v>0</v>
      </c>
      <c r="BN19" s="1793">
        <f t="shared" si="9"/>
        <v>0</v>
      </c>
    </row>
    <row r="20" spans="1:66" x14ac:dyDescent="0.25">
      <c r="A20" s="3470" t="s">
        <v>2127</v>
      </c>
      <c r="B20" s="1760">
        <f t="shared" si="0"/>
        <v>0</v>
      </c>
      <c r="C20" s="1089"/>
      <c r="D20" s="1090"/>
      <c r="E20" s="1090"/>
      <c r="F20" s="1090"/>
      <c r="G20" s="1090"/>
      <c r="H20" s="1090"/>
      <c r="I20" s="1090"/>
      <c r="J20" s="1090"/>
      <c r="K20" s="1090"/>
      <c r="L20" s="1090"/>
      <c r="M20" s="1090"/>
      <c r="N20" s="1090"/>
      <c r="O20" s="1090"/>
      <c r="P20" s="1090"/>
      <c r="Q20" s="1090"/>
      <c r="R20" s="1090"/>
      <c r="S20" s="1077"/>
      <c r="T20" s="3166"/>
      <c r="U20" s="1089"/>
      <c r="V20" s="1077"/>
      <c r="W20" s="3470">
        <f t="shared" si="1"/>
        <v>0</v>
      </c>
      <c r="X20" s="1089"/>
      <c r="Y20" s="1090"/>
      <c r="Z20" s="1077"/>
      <c r="AA20" s="1131">
        <f t="shared" si="2"/>
        <v>0</v>
      </c>
      <c r="AB20" s="1089"/>
      <c r="AC20" s="3232"/>
      <c r="AD20" s="1077"/>
      <c r="AE20" s="3329"/>
      <c r="AF20" s="1077"/>
      <c r="AG20" t="str">
        <f t="shared" si="3"/>
        <v/>
      </c>
      <c r="BE20" s="1791" t="str">
        <f t="shared" si="4"/>
        <v/>
      </c>
      <c r="BF20" s="1791" t="str">
        <f t="shared" si="5"/>
        <v/>
      </c>
      <c r="BG20" s="1791" t="str">
        <f t="shared" si="6"/>
        <v/>
      </c>
      <c r="BL20" s="1793">
        <f t="shared" si="7"/>
        <v>0</v>
      </c>
      <c r="BM20" s="1793">
        <f t="shared" si="8"/>
        <v>0</v>
      </c>
      <c r="BN20" s="1793">
        <f t="shared" si="9"/>
        <v>0</v>
      </c>
    </row>
    <row r="21" spans="1:66" x14ac:dyDescent="0.25">
      <c r="A21" s="3470" t="s">
        <v>2128</v>
      </c>
      <c r="B21" s="1760">
        <f t="shared" si="0"/>
        <v>0</v>
      </c>
      <c r="C21" s="1089"/>
      <c r="D21" s="1090"/>
      <c r="E21" s="1090"/>
      <c r="F21" s="1090"/>
      <c r="G21" s="1090"/>
      <c r="H21" s="1090"/>
      <c r="I21" s="1090"/>
      <c r="J21" s="1090"/>
      <c r="K21" s="1090"/>
      <c r="L21" s="1090"/>
      <c r="M21" s="1090"/>
      <c r="N21" s="1090"/>
      <c r="O21" s="1090"/>
      <c r="P21" s="1090"/>
      <c r="Q21" s="1090"/>
      <c r="R21" s="1090"/>
      <c r="S21" s="1077"/>
      <c r="T21" s="3166"/>
      <c r="U21" s="1089"/>
      <c r="V21" s="1077"/>
      <c r="W21" s="3470">
        <f t="shared" si="1"/>
        <v>0</v>
      </c>
      <c r="X21" s="1089"/>
      <c r="Y21" s="1090"/>
      <c r="Z21" s="1077"/>
      <c r="AA21" s="1131">
        <f t="shared" si="2"/>
        <v>0</v>
      </c>
      <c r="AB21" s="1089"/>
      <c r="AC21" s="3232"/>
      <c r="AD21" s="1077"/>
      <c r="AE21" s="3329"/>
      <c r="AF21" s="1077"/>
      <c r="AG21" t="str">
        <f t="shared" si="3"/>
        <v/>
      </c>
      <c r="BE21" s="1791" t="str">
        <f t="shared" si="4"/>
        <v/>
      </c>
      <c r="BF21" s="1791" t="str">
        <f t="shared" si="5"/>
        <v/>
      </c>
      <c r="BG21" s="1791" t="str">
        <f t="shared" si="6"/>
        <v/>
      </c>
      <c r="BL21" s="1793">
        <f t="shared" si="7"/>
        <v>0</v>
      </c>
      <c r="BM21" s="1793">
        <f t="shared" si="8"/>
        <v>0</v>
      </c>
      <c r="BN21" s="1793">
        <f t="shared" si="9"/>
        <v>0</v>
      </c>
    </row>
    <row r="22" spans="1:66" x14ac:dyDescent="0.25">
      <c r="A22" s="3470" t="s">
        <v>2129</v>
      </c>
      <c r="B22" s="1760">
        <f t="shared" si="0"/>
        <v>0</v>
      </c>
      <c r="C22" s="1089"/>
      <c r="D22" s="1090"/>
      <c r="E22" s="1090"/>
      <c r="F22" s="1090"/>
      <c r="G22" s="1090"/>
      <c r="H22" s="1090"/>
      <c r="I22" s="1090"/>
      <c r="J22" s="1090"/>
      <c r="K22" s="1090"/>
      <c r="L22" s="1090"/>
      <c r="M22" s="1090"/>
      <c r="N22" s="1090"/>
      <c r="O22" s="1090"/>
      <c r="P22" s="1090"/>
      <c r="Q22" s="1090"/>
      <c r="R22" s="1090"/>
      <c r="S22" s="1077"/>
      <c r="T22" s="3166"/>
      <c r="U22" s="1089"/>
      <c r="V22" s="1077"/>
      <c r="W22" s="3470">
        <f t="shared" si="1"/>
        <v>0</v>
      </c>
      <c r="X22" s="1089"/>
      <c r="Y22" s="1090"/>
      <c r="Z22" s="1077"/>
      <c r="AA22" s="1131">
        <f t="shared" si="2"/>
        <v>0</v>
      </c>
      <c r="AB22" s="1089"/>
      <c r="AC22" s="3232"/>
      <c r="AD22" s="1077"/>
      <c r="AE22" s="3329"/>
      <c r="AF22" s="1077"/>
      <c r="AG22" t="str">
        <f t="shared" si="3"/>
        <v/>
      </c>
      <c r="BE22" s="1791" t="str">
        <f t="shared" si="4"/>
        <v/>
      </c>
      <c r="BF22" s="1791" t="str">
        <f t="shared" si="5"/>
        <v/>
      </c>
      <c r="BG22" s="1791" t="str">
        <f t="shared" si="6"/>
        <v/>
      </c>
      <c r="BL22" s="1793">
        <f t="shared" si="7"/>
        <v>0</v>
      </c>
      <c r="BM22" s="1793">
        <f t="shared" si="8"/>
        <v>0</v>
      </c>
      <c r="BN22" s="1793">
        <f t="shared" si="9"/>
        <v>0</v>
      </c>
    </row>
    <row r="23" spans="1:66" x14ac:dyDescent="0.25">
      <c r="A23" s="3470" t="s">
        <v>2130</v>
      </c>
      <c r="B23" s="1760">
        <f t="shared" si="0"/>
        <v>0</v>
      </c>
      <c r="C23" s="1089"/>
      <c r="D23" s="1090"/>
      <c r="E23" s="1090"/>
      <c r="F23" s="1090"/>
      <c r="G23" s="1090"/>
      <c r="H23" s="1090"/>
      <c r="I23" s="1090"/>
      <c r="J23" s="1090"/>
      <c r="K23" s="1090"/>
      <c r="L23" s="1090"/>
      <c r="M23" s="1090"/>
      <c r="N23" s="1090"/>
      <c r="O23" s="1090"/>
      <c r="P23" s="1090"/>
      <c r="Q23" s="1090"/>
      <c r="R23" s="1090"/>
      <c r="S23" s="1077"/>
      <c r="T23" s="3166"/>
      <c r="U23" s="1089"/>
      <c r="V23" s="1077"/>
      <c r="W23" s="3470">
        <f t="shared" si="1"/>
        <v>0</v>
      </c>
      <c r="X23" s="1089"/>
      <c r="Y23" s="1090"/>
      <c r="Z23" s="1077"/>
      <c r="AA23" s="1131">
        <f t="shared" si="2"/>
        <v>0</v>
      </c>
      <c r="AB23" s="1089"/>
      <c r="AC23" s="3232"/>
      <c r="AD23" s="1077"/>
      <c r="AE23" s="3329"/>
      <c r="AF23" s="1077"/>
      <c r="AG23" t="str">
        <f t="shared" si="3"/>
        <v/>
      </c>
      <c r="BE23" s="1791" t="str">
        <f t="shared" si="4"/>
        <v/>
      </c>
      <c r="BF23" s="1791" t="str">
        <f t="shared" si="5"/>
        <v/>
      </c>
      <c r="BG23" s="1791" t="str">
        <f t="shared" si="6"/>
        <v/>
      </c>
      <c r="BL23" s="1793">
        <f t="shared" si="7"/>
        <v>0</v>
      </c>
      <c r="BM23" s="1793">
        <f t="shared" si="8"/>
        <v>0</v>
      </c>
      <c r="BN23" s="1793">
        <f t="shared" si="9"/>
        <v>0</v>
      </c>
    </row>
    <row r="24" spans="1:66" x14ac:dyDescent="0.25">
      <c r="A24" s="3470" t="s">
        <v>2131</v>
      </c>
      <c r="B24" s="1760">
        <f t="shared" si="0"/>
        <v>0</v>
      </c>
      <c r="C24" s="1089"/>
      <c r="D24" s="1090"/>
      <c r="E24" s="1090"/>
      <c r="F24" s="1090"/>
      <c r="G24" s="1090"/>
      <c r="H24" s="1090"/>
      <c r="I24" s="1090"/>
      <c r="J24" s="1090"/>
      <c r="K24" s="1090"/>
      <c r="L24" s="1090"/>
      <c r="M24" s="1090"/>
      <c r="N24" s="1090"/>
      <c r="O24" s="1090"/>
      <c r="P24" s="1090"/>
      <c r="Q24" s="1090"/>
      <c r="R24" s="1090"/>
      <c r="S24" s="1077"/>
      <c r="T24" s="3166"/>
      <c r="U24" s="1089"/>
      <c r="V24" s="1077"/>
      <c r="W24" s="3470">
        <f t="shared" si="1"/>
        <v>0</v>
      </c>
      <c r="X24" s="1089"/>
      <c r="Y24" s="1090"/>
      <c r="Z24" s="1077"/>
      <c r="AA24" s="1131">
        <f t="shared" si="2"/>
        <v>0</v>
      </c>
      <c r="AB24" s="1089"/>
      <c r="AC24" s="3232"/>
      <c r="AD24" s="1077"/>
      <c r="AE24" s="3329"/>
      <c r="AF24" s="1077"/>
      <c r="AG24" t="str">
        <f t="shared" si="3"/>
        <v/>
      </c>
      <c r="BE24" s="1791" t="str">
        <f t="shared" si="4"/>
        <v/>
      </c>
      <c r="BF24" s="1791" t="str">
        <f t="shared" si="5"/>
        <v/>
      </c>
      <c r="BG24" s="1791" t="str">
        <f t="shared" si="6"/>
        <v/>
      </c>
      <c r="BL24" s="1793">
        <f t="shared" si="7"/>
        <v>0</v>
      </c>
      <c r="BM24" s="1793">
        <f t="shared" si="8"/>
        <v>0</v>
      </c>
      <c r="BN24" s="1793">
        <f t="shared" si="9"/>
        <v>0</v>
      </c>
    </row>
    <row r="25" spans="1:66" x14ac:dyDescent="0.25">
      <c r="A25" s="3470" t="s">
        <v>2132</v>
      </c>
      <c r="B25" s="1760">
        <f t="shared" si="0"/>
        <v>0</v>
      </c>
      <c r="C25" s="1089"/>
      <c r="D25" s="1090"/>
      <c r="E25" s="1090"/>
      <c r="F25" s="1090"/>
      <c r="G25" s="1090"/>
      <c r="H25" s="1090"/>
      <c r="I25" s="1090"/>
      <c r="J25" s="1090"/>
      <c r="K25" s="1090"/>
      <c r="L25" s="1090"/>
      <c r="M25" s="1090"/>
      <c r="N25" s="1090"/>
      <c r="O25" s="1090"/>
      <c r="P25" s="1090"/>
      <c r="Q25" s="1090"/>
      <c r="R25" s="1090"/>
      <c r="S25" s="1077"/>
      <c r="T25" s="3166"/>
      <c r="U25" s="1089"/>
      <c r="V25" s="1077"/>
      <c r="W25" s="3470">
        <f t="shared" si="1"/>
        <v>0</v>
      </c>
      <c r="X25" s="1089"/>
      <c r="Y25" s="1090"/>
      <c r="Z25" s="1077"/>
      <c r="AA25" s="1131">
        <f t="shared" si="2"/>
        <v>0</v>
      </c>
      <c r="AB25" s="1089"/>
      <c r="AC25" s="3232"/>
      <c r="AD25" s="1077"/>
      <c r="AE25" s="3329"/>
      <c r="AF25" s="1077"/>
      <c r="AG25" t="str">
        <f t="shared" si="3"/>
        <v/>
      </c>
      <c r="BE25" s="1791" t="str">
        <f t="shared" si="4"/>
        <v/>
      </c>
      <c r="BF25" s="1791" t="str">
        <f t="shared" si="5"/>
        <v/>
      </c>
      <c r="BG25" s="1791" t="str">
        <f t="shared" si="6"/>
        <v/>
      </c>
      <c r="BL25" s="1793">
        <f t="shared" si="7"/>
        <v>0</v>
      </c>
      <c r="BM25" s="1793">
        <f t="shared" si="8"/>
        <v>0</v>
      </c>
      <c r="BN25" s="1793">
        <f t="shared" si="9"/>
        <v>0</v>
      </c>
    </row>
    <row r="26" spans="1:66" x14ac:dyDescent="0.25">
      <c r="A26" s="3470" t="s">
        <v>2133</v>
      </c>
      <c r="B26" s="1760">
        <f t="shared" si="0"/>
        <v>0</v>
      </c>
      <c r="C26" s="1089"/>
      <c r="D26" s="1090"/>
      <c r="E26" s="1090"/>
      <c r="F26" s="1090"/>
      <c r="G26" s="1090"/>
      <c r="H26" s="1090"/>
      <c r="I26" s="1090"/>
      <c r="J26" s="1090"/>
      <c r="K26" s="1090"/>
      <c r="L26" s="1090"/>
      <c r="M26" s="1090"/>
      <c r="N26" s="1090"/>
      <c r="O26" s="1090"/>
      <c r="P26" s="1090"/>
      <c r="Q26" s="1090"/>
      <c r="R26" s="1090"/>
      <c r="S26" s="1077"/>
      <c r="T26" s="3166"/>
      <c r="U26" s="1089"/>
      <c r="V26" s="1077"/>
      <c r="W26" s="3470">
        <f t="shared" si="1"/>
        <v>0</v>
      </c>
      <c r="X26" s="1089"/>
      <c r="Y26" s="1090"/>
      <c r="Z26" s="1077"/>
      <c r="AA26" s="1131">
        <f t="shared" si="2"/>
        <v>0</v>
      </c>
      <c r="AB26" s="1089"/>
      <c r="AC26" s="3232"/>
      <c r="AD26" s="1077"/>
      <c r="AE26" s="3329"/>
      <c r="AF26" s="1077"/>
      <c r="AG26" t="str">
        <f t="shared" si="3"/>
        <v/>
      </c>
      <c r="BE26" s="1791" t="str">
        <f t="shared" si="4"/>
        <v/>
      </c>
      <c r="BF26" s="1791" t="str">
        <f t="shared" si="5"/>
        <v/>
      </c>
      <c r="BG26" s="1791" t="str">
        <f t="shared" si="6"/>
        <v/>
      </c>
      <c r="BL26" s="1793">
        <f t="shared" si="7"/>
        <v>0</v>
      </c>
      <c r="BM26" s="1793">
        <f t="shared" si="8"/>
        <v>0</v>
      </c>
      <c r="BN26" s="1793">
        <f t="shared" si="9"/>
        <v>0</v>
      </c>
    </row>
    <row r="27" spans="1:66" x14ac:dyDescent="0.25">
      <c r="A27" s="3470" t="s">
        <v>2134</v>
      </c>
      <c r="B27" s="1760">
        <f t="shared" si="0"/>
        <v>0</v>
      </c>
      <c r="C27" s="1089"/>
      <c r="D27" s="1090"/>
      <c r="E27" s="1090"/>
      <c r="F27" s="1090"/>
      <c r="G27" s="1090"/>
      <c r="H27" s="1090"/>
      <c r="I27" s="1090"/>
      <c r="J27" s="1090"/>
      <c r="K27" s="1090"/>
      <c r="L27" s="1090"/>
      <c r="M27" s="1090"/>
      <c r="N27" s="1090"/>
      <c r="O27" s="1090"/>
      <c r="P27" s="1090"/>
      <c r="Q27" s="1090"/>
      <c r="R27" s="1090"/>
      <c r="S27" s="1077"/>
      <c r="T27" s="3166"/>
      <c r="U27" s="1089"/>
      <c r="V27" s="1077"/>
      <c r="W27" s="3470">
        <f t="shared" si="1"/>
        <v>0</v>
      </c>
      <c r="X27" s="1089"/>
      <c r="Y27" s="1090"/>
      <c r="Z27" s="1077"/>
      <c r="AA27" s="1131">
        <f t="shared" si="2"/>
        <v>0</v>
      </c>
      <c r="AB27" s="1089"/>
      <c r="AC27" s="3232"/>
      <c r="AD27" s="1077"/>
      <c r="AE27" s="3329"/>
      <c r="AF27" s="1077"/>
      <c r="AG27" t="str">
        <f t="shared" si="3"/>
        <v/>
      </c>
      <c r="BE27" s="1791" t="str">
        <f t="shared" si="4"/>
        <v/>
      </c>
      <c r="BF27" s="1791" t="str">
        <f t="shared" si="5"/>
        <v/>
      </c>
      <c r="BG27" s="1791" t="str">
        <f t="shared" si="6"/>
        <v/>
      </c>
      <c r="BL27" s="1793">
        <f t="shared" si="7"/>
        <v>0</v>
      </c>
      <c r="BM27" s="1793">
        <f t="shared" si="8"/>
        <v>0</v>
      </c>
      <c r="BN27" s="1793">
        <f t="shared" si="9"/>
        <v>0</v>
      </c>
    </row>
    <row r="28" spans="1:66" x14ac:dyDescent="0.25">
      <c r="A28" s="3470" t="s">
        <v>2135</v>
      </c>
      <c r="B28" s="1760">
        <f t="shared" si="0"/>
        <v>0</v>
      </c>
      <c r="C28" s="1089"/>
      <c r="D28" s="1090"/>
      <c r="E28" s="1090"/>
      <c r="F28" s="1090"/>
      <c r="G28" s="1090"/>
      <c r="H28" s="1090"/>
      <c r="I28" s="1090"/>
      <c r="J28" s="1090"/>
      <c r="K28" s="1090"/>
      <c r="L28" s="1090"/>
      <c r="M28" s="1090"/>
      <c r="N28" s="1090"/>
      <c r="O28" s="1090"/>
      <c r="P28" s="1090"/>
      <c r="Q28" s="1090"/>
      <c r="R28" s="1090"/>
      <c r="S28" s="1077"/>
      <c r="T28" s="3166"/>
      <c r="U28" s="1089"/>
      <c r="V28" s="1077"/>
      <c r="W28" s="3470">
        <f t="shared" si="1"/>
        <v>0</v>
      </c>
      <c r="X28" s="1089"/>
      <c r="Y28" s="1090"/>
      <c r="Z28" s="1077"/>
      <c r="AA28" s="1131">
        <f t="shared" si="2"/>
        <v>0</v>
      </c>
      <c r="AB28" s="1089"/>
      <c r="AC28" s="3232"/>
      <c r="AD28" s="1077"/>
      <c r="AE28" s="3329"/>
      <c r="AF28" s="1077"/>
      <c r="AG28" t="str">
        <f t="shared" si="3"/>
        <v/>
      </c>
      <c r="BE28" s="1791" t="str">
        <f t="shared" si="4"/>
        <v/>
      </c>
      <c r="BF28" s="1791" t="str">
        <f t="shared" si="5"/>
        <v/>
      </c>
      <c r="BG28" s="1791" t="str">
        <f t="shared" si="6"/>
        <v/>
      </c>
      <c r="BL28" s="1793">
        <f t="shared" si="7"/>
        <v>0</v>
      </c>
      <c r="BM28" s="1793">
        <f t="shared" si="8"/>
        <v>0</v>
      </c>
      <c r="BN28" s="1793">
        <f t="shared" si="9"/>
        <v>0</v>
      </c>
    </row>
    <row r="29" spans="1:66" x14ac:dyDescent="0.25">
      <c r="A29" s="3470" t="s">
        <v>2136</v>
      </c>
      <c r="B29" s="1760">
        <f t="shared" si="0"/>
        <v>0</v>
      </c>
      <c r="C29" s="1089"/>
      <c r="D29" s="1090"/>
      <c r="E29" s="1090"/>
      <c r="F29" s="1090"/>
      <c r="G29" s="1090"/>
      <c r="H29" s="1090"/>
      <c r="I29" s="1090"/>
      <c r="J29" s="1090"/>
      <c r="K29" s="1090"/>
      <c r="L29" s="1090"/>
      <c r="M29" s="1090"/>
      <c r="N29" s="1090"/>
      <c r="O29" s="1090"/>
      <c r="P29" s="1090"/>
      <c r="Q29" s="1090"/>
      <c r="R29" s="1090"/>
      <c r="S29" s="1077"/>
      <c r="T29" s="3166"/>
      <c r="U29" s="1089"/>
      <c r="V29" s="1077"/>
      <c r="W29" s="3470">
        <f t="shared" si="1"/>
        <v>0</v>
      </c>
      <c r="X29" s="1089"/>
      <c r="Y29" s="1090"/>
      <c r="Z29" s="1077"/>
      <c r="AA29" s="1131">
        <f t="shared" si="2"/>
        <v>0</v>
      </c>
      <c r="AB29" s="1089"/>
      <c r="AC29" s="3232"/>
      <c r="AD29" s="1077"/>
      <c r="AE29" s="3329"/>
      <c r="AF29" s="1077"/>
      <c r="AG29" t="str">
        <f t="shared" si="3"/>
        <v/>
      </c>
      <c r="BE29" s="1791" t="str">
        <f t="shared" si="4"/>
        <v/>
      </c>
      <c r="BF29" s="1791" t="str">
        <f t="shared" si="5"/>
        <v/>
      </c>
      <c r="BG29" s="1791" t="str">
        <f t="shared" si="6"/>
        <v/>
      </c>
      <c r="BL29" s="1793">
        <f t="shared" si="7"/>
        <v>0</v>
      </c>
      <c r="BM29" s="1793">
        <f t="shared" si="8"/>
        <v>0</v>
      </c>
      <c r="BN29" s="1793">
        <f t="shared" si="9"/>
        <v>0</v>
      </c>
    </row>
    <row r="30" spans="1:66" x14ac:dyDescent="0.25">
      <c r="A30" s="3470" t="s">
        <v>2137</v>
      </c>
      <c r="B30" s="1760">
        <f>SUM(C30:S30)</f>
        <v>0</v>
      </c>
      <c r="C30" s="1089"/>
      <c r="D30" s="1090"/>
      <c r="E30" s="1090"/>
      <c r="F30" s="1090"/>
      <c r="G30" s="1090"/>
      <c r="H30" s="1090"/>
      <c r="I30" s="1090"/>
      <c r="J30" s="1090"/>
      <c r="K30" s="1090"/>
      <c r="L30" s="1090"/>
      <c r="M30" s="1090"/>
      <c r="N30" s="1090"/>
      <c r="O30" s="1090"/>
      <c r="P30" s="1090"/>
      <c r="Q30" s="1090"/>
      <c r="R30" s="1090"/>
      <c r="S30" s="1077"/>
      <c r="T30" s="3166"/>
      <c r="U30" s="1089"/>
      <c r="V30" s="1077"/>
      <c r="W30" s="3470">
        <f t="shared" si="1"/>
        <v>0</v>
      </c>
      <c r="X30" s="1089"/>
      <c r="Y30" s="1090"/>
      <c r="Z30" s="1077"/>
      <c r="AA30" s="1131">
        <f t="shared" si="2"/>
        <v>0</v>
      </c>
      <c r="AB30" s="1089"/>
      <c r="AC30" s="3232"/>
      <c r="AD30" s="1077"/>
      <c r="AE30" s="3329"/>
      <c r="AF30" s="1077"/>
      <c r="AG30" t="str">
        <f t="shared" si="3"/>
        <v/>
      </c>
      <c r="BE30" s="1791" t="str">
        <f t="shared" si="4"/>
        <v/>
      </c>
      <c r="BF30" s="1791" t="str">
        <f t="shared" si="5"/>
        <v/>
      </c>
      <c r="BG30" s="1791" t="str">
        <f t="shared" si="6"/>
        <v/>
      </c>
      <c r="BL30" s="1793">
        <f t="shared" si="7"/>
        <v>0</v>
      </c>
      <c r="BM30" s="1793">
        <f t="shared" si="8"/>
        <v>0</v>
      </c>
      <c r="BN30" s="1793">
        <f t="shared" si="9"/>
        <v>0</v>
      </c>
    </row>
    <row r="31" spans="1:66" x14ac:dyDescent="0.25">
      <c r="A31" s="3470" t="s">
        <v>2138</v>
      </c>
      <c r="B31" s="1760">
        <f t="shared" si="0"/>
        <v>0</v>
      </c>
      <c r="C31" s="1089"/>
      <c r="D31" s="1090"/>
      <c r="E31" s="1090"/>
      <c r="F31" s="1090"/>
      <c r="G31" s="1090"/>
      <c r="H31" s="1090"/>
      <c r="I31" s="1090"/>
      <c r="J31" s="1090"/>
      <c r="K31" s="1090"/>
      <c r="L31" s="1090"/>
      <c r="M31" s="1090"/>
      <c r="N31" s="1090"/>
      <c r="O31" s="1090"/>
      <c r="P31" s="1090"/>
      <c r="Q31" s="1090"/>
      <c r="R31" s="1090"/>
      <c r="S31" s="1077"/>
      <c r="T31" s="3166"/>
      <c r="U31" s="1089"/>
      <c r="V31" s="1077"/>
      <c r="W31" s="3470">
        <f t="shared" si="1"/>
        <v>0</v>
      </c>
      <c r="X31" s="1089"/>
      <c r="Y31" s="1090"/>
      <c r="Z31" s="1077"/>
      <c r="AA31" s="1131">
        <f t="shared" si="2"/>
        <v>0</v>
      </c>
      <c r="AB31" s="1089"/>
      <c r="AC31" s="3232"/>
      <c r="AD31" s="1077"/>
      <c r="AE31" s="3329"/>
      <c r="AF31" s="1077"/>
      <c r="AG31" t="str">
        <f t="shared" si="3"/>
        <v/>
      </c>
      <c r="BE31" s="1791" t="str">
        <f t="shared" si="4"/>
        <v/>
      </c>
      <c r="BF31" s="1791" t="str">
        <f t="shared" si="5"/>
        <v/>
      </c>
      <c r="BG31" s="1791" t="str">
        <f t="shared" si="6"/>
        <v/>
      </c>
      <c r="BL31" s="1793">
        <f t="shared" si="7"/>
        <v>0</v>
      </c>
      <c r="BM31" s="1793">
        <f t="shared" si="8"/>
        <v>0</v>
      </c>
      <c r="BN31" s="1793">
        <f t="shared" si="9"/>
        <v>0</v>
      </c>
    </row>
    <row r="32" spans="1:66" x14ac:dyDescent="0.25">
      <c r="A32" s="3470" t="s">
        <v>227</v>
      </c>
      <c r="B32" s="1760">
        <f t="shared" si="0"/>
        <v>0</v>
      </c>
      <c r="C32" s="1089"/>
      <c r="D32" s="1090"/>
      <c r="E32" s="1090"/>
      <c r="F32" s="1090"/>
      <c r="G32" s="1090"/>
      <c r="H32" s="1090"/>
      <c r="I32" s="1090"/>
      <c r="J32" s="1090"/>
      <c r="K32" s="1090"/>
      <c r="L32" s="1090"/>
      <c r="M32" s="1090"/>
      <c r="N32" s="1090"/>
      <c r="O32" s="1090"/>
      <c r="P32" s="1090"/>
      <c r="Q32" s="1090"/>
      <c r="R32" s="1090"/>
      <c r="S32" s="1077"/>
      <c r="T32" s="3166"/>
      <c r="U32" s="1089"/>
      <c r="V32" s="1077"/>
      <c r="W32" s="3470">
        <f t="shared" si="1"/>
        <v>0</v>
      </c>
      <c r="X32" s="1089"/>
      <c r="Y32" s="1090"/>
      <c r="Z32" s="1077"/>
      <c r="AA32" s="1131">
        <f t="shared" si="2"/>
        <v>0</v>
      </c>
      <c r="AB32" s="1089"/>
      <c r="AC32" s="3232"/>
      <c r="AD32" s="1077"/>
      <c r="AE32" s="3329"/>
      <c r="AF32" s="1077"/>
      <c r="AG32" t="str">
        <f t="shared" si="3"/>
        <v/>
      </c>
      <c r="BE32" s="1791" t="str">
        <f t="shared" si="4"/>
        <v/>
      </c>
      <c r="BF32" s="1791" t="str">
        <f t="shared" si="5"/>
        <v/>
      </c>
      <c r="BG32" s="1791" t="str">
        <f t="shared" si="6"/>
        <v/>
      </c>
      <c r="BL32" s="1793">
        <f t="shared" si="7"/>
        <v>0</v>
      </c>
      <c r="BM32" s="1793">
        <f t="shared" si="8"/>
        <v>0</v>
      </c>
      <c r="BN32" s="1793">
        <f t="shared" si="9"/>
        <v>0</v>
      </c>
    </row>
    <row r="33" spans="1:66" x14ac:dyDescent="0.25">
      <c r="A33" s="3470" t="s">
        <v>2139</v>
      </c>
      <c r="B33" s="1760">
        <f t="shared" si="0"/>
        <v>0</v>
      </c>
      <c r="C33" s="1089"/>
      <c r="D33" s="1090"/>
      <c r="E33" s="1090"/>
      <c r="F33" s="1090"/>
      <c r="G33" s="1090"/>
      <c r="H33" s="1090"/>
      <c r="I33" s="1090"/>
      <c r="J33" s="1090"/>
      <c r="K33" s="1090"/>
      <c r="L33" s="1090"/>
      <c r="M33" s="1090"/>
      <c r="N33" s="1090"/>
      <c r="O33" s="1090"/>
      <c r="P33" s="1090"/>
      <c r="Q33" s="1090"/>
      <c r="R33" s="1090"/>
      <c r="S33" s="1077"/>
      <c r="T33" s="3166"/>
      <c r="U33" s="1089"/>
      <c r="V33" s="1077"/>
      <c r="W33" s="3470">
        <f t="shared" si="1"/>
        <v>0</v>
      </c>
      <c r="X33" s="1089"/>
      <c r="Y33" s="1090"/>
      <c r="Z33" s="1077"/>
      <c r="AA33" s="1131">
        <f t="shared" si="2"/>
        <v>0</v>
      </c>
      <c r="AB33" s="1089"/>
      <c r="AC33" s="3232"/>
      <c r="AD33" s="1077"/>
      <c r="AE33" s="3329"/>
      <c r="AF33" s="1077"/>
      <c r="AG33" t="str">
        <f t="shared" si="3"/>
        <v/>
      </c>
      <c r="BE33" s="1791" t="str">
        <f t="shared" si="4"/>
        <v/>
      </c>
      <c r="BF33" s="1791" t="str">
        <f t="shared" si="5"/>
        <v/>
      </c>
      <c r="BG33" s="1791" t="str">
        <f t="shared" si="6"/>
        <v/>
      </c>
      <c r="BL33" s="1793">
        <f t="shared" si="7"/>
        <v>0</v>
      </c>
      <c r="BM33" s="1793">
        <f t="shared" si="8"/>
        <v>0</v>
      </c>
      <c r="BN33" s="1793">
        <f t="shared" si="9"/>
        <v>0</v>
      </c>
    </row>
    <row r="34" spans="1:66" x14ac:dyDescent="0.25">
      <c r="A34" s="3470" t="s">
        <v>2140</v>
      </c>
      <c r="B34" s="1760">
        <f t="shared" si="0"/>
        <v>0</v>
      </c>
      <c r="C34" s="1089"/>
      <c r="D34" s="1090"/>
      <c r="E34" s="1090"/>
      <c r="F34" s="1090"/>
      <c r="G34" s="1090"/>
      <c r="H34" s="1090"/>
      <c r="I34" s="1090"/>
      <c r="J34" s="1090"/>
      <c r="K34" s="1090"/>
      <c r="L34" s="1090"/>
      <c r="M34" s="1090"/>
      <c r="N34" s="1090"/>
      <c r="O34" s="1090"/>
      <c r="P34" s="1090"/>
      <c r="Q34" s="1090"/>
      <c r="R34" s="1090"/>
      <c r="S34" s="1077"/>
      <c r="T34" s="3166"/>
      <c r="U34" s="1089"/>
      <c r="V34" s="1077"/>
      <c r="W34" s="3470">
        <f t="shared" si="1"/>
        <v>0</v>
      </c>
      <c r="X34" s="1089"/>
      <c r="Y34" s="1090"/>
      <c r="Z34" s="1077"/>
      <c r="AA34" s="1131">
        <f t="shared" si="2"/>
        <v>0</v>
      </c>
      <c r="AB34" s="1089"/>
      <c r="AC34" s="3232"/>
      <c r="AD34" s="1077"/>
      <c r="AE34" s="3329"/>
      <c r="AF34" s="1077"/>
      <c r="AG34" t="str">
        <f t="shared" si="3"/>
        <v/>
      </c>
      <c r="BE34" s="1791" t="str">
        <f t="shared" si="4"/>
        <v/>
      </c>
      <c r="BF34" s="1791" t="str">
        <f t="shared" si="5"/>
        <v/>
      </c>
      <c r="BG34" s="1791" t="str">
        <f t="shared" si="6"/>
        <v/>
      </c>
      <c r="BL34" s="1793">
        <f t="shared" si="7"/>
        <v>0</v>
      </c>
      <c r="BM34" s="1793">
        <f t="shared" si="8"/>
        <v>0</v>
      </c>
      <c r="BN34" s="1793">
        <f t="shared" si="9"/>
        <v>0</v>
      </c>
    </row>
    <row r="35" spans="1:66" x14ac:dyDescent="0.25">
      <c r="A35" s="3470" t="s">
        <v>228</v>
      </c>
      <c r="B35" s="1760">
        <f t="shared" si="0"/>
        <v>0</v>
      </c>
      <c r="C35" s="1089"/>
      <c r="D35" s="1090"/>
      <c r="E35" s="1090"/>
      <c r="F35" s="1090"/>
      <c r="G35" s="1090"/>
      <c r="H35" s="1090"/>
      <c r="I35" s="1090"/>
      <c r="J35" s="1090"/>
      <c r="K35" s="1090"/>
      <c r="L35" s="1090"/>
      <c r="M35" s="1090"/>
      <c r="N35" s="1090"/>
      <c r="O35" s="1090"/>
      <c r="P35" s="1090"/>
      <c r="Q35" s="1090"/>
      <c r="R35" s="1090"/>
      <c r="S35" s="1077"/>
      <c r="T35" s="3166"/>
      <c r="U35" s="1089"/>
      <c r="V35" s="1077"/>
      <c r="W35" s="3470">
        <f t="shared" si="1"/>
        <v>0</v>
      </c>
      <c r="X35" s="1089"/>
      <c r="Y35" s="1090"/>
      <c r="Z35" s="1077"/>
      <c r="AA35" s="1131">
        <f t="shared" si="2"/>
        <v>0</v>
      </c>
      <c r="AB35" s="1089"/>
      <c r="AC35" s="3232"/>
      <c r="AD35" s="1077"/>
      <c r="AE35" s="3329"/>
      <c r="AF35" s="1077"/>
      <c r="AG35" t="str">
        <f t="shared" si="3"/>
        <v/>
      </c>
      <c r="BE35" s="1791" t="str">
        <f t="shared" si="4"/>
        <v/>
      </c>
      <c r="BF35" s="1791" t="str">
        <f t="shared" si="5"/>
        <v/>
      </c>
      <c r="BG35" s="1791" t="str">
        <f t="shared" si="6"/>
        <v/>
      </c>
      <c r="BL35" s="1793">
        <f t="shared" si="7"/>
        <v>0</v>
      </c>
      <c r="BM35" s="1793">
        <f t="shared" si="8"/>
        <v>0</v>
      </c>
      <c r="BN35" s="1793">
        <f t="shared" si="9"/>
        <v>0</v>
      </c>
    </row>
    <row r="36" spans="1:66" x14ac:dyDescent="0.25">
      <c r="A36" s="3470" t="s">
        <v>229</v>
      </c>
      <c r="B36" s="1760">
        <f>SUM(O36:S36)</f>
        <v>0</v>
      </c>
      <c r="C36" s="1087"/>
      <c r="D36" s="2480"/>
      <c r="E36" s="2480"/>
      <c r="F36" s="2480"/>
      <c r="G36" s="2480"/>
      <c r="H36" s="2480"/>
      <c r="I36" s="2480"/>
      <c r="J36" s="2480"/>
      <c r="K36" s="2480"/>
      <c r="L36" s="2480"/>
      <c r="M36" s="2480"/>
      <c r="N36" s="2480"/>
      <c r="O36" s="1090"/>
      <c r="P36" s="1090"/>
      <c r="Q36" s="1090"/>
      <c r="R36" s="1090"/>
      <c r="S36" s="1077"/>
      <c r="T36" s="3166"/>
      <c r="U36" s="1089"/>
      <c r="V36" s="1077"/>
      <c r="W36" s="3470">
        <f>SUM(X36+Y36+Z36)</f>
        <v>0</v>
      </c>
      <c r="X36" s="1089"/>
      <c r="Y36" s="1090"/>
      <c r="Z36" s="1077"/>
      <c r="AA36" s="1131">
        <f t="shared" si="2"/>
        <v>0</v>
      </c>
      <c r="AB36" s="1089"/>
      <c r="AC36" s="3232"/>
      <c r="AD36" s="1077"/>
      <c r="AE36" s="3329"/>
      <c r="AF36" s="1077"/>
      <c r="AG36" t="str">
        <f t="shared" si="3"/>
        <v/>
      </c>
      <c r="BE36" s="1791" t="str">
        <f t="shared" si="4"/>
        <v/>
      </c>
      <c r="BF36" s="1791" t="str">
        <f t="shared" si="5"/>
        <v/>
      </c>
      <c r="BG36" s="1791" t="str">
        <f t="shared" si="6"/>
        <v/>
      </c>
      <c r="BL36" s="1793">
        <f t="shared" si="7"/>
        <v>0</v>
      </c>
      <c r="BM36" s="1793">
        <f t="shared" si="8"/>
        <v>0</v>
      </c>
      <c r="BN36" s="1793">
        <f t="shared" si="9"/>
        <v>0</v>
      </c>
    </row>
    <row r="37" spans="1:66" x14ac:dyDescent="0.25">
      <c r="A37" s="3470" t="s">
        <v>2141</v>
      </c>
      <c r="B37" s="1760">
        <f t="shared" si="0"/>
        <v>0</v>
      </c>
      <c r="C37" s="1089"/>
      <c r="D37" s="1090"/>
      <c r="E37" s="1090"/>
      <c r="F37" s="5241"/>
      <c r="G37" s="5241"/>
      <c r="H37" s="5241"/>
      <c r="I37" s="5241"/>
      <c r="J37" s="5241"/>
      <c r="K37" s="5241"/>
      <c r="L37" s="1090"/>
      <c r="M37" s="1090"/>
      <c r="N37" s="1090"/>
      <c r="O37" s="1090"/>
      <c r="P37" s="1090"/>
      <c r="Q37" s="1090"/>
      <c r="R37" s="1090"/>
      <c r="S37" s="1077"/>
      <c r="T37" s="3166"/>
      <c r="U37" s="1089"/>
      <c r="V37" s="1077"/>
      <c r="W37" s="3470">
        <f t="shared" si="1"/>
        <v>0</v>
      </c>
      <c r="X37" s="1089"/>
      <c r="Y37" s="1090"/>
      <c r="Z37" s="1077"/>
      <c r="AA37" s="1131">
        <f t="shared" si="2"/>
        <v>0</v>
      </c>
      <c r="AB37" s="1089"/>
      <c r="AC37" s="3232"/>
      <c r="AD37" s="1077"/>
      <c r="AE37" s="3329"/>
      <c r="AF37" s="1077"/>
      <c r="AG37" t="str">
        <f t="shared" si="3"/>
        <v/>
      </c>
      <c r="BE37" s="1791" t="str">
        <f t="shared" si="4"/>
        <v/>
      </c>
      <c r="BF37" s="1791" t="str">
        <f t="shared" si="5"/>
        <v/>
      </c>
      <c r="BG37" s="1791" t="str">
        <f t="shared" si="6"/>
        <v/>
      </c>
      <c r="BL37" s="1793">
        <f t="shared" si="7"/>
        <v>0</v>
      </c>
      <c r="BM37" s="1793">
        <f t="shared" si="8"/>
        <v>0</v>
      </c>
      <c r="BN37" s="1793">
        <f t="shared" si="9"/>
        <v>0</v>
      </c>
    </row>
    <row r="38" spans="1:66" x14ac:dyDescent="0.25">
      <c r="A38" s="3470" t="s">
        <v>2142</v>
      </c>
      <c r="B38" s="1760">
        <f t="shared" si="0"/>
        <v>0</v>
      </c>
      <c r="C38" s="5242"/>
      <c r="D38" s="5241"/>
      <c r="E38" s="5241"/>
      <c r="F38" s="5241"/>
      <c r="G38" s="1090"/>
      <c r="H38" s="1090"/>
      <c r="I38" s="1090"/>
      <c r="J38" s="1090"/>
      <c r="K38" s="1090"/>
      <c r="L38" s="1090"/>
      <c r="M38" s="1090"/>
      <c r="N38" s="1090"/>
      <c r="O38" s="1090"/>
      <c r="P38" s="1090"/>
      <c r="Q38" s="1090"/>
      <c r="R38" s="1090"/>
      <c r="S38" s="1077"/>
      <c r="T38" s="3166"/>
      <c r="U38" s="1089"/>
      <c r="V38" s="1077"/>
      <c r="W38" s="3470">
        <f>SUM(X38+Y38+Z38)</f>
        <v>0</v>
      </c>
      <c r="X38" s="1089"/>
      <c r="Y38" s="1090"/>
      <c r="Z38" s="1077"/>
      <c r="AA38" s="1131">
        <f t="shared" si="2"/>
        <v>0</v>
      </c>
      <c r="AB38" s="1089"/>
      <c r="AC38" s="3232"/>
      <c r="AD38" s="1077"/>
      <c r="AE38" s="3329"/>
      <c r="AF38" s="1077"/>
      <c r="AG38" t="str">
        <f t="shared" si="3"/>
        <v/>
      </c>
      <c r="BE38" s="1791" t="str">
        <f t="shared" si="4"/>
        <v/>
      </c>
      <c r="BF38" s="1791" t="str">
        <f t="shared" si="5"/>
        <v/>
      </c>
      <c r="BG38" s="1791" t="str">
        <f t="shared" si="6"/>
        <v/>
      </c>
      <c r="BL38" s="1793">
        <f t="shared" si="7"/>
        <v>0</v>
      </c>
      <c r="BM38" s="1793">
        <f t="shared" si="8"/>
        <v>0</v>
      </c>
      <c r="BN38" s="1793">
        <f t="shared" si="9"/>
        <v>0</v>
      </c>
    </row>
    <row r="39" spans="1:66" x14ac:dyDescent="0.25">
      <c r="A39" s="3470" t="s">
        <v>230</v>
      </c>
      <c r="B39" s="1760">
        <f t="shared" si="0"/>
        <v>0</v>
      </c>
      <c r="C39" s="5242"/>
      <c r="D39" s="5241"/>
      <c r="E39" s="5241"/>
      <c r="F39" s="5241"/>
      <c r="G39" s="5241"/>
      <c r="H39" s="5241"/>
      <c r="I39" s="5241"/>
      <c r="J39" s="5241"/>
      <c r="K39" s="5241"/>
      <c r="L39" s="1090"/>
      <c r="M39" s="1090"/>
      <c r="N39" s="1090"/>
      <c r="O39" s="1090"/>
      <c r="P39" s="1090"/>
      <c r="Q39" s="1090"/>
      <c r="R39" s="1090"/>
      <c r="S39" s="1077"/>
      <c r="T39" s="3166"/>
      <c r="U39" s="1089"/>
      <c r="V39" s="1077"/>
      <c r="W39" s="3470">
        <f>SUM(X39+Y39+Z39)</f>
        <v>0</v>
      </c>
      <c r="X39" s="1089"/>
      <c r="Y39" s="1090"/>
      <c r="Z39" s="1077"/>
      <c r="AA39" s="1131">
        <f>SUM(AB39+AC39+AD39)</f>
        <v>0</v>
      </c>
      <c r="AB39" s="1089"/>
      <c r="AC39" s="3232"/>
      <c r="AD39" s="1077"/>
      <c r="AE39" s="3329"/>
      <c r="AF39" s="1077"/>
      <c r="AG39" t="str">
        <f t="shared" si="3"/>
        <v/>
      </c>
      <c r="BE39" s="1791" t="str">
        <f t="shared" si="4"/>
        <v/>
      </c>
      <c r="BF39" s="1791" t="str">
        <f t="shared" si="5"/>
        <v/>
      </c>
      <c r="BG39" s="1791" t="str">
        <f t="shared" si="6"/>
        <v/>
      </c>
      <c r="BL39" s="1793">
        <f t="shared" si="7"/>
        <v>0</v>
      </c>
      <c r="BM39" s="1793">
        <f t="shared" si="8"/>
        <v>0</v>
      </c>
      <c r="BN39" s="1793">
        <f t="shared" si="9"/>
        <v>0</v>
      </c>
    </row>
    <row r="40" spans="1:66" x14ac:dyDescent="0.25">
      <c r="A40" s="3470" t="s">
        <v>2143</v>
      </c>
      <c r="B40" s="1760">
        <f t="shared" si="0"/>
        <v>0</v>
      </c>
      <c r="C40" s="5242"/>
      <c r="D40" s="5241"/>
      <c r="E40" s="5241"/>
      <c r="F40" s="1090"/>
      <c r="G40" s="1090"/>
      <c r="H40" s="1090"/>
      <c r="I40" s="1090"/>
      <c r="J40" s="1090"/>
      <c r="K40" s="1090"/>
      <c r="L40" s="1090"/>
      <c r="M40" s="1090"/>
      <c r="N40" s="1090"/>
      <c r="O40" s="1090"/>
      <c r="P40" s="1090"/>
      <c r="Q40" s="1090"/>
      <c r="R40" s="1090"/>
      <c r="S40" s="1077"/>
      <c r="T40" s="3166"/>
      <c r="U40" s="1089"/>
      <c r="V40" s="1077"/>
      <c r="W40" s="3470">
        <f>SUM(X40+Y40+Z40)</f>
        <v>0</v>
      </c>
      <c r="X40" s="1089"/>
      <c r="Y40" s="1090"/>
      <c r="Z40" s="1077"/>
      <c r="AA40" s="1131">
        <f>SUM(AB40+AC40+AD40)</f>
        <v>0</v>
      </c>
      <c r="AB40" s="1089"/>
      <c r="AC40" s="3232"/>
      <c r="AD40" s="1077"/>
      <c r="AE40" s="3329"/>
      <c r="AF40" s="1077"/>
      <c r="AG40" t="str">
        <f t="shared" si="3"/>
        <v/>
      </c>
      <c r="BE40" s="1791" t="str">
        <f t="shared" si="4"/>
        <v/>
      </c>
      <c r="BF40" s="1791" t="str">
        <f t="shared" si="5"/>
        <v/>
      </c>
      <c r="BG40" s="1791" t="str">
        <f t="shared" si="6"/>
        <v/>
      </c>
      <c r="BL40" s="1793">
        <f t="shared" si="7"/>
        <v>0</v>
      </c>
      <c r="BM40" s="1793">
        <f t="shared" si="8"/>
        <v>0</v>
      </c>
      <c r="BN40" s="1793">
        <f t="shared" si="9"/>
        <v>0</v>
      </c>
    </row>
    <row r="41" spans="1:66" x14ac:dyDescent="0.25">
      <c r="A41" s="3470" t="s">
        <v>2144</v>
      </c>
      <c r="B41" s="1760">
        <f t="shared" si="0"/>
        <v>0</v>
      </c>
      <c r="C41" s="5242"/>
      <c r="D41" s="5241"/>
      <c r="E41" s="5241"/>
      <c r="F41" s="1090"/>
      <c r="G41" s="1090"/>
      <c r="H41" s="1090"/>
      <c r="I41" s="1090"/>
      <c r="J41" s="1090"/>
      <c r="K41" s="1090"/>
      <c r="L41" s="1090"/>
      <c r="M41" s="1090"/>
      <c r="N41" s="1090"/>
      <c r="O41" s="1090"/>
      <c r="P41" s="1090"/>
      <c r="Q41" s="1090"/>
      <c r="R41" s="1090"/>
      <c r="S41" s="1077"/>
      <c r="T41" s="3166"/>
      <c r="U41" s="1089"/>
      <c r="V41" s="1077"/>
      <c r="W41" s="3470">
        <f>SUM(X41+Y41+Z41)</f>
        <v>0</v>
      </c>
      <c r="X41" s="1089"/>
      <c r="Y41" s="1090"/>
      <c r="Z41" s="1077"/>
      <c r="AA41" s="1131">
        <f>SUM(AB41+AC41+AD41)</f>
        <v>0</v>
      </c>
      <c r="AB41" s="1089"/>
      <c r="AC41" s="3232"/>
      <c r="AD41" s="1077"/>
      <c r="AE41" s="3329"/>
      <c r="AF41" s="1077"/>
      <c r="AG41" t="str">
        <f t="shared" si="3"/>
        <v/>
      </c>
      <c r="BE41" s="1791" t="str">
        <f t="shared" si="4"/>
        <v/>
      </c>
      <c r="BF41" s="1791" t="str">
        <f t="shared" si="5"/>
        <v/>
      </c>
      <c r="BG41" s="1791" t="str">
        <f t="shared" si="6"/>
        <v/>
      </c>
      <c r="BL41" s="1793">
        <f t="shared" si="7"/>
        <v>0</v>
      </c>
      <c r="BM41" s="1793">
        <f t="shared" si="8"/>
        <v>0</v>
      </c>
      <c r="BN41" s="1793">
        <f t="shared" si="9"/>
        <v>0</v>
      </c>
    </row>
    <row r="42" spans="1:66" x14ac:dyDescent="0.25">
      <c r="A42" s="3470" t="s">
        <v>2145</v>
      </c>
      <c r="B42" s="1760">
        <f t="shared" si="0"/>
        <v>0</v>
      </c>
      <c r="C42" s="5242"/>
      <c r="D42" s="5241"/>
      <c r="E42" s="5241"/>
      <c r="F42" s="1090"/>
      <c r="G42" s="1090"/>
      <c r="H42" s="1090"/>
      <c r="I42" s="1090"/>
      <c r="J42" s="1090"/>
      <c r="K42" s="1090"/>
      <c r="L42" s="1090"/>
      <c r="M42" s="1090"/>
      <c r="N42" s="1090"/>
      <c r="O42" s="1090"/>
      <c r="P42" s="1090"/>
      <c r="Q42" s="1090"/>
      <c r="R42" s="1090"/>
      <c r="S42" s="1077"/>
      <c r="T42" s="3166"/>
      <c r="U42" s="1089"/>
      <c r="V42" s="1077"/>
      <c r="W42" s="3470">
        <f>SUM(X42+Y42+Z42)</f>
        <v>0</v>
      </c>
      <c r="X42" s="1089"/>
      <c r="Y42" s="1090"/>
      <c r="Z42" s="1077"/>
      <c r="AA42" s="1131">
        <f>SUM(AB42+AC42+AD42)</f>
        <v>0</v>
      </c>
      <c r="AB42" s="1089"/>
      <c r="AC42" s="3232"/>
      <c r="AD42" s="1077"/>
      <c r="AE42" s="3329"/>
      <c r="AF42" s="1077"/>
      <c r="AG42" t="str">
        <f t="shared" si="3"/>
        <v/>
      </c>
      <c r="BE42" s="1791" t="str">
        <f t="shared" si="4"/>
        <v/>
      </c>
      <c r="BF42" s="1791" t="str">
        <f t="shared" si="5"/>
        <v/>
      </c>
      <c r="BG42" s="1791" t="str">
        <f t="shared" si="6"/>
        <v/>
      </c>
      <c r="BL42" s="1793">
        <f t="shared" si="7"/>
        <v>0</v>
      </c>
      <c r="BM42" s="1793">
        <f t="shared" si="8"/>
        <v>0</v>
      </c>
      <c r="BN42" s="1793">
        <f t="shared" si="9"/>
        <v>0</v>
      </c>
    </row>
    <row r="43" spans="1:66" x14ac:dyDescent="0.25">
      <c r="A43" s="3470" t="s">
        <v>2146</v>
      </c>
      <c r="B43" s="1760">
        <f t="shared" si="0"/>
        <v>0</v>
      </c>
      <c r="C43" s="1089"/>
      <c r="D43" s="1090"/>
      <c r="E43" s="1090"/>
      <c r="F43" s="1090"/>
      <c r="G43" s="1090"/>
      <c r="H43" s="1090"/>
      <c r="I43" s="1090"/>
      <c r="J43" s="1090"/>
      <c r="K43" s="1090"/>
      <c r="L43" s="1090"/>
      <c r="M43" s="1090"/>
      <c r="N43" s="1090"/>
      <c r="O43" s="1090"/>
      <c r="P43" s="1090"/>
      <c r="Q43" s="1090"/>
      <c r="R43" s="1090"/>
      <c r="S43" s="1077"/>
      <c r="T43" s="3166"/>
      <c r="U43" s="1089"/>
      <c r="V43" s="1077"/>
      <c r="W43" s="3470">
        <f t="shared" ref="W43:W68" si="10">SUM(X43+Y43+Z43)</f>
        <v>0</v>
      </c>
      <c r="X43" s="1089"/>
      <c r="Y43" s="1090"/>
      <c r="Z43" s="1077"/>
      <c r="AA43" s="1131">
        <f>SUM(AB43+AC43+AD43)</f>
        <v>0</v>
      </c>
      <c r="AB43" s="1089"/>
      <c r="AC43" s="3232"/>
      <c r="AD43" s="1077"/>
      <c r="AE43" s="3329"/>
      <c r="AF43" s="1077"/>
      <c r="AG43" t="str">
        <f t="shared" si="3"/>
        <v/>
      </c>
      <c r="BE43" s="1791" t="str">
        <f t="shared" si="4"/>
        <v/>
      </c>
      <c r="BF43" s="1791" t="str">
        <f t="shared" si="5"/>
        <v/>
      </c>
      <c r="BG43" s="1791" t="str">
        <f t="shared" si="6"/>
        <v/>
      </c>
      <c r="BL43" s="1793">
        <f t="shared" si="7"/>
        <v>0</v>
      </c>
      <c r="BM43" s="1793">
        <f t="shared" si="8"/>
        <v>0</v>
      </c>
      <c r="BN43" s="1793">
        <f t="shared" si="9"/>
        <v>0</v>
      </c>
    </row>
    <row r="44" spans="1:66" x14ac:dyDescent="0.25">
      <c r="A44" s="3470" t="s">
        <v>231</v>
      </c>
      <c r="B44" s="1760">
        <f t="shared" si="0"/>
        <v>0</v>
      </c>
      <c r="C44" s="1089"/>
      <c r="D44" s="1090"/>
      <c r="E44" s="1090"/>
      <c r="F44" s="1090"/>
      <c r="G44" s="1090"/>
      <c r="H44" s="1090"/>
      <c r="I44" s="1090"/>
      <c r="J44" s="1090"/>
      <c r="K44" s="1090"/>
      <c r="L44" s="1090"/>
      <c r="M44" s="1090"/>
      <c r="N44" s="1090"/>
      <c r="O44" s="1090"/>
      <c r="P44" s="1090"/>
      <c r="Q44" s="1090"/>
      <c r="R44" s="1090"/>
      <c r="S44" s="1077"/>
      <c r="T44" s="3166"/>
      <c r="U44" s="1089"/>
      <c r="V44" s="1077"/>
      <c r="W44" s="3470">
        <f t="shared" si="10"/>
        <v>0</v>
      </c>
      <c r="X44" s="1089"/>
      <c r="Y44" s="1090"/>
      <c r="Z44" s="1077"/>
      <c r="AA44" s="1131">
        <f t="shared" ref="AA44:AA71" si="11">SUM(AB44+AC44+AD44)</f>
        <v>0</v>
      </c>
      <c r="AB44" s="1089"/>
      <c r="AC44" s="3232"/>
      <c r="AD44" s="1077"/>
      <c r="AE44" s="3329"/>
      <c r="AF44" s="1077"/>
      <c r="AG44" t="str">
        <f t="shared" si="3"/>
        <v/>
      </c>
      <c r="BE44" s="1791" t="str">
        <f t="shared" si="4"/>
        <v/>
      </c>
      <c r="BF44" s="1791" t="str">
        <f t="shared" si="5"/>
        <v/>
      </c>
      <c r="BG44" s="1791" t="str">
        <f t="shared" si="6"/>
        <v/>
      </c>
      <c r="BL44" s="1793">
        <f t="shared" si="7"/>
        <v>0</v>
      </c>
      <c r="BM44" s="1793">
        <f t="shared" si="8"/>
        <v>0</v>
      </c>
      <c r="BN44" s="1793">
        <f t="shared" si="9"/>
        <v>0</v>
      </c>
    </row>
    <row r="45" spans="1:66" x14ac:dyDescent="0.25">
      <c r="A45" s="3470" t="s">
        <v>2147</v>
      </c>
      <c r="B45" s="1760">
        <f t="shared" si="0"/>
        <v>0</v>
      </c>
      <c r="C45" s="1089"/>
      <c r="D45" s="1090"/>
      <c r="E45" s="1090"/>
      <c r="F45" s="1090"/>
      <c r="G45" s="1090"/>
      <c r="H45" s="1090"/>
      <c r="I45" s="1090"/>
      <c r="J45" s="1090"/>
      <c r="K45" s="1090"/>
      <c r="L45" s="1090"/>
      <c r="M45" s="1090"/>
      <c r="N45" s="1090"/>
      <c r="O45" s="1090"/>
      <c r="P45" s="1090"/>
      <c r="Q45" s="1090"/>
      <c r="R45" s="1090"/>
      <c r="S45" s="1077"/>
      <c r="T45" s="3166"/>
      <c r="U45" s="1089"/>
      <c r="V45" s="1077"/>
      <c r="W45" s="3470">
        <f t="shared" si="10"/>
        <v>0</v>
      </c>
      <c r="X45" s="1089"/>
      <c r="Y45" s="1090"/>
      <c r="Z45" s="1077"/>
      <c r="AA45" s="1131">
        <f t="shared" si="11"/>
        <v>0</v>
      </c>
      <c r="AB45" s="1089"/>
      <c r="AC45" s="3232"/>
      <c r="AD45" s="1077"/>
      <c r="AE45" s="3329"/>
      <c r="AF45" s="1077"/>
      <c r="AG45" t="str">
        <f t="shared" si="3"/>
        <v/>
      </c>
      <c r="BE45" s="1791" t="str">
        <f t="shared" si="4"/>
        <v/>
      </c>
      <c r="BF45" s="1791" t="str">
        <f t="shared" si="5"/>
        <v/>
      </c>
      <c r="BG45" s="1791" t="str">
        <f t="shared" si="6"/>
        <v/>
      </c>
      <c r="BL45" s="1793">
        <f t="shared" si="7"/>
        <v>0</v>
      </c>
      <c r="BM45" s="1793">
        <f t="shared" si="8"/>
        <v>0</v>
      </c>
      <c r="BN45" s="1793">
        <f t="shared" si="9"/>
        <v>0</v>
      </c>
    </row>
    <row r="46" spans="1:66" x14ac:dyDescent="0.25">
      <c r="A46" s="112" t="s">
        <v>2148</v>
      </c>
      <c r="B46" s="1760">
        <f t="shared" si="0"/>
        <v>0</v>
      </c>
      <c r="C46" s="5242"/>
      <c r="D46" s="5241"/>
      <c r="E46" s="5241"/>
      <c r="F46" s="5241"/>
      <c r="G46" s="1090"/>
      <c r="H46" s="1090"/>
      <c r="I46" s="1090"/>
      <c r="J46" s="1090"/>
      <c r="K46" s="1090"/>
      <c r="L46" s="1090"/>
      <c r="M46" s="1090"/>
      <c r="N46" s="1090"/>
      <c r="O46" s="1090"/>
      <c r="P46" s="1090"/>
      <c r="Q46" s="1090"/>
      <c r="R46" s="1090"/>
      <c r="S46" s="1077"/>
      <c r="T46" s="3166"/>
      <c r="U46" s="1089"/>
      <c r="V46" s="1077"/>
      <c r="W46" s="3470">
        <f t="shared" si="10"/>
        <v>0</v>
      </c>
      <c r="X46" s="1089"/>
      <c r="Y46" s="1090"/>
      <c r="Z46" s="1077"/>
      <c r="AA46" s="1131">
        <f t="shared" si="11"/>
        <v>0</v>
      </c>
      <c r="AB46" s="1089"/>
      <c r="AC46" s="3232"/>
      <c r="AD46" s="1077"/>
      <c r="AE46" s="3329"/>
      <c r="AF46" s="1077"/>
      <c r="AG46" t="str">
        <f t="shared" si="3"/>
        <v/>
      </c>
      <c r="BE46" s="1791" t="str">
        <f t="shared" si="4"/>
        <v/>
      </c>
      <c r="BF46" s="1791" t="str">
        <f t="shared" si="5"/>
        <v/>
      </c>
      <c r="BG46" s="1791" t="str">
        <f t="shared" si="6"/>
        <v/>
      </c>
      <c r="BL46" s="1793">
        <f t="shared" si="7"/>
        <v>0</v>
      </c>
      <c r="BM46" s="1793">
        <f t="shared" si="8"/>
        <v>0</v>
      </c>
      <c r="BN46" s="1793">
        <f t="shared" si="9"/>
        <v>0</v>
      </c>
    </row>
    <row r="47" spans="1:66" x14ac:dyDescent="0.25">
      <c r="A47" s="3713" t="s">
        <v>251</v>
      </c>
      <c r="B47" s="1760">
        <f t="shared" si="0"/>
        <v>0</v>
      </c>
      <c r="C47" s="5242"/>
      <c r="D47" s="5241"/>
      <c r="E47" s="5241"/>
      <c r="F47" s="5241"/>
      <c r="G47" s="1090"/>
      <c r="H47" s="1090"/>
      <c r="I47" s="1090"/>
      <c r="J47" s="1090"/>
      <c r="K47" s="1090"/>
      <c r="L47" s="1090"/>
      <c r="M47" s="1090"/>
      <c r="N47" s="1090"/>
      <c r="O47" s="1090"/>
      <c r="P47" s="1090"/>
      <c r="Q47" s="1090"/>
      <c r="R47" s="1090"/>
      <c r="S47" s="1077"/>
      <c r="T47" s="3166"/>
      <c r="U47" s="1089"/>
      <c r="V47" s="1077"/>
      <c r="W47" s="3470">
        <f t="shared" si="10"/>
        <v>0</v>
      </c>
      <c r="X47" s="1089"/>
      <c r="Y47" s="1090"/>
      <c r="Z47" s="1077"/>
      <c r="AA47" s="1131">
        <f t="shared" si="11"/>
        <v>0</v>
      </c>
      <c r="AB47" s="1089"/>
      <c r="AC47" s="3232"/>
      <c r="AD47" s="1077"/>
      <c r="AE47" s="3329"/>
      <c r="AF47" s="1077"/>
      <c r="AG47" t="str">
        <f t="shared" si="3"/>
        <v/>
      </c>
      <c r="BE47" s="1791" t="str">
        <f t="shared" si="4"/>
        <v/>
      </c>
      <c r="BF47" s="1791" t="str">
        <f t="shared" si="5"/>
        <v/>
      </c>
      <c r="BG47" s="1791" t="str">
        <f t="shared" si="6"/>
        <v/>
      </c>
      <c r="BL47" s="1793">
        <f t="shared" si="7"/>
        <v>0</v>
      </c>
      <c r="BM47" s="1793">
        <f t="shared" si="8"/>
        <v>0</v>
      </c>
      <c r="BN47" s="1793">
        <f t="shared" si="9"/>
        <v>0</v>
      </c>
    </row>
    <row r="48" spans="1:66" x14ac:dyDescent="0.25">
      <c r="A48" s="3470" t="s">
        <v>2149</v>
      </c>
      <c r="B48" s="1760">
        <f t="shared" si="0"/>
        <v>0</v>
      </c>
      <c r="C48" s="5242"/>
      <c r="D48" s="5241"/>
      <c r="E48" s="5241"/>
      <c r="F48" s="5241"/>
      <c r="G48" s="5241"/>
      <c r="H48" s="5241"/>
      <c r="I48" s="5241"/>
      <c r="J48" s="5241"/>
      <c r="K48" s="5241"/>
      <c r="L48" s="1090"/>
      <c r="M48" s="1090"/>
      <c r="N48" s="1090"/>
      <c r="O48" s="1090"/>
      <c r="P48" s="1090"/>
      <c r="Q48" s="1090"/>
      <c r="R48" s="1090"/>
      <c r="S48" s="1077"/>
      <c r="T48" s="3166"/>
      <c r="U48" s="1089"/>
      <c r="V48" s="1077"/>
      <c r="W48" s="3470">
        <f t="shared" si="10"/>
        <v>0</v>
      </c>
      <c r="X48" s="1089"/>
      <c r="Y48" s="1090"/>
      <c r="Z48" s="1077"/>
      <c r="AA48" s="1131">
        <f t="shared" si="11"/>
        <v>0</v>
      </c>
      <c r="AB48" s="1089"/>
      <c r="AC48" s="3232"/>
      <c r="AD48" s="1077"/>
      <c r="AE48" s="3329"/>
      <c r="AF48" s="1077"/>
      <c r="AG48" t="str">
        <f t="shared" si="3"/>
        <v/>
      </c>
      <c r="BE48" s="1791" t="str">
        <f t="shared" si="4"/>
        <v/>
      </c>
      <c r="BF48" s="1791" t="str">
        <f t="shared" si="5"/>
        <v/>
      </c>
      <c r="BG48" s="1791" t="str">
        <f t="shared" si="6"/>
        <v/>
      </c>
      <c r="BL48" s="1793">
        <f t="shared" si="7"/>
        <v>0</v>
      </c>
      <c r="BM48" s="1793">
        <f t="shared" si="8"/>
        <v>0</v>
      </c>
      <c r="BN48" s="1793">
        <f t="shared" si="9"/>
        <v>0</v>
      </c>
    </row>
    <row r="49" spans="1:66" x14ac:dyDescent="0.25">
      <c r="A49" s="3470" t="s">
        <v>2150</v>
      </c>
      <c r="B49" s="1760">
        <f t="shared" si="0"/>
        <v>0</v>
      </c>
      <c r="C49" s="5242"/>
      <c r="D49" s="5241"/>
      <c r="E49" s="5241"/>
      <c r="F49" s="5241"/>
      <c r="G49" s="1090"/>
      <c r="H49" s="1090"/>
      <c r="I49" s="1090"/>
      <c r="J49" s="1090"/>
      <c r="K49" s="1090"/>
      <c r="L49" s="1090"/>
      <c r="M49" s="1090"/>
      <c r="N49" s="1090"/>
      <c r="O49" s="1090"/>
      <c r="P49" s="1090"/>
      <c r="Q49" s="1090"/>
      <c r="R49" s="1090"/>
      <c r="S49" s="1077"/>
      <c r="T49" s="4561"/>
      <c r="U49" s="106"/>
      <c r="V49" s="5238"/>
      <c r="W49" s="2028">
        <f t="shared" si="10"/>
        <v>0</v>
      </c>
      <c r="X49" s="1089"/>
      <c r="Y49" s="1090"/>
      <c r="Z49" s="1077"/>
      <c r="AA49" s="1131">
        <f t="shared" si="11"/>
        <v>0</v>
      </c>
      <c r="AB49" s="1089"/>
      <c r="AC49" s="3232"/>
      <c r="AD49" s="1077"/>
      <c r="AE49" s="3329"/>
      <c r="AF49" s="1077"/>
      <c r="AG49" t="str">
        <f t="shared" si="3"/>
        <v/>
      </c>
      <c r="BE49" s="1791" t="str">
        <f t="shared" si="4"/>
        <v/>
      </c>
      <c r="BF49" s="1791" t="str">
        <f t="shared" si="5"/>
        <v/>
      </c>
      <c r="BG49" s="1791" t="str">
        <f t="shared" si="6"/>
        <v/>
      </c>
      <c r="BL49" s="1793">
        <f t="shared" si="7"/>
        <v>0</v>
      </c>
      <c r="BM49" s="1793">
        <f t="shared" si="8"/>
        <v>0</v>
      </c>
      <c r="BN49" s="1793">
        <f t="shared" si="9"/>
        <v>0</v>
      </c>
    </row>
    <row r="50" spans="1:66" x14ac:dyDescent="0.25">
      <c r="A50" s="3470" t="s">
        <v>2151</v>
      </c>
      <c r="B50" s="1760">
        <f t="shared" si="0"/>
        <v>0</v>
      </c>
      <c r="C50" s="1089"/>
      <c r="D50" s="1090"/>
      <c r="E50" s="1090"/>
      <c r="F50" s="1090"/>
      <c r="G50" s="1090"/>
      <c r="H50" s="1090"/>
      <c r="I50" s="1090"/>
      <c r="J50" s="1090"/>
      <c r="K50" s="1090"/>
      <c r="L50" s="1090"/>
      <c r="M50" s="1090"/>
      <c r="N50" s="1090"/>
      <c r="O50" s="1090"/>
      <c r="P50" s="1090"/>
      <c r="Q50" s="1090"/>
      <c r="R50" s="1090"/>
      <c r="S50" s="1077"/>
      <c r="T50" s="3166"/>
      <c r="U50" s="1089"/>
      <c r="V50" s="1077"/>
      <c r="W50" s="3470">
        <f t="shared" si="10"/>
        <v>0</v>
      </c>
      <c r="X50" s="1089"/>
      <c r="Y50" s="1090"/>
      <c r="Z50" s="1077"/>
      <c r="AA50" s="1131">
        <f t="shared" si="11"/>
        <v>0</v>
      </c>
      <c r="AB50" s="1089"/>
      <c r="AC50" s="3232"/>
      <c r="AD50" s="1077"/>
      <c r="AE50" s="3329"/>
      <c r="AF50" s="1077"/>
      <c r="AG50" t="str">
        <f t="shared" si="3"/>
        <v/>
      </c>
      <c r="BE50" s="1791" t="str">
        <f t="shared" si="4"/>
        <v/>
      </c>
      <c r="BF50" s="1791" t="str">
        <f t="shared" si="5"/>
        <v/>
      </c>
      <c r="BG50" s="1791" t="str">
        <f t="shared" si="6"/>
        <v/>
      </c>
      <c r="BL50" s="1793">
        <f t="shared" si="7"/>
        <v>0</v>
      </c>
      <c r="BM50" s="1793">
        <f t="shared" si="8"/>
        <v>0</v>
      </c>
      <c r="BN50" s="1793">
        <f t="shared" si="9"/>
        <v>0</v>
      </c>
    </row>
    <row r="51" spans="1:66" x14ac:dyDescent="0.25">
      <c r="A51" s="3470" t="s">
        <v>232</v>
      </c>
      <c r="B51" s="1760">
        <f t="shared" si="0"/>
        <v>0</v>
      </c>
      <c r="C51" s="1089"/>
      <c r="D51" s="1090"/>
      <c r="E51" s="1090"/>
      <c r="F51" s="1090"/>
      <c r="G51" s="1090"/>
      <c r="H51" s="1090"/>
      <c r="I51" s="1090"/>
      <c r="J51" s="1090"/>
      <c r="K51" s="1090"/>
      <c r="L51" s="1090"/>
      <c r="M51" s="1090"/>
      <c r="N51" s="1090"/>
      <c r="O51" s="1090"/>
      <c r="P51" s="1090"/>
      <c r="Q51" s="1090"/>
      <c r="R51" s="1090"/>
      <c r="S51" s="1077"/>
      <c r="T51" s="3166"/>
      <c r="U51" s="1089"/>
      <c r="V51" s="1077"/>
      <c r="W51" s="3470">
        <f t="shared" si="10"/>
        <v>0</v>
      </c>
      <c r="X51" s="1089"/>
      <c r="Y51" s="1090"/>
      <c r="Z51" s="1077"/>
      <c r="AA51" s="1131">
        <f t="shared" si="11"/>
        <v>0</v>
      </c>
      <c r="AB51" s="1089"/>
      <c r="AC51" s="3232"/>
      <c r="AD51" s="1077"/>
      <c r="AE51" s="3329"/>
      <c r="AF51" s="1077"/>
      <c r="AG51" t="str">
        <f t="shared" si="3"/>
        <v/>
      </c>
      <c r="BE51" s="1791" t="str">
        <f t="shared" si="4"/>
        <v/>
      </c>
      <c r="BF51" s="1791" t="str">
        <f t="shared" si="5"/>
        <v/>
      </c>
      <c r="BG51" s="1791" t="str">
        <f t="shared" si="6"/>
        <v/>
      </c>
      <c r="BL51" s="1793">
        <f t="shared" si="7"/>
        <v>0</v>
      </c>
      <c r="BM51" s="1793">
        <f t="shared" si="8"/>
        <v>0</v>
      </c>
      <c r="BN51" s="1793">
        <f t="shared" si="9"/>
        <v>0</v>
      </c>
    </row>
    <row r="52" spans="1:66" x14ac:dyDescent="0.25">
      <c r="A52" s="3470" t="s">
        <v>233</v>
      </c>
      <c r="B52" s="1760">
        <f t="shared" si="0"/>
        <v>0</v>
      </c>
      <c r="C52" s="1089"/>
      <c r="D52" s="1090"/>
      <c r="E52" s="1090"/>
      <c r="F52" s="1090"/>
      <c r="G52" s="1090"/>
      <c r="H52" s="1090"/>
      <c r="I52" s="1090"/>
      <c r="J52" s="1090"/>
      <c r="K52" s="1090"/>
      <c r="L52" s="1090"/>
      <c r="M52" s="1090"/>
      <c r="N52" s="1090"/>
      <c r="O52" s="1090"/>
      <c r="P52" s="1090"/>
      <c r="Q52" s="1090"/>
      <c r="R52" s="1090"/>
      <c r="S52" s="1077"/>
      <c r="T52" s="3166"/>
      <c r="U52" s="1089"/>
      <c r="V52" s="1077"/>
      <c r="W52" s="3470">
        <f t="shared" si="10"/>
        <v>0</v>
      </c>
      <c r="X52" s="1089"/>
      <c r="Y52" s="1090"/>
      <c r="Z52" s="1077"/>
      <c r="AA52" s="1131">
        <f t="shared" si="11"/>
        <v>0</v>
      </c>
      <c r="AB52" s="1089"/>
      <c r="AC52" s="3232"/>
      <c r="AD52" s="1077"/>
      <c r="AE52" s="3329"/>
      <c r="AF52" s="1077"/>
      <c r="AG52" t="str">
        <f t="shared" si="3"/>
        <v/>
      </c>
      <c r="BE52" s="1791" t="str">
        <f t="shared" si="4"/>
        <v/>
      </c>
      <c r="BF52" s="1791" t="str">
        <f t="shared" si="5"/>
        <v/>
      </c>
      <c r="BG52" s="1791" t="str">
        <f t="shared" si="6"/>
        <v/>
      </c>
      <c r="BL52" s="1793">
        <f t="shared" si="7"/>
        <v>0</v>
      </c>
      <c r="BM52" s="1793">
        <f t="shared" si="8"/>
        <v>0</v>
      </c>
      <c r="BN52" s="1793">
        <f t="shared" si="9"/>
        <v>0</v>
      </c>
    </row>
    <row r="53" spans="1:66" x14ac:dyDescent="0.25">
      <c r="A53" s="3470" t="s">
        <v>234</v>
      </c>
      <c r="B53" s="1760">
        <f t="shared" si="0"/>
        <v>0</v>
      </c>
      <c r="C53" s="1089"/>
      <c r="D53" s="1090"/>
      <c r="E53" s="1090"/>
      <c r="F53" s="1090"/>
      <c r="G53" s="1090"/>
      <c r="H53" s="1090"/>
      <c r="I53" s="1090"/>
      <c r="J53" s="1090"/>
      <c r="K53" s="1090"/>
      <c r="L53" s="1090"/>
      <c r="M53" s="1090"/>
      <c r="N53" s="1090"/>
      <c r="O53" s="1090"/>
      <c r="P53" s="1090"/>
      <c r="Q53" s="1090"/>
      <c r="R53" s="1090"/>
      <c r="S53" s="1077"/>
      <c r="T53" s="3166"/>
      <c r="U53" s="1089"/>
      <c r="V53" s="1077"/>
      <c r="W53" s="3470">
        <f t="shared" si="10"/>
        <v>0</v>
      </c>
      <c r="X53" s="1089"/>
      <c r="Y53" s="1090"/>
      <c r="Z53" s="1077"/>
      <c r="AA53" s="1131">
        <f t="shared" si="11"/>
        <v>0</v>
      </c>
      <c r="AB53" s="1089"/>
      <c r="AC53" s="3232"/>
      <c r="AD53" s="1077"/>
      <c r="AE53" s="3329"/>
      <c r="AF53" s="1077"/>
      <c r="AG53" t="str">
        <f t="shared" si="3"/>
        <v/>
      </c>
      <c r="BE53" s="1791" t="str">
        <f t="shared" si="4"/>
        <v/>
      </c>
      <c r="BF53" s="1791" t="str">
        <f t="shared" si="5"/>
        <v/>
      </c>
      <c r="BG53" s="1791" t="str">
        <f t="shared" si="6"/>
        <v/>
      </c>
      <c r="BL53" s="1793">
        <f t="shared" si="7"/>
        <v>0</v>
      </c>
      <c r="BM53" s="1793">
        <f t="shared" si="8"/>
        <v>0</v>
      </c>
      <c r="BN53" s="1793">
        <f t="shared" si="9"/>
        <v>0</v>
      </c>
    </row>
    <row r="54" spans="1:66" x14ac:dyDescent="0.25">
      <c r="A54" s="3470" t="s">
        <v>235</v>
      </c>
      <c r="B54" s="1760">
        <f t="shared" si="0"/>
        <v>0</v>
      </c>
      <c r="C54" s="1089"/>
      <c r="D54" s="1090"/>
      <c r="E54" s="1090"/>
      <c r="F54" s="1090"/>
      <c r="G54" s="1090"/>
      <c r="H54" s="1090"/>
      <c r="I54" s="1090"/>
      <c r="J54" s="1090"/>
      <c r="K54" s="1090"/>
      <c r="L54" s="1090"/>
      <c r="M54" s="1090"/>
      <c r="N54" s="1090"/>
      <c r="O54" s="1090"/>
      <c r="P54" s="1090"/>
      <c r="Q54" s="1090"/>
      <c r="R54" s="1090"/>
      <c r="S54" s="1077"/>
      <c r="T54" s="3166"/>
      <c r="U54" s="1089"/>
      <c r="V54" s="1077"/>
      <c r="W54" s="3470">
        <f t="shared" si="10"/>
        <v>0</v>
      </c>
      <c r="X54" s="1089"/>
      <c r="Y54" s="1090"/>
      <c r="Z54" s="1077"/>
      <c r="AA54" s="1131">
        <f t="shared" si="11"/>
        <v>0</v>
      </c>
      <c r="AB54" s="1089"/>
      <c r="AC54" s="3232"/>
      <c r="AD54" s="1077"/>
      <c r="AE54" s="3329"/>
      <c r="AF54" s="1077"/>
      <c r="AG54" t="str">
        <f t="shared" si="3"/>
        <v/>
      </c>
      <c r="BE54" s="1791" t="str">
        <f t="shared" si="4"/>
        <v/>
      </c>
      <c r="BF54" s="1791" t="str">
        <f t="shared" si="5"/>
        <v/>
      </c>
      <c r="BG54" s="1791" t="str">
        <f t="shared" si="6"/>
        <v/>
      </c>
      <c r="BL54" s="1793">
        <f t="shared" si="7"/>
        <v>0</v>
      </c>
      <c r="BM54" s="1793">
        <f t="shared" si="8"/>
        <v>0</v>
      </c>
      <c r="BN54" s="1793">
        <f t="shared" si="9"/>
        <v>0</v>
      </c>
    </row>
    <row r="55" spans="1:66" x14ac:dyDescent="0.25">
      <c r="A55" s="2028" t="s">
        <v>236</v>
      </c>
      <c r="B55" s="1760">
        <f t="shared" si="0"/>
        <v>0</v>
      </c>
      <c r="C55" s="1089"/>
      <c r="D55" s="1090"/>
      <c r="E55" s="1090"/>
      <c r="F55" s="1090"/>
      <c r="G55" s="1090"/>
      <c r="H55" s="1090"/>
      <c r="I55" s="1090"/>
      <c r="J55" s="1090"/>
      <c r="K55" s="1090"/>
      <c r="L55" s="1090"/>
      <c r="M55" s="1090"/>
      <c r="N55" s="1090"/>
      <c r="O55" s="1090"/>
      <c r="P55" s="1090"/>
      <c r="Q55" s="1090"/>
      <c r="R55" s="1090"/>
      <c r="S55" s="1077"/>
      <c r="T55" s="3166"/>
      <c r="U55" s="1089"/>
      <c r="V55" s="1077"/>
      <c r="W55" s="3470">
        <f t="shared" si="10"/>
        <v>0</v>
      </c>
      <c r="X55" s="1089"/>
      <c r="Y55" s="1090"/>
      <c r="Z55" s="1077"/>
      <c r="AA55" s="1131">
        <f t="shared" si="11"/>
        <v>0</v>
      </c>
      <c r="AB55" s="1089"/>
      <c r="AC55" s="3232"/>
      <c r="AD55" s="1077"/>
      <c r="AE55" s="3329"/>
      <c r="AF55" s="1077"/>
      <c r="AG55" t="str">
        <f t="shared" si="3"/>
        <v/>
      </c>
      <c r="BE55" s="1791" t="str">
        <f t="shared" si="4"/>
        <v/>
      </c>
      <c r="BF55" s="1791" t="str">
        <f t="shared" si="5"/>
        <v/>
      </c>
      <c r="BG55" s="1791" t="str">
        <f t="shared" si="6"/>
        <v/>
      </c>
      <c r="BL55" s="1793">
        <f t="shared" si="7"/>
        <v>0</v>
      </c>
      <c r="BM55" s="1793">
        <f t="shared" si="8"/>
        <v>0</v>
      </c>
      <c r="BN55" s="1793">
        <f t="shared" si="9"/>
        <v>0</v>
      </c>
    </row>
    <row r="56" spans="1:66" x14ac:dyDescent="0.25">
      <c r="A56" s="3713" t="s">
        <v>237</v>
      </c>
      <c r="B56" s="1760">
        <f t="shared" si="0"/>
        <v>0</v>
      </c>
      <c r="C56" s="1089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90"/>
      <c r="O56" s="1090"/>
      <c r="P56" s="1090"/>
      <c r="Q56" s="1090"/>
      <c r="R56" s="1090"/>
      <c r="S56" s="1077"/>
      <c r="T56" s="3166"/>
      <c r="U56" s="1089"/>
      <c r="V56" s="1077"/>
      <c r="W56" s="3470">
        <f t="shared" si="10"/>
        <v>0</v>
      </c>
      <c r="X56" s="1089"/>
      <c r="Y56" s="1090"/>
      <c r="Z56" s="1077"/>
      <c r="AA56" s="1131">
        <f t="shared" si="11"/>
        <v>0</v>
      </c>
      <c r="AB56" s="1089"/>
      <c r="AC56" s="3232"/>
      <c r="AD56" s="1077"/>
      <c r="AE56" s="3329"/>
      <c r="AF56" s="1077"/>
      <c r="AG56" t="str">
        <f t="shared" si="3"/>
        <v/>
      </c>
      <c r="BE56" s="1791" t="str">
        <f t="shared" si="4"/>
        <v/>
      </c>
      <c r="BF56" s="1791" t="str">
        <f t="shared" si="5"/>
        <v/>
      </c>
      <c r="BG56" s="1791" t="str">
        <f t="shared" si="6"/>
        <v/>
      </c>
      <c r="BL56" s="1793">
        <f t="shared" si="7"/>
        <v>0</v>
      </c>
      <c r="BM56" s="1793">
        <f t="shared" si="8"/>
        <v>0</v>
      </c>
      <c r="BN56" s="1793">
        <f t="shared" si="9"/>
        <v>0</v>
      </c>
    </row>
    <row r="57" spans="1:66" x14ac:dyDescent="0.25">
      <c r="A57" s="3713" t="s">
        <v>2152</v>
      </c>
      <c r="B57" s="1760">
        <f t="shared" si="0"/>
        <v>0</v>
      </c>
      <c r="C57" s="1089"/>
      <c r="D57" s="1090"/>
      <c r="E57" s="1090"/>
      <c r="F57" s="1090"/>
      <c r="G57" s="1090"/>
      <c r="H57" s="1090"/>
      <c r="I57" s="1090"/>
      <c r="J57" s="1090"/>
      <c r="K57" s="1090"/>
      <c r="L57" s="1090"/>
      <c r="M57" s="1090"/>
      <c r="N57" s="1090"/>
      <c r="O57" s="1090"/>
      <c r="P57" s="1090"/>
      <c r="Q57" s="1090"/>
      <c r="R57" s="1090"/>
      <c r="S57" s="1077"/>
      <c r="T57" s="3166"/>
      <c r="U57" s="1089"/>
      <c r="V57" s="1077"/>
      <c r="W57" s="3470">
        <f t="shared" si="10"/>
        <v>0</v>
      </c>
      <c r="X57" s="1089"/>
      <c r="Y57" s="1090"/>
      <c r="Z57" s="1077"/>
      <c r="AA57" s="1131">
        <f t="shared" si="11"/>
        <v>0</v>
      </c>
      <c r="AB57" s="1089"/>
      <c r="AC57" s="3232"/>
      <c r="AD57" s="1077"/>
      <c r="AE57" s="3329"/>
      <c r="AF57" s="1077"/>
      <c r="AG57" t="str">
        <f t="shared" si="3"/>
        <v/>
      </c>
      <c r="BE57" s="1791" t="str">
        <f t="shared" si="4"/>
        <v/>
      </c>
      <c r="BF57" s="1791" t="str">
        <f t="shared" si="5"/>
        <v/>
      </c>
      <c r="BG57" s="1791" t="str">
        <f t="shared" si="6"/>
        <v/>
      </c>
      <c r="BL57" s="1793">
        <f t="shared" si="7"/>
        <v>0</v>
      </c>
      <c r="BM57" s="1793">
        <f t="shared" si="8"/>
        <v>0</v>
      </c>
      <c r="BN57" s="1793">
        <f t="shared" si="9"/>
        <v>0</v>
      </c>
    </row>
    <row r="58" spans="1:66" x14ac:dyDescent="0.25">
      <c r="A58" s="3713" t="s">
        <v>2153</v>
      </c>
      <c r="B58" s="1760">
        <f t="shared" si="0"/>
        <v>0</v>
      </c>
      <c r="C58" s="1089"/>
      <c r="D58" s="1090"/>
      <c r="E58" s="1090"/>
      <c r="F58" s="1090"/>
      <c r="G58" s="1090"/>
      <c r="H58" s="1090"/>
      <c r="I58" s="1090"/>
      <c r="J58" s="1090"/>
      <c r="K58" s="1090"/>
      <c r="L58" s="1090"/>
      <c r="M58" s="1090"/>
      <c r="N58" s="1090"/>
      <c r="O58" s="1090"/>
      <c r="P58" s="1090"/>
      <c r="Q58" s="1090"/>
      <c r="R58" s="1090"/>
      <c r="S58" s="1077"/>
      <c r="T58" s="3166"/>
      <c r="U58" s="1089"/>
      <c r="V58" s="1077"/>
      <c r="W58" s="3470">
        <f t="shared" si="10"/>
        <v>0</v>
      </c>
      <c r="X58" s="1089"/>
      <c r="Y58" s="1090"/>
      <c r="Z58" s="1077"/>
      <c r="AA58" s="1131">
        <f t="shared" si="11"/>
        <v>0</v>
      </c>
      <c r="AB58" s="1089"/>
      <c r="AC58" s="3232"/>
      <c r="AD58" s="1077"/>
      <c r="AE58" s="3329"/>
      <c r="AF58" s="1077"/>
      <c r="AG58" t="str">
        <f t="shared" si="3"/>
        <v/>
      </c>
      <c r="BE58" s="1791" t="str">
        <f t="shared" si="4"/>
        <v/>
      </c>
      <c r="BF58" s="1791" t="str">
        <f t="shared" si="5"/>
        <v/>
      </c>
      <c r="BG58" s="1791" t="str">
        <f t="shared" si="6"/>
        <v/>
      </c>
      <c r="BL58" s="1793">
        <f t="shared" si="7"/>
        <v>0</v>
      </c>
      <c r="BM58" s="1793">
        <f t="shared" si="8"/>
        <v>0</v>
      </c>
      <c r="BN58" s="1793">
        <f t="shared" si="9"/>
        <v>0</v>
      </c>
    </row>
    <row r="59" spans="1:66" x14ac:dyDescent="0.25">
      <c r="A59" s="3470" t="s">
        <v>238</v>
      </c>
      <c r="B59" s="1760">
        <f t="shared" si="0"/>
        <v>0</v>
      </c>
      <c r="C59" s="1089"/>
      <c r="D59" s="1090"/>
      <c r="E59" s="1090"/>
      <c r="F59" s="1090"/>
      <c r="G59" s="1090"/>
      <c r="H59" s="1090"/>
      <c r="I59" s="1090"/>
      <c r="J59" s="1090"/>
      <c r="K59" s="1090"/>
      <c r="L59" s="1090"/>
      <c r="M59" s="1090"/>
      <c r="N59" s="1090"/>
      <c r="O59" s="1090"/>
      <c r="P59" s="1090"/>
      <c r="Q59" s="1090"/>
      <c r="R59" s="1090"/>
      <c r="S59" s="1077"/>
      <c r="T59" s="3166"/>
      <c r="U59" s="1089"/>
      <c r="V59" s="1077"/>
      <c r="W59" s="3470">
        <f t="shared" si="10"/>
        <v>0</v>
      </c>
      <c r="X59" s="1089"/>
      <c r="Y59" s="1090"/>
      <c r="Z59" s="1077"/>
      <c r="AA59" s="1131">
        <f t="shared" si="11"/>
        <v>0</v>
      </c>
      <c r="AB59" s="1089"/>
      <c r="AC59" s="3232"/>
      <c r="AD59" s="1077"/>
      <c r="AE59" s="3329"/>
      <c r="AF59" s="1077"/>
      <c r="AG59" t="str">
        <f t="shared" si="3"/>
        <v/>
      </c>
      <c r="BE59" s="1791" t="str">
        <f t="shared" si="4"/>
        <v/>
      </c>
      <c r="BF59" s="1791" t="str">
        <f t="shared" si="5"/>
        <v/>
      </c>
      <c r="BG59" s="1791" t="str">
        <f t="shared" si="6"/>
        <v/>
      </c>
      <c r="BL59" s="1793">
        <f t="shared" si="7"/>
        <v>0</v>
      </c>
      <c r="BM59" s="1793">
        <f t="shared" si="8"/>
        <v>0</v>
      </c>
      <c r="BN59" s="1793">
        <f t="shared" si="9"/>
        <v>0</v>
      </c>
    </row>
    <row r="60" spans="1:66" x14ac:dyDescent="0.25">
      <c r="A60" s="3470" t="s">
        <v>239</v>
      </c>
      <c r="B60" s="1760">
        <f t="shared" si="0"/>
        <v>0</v>
      </c>
      <c r="C60" s="1089"/>
      <c r="D60" s="1090"/>
      <c r="E60" s="1090"/>
      <c r="F60" s="1090"/>
      <c r="G60" s="1090"/>
      <c r="H60" s="1090"/>
      <c r="I60" s="1090"/>
      <c r="J60" s="1090"/>
      <c r="K60" s="1090"/>
      <c r="L60" s="1090"/>
      <c r="M60" s="1090"/>
      <c r="N60" s="1090"/>
      <c r="O60" s="1090"/>
      <c r="P60" s="1090"/>
      <c r="Q60" s="1090"/>
      <c r="R60" s="1090"/>
      <c r="S60" s="1077"/>
      <c r="T60" s="3166"/>
      <c r="U60" s="1089"/>
      <c r="V60" s="1077"/>
      <c r="W60" s="3470">
        <f t="shared" si="10"/>
        <v>0</v>
      </c>
      <c r="X60" s="1089"/>
      <c r="Y60" s="1090"/>
      <c r="Z60" s="1077"/>
      <c r="AA60" s="1131">
        <f t="shared" si="11"/>
        <v>0</v>
      </c>
      <c r="AB60" s="1089"/>
      <c r="AC60" s="3232"/>
      <c r="AD60" s="1077"/>
      <c r="AE60" s="3329"/>
      <c r="AF60" s="1077"/>
      <c r="AG60" t="str">
        <f t="shared" si="3"/>
        <v/>
      </c>
      <c r="BE60" s="1791" t="str">
        <f t="shared" si="4"/>
        <v/>
      </c>
      <c r="BF60" s="1791" t="str">
        <f t="shared" si="5"/>
        <v/>
      </c>
      <c r="BG60" s="1791" t="str">
        <f t="shared" si="6"/>
        <v/>
      </c>
      <c r="BL60" s="1793">
        <f t="shared" si="7"/>
        <v>0</v>
      </c>
      <c r="BM60" s="1793">
        <f t="shared" si="8"/>
        <v>0</v>
      </c>
      <c r="BN60" s="1793">
        <f t="shared" si="9"/>
        <v>0</v>
      </c>
    </row>
    <row r="61" spans="1:66" x14ac:dyDescent="0.25">
      <c r="A61" s="3470" t="s">
        <v>2154</v>
      </c>
      <c r="B61" s="1760">
        <f t="shared" si="0"/>
        <v>0</v>
      </c>
      <c r="C61" s="1089"/>
      <c r="D61" s="1090"/>
      <c r="E61" s="1090"/>
      <c r="F61" s="1090"/>
      <c r="G61" s="1090"/>
      <c r="H61" s="1090"/>
      <c r="I61" s="1090"/>
      <c r="J61" s="1090"/>
      <c r="K61" s="1090"/>
      <c r="L61" s="1090"/>
      <c r="M61" s="1090"/>
      <c r="N61" s="1090"/>
      <c r="O61" s="1090"/>
      <c r="P61" s="1090"/>
      <c r="Q61" s="1090"/>
      <c r="R61" s="1090"/>
      <c r="S61" s="1077"/>
      <c r="T61" s="3166"/>
      <c r="U61" s="1089"/>
      <c r="V61" s="1077"/>
      <c r="W61" s="3470">
        <f t="shared" si="10"/>
        <v>0</v>
      </c>
      <c r="X61" s="1089"/>
      <c r="Y61" s="1090"/>
      <c r="Z61" s="1077"/>
      <c r="AA61" s="1131">
        <f t="shared" si="11"/>
        <v>0</v>
      </c>
      <c r="AB61" s="1089"/>
      <c r="AC61" s="3232"/>
      <c r="AD61" s="1077"/>
      <c r="AE61" s="3329"/>
      <c r="AF61" s="1077"/>
      <c r="AG61" t="str">
        <f t="shared" si="3"/>
        <v/>
      </c>
      <c r="BE61" s="1791" t="str">
        <f t="shared" si="4"/>
        <v/>
      </c>
      <c r="BF61" s="1791" t="str">
        <f t="shared" si="5"/>
        <v/>
      </c>
      <c r="BG61" s="1791" t="str">
        <f t="shared" si="6"/>
        <v/>
      </c>
      <c r="BL61" s="1793">
        <f t="shared" si="7"/>
        <v>0</v>
      </c>
      <c r="BM61" s="1793">
        <f t="shared" si="8"/>
        <v>0</v>
      </c>
      <c r="BN61" s="1793">
        <f t="shared" si="9"/>
        <v>0</v>
      </c>
    </row>
    <row r="62" spans="1:66" x14ac:dyDescent="0.25">
      <c r="A62" s="3470" t="s">
        <v>2155</v>
      </c>
      <c r="B62" s="1760">
        <f t="shared" si="0"/>
        <v>0</v>
      </c>
      <c r="C62" s="1089"/>
      <c r="D62" s="1090"/>
      <c r="E62" s="1090"/>
      <c r="F62" s="1090"/>
      <c r="G62" s="1090"/>
      <c r="H62" s="1090"/>
      <c r="I62" s="1090"/>
      <c r="J62" s="1090"/>
      <c r="K62" s="1090"/>
      <c r="L62" s="1090"/>
      <c r="M62" s="1090"/>
      <c r="N62" s="1090"/>
      <c r="O62" s="1090"/>
      <c r="P62" s="1090"/>
      <c r="Q62" s="1090"/>
      <c r="R62" s="1090"/>
      <c r="S62" s="1077"/>
      <c r="T62" s="3166"/>
      <c r="U62" s="1089"/>
      <c r="V62" s="1077"/>
      <c r="W62" s="3470">
        <f>SUM(X62+Y62+Z62)</f>
        <v>0</v>
      </c>
      <c r="X62" s="1089"/>
      <c r="Y62" s="1090"/>
      <c r="Z62" s="1077"/>
      <c r="AA62" s="1131">
        <f t="shared" si="11"/>
        <v>0</v>
      </c>
      <c r="AB62" s="1089"/>
      <c r="AC62" s="3232"/>
      <c r="AD62" s="1077"/>
      <c r="AE62" s="3329"/>
      <c r="AF62" s="1077"/>
      <c r="AG62" t="str">
        <f t="shared" si="3"/>
        <v/>
      </c>
      <c r="BE62" s="1791" t="str">
        <f t="shared" si="4"/>
        <v/>
      </c>
      <c r="BF62" s="1791" t="str">
        <f t="shared" si="5"/>
        <v/>
      </c>
      <c r="BG62" s="1791" t="str">
        <f t="shared" si="6"/>
        <v/>
      </c>
      <c r="BL62" s="1793">
        <f t="shared" si="7"/>
        <v>0</v>
      </c>
      <c r="BM62" s="1793">
        <f t="shared" si="8"/>
        <v>0</v>
      </c>
      <c r="BN62" s="1793">
        <f t="shared" si="9"/>
        <v>0</v>
      </c>
    </row>
    <row r="63" spans="1:66" x14ac:dyDescent="0.25">
      <c r="A63" s="3470" t="s">
        <v>2156</v>
      </c>
      <c r="B63" s="1760">
        <f t="shared" si="0"/>
        <v>0</v>
      </c>
      <c r="C63" s="1089"/>
      <c r="D63" s="1090"/>
      <c r="E63" s="1090"/>
      <c r="F63" s="1090"/>
      <c r="G63" s="1090"/>
      <c r="H63" s="1090"/>
      <c r="I63" s="1090"/>
      <c r="J63" s="1090"/>
      <c r="K63" s="1090"/>
      <c r="L63" s="1090"/>
      <c r="M63" s="1090"/>
      <c r="N63" s="1090"/>
      <c r="O63" s="1090"/>
      <c r="P63" s="1090"/>
      <c r="Q63" s="1090"/>
      <c r="R63" s="1090"/>
      <c r="S63" s="1077"/>
      <c r="T63" s="3166"/>
      <c r="U63" s="1089"/>
      <c r="V63" s="1077"/>
      <c r="W63" s="3470">
        <f t="shared" si="10"/>
        <v>0</v>
      </c>
      <c r="X63" s="1089"/>
      <c r="Y63" s="1090"/>
      <c r="Z63" s="1077"/>
      <c r="AA63" s="1131">
        <f t="shared" si="11"/>
        <v>0</v>
      </c>
      <c r="AB63" s="1089"/>
      <c r="AC63" s="3232"/>
      <c r="AD63" s="1077"/>
      <c r="AE63" s="3329"/>
      <c r="AF63" s="1077"/>
      <c r="AG63" t="str">
        <f t="shared" si="3"/>
        <v/>
      </c>
      <c r="BE63" s="1791" t="str">
        <f t="shared" si="4"/>
        <v/>
      </c>
      <c r="BF63" s="1791" t="str">
        <f t="shared" si="5"/>
        <v/>
      </c>
      <c r="BG63" s="1791" t="str">
        <f t="shared" si="6"/>
        <v/>
      </c>
      <c r="BL63" s="1793">
        <f t="shared" si="7"/>
        <v>0</v>
      </c>
      <c r="BM63" s="1793">
        <f t="shared" si="8"/>
        <v>0</v>
      </c>
      <c r="BN63" s="1793">
        <f t="shared" si="9"/>
        <v>0</v>
      </c>
    </row>
    <row r="64" spans="1:66" x14ac:dyDescent="0.25">
      <c r="A64" s="3470" t="s">
        <v>2157</v>
      </c>
      <c r="B64" s="1760">
        <f t="shared" si="0"/>
        <v>0</v>
      </c>
      <c r="C64" s="1089"/>
      <c r="D64" s="1090"/>
      <c r="E64" s="1090"/>
      <c r="F64" s="1090"/>
      <c r="G64" s="1090"/>
      <c r="H64" s="1090"/>
      <c r="I64" s="1090"/>
      <c r="J64" s="1090"/>
      <c r="K64" s="1090"/>
      <c r="L64" s="1090"/>
      <c r="M64" s="1090"/>
      <c r="N64" s="1090"/>
      <c r="O64" s="1090"/>
      <c r="P64" s="1090"/>
      <c r="Q64" s="1090"/>
      <c r="R64" s="1090"/>
      <c r="S64" s="1077"/>
      <c r="T64" s="3166"/>
      <c r="U64" s="1089"/>
      <c r="V64" s="1077"/>
      <c r="W64" s="3470">
        <f t="shared" si="10"/>
        <v>0</v>
      </c>
      <c r="X64" s="1089"/>
      <c r="Y64" s="1090"/>
      <c r="Z64" s="1077"/>
      <c r="AA64" s="1131">
        <f t="shared" si="11"/>
        <v>0</v>
      </c>
      <c r="AB64" s="1089"/>
      <c r="AC64" s="3232"/>
      <c r="AD64" s="1077"/>
      <c r="AE64" s="3329"/>
      <c r="AF64" s="1077"/>
      <c r="AG64" t="str">
        <f t="shared" si="3"/>
        <v/>
      </c>
      <c r="BE64" s="1791" t="str">
        <f t="shared" si="4"/>
        <v/>
      </c>
      <c r="BF64" s="1791" t="str">
        <f t="shared" si="5"/>
        <v/>
      </c>
      <c r="BG64" s="1791" t="str">
        <f t="shared" si="6"/>
        <v/>
      </c>
      <c r="BL64" s="1793">
        <f t="shared" si="7"/>
        <v>0</v>
      </c>
      <c r="BM64" s="1793">
        <f t="shared" si="8"/>
        <v>0</v>
      </c>
      <c r="BN64" s="1793">
        <f t="shared" si="9"/>
        <v>0</v>
      </c>
    </row>
    <row r="65" spans="1:66" x14ac:dyDescent="0.25">
      <c r="A65" s="3470" t="s">
        <v>2158</v>
      </c>
      <c r="B65" s="1760">
        <f t="shared" si="0"/>
        <v>0</v>
      </c>
      <c r="C65" s="1089"/>
      <c r="D65" s="1090"/>
      <c r="E65" s="1090"/>
      <c r="F65" s="1090"/>
      <c r="G65" s="1090"/>
      <c r="H65" s="1090"/>
      <c r="I65" s="1090"/>
      <c r="J65" s="1090"/>
      <c r="K65" s="1090"/>
      <c r="L65" s="1090"/>
      <c r="M65" s="1090"/>
      <c r="N65" s="1090"/>
      <c r="O65" s="1090"/>
      <c r="P65" s="1090"/>
      <c r="Q65" s="1090"/>
      <c r="R65" s="1090"/>
      <c r="S65" s="1077"/>
      <c r="T65" s="3166"/>
      <c r="U65" s="1089"/>
      <c r="V65" s="1077"/>
      <c r="W65" s="3470">
        <f t="shared" si="10"/>
        <v>0</v>
      </c>
      <c r="X65" s="1089"/>
      <c r="Y65" s="1090"/>
      <c r="Z65" s="1077"/>
      <c r="AA65" s="1131">
        <f t="shared" si="11"/>
        <v>0</v>
      </c>
      <c r="AB65" s="1089"/>
      <c r="AC65" s="3232"/>
      <c r="AD65" s="1077"/>
      <c r="AE65" s="3329"/>
      <c r="AF65" s="1077"/>
      <c r="AG65" t="str">
        <f t="shared" si="3"/>
        <v/>
      </c>
      <c r="BE65" s="1791" t="str">
        <f t="shared" si="4"/>
        <v/>
      </c>
      <c r="BF65" s="1791" t="str">
        <f t="shared" si="5"/>
        <v/>
      </c>
      <c r="BG65" s="1791" t="str">
        <f t="shared" si="6"/>
        <v/>
      </c>
      <c r="BL65" s="1793">
        <f t="shared" si="7"/>
        <v>0</v>
      </c>
      <c r="BM65" s="1793">
        <f t="shared" si="8"/>
        <v>0</v>
      </c>
      <c r="BN65" s="1793">
        <f t="shared" si="9"/>
        <v>0</v>
      </c>
    </row>
    <row r="66" spans="1:66" x14ac:dyDescent="0.25">
      <c r="A66" s="3470" t="s">
        <v>2159</v>
      </c>
      <c r="B66" s="1760">
        <f t="shared" si="0"/>
        <v>0</v>
      </c>
      <c r="C66" s="1089"/>
      <c r="D66" s="1090"/>
      <c r="E66" s="1090"/>
      <c r="F66" s="1090"/>
      <c r="G66" s="1090"/>
      <c r="H66" s="1090"/>
      <c r="I66" s="1090"/>
      <c r="J66" s="1090"/>
      <c r="K66" s="1090"/>
      <c r="L66" s="1090"/>
      <c r="M66" s="1090"/>
      <c r="N66" s="1090"/>
      <c r="O66" s="1090"/>
      <c r="P66" s="1090"/>
      <c r="Q66" s="1090"/>
      <c r="R66" s="1090"/>
      <c r="S66" s="1077"/>
      <c r="T66" s="3166"/>
      <c r="U66" s="1089"/>
      <c r="V66" s="1077"/>
      <c r="W66" s="3470">
        <f t="shared" si="10"/>
        <v>0</v>
      </c>
      <c r="X66" s="1089"/>
      <c r="Y66" s="1090"/>
      <c r="Z66" s="1077"/>
      <c r="AA66" s="1131">
        <f t="shared" si="11"/>
        <v>0</v>
      </c>
      <c r="AB66" s="1089"/>
      <c r="AC66" s="3232"/>
      <c r="AD66" s="1077"/>
      <c r="AE66" s="3329"/>
      <c r="AF66" s="1077"/>
      <c r="AG66" t="str">
        <f t="shared" si="3"/>
        <v/>
      </c>
      <c r="BE66" s="1791" t="str">
        <f t="shared" si="4"/>
        <v/>
      </c>
      <c r="BF66" s="1791" t="str">
        <f t="shared" si="5"/>
        <v/>
      </c>
      <c r="BG66" s="1791" t="str">
        <f t="shared" si="6"/>
        <v/>
      </c>
      <c r="BL66" s="1793">
        <f t="shared" si="7"/>
        <v>0</v>
      </c>
      <c r="BM66" s="1793">
        <f t="shared" si="8"/>
        <v>0</v>
      </c>
      <c r="BN66" s="1793">
        <f t="shared" si="9"/>
        <v>0</v>
      </c>
    </row>
    <row r="67" spans="1:66" x14ac:dyDescent="0.25">
      <c r="A67" s="3470" t="s">
        <v>2160</v>
      </c>
      <c r="B67" s="1760">
        <f>SUM(L67:S67)</f>
        <v>0</v>
      </c>
      <c r="C67" s="2481"/>
      <c r="D67" s="2482"/>
      <c r="E67" s="2482"/>
      <c r="F67" s="2482"/>
      <c r="G67" s="2482"/>
      <c r="H67" s="2482"/>
      <c r="I67" s="2482"/>
      <c r="J67" s="2482"/>
      <c r="K67" s="2482"/>
      <c r="L67" s="1090"/>
      <c r="M67" s="1090"/>
      <c r="N67" s="1090"/>
      <c r="O67" s="1090"/>
      <c r="P67" s="1090"/>
      <c r="Q67" s="1090"/>
      <c r="R67" s="1090"/>
      <c r="S67" s="1077"/>
      <c r="T67" s="3166"/>
      <c r="U67" s="1089"/>
      <c r="V67" s="1077"/>
      <c r="W67" s="3470">
        <f t="shared" si="10"/>
        <v>0</v>
      </c>
      <c r="X67" s="1089"/>
      <c r="Y67" s="1090"/>
      <c r="Z67" s="1077"/>
      <c r="AA67" s="1131">
        <f t="shared" si="11"/>
        <v>0</v>
      </c>
      <c r="AB67" s="1089"/>
      <c r="AC67" s="3232"/>
      <c r="AD67" s="1077"/>
      <c r="AE67" s="3329"/>
      <c r="AF67" s="1077"/>
      <c r="AG67" t="str">
        <f t="shared" si="3"/>
        <v/>
      </c>
      <c r="BE67" s="1791" t="str">
        <f t="shared" si="4"/>
        <v/>
      </c>
      <c r="BF67" s="1791" t="str">
        <f t="shared" si="5"/>
        <v/>
      </c>
      <c r="BG67" s="1791" t="str">
        <f t="shared" si="6"/>
        <v/>
      </c>
      <c r="BL67" s="1793">
        <f t="shared" si="7"/>
        <v>0</v>
      </c>
      <c r="BM67" s="1793">
        <f t="shared" si="8"/>
        <v>0</v>
      </c>
      <c r="BN67" s="1793">
        <f t="shared" si="9"/>
        <v>0</v>
      </c>
    </row>
    <row r="68" spans="1:66" x14ac:dyDescent="0.25">
      <c r="A68" s="3470" t="s">
        <v>240</v>
      </c>
      <c r="B68" s="1760">
        <f t="shared" si="0"/>
        <v>0</v>
      </c>
      <c r="C68" s="1089"/>
      <c r="D68" s="1090"/>
      <c r="E68" s="1090"/>
      <c r="F68" s="1090"/>
      <c r="G68" s="1090"/>
      <c r="H68" s="1090"/>
      <c r="I68" s="1090"/>
      <c r="J68" s="1090"/>
      <c r="K68" s="1090"/>
      <c r="L68" s="1090"/>
      <c r="M68" s="1090"/>
      <c r="N68" s="1090"/>
      <c r="O68" s="1090"/>
      <c r="P68" s="1090"/>
      <c r="Q68" s="1090"/>
      <c r="R68" s="1090"/>
      <c r="S68" s="1077"/>
      <c r="T68" s="3166"/>
      <c r="U68" s="1089"/>
      <c r="V68" s="1077"/>
      <c r="W68" s="3470">
        <f t="shared" si="10"/>
        <v>0</v>
      </c>
      <c r="X68" s="1089"/>
      <c r="Y68" s="1090"/>
      <c r="Z68" s="1077"/>
      <c r="AA68" s="1131">
        <f t="shared" si="11"/>
        <v>0</v>
      </c>
      <c r="AB68" s="1089"/>
      <c r="AC68" s="3232"/>
      <c r="AD68" s="1077"/>
      <c r="AE68" s="3329"/>
      <c r="AF68" s="1077"/>
      <c r="AG68" t="str">
        <f t="shared" si="3"/>
        <v/>
      </c>
      <c r="BE68" s="1791" t="str">
        <f t="shared" si="4"/>
        <v/>
      </c>
      <c r="BF68" s="1791" t="str">
        <f t="shared" si="5"/>
        <v/>
      </c>
      <c r="BG68" s="1791" t="str">
        <f t="shared" si="6"/>
        <v/>
      </c>
      <c r="BL68" s="1793">
        <f t="shared" si="7"/>
        <v>0</v>
      </c>
      <c r="BM68" s="1793">
        <f t="shared" si="8"/>
        <v>0</v>
      </c>
      <c r="BN68" s="1793">
        <f t="shared" si="9"/>
        <v>0</v>
      </c>
    </row>
    <row r="69" spans="1:66" x14ac:dyDescent="0.25">
      <c r="A69" s="3470" t="s">
        <v>2161</v>
      </c>
      <c r="B69" s="1760">
        <f t="shared" si="0"/>
        <v>0</v>
      </c>
      <c r="C69" s="1089"/>
      <c r="D69" s="1090"/>
      <c r="E69" s="1090"/>
      <c r="F69" s="1090"/>
      <c r="G69" s="1090"/>
      <c r="H69" s="1090"/>
      <c r="I69" s="1090"/>
      <c r="J69" s="1090"/>
      <c r="K69" s="1090"/>
      <c r="L69" s="1090"/>
      <c r="M69" s="1090"/>
      <c r="N69" s="1090"/>
      <c r="O69" s="1090"/>
      <c r="P69" s="1090"/>
      <c r="Q69" s="1090"/>
      <c r="R69" s="1090"/>
      <c r="S69" s="1077"/>
      <c r="T69" s="3166"/>
      <c r="U69" s="1089"/>
      <c r="V69" s="1077"/>
      <c r="W69" s="3470">
        <f>SUM(X69+Y69+Z69)</f>
        <v>0</v>
      </c>
      <c r="X69" s="1089"/>
      <c r="Y69" s="1090"/>
      <c r="Z69" s="1077"/>
      <c r="AA69" s="1131">
        <f t="shared" si="11"/>
        <v>0</v>
      </c>
      <c r="AB69" s="1089"/>
      <c r="AC69" s="3232"/>
      <c r="AD69" s="1077"/>
      <c r="AE69" s="3329"/>
      <c r="AF69" s="1077"/>
      <c r="AG69" t="str">
        <f t="shared" si="3"/>
        <v/>
      </c>
      <c r="BE69" s="1791" t="str">
        <f t="shared" si="4"/>
        <v/>
      </c>
      <c r="BF69" s="1791" t="str">
        <f t="shared" si="5"/>
        <v/>
      </c>
      <c r="BG69" s="1791" t="str">
        <f t="shared" si="6"/>
        <v/>
      </c>
      <c r="BL69" s="1793">
        <f t="shared" si="7"/>
        <v>0</v>
      </c>
      <c r="BM69" s="1793">
        <f t="shared" si="8"/>
        <v>0</v>
      </c>
      <c r="BN69" s="1793">
        <f t="shared" si="9"/>
        <v>0</v>
      </c>
    </row>
    <row r="70" spans="1:66" x14ac:dyDescent="0.25">
      <c r="A70" s="2028" t="s">
        <v>241</v>
      </c>
      <c r="B70" s="1760">
        <f t="shared" si="0"/>
        <v>0</v>
      </c>
      <c r="C70" s="1089"/>
      <c r="D70" s="1090"/>
      <c r="E70" s="1090"/>
      <c r="F70" s="1090"/>
      <c r="G70" s="1090"/>
      <c r="H70" s="1090"/>
      <c r="I70" s="1090"/>
      <c r="J70" s="1090"/>
      <c r="K70" s="1090"/>
      <c r="L70" s="1090"/>
      <c r="M70" s="1090"/>
      <c r="N70" s="1090"/>
      <c r="O70" s="1090"/>
      <c r="P70" s="1090"/>
      <c r="Q70" s="1090"/>
      <c r="R70" s="1090"/>
      <c r="S70" s="1077"/>
      <c r="T70" s="4561"/>
      <c r="U70" s="113"/>
      <c r="V70" s="5238"/>
      <c r="W70" s="2028">
        <f>SUM(X70+Y70+Z70)</f>
        <v>0</v>
      </c>
      <c r="X70" s="1089"/>
      <c r="Y70" s="1090"/>
      <c r="Z70" s="1077"/>
      <c r="AA70" s="2190">
        <f t="shared" si="11"/>
        <v>0</v>
      </c>
      <c r="AB70" s="1089"/>
      <c r="AC70" s="3232"/>
      <c r="AD70" s="1077"/>
      <c r="AE70" s="3329"/>
      <c r="AF70" s="1077"/>
      <c r="AG70" t="str">
        <f t="shared" si="3"/>
        <v/>
      </c>
      <c r="BE70" s="1791" t="str">
        <f t="shared" si="4"/>
        <v/>
      </c>
      <c r="BF70" s="1791" t="str">
        <f t="shared" si="5"/>
        <v/>
      </c>
      <c r="BG70" s="1791" t="str">
        <f t="shared" si="6"/>
        <v/>
      </c>
      <c r="BL70" s="1793">
        <f t="shared" si="7"/>
        <v>0</v>
      </c>
      <c r="BM70" s="1793">
        <f t="shared" si="8"/>
        <v>0</v>
      </c>
      <c r="BN70" s="1793">
        <f t="shared" si="9"/>
        <v>0</v>
      </c>
    </row>
    <row r="71" spans="1:66" x14ac:dyDescent="0.25">
      <c r="A71" s="5243" t="s">
        <v>2162</v>
      </c>
      <c r="B71" s="5244">
        <f t="shared" si="0"/>
        <v>0</v>
      </c>
      <c r="C71" s="3112"/>
      <c r="D71" s="3109"/>
      <c r="E71" s="3109"/>
      <c r="F71" s="3109"/>
      <c r="G71" s="3109"/>
      <c r="H71" s="3109"/>
      <c r="I71" s="3109"/>
      <c r="J71" s="3109"/>
      <c r="K71" s="3109"/>
      <c r="L71" s="3109"/>
      <c r="M71" s="3109"/>
      <c r="N71" s="3109"/>
      <c r="O71" s="3109"/>
      <c r="P71" s="3109"/>
      <c r="Q71" s="3109"/>
      <c r="R71" s="3109"/>
      <c r="S71" s="3124"/>
      <c r="T71" s="117"/>
      <c r="U71" s="118"/>
      <c r="V71" s="3124"/>
      <c r="W71" s="119">
        <f>SUM(X71+Y71+Z71)</f>
        <v>0</v>
      </c>
      <c r="X71" s="3112"/>
      <c r="Y71" s="3109"/>
      <c r="Z71" s="3124"/>
      <c r="AA71" s="3281">
        <f t="shared" si="11"/>
        <v>0</v>
      </c>
      <c r="AB71" s="3112"/>
      <c r="AC71" s="121"/>
      <c r="AD71" s="3124"/>
      <c r="AE71" s="118"/>
      <c r="AF71" s="3124"/>
      <c r="AG71" t="str">
        <f>BE71&amp;BF71&amp;BG71</f>
        <v/>
      </c>
      <c r="BE71" s="1791" t="str">
        <f t="shared" si="4"/>
        <v/>
      </c>
      <c r="BF71" s="1791" t="str">
        <f t="shared" si="5"/>
        <v/>
      </c>
      <c r="BG71" s="1791" t="str">
        <f t="shared" si="6"/>
        <v/>
      </c>
      <c r="BL71" s="1793">
        <f t="shared" si="7"/>
        <v>0</v>
      </c>
      <c r="BM71" s="1793">
        <f t="shared" si="8"/>
        <v>0</v>
      </c>
      <c r="BN71" s="1793">
        <f t="shared" si="9"/>
        <v>0</v>
      </c>
    </row>
    <row r="72" spans="1:66" x14ac:dyDescent="0.25">
      <c r="A72" s="5231" t="s">
        <v>24</v>
      </c>
      <c r="B72" s="5245">
        <f t="shared" ref="B72:AA72" si="12">SUM(B12:B71)</f>
        <v>0</v>
      </c>
      <c r="C72" s="5246">
        <f>SUM(C12:C71)</f>
        <v>0</v>
      </c>
      <c r="D72" s="2484">
        <f t="shared" si="12"/>
        <v>0</v>
      </c>
      <c r="E72" s="2484">
        <f t="shared" si="12"/>
        <v>0</v>
      </c>
      <c r="F72" s="2484">
        <f t="shared" si="12"/>
        <v>0</v>
      </c>
      <c r="G72" s="2484">
        <f t="shared" si="12"/>
        <v>0</v>
      </c>
      <c r="H72" s="2484">
        <f t="shared" si="12"/>
        <v>0</v>
      </c>
      <c r="I72" s="2484">
        <f t="shared" si="12"/>
        <v>0</v>
      </c>
      <c r="J72" s="2484">
        <f t="shared" si="12"/>
        <v>0</v>
      </c>
      <c r="K72" s="2484">
        <f t="shared" si="12"/>
        <v>0</v>
      </c>
      <c r="L72" s="2484">
        <f t="shared" si="12"/>
        <v>0</v>
      </c>
      <c r="M72" s="2484">
        <f t="shared" si="12"/>
        <v>0</v>
      </c>
      <c r="N72" s="2484">
        <f t="shared" si="12"/>
        <v>0</v>
      </c>
      <c r="O72" s="2484">
        <f t="shared" si="12"/>
        <v>0</v>
      </c>
      <c r="P72" s="2484">
        <f t="shared" si="12"/>
        <v>0</v>
      </c>
      <c r="Q72" s="2484">
        <f t="shared" si="12"/>
        <v>0</v>
      </c>
      <c r="R72" s="2484">
        <f t="shared" si="12"/>
        <v>0</v>
      </c>
      <c r="S72" s="5247">
        <f t="shared" si="12"/>
        <v>0</v>
      </c>
      <c r="T72" s="5248">
        <f t="shared" si="12"/>
        <v>0</v>
      </c>
      <c r="U72" s="5249">
        <f t="shared" si="12"/>
        <v>0</v>
      </c>
      <c r="V72" s="5247">
        <f t="shared" si="12"/>
        <v>0</v>
      </c>
      <c r="W72" s="5249">
        <f t="shared" si="12"/>
        <v>0</v>
      </c>
      <c r="X72" s="5249">
        <f t="shared" si="12"/>
        <v>0</v>
      </c>
      <c r="Y72" s="2484">
        <f t="shared" si="12"/>
        <v>0</v>
      </c>
      <c r="Z72" s="5248">
        <f t="shared" si="12"/>
        <v>0</v>
      </c>
      <c r="AA72" s="5250">
        <f t="shared" si="12"/>
        <v>0</v>
      </c>
      <c r="AB72" s="5249">
        <f>SUM(AB12:AB71)</f>
        <v>0</v>
      </c>
      <c r="AC72" s="2484">
        <f>SUM(AC12:AC71)</f>
        <v>0</v>
      </c>
      <c r="AD72" s="5247">
        <f>SUM(AD12:AD71)</f>
        <v>0</v>
      </c>
      <c r="AE72" s="5251">
        <f>SUM(AE12:AE71)</f>
        <v>0</v>
      </c>
      <c r="AF72" s="5252">
        <f>SUM(AF12:AF71)</f>
        <v>0</v>
      </c>
    </row>
    <row r="73" spans="1:66" s="17" customFormat="1" ht="18" customHeight="1" x14ac:dyDescent="0.2">
      <c r="A73" s="5253" t="s">
        <v>2163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</row>
    <row r="74" spans="1:66" ht="31.5" customHeight="1" x14ac:dyDescent="0.25">
      <c r="A74" s="7149" t="s">
        <v>3906</v>
      </c>
      <c r="B74" s="7308" t="s">
        <v>2164</v>
      </c>
      <c r="C74" s="7309"/>
      <c r="D74" s="7309"/>
      <c r="E74" s="7310"/>
      <c r="F74" s="7308" t="s">
        <v>2165</v>
      </c>
      <c r="G74" s="7309"/>
      <c r="H74" s="7309"/>
      <c r="I74" s="7310"/>
      <c r="J74" s="7309" t="s">
        <v>2166</v>
      </c>
      <c r="K74" s="7309"/>
      <c r="L74" s="7309"/>
      <c r="M74" s="7310"/>
      <c r="N74" s="7311" t="s">
        <v>2167</v>
      </c>
      <c r="O74" s="7312"/>
      <c r="P74" s="7313"/>
      <c r="Q74" s="7168" t="s">
        <v>2168</v>
      </c>
      <c r="R74" s="7155"/>
      <c r="S74" s="7168" t="s">
        <v>2169</v>
      </c>
      <c r="T74" s="7155"/>
      <c r="U74" s="7168" t="s">
        <v>2170</v>
      </c>
      <c r="V74" s="7155"/>
      <c r="W74" s="7149" t="s">
        <v>2171</v>
      </c>
      <c r="X74" s="7168" t="s">
        <v>2172</v>
      </c>
      <c r="Y74" s="7155"/>
      <c r="Z74" s="7168" t="s">
        <v>2173</v>
      </c>
      <c r="AA74" s="7155"/>
      <c r="AB74" s="7304" t="s">
        <v>2174</v>
      </c>
      <c r="AC74" s="7305"/>
      <c r="AD74" s="7149" t="s">
        <v>2175</v>
      </c>
      <c r="AE74" s="7306" t="s">
        <v>2176</v>
      </c>
      <c r="AF74" s="7307"/>
      <c r="AG74" s="7172" t="s">
        <v>2177</v>
      </c>
      <c r="AH74" s="7172"/>
      <c r="AI74" s="7172"/>
    </row>
    <row r="75" spans="1:66" ht="63" x14ac:dyDescent="0.25">
      <c r="A75" s="7150"/>
      <c r="B75" s="5254" t="s">
        <v>50</v>
      </c>
      <c r="C75" s="5255" t="s">
        <v>220</v>
      </c>
      <c r="D75" s="5256" t="s">
        <v>3925</v>
      </c>
      <c r="E75" s="5257" t="s">
        <v>221</v>
      </c>
      <c r="F75" s="5230" t="s">
        <v>50</v>
      </c>
      <c r="G75" s="5255" t="s">
        <v>220</v>
      </c>
      <c r="H75" s="5256" t="s">
        <v>3925</v>
      </c>
      <c r="I75" s="5257" t="s">
        <v>221</v>
      </c>
      <c r="J75" s="5254" t="s">
        <v>50</v>
      </c>
      <c r="K75" s="5255" t="s">
        <v>220</v>
      </c>
      <c r="L75" s="5256" t="s">
        <v>3925</v>
      </c>
      <c r="M75" s="5256" t="s">
        <v>221</v>
      </c>
      <c r="N75" s="4936" t="s">
        <v>50</v>
      </c>
      <c r="O75" s="5584" t="s">
        <v>218</v>
      </c>
      <c r="P75" s="5585" t="s">
        <v>242</v>
      </c>
      <c r="Q75" s="5233" t="s">
        <v>222</v>
      </c>
      <c r="R75" s="5234" t="s">
        <v>223</v>
      </c>
      <c r="S75" s="5233" t="s">
        <v>222</v>
      </c>
      <c r="T75" s="5234" t="s">
        <v>223</v>
      </c>
      <c r="U75" s="5233" t="s">
        <v>2178</v>
      </c>
      <c r="V75" s="5234" t="s">
        <v>243</v>
      </c>
      <c r="W75" s="7150"/>
      <c r="X75" s="5233" t="s">
        <v>222</v>
      </c>
      <c r="Y75" s="5234" t="s">
        <v>223</v>
      </c>
      <c r="Z75" s="5206" t="s">
        <v>2179</v>
      </c>
      <c r="AA75" s="5206" t="s">
        <v>2180</v>
      </c>
      <c r="AB75" s="5208" t="s">
        <v>2181</v>
      </c>
      <c r="AC75" s="5208" t="s">
        <v>2182</v>
      </c>
      <c r="AD75" s="7150"/>
      <c r="AE75" s="5258" t="s">
        <v>218</v>
      </c>
      <c r="AF75" s="5259" t="s">
        <v>242</v>
      </c>
      <c r="AG75" s="5260" t="s">
        <v>2183</v>
      </c>
      <c r="AH75" s="5261" t="s">
        <v>2184</v>
      </c>
      <c r="AI75" s="5262" t="s">
        <v>2185</v>
      </c>
    </row>
    <row r="76" spans="1:66" x14ac:dyDescent="0.25">
      <c r="A76" s="2028" t="s">
        <v>224</v>
      </c>
      <c r="B76" s="5263">
        <f>SUM(C76:E76)</f>
        <v>0</v>
      </c>
      <c r="C76" s="5264"/>
      <c r="D76" s="5265"/>
      <c r="E76" s="5265"/>
      <c r="F76" s="5263">
        <f>SUM(G76:I76)</f>
        <v>0</v>
      </c>
      <c r="G76" s="5264"/>
      <c r="H76" s="5265"/>
      <c r="I76" s="5265"/>
      <c r="J76" s="5263">
        <f>SUM(K76:M76)</f>
        <v>0</v>
      </c>
      <c r="K76" s="5264"/>
      <c r="L76" s="5265"/>
      <c r="M76" s="5266"/>
      <c r="N76" s="5267">
        <f>SUM(O76:P76)</f>
        <v>0</v>
      </c>
      <c r="O76" s="4562"/>
      <c r="P76" s="2487"/>
      <c r="Q76" s="3329"/>
      <c r="R76" s="1077"/>
      <c r="S76" s="5213"/>
      <c r="T76" s="5268"/>
      <c r="U76" s="5269"/>
      <c r="V76" s="5268"/>
      <c r="W76" s="3435"/>
      <c r="X76" s="3329"/>
      <c r="Y76" s="1077"/>
      <c r="Z76" s="5238"/>
      <c r="AA76" s="5238"/>
      <c r="AB76" s="5238"/>
      <c r="AC76" s="5238"/>
      <c r="AD76" s="5238"/>
      <c r="AE76" s="2489"/>
      <c r="AF76" s="5270"/>
      <c r="AG76" s="5213"/>
      <c r="AH76" s="5235"/>
      <c r="AI76" s="4561"/>
    </row>
    <row r="77" spans="1:66" x14ac:dyDescent="0.25">
      <c r="A77" s="3470" t="s">
        <v>225</v>
      </c>
      <c r="B77" s="2490">
        <f>SUM(C77:E77)</f>
        <v>0</v>
      </c>
      <c r="C77" s="90"/>
      <c r="D77" s="127"/>
      <c r="E77" s="127"/>
      <c r="F77" s="2490">
        <f t="shared" ref="F77:F135" si="13">SUM(G77:I77)</f>
        <v>0</v>
      </c>
      <c r="G77" s="90"/>
      <c r="H77" s="127"/>
      <c r="I77" s="127"/>
      <c r="J77" s="2490">
        <f>SUM(K77:M77)</f>
        <v>0</v>
      </c>
      <c r="K77" s="90"/>
      <c r="L77" s="127"/>
      <c r="M77" s="128"/>
      <c r="N77" s="3962">
        <f t="shared" ref="N77:N135" si="14">SUM(O77:P77)</f>
        <v>0</v>
      </c>
      <c r="O77" s="129"/>
      <c r="P77" s="2056"/>
      <c r="Q77" s="3329"/>
      <c r="R77" s="1077"/>
      <c r="S77" s="1089"/>
      <c r="T77" s="1077"/>
      <c r="U77" s="3232"/>
      <c r="V77" s="1077"/>
      <c r="W77" s="3435"/>
      <c r="X77" s="3329"/>
      <c r="Y77" s="1077"/>
      <c r="Z77" s="5238"/>
      <c r="AA77" s="5238"/>
      <c r="AB77" s="5238"/>
      <c r="AC77" s="5238"/>
      <c r="AD77" s="5238"/>
      <c r="AE77" s="2489"/>
      <c r="AF77" s="5270"/>
      <c r="AG77" s="106"/>
      <c r="AH77" s="5239"/>
      <c r="AI77" s="4561"/>
    </row>
    <row r="78" spans="1:66" x14ac:dyDescent="0.25">
      <c r="A78" s="3470" t="s">
        <v>226</v>
      </c>
      <c r="B78" s="3962">
        <f t="shared" ref="B78:B135" si="15">SUM(C78:E78)</f>
        <v>0</v>
      </c>
      <c r="C78" s="1089"/>
      <c r="D78" s="1090"/>
      <c r="E78" s="1090"/>
      <c r="F78" s="3962">
        <f t="shared" si="13"/>
        <v>0</v>
      </c>
      <c r="G78" s="1089"/>
      <c r="H78" s="1090"/>
      <c r="I78" s="1090"/>
      <c r="J78" s="3962">
        <f>SUM(K78:M78)</f>
        <v>0</v>
      </c>
      <c r="K78" s="1089"/>
      <c r="L78" s="1090"/>
      <c r="M78" s="1098"/>
      <c r="N78" s="3962">
        <f t="shared" si="14"/>
        <v>0</v>
      </c>
      <c r="O78" s="3232"/>
      <c r="P78" s="3435"/>
      <c r="Q78" s="3329"/>
      <c r="R78" s="1077"/>
      <c r="S78" s="1089"/>
      <c r="T78" s="1077"/>
      <c r="U78" s="3232"/>
      <c r="V78" s="1077"/>
      <c r="W78" s="3435"/>
      <c r="X78" s="3329"/>
      <c r="Y78" s="1077"/>
      <c r="Z78" s="5238"/>
      <c r="AA78" s="5238"/>
      <c r="AB78" s="5238"/>
      <c r="AC78" s="5238"/>
      <c r="AD78" s="5238"/>
      <c r="AE78" s="2489"/>
      <c r="AF78" s="5270"/>
      <c r="AG78" s="106"/>
      <c r="AH78" s="5239"/>
      <c r="AI78" s="4561"/>
    </row>
    <row r="79" spans="1:66" x14ac:dyDescent="0.25">
      <c r="A79" s="3470" t="s">
        <v>2122</v>
      </c>
      <c r="B79" s="3962">
        <f t="shared" si="15"/>
        <v>0</v>
      </c>
      <c r="C79" s="1089"/>
      <c r="D79" s="1090"/>
      <c r="E79" s="1090"/>
      <c r="F79" s="3962">
        <f>SUM(G79:I79)</f>
        <v>0</v>
      </c>
      <c r="G79" s="1089"/>
      <c r="H79" s="1090"/>
      <c r="I79" s="1090"/>
      <c r="J79" s="3962">
        <f>SUM(K79:M79)</f>
        <v>0</v>
      </c>
      <c r="K79" s="1089"/>
      <c r="L79" s="1090"/>
      <c r="M79" s="1098"/>
      <c r="N79" s="3962">
        <f t="shared" si="14"/>
        <v>0</v>
      </c>
      <c r="O79" s="3232"/>
      <c r="P79" s="3435"/>
      <c r="Q79" s="3329"/>
      <c r="R79" s="1077"/>
      <c r="S79" s="1089"/>
      <c r="T79" s="1077"/>
      <c r="U79" s="3232"/>
      <c r="V79" s="1077"/>
      <c r="W79" s="3435"/>
      <c r="X79" s="3329"/>
      <c r="Y79" s="1077"/>
      <c r="Z79" s="5238"/>
      <c r="AA79" s="5238"/>
      <c r="AB79" s="5238"/>
      <c r="AC79" s="5238"/>
      <c r="AD79" s="5238"/>
      <c r="AE79" s="2489"/>
      <c r="AF79" s="5270"/>
      <c r="AG79" s="106"/>
      <c r="AH79" s="5239"/>
      <c r="AI79" s="4561"/>
    </row>
    <row r="80" spans="1:66" x14ac:dyDescent="0.25">
      <c r="A80" s="3470" t="s">
        <v>2123</v>
      </c>
      <c r="B80" s="3962">
        <f>SUM(C80:E80)</f>
        <v>0</v>
      </c>
      <c r="C80" s="1089"/>
      <c r="D80" s="1090"/>
      <c r="E80" s="1090"/>
      <c r="F80" s="3962">
        <f t="shared" si="13"/>
        <v>0</v>
      </c>
      <c r="G80" s="1089"/>
      <c r="H80" s="1090"/>
      <c r="I80" s="1090"/>
      <c r="J80" s="3962">
        <f t="shared" ref="J80:J135" si="16">SUM(K80:M80)</f>
        <v>0</v>
      </c>
      <c r="K80" s="1089"/>
      <c r="L80" s="1090"/>
      <c r="M80" s="1098"/>
      <c r="N80" s="3962">
        <f t="shared" si="14"/>
        <v>0</v>
      </c>
      <c r="O80" s="3232"/>
      <c r="P80" s="3435"/>
      <c r="Q80" s="3329"/>
      <c r="R80" s="1077"/>
      <c r="S80" s="1089"/>
      <c r="T80" s="1077"/>
      <c r="U80" s="3232"/>
      <c r="V80" s="1077"/>
      <c r="W80" s="3435"/>
      <c r="X80" s="3329"/>
      <c r="Y80" s="1077"/>
      <c r="Z80" s="5238"/>
      <c r="AA80" s="5238"/>
      <c r="AB80" s="5238"/>
      <c r="AC80" s="5238"/>
      <c r="AD80" s="5238"/>
      <c r="AE80" s="2489"/>
      <c r="AF80" s="5270"/>
      <c r="AG80" s="106"/>
      <c r="AH80" s="5239"/>
      <c r="AI80" s="4561"/>
    </row>
    <row r="81" spans="1:35" x14ac:dyDescent="0.25">
      <c r="A81" s="3470" t="s">
        <v>2124</v>
      </c>
      <c r="B81" s="3962">
        <f t="shared" si="15"/>
        <v>0</v>
      </c>
      <c r="C81" s="1089"/>
      <c r="D81" s="1090"/>
      <c r="E81" s="1090"/>
      <c r="F81" s="3962">
        <f t="shared" si="13"/>
        <v>0</v>
      </c>
      <c r="G81" s="1089"/>
      <c r="H81" s="1090"/>
      <c r="I81" s="1090"/>
      <c r="J81" s="3962">
        <f t="shared" si="16"/>
        <v>0</v>
      </c>
      <c r="K81" s="1089"/>
      <c r="L81" s="1090"/>
      <c r="M81" s="1098"/>
      <c r="N81" s="3962">
        <f t="shared" si="14"/>
        <v>0</v>
      </c>
      <c r="O81" s="3232"/>
      <c r="P81" s="3435"/>
      <c r="Q81" s="3329"/>
      <c r="R81" s="1077"/>
      <c r="S81" s="1089"/>
      <c r="T81" s="1077"/>
      <c r="U81" s="3232"/>
      <c r="V81" s="1077"/>
      <c r="W81" s="3435"/>
      <c r="X81" s="3329"/>
      <c r="Y81" s="1077"/>
      <c r="Z81" s="5238"/>
      <c r="AA81" s="5238"/>
      <c r="AB81" s="5238"/>
      <c r="AC81" s="5238"/>
      <c r="AD81" s="5238"/>
      <c r="AE81" s="2489"/>
      <c r="AF81" s="5270"/>
      <c r="AG81" s="106"/>
      <c r="AH81" s="5239"/>
      <c r="AI81" s="4561"/>
    </row>
    <row r="82" spans="1:35" x14ac:dyDescent="0.25">
      <c r="A82" s="3470" t="s">
        <v>2125</v>
      </c>
      <c r="B82" s="3962">
        <f t="shared" si="15"/>
        <v>0</v>
      </c>
      <c r="C82" s="1089"/>
      <c r="D82" s="1090"/>
      <c r="E82" s="1090"/>
      <c r="F82" s="3962">
        <f t="shared" si="13"/>
        <v>0</v>
      </c>
      <c r="G82" s="1089"/>
      <c r="H82" s="1090"/>
      <c r="I82" s="1090"/>
      <c r="J82" s="3962">
        <f t="shared" si="16"/>
        <v>0</v>
      </c>
      <c r="K82" s="1089"/>
      <c r="L82" s="1090"/>
      <c r="M82" s="1098"/>
      <c r="N82" s="3962">
        <f t="shared" si="14"/>
        <v>0</v>
      </c>
      <c r="O82" s="3232"/>
      <c r="P82" s="3435"/>
      <c r="Q82" s="3329"/>
      <c r="R82" s="1077"/>
      <c r="S82" s="1089"/>
      <c r="T82" s="1077"/>
      <c r="U82" s="3232"/>
      <c r="V82" s="1077"/>
      <c r="W82" s="3435"/>
      <c r="X82" s="3329"/>
      <c r="Y82" s="1077"/>
      <c r="Z82" s="5238"/>
      <c r="AA82" s="5238"/>
      <c r="AB82" s="5238"/>
      <c r="AC82" s="5238"/>
      <c r="AD82" s="5238"/>
      <c r="AE82" s="2489"/>
      <c r="AF82" s="5270"/>
      <c r="AG82" s="106"/>
      <c r="AH82" s="5239"/>
      <c r="AI82" s="4561"/>
    </row>
    <row r="83" spans="1:35" x14ac:dyDescent="0.25">
      <c r="A83" s="3470" t="s">
        <v>2126</v>
      </c>
      <c r="B83" s="3962">
        <f t="shared" si="15"/>
        <v>0</v>
      </c>
      <c r="C83" s="1089"/>
      <c r="D83" s="1090"/>
      <c r="E83" s="1090"/>
      <c r="F83" s="3962">
        <f t="shared" si="13"/>
        <v>0</v>
      </c>
      <c r="G83" s="1089"/>
      <c r="H83" s="1090"/>
      <c r="I83" s="1090"/>
      <c r="J83" s="3962">
        <f t="shared" si="16"/>
        <v>0</v>
      </c>
      <c r="K83" s="1089"/>
      <c r="L83" s="1090"/>
      <c r="M83" s="1098"/>
      <c r="N83" s="3962">
        <f t="shared" si="14"/>
        <v>0</v>
      </c>
      <c r="O83" s="3232"/>
      <c r="P83" s="3435"/>
      <c r="Q83" s="3329"/>
      <c r="R83" s="1077"/>
      <c r="S83" s="1089"/>
      <c r="T83" s="1077"/>
      <c r="U83" s="3232"/>
      <c r="V83" s="1077"/>
      <c r="W83" s="3435"/>
      <c r="X83" s="3329"/>
      <c r="Y83" s="1077"/>
      <c r="Z83" s="5238"/>
      <c r="AA83" s="5238"/>
      <c r="AB83" s="5238"/>
      <c r="AC83" s="5238"/>
      <c r="AD83" s="5238"/>
      <c r="AE83" s="2489"/>
      <c r="AF83" s="5270"/>
      <c r="AG83" s="106"/>
      <c r="AH83" s="5239"/>
      <c r="AI83" s="4561"/>
    </row>
    <row r="84" spans="1:35" x14ac:dyDescent="0.25">
      <c r="A84" s="3470" t="s">
        <v>2127</v>
      </c>
      <c r="B84" s="3962">
        <f t="shared" si="15"/>
        <v>0</v>
      </c>
      <c r="C84" s="1089"/>
      <c r="D84" s="1090"/>
      <c r="E84" s="1090"/>
      <c r="F84" s="3962">
        <f t="shared" si="13"/>
        <v>0</v>
      </c>
      <c r="G84" s="1089"/>
      <c r="H84" s="1090"/>
      <c r="I84" s="1090"/>
      <c r="J84" s="3962">
        <f t="shared" si="16"/>
        <v>0</v>
      </c>
      <c r="K84" s="1089"/>
      <c r="L84" s="1090"/>
      <c r="M84" s="1098"/>
      <c r="N84" s="3962">
        <f t="shared" si="14"/>
        <v>0</v>
      </c>
      <c r="O84" s="3232"/>
      <c r="P84" s="3435"/>
      <c r="Q84" s="3329"/>
      <c r="R84" s="1077"/>
      <c r="S84" s="1089"/>
      <c r="T84" s="1077"/>
      <c r="U84" s="3232"/>
      <c r="V84" s="1077"/>
      <c r="W84" s="3435"/>
      <c r="X84" s="3329"/>
      <c r="Y84" s="1077"/>
      <c r="Z84" s="5238"/>
      <c r="AA84" s="5238"/>
      <c r="AB84" s="5238"/>
      <c r="AC84" s="5238"/>
      <c r="AD84" s="5238"/>
      <c r="AE84" s="2489"/>
      <c r="AF84" s="5270"/>
      <c r="AG84" s="106"/>
      <c r="AH84" s="5239"/>
      <c r="AI84" s="4561"/>
    </row>
    <row r="85" spans="1:35" x14ac:dyDescent="0.25">
      <c r="A85" s="3470" t="s">
        <v>2128</v>
      </c>
      <c r="B85" s="3962">
        <f t="shared" si="15"/>
        <v>0</v>
      </c>
      <c r="C85" s="1089"/>
      <c r="D85" s="1090"/>
      <c r="E85" s="1090"/>
      <c r="F85" s="3962">
        <f t="shared" si="13"/>
        <v>0</v>
      </c>
      <c r="G85" s="1089"/>
      <c r="H85" s="1090"/>
      <c r="I85" s="1090"/>
      <c r="J85" s="3962">
        <f t="shared" si="16"/>
        <v>0</v>
      </c>
      <c r="K85" s="1089"/>
      <c r="L85" s="1090"/>
      <c r="M85" s="1098"/>
      <c r="N85" s="3962">
        <f t="shared" si="14"/>
        <v>0</v>
      </c>
      <c r="O85" s="3232"/>
      <c r="P85" s="3435"/>
      <c r="Q85" s="3329"/>
      <c r="R85" s="1077"/>
      <c r="S85" s="1089"/>
      <c r="T85" s="1077"/>
      <c r="U85" s="3232"/>
      <c r="V85" s="1077"/>
      <c r="W85" s="3435"/>
      <c r="X85" s="3329"/>
      <c r="Y85" s="1077"/>
      <c r="Z85" s="5238"/>
      <c r="AA85" s="5238"/>
      <c r="AB85" s="5238"/>
      <c r="AC85" s="5238"/>
      <c r="AD85" s="5238"/>
      <c r="AE85" s="2489"/>
      <c r="AF85" s="5270"/>
      <c r="AG85" s="106"/>
      <c r="AH85" s="5239"/>
      <c r="AI85" s="4561"/>
    </row>
    <row r="86" spans="1:35" x14ac:dyDescent="0.25">
      <c r="A86" s="3470" t="s">
        <v>2129</v>
      </c>
      <c r="B86" s="3962">
        <f t="shared" si="15"/>
        <v>0</v>
      </c>
      <c r="C86" s="1089"/>
      <c r="D86" s="1090"/>
      <c r="E86" s="1090"/>
      <c r="F86" s="3962">
        <f t="shared" si="13"/>
        <v>0</v>
      </c>
      <c r="G86" s="1089"/>
      <c r="H86" s="1090"/>
      <c r="I86" s="1090"/>
      <c r="J86" s="3962">
        <f t="shared" si="16"/>
        <v>0</v>
      </c>
      <c r="K86" s="1089"/>
      <c r="L86" s="1090"/>
      <c r="M86" s="1098"/>
      <c r="N86" s="3962">
        <f t="shared" si="14"/>
        <v>0</v>
      </c>
      <c r="O86" s="3232"/>
      <c r="P86" s="3435"/>
      <c r="Q86" s="3329"/>
      <c r="R86" s="1077"/>
      <c r="S86" s="1089"/>
      <c r="T86" s="1077"/>
      <c r="U86" s="3232"/>
      <c r="V86" s="1077"/>
      <c r="W86" s="3435"/>
      <c r="X86" s="3329"/>
      <c r="Y86" s="1077"/>
      <c r="Z86" s="5238"/>
      <c r="AA86" s="5238"/>
      <c r="AB86" s="5238"/>
      <c r="AC86" s="5238"/>
      <c r="AD86" s="5238"/>
      <c r="AE86" s="2489"/>
      <c r="AF86" s="5270"/>
      <c r="AG86" s="106"/>
      <c r="AH86" s="5239"/>
      <c r="AI86" s="4561"/>
    </row>
    <row r="87" spans="1:35" x14ac:dyDescent="0.25">
      <c r="A87" s="3470" t="s">
        <v>2130</v>
      </c>
      <c r="B87" s="3962">
        <f t="shared" si="15"/>
        <v>0</v>
      </c>
      <c r="C87" s="1089"/>
      <c r="D87" s="1090"/>
      <c r="E87" s="1090"/>
      <c r="F87" s="3962">
        <f t="shared" si="13"/>
        <v>0</v>
      </c>
      <c r="G87" s="1089"/>
      <c r="H87" s="1090"/>
      <c r="I87" s="1090"/>
      <c r="J87" s="3962">
        <f t="shared" si="16"/>
        <v>0</v>
      </c>
      <c r="K87" s="1089"/>
      <c r="L87" s="1090"/>
      <c r="M87" s="1098"/>
      <c r="N87" s="3962">
        <f t="shared" si="14"/>
        <v>0</v>
      </c>
      <c r="O87" s="3232"/>
      <c r="P87" s="3435"/>
      <c r="Q87" s="3329"/>
      <c r="R87" s="1077"/>
      <c r="S87" s="1089"/>
      <c r="T87" s="1077"/>
      <c r="U87" s="3232"/>
      <c r="V87" s="1077"/>
      <c r="W87" s="3435"/>
      <c r="X87" s="3329"/>
      <c r="Y87" s="1077"/>
      <c r="Z87" s="5238"/>
      <c r="AA87" s="5238"/>
      <c r="AB87" s="5238"/>
      <c r="AC87" s="5238"/>
      <c r="AD87" s="5238"/>
      <c r="AE87" s="2489"/>
      <c r="AF87" s="5270"/>
      <c r="AG87" s="106"/>
      <c r="AH87" s="5239"/>
      <c r="AI87" s="4561"/>
    </row>
    <row r="88" spans="1:35" x14ac:dyDescent="0.25">
      <c r="A88" s="3470" t="s">
        <v>2131</v>
      </c>
      <c r="B88" s="3962">
        <f t="shared" si="15"/>
        <v>0</v>
      </c>
      <c r="C88" s="1089"/>
      <c r="D88" s="1090"/>
      <c r="E88" s="1090"/>
      <c r="F88" s="3962">
        <f t="shared" si="13"/>
        <v>0</v>
      </c>
      <c r="G88" s="1089"/>
      <c r="H88" s="1090"/>
      <c r="I88" s="1090"/>
      <c r="J88" s="3962">
        <f t="shared" si="16"/>
        <v>0</v>
      </c>
      <c r="K88" s="1089"/>
      <c r="L88" s="1090"/>
      <c r="M88" s="1098"/>
      <c r="N88" s="3962">
        <f t="shared" si="14"/>
        <v>0</v>
      </c>
      <c r="O88" s="3232"/>
      <c r="P88" s="3435"/>
      <c r="Q88" s="3329"/>
      <c r="R88" s="1077"/>
      <c r="S88" s="1089"/>
      <c r="T88" s="1077"/>
      <c r="U88" s="3232"/>
      <c r="V88" s="1077"/>
      <c r="W88" s="3435"/>
      <c r="X88" s="3329"/>
      <c r="Y88" s="1077"/>
      <c r="Z88" s="5238"/>
      <c r="AA88" s="5238"/>
      <c r="AB88" s="5238"/>
      <c r="AC88" s="5238"/>
      <c r="AD88" s="5238"/>
      <c r="AE88" s="2489"/>
      <c r="AF88" s="5270"/>
      <c r="AG88" s="106"/>
      <c r="AH88" s="5239"/>
      <c r="AI88" s="4561"/>
    </row>
    <row r="89" spans="1:35" x14ac:dyDescent="0.25">
      <c r="A89" s="3470" t="s">
        <v>2132</v>
      </c>
      <c r="B89" s="3962">
        <f t="shared" si="15"/>
        <v>0</v>
      </c>
      <c r="C89" s="1089"/>
      <c r="D89" s="1090"/>
      <c r="E89" s="1090"/>
      <c r="F89" s="3962">
        <f t="shared" si="13"/>
        <v>0</v>
      </c>
      <c r="G89" s="1089"/>
      <c r="H89" s="1090"/>
      <c r="I89" s="1090"/>
      <c r="J89" s="3962">
        <f t="shared" si="16"/>
        <v>0</v>
      </c>
      <c r="K89" s="1089"/>
      <c r="L89" s="1090"/>
      <c r="M89" s="1098"/>
      <c r="N89" s="3962">
        <f t="shared" si="14"/>
        <v>0</v>
      </c>
      <c r="O89" s="3232"/>
      <c r="P89" s="3435"/>
      <c r="Q89" s="3329"/>
      <c r="R89" s="1077"/>
      <c r="S89" s="1089"/>
      <c r="T89" s="1077"/>
      <c r="U89" s="3232"/>
      <c r="V89" s="1077"/>
      <c r="W89" s="3435"/>
      <c r="X89" s="3329"/>
      <c r="Y89" s="1077"/>
      <c r="Z89" s="5238"/>
      <c r="AA89" s="5238"/>
      <c r="AB89" s="5238"/>
      <c r="AC89" s="5238"/>
      <c r="AD89" s="5238"/>
      <c r="AE89" s="2489"/>
      <c r="AF89" s="5270"/>
      <c r="AG89" s="106"/>
      <c r="AH89" s="5239"/>
      <c r="AI89" s="4561"/>
    </row>
    <row r="90" spans="1:35" x14ac:dyDescent="0.25">
      <c r="A90" s="3470" t="s">
        <v>2133</v>
      </c>
      <c r="B90" s="3962">
        <f t="shared" si="15"/>
        <v>0</v>
      </c>
      <c r="C90" s="1089"/>
      <c r="D90" s="1090"/>
      <c r="E90" s="1090"/>
      <c r="F90" s="3962">
        <f t="shared" si="13"/>
        <v>0</v>
      </c>
      <c r="G90" s="1089"/>
      <c r="H90" s="1090"/>
      <c r="I90" s="1090"/>
      <c r="J90" s="3962">
        <f t="shared" si="16"/>
        <v>0</v>
      </c>
      <c r="K90" s="1089"/>
      <c r="L90" s="1090"/>
      <c r="M90" s="1098"/>
      <c r="N90" s="3962">
        <f t="shared" si="14"/>
        <v>0</v>
      </c>
      <c r="O90" s="3232"/>
      <c r="P90" s="3435"/>
      <c r="Q90" s="3329"/>
      <c r="R90" s="1077"/>
      <c r="S90" s="1089"/>
      <c r="T90" s="1077"/>
      <c r="U90" s="3232"/>
      <c r="V90" s="1077"/>
      <c r="W90" s="3435"/>
      <c r="X90" s="3329"/>
      <c r="Y90" s="1077"/>
      <c r="Z90" s="5238"/>
      <c r="AA90" s="5238"/>
      <c r="AB90" s="5238"/>
      <c r="AC90" s="5238"/>
      <c r="AD90" s="5238"/>
      <c r="AE90" s="2489"/>
      <c r="AF90" s="5270"/>
      <c r="AG90" s="106"/>
      <c r="AH90" s="5239"/>
      <c r="AI90" s="4561"/>
    </row>
    <row r="91" spans="1:35" x14ac:dyDescent="0.25">
      <c r="A91" s="3470" t="s">
        <v>2134</v>
      </c>
      <c r="B91" s="3962">
        <f t="shared" si="15"/>
        <v>0</v>
      </c>
      <c r="C91" s="1089"/>
      <c r="D91" s="1090"/>
      <c r="E91" s="1090"/>
      <c r="F91" s="3962">
        <f t="shared" si="13"/>
        <v>0</v>
      </c>
      <c r="G91" s="1089"/>
      <c r="H91" s="1090"/>
      <c r="I91" s="1090"/>
      <c r="J91" s="3962">
        <f t="shared" si="16"/>
        <v>0</v>
      </c>
      <c r="K91" s="1089"/>
      <c r="L91" s="1090"/>
      <c r="M91" s="1098"/>
      <c r="N91" s="3962">
        <f t="shared" si="14"/>
        <v>0</v>
      </c>
      <c r="O91" s="3232"/>
      <c r="P91" s="3435"/>
      <c r="Q91" s="3329"/>
      <c r="R91" s="1077"/>
      <c r="S91" s="1089"/>
      <c r="T91" s="1077"/>
      <c r="U91" s="3232"/>
      <c r="V91" s="1077"/>
      <c r="W91" s="3435"/>
      <c r="X91" s="3329"/>
      <c r="Y91" s="1077"/>
      <c r="Z91" s="5238"/>
      <c r="AA91" s="5238"/>
      <c r="AB91" s="5238"/>
      <c r="AC91" s="5238"/>
      <c r="AD91" s="5238"/>
      <c r="AE91" s="2489"/>
      <c r="AF91" s="5270"/>
      <c r="AG91" s="106"/>
      <c r="AH91" s="5239"/>
      <c r="AI91" s="4561"/>
    </row>
    <row r="92" spans="1:35" x14ac:dyDescent="0.25">
      <c r="A92" s="3470" t="s">
        <v>2135</v>
      </c>
      <c r="B92" s="3962">
        <f t="shared" si="15"/>
        <v>0</v>
      </c>
      <c r="C92" s="1089"/>
      <c r="D92" s="1090"/>
      <c r="E92" s="1090"/>
      <c r="F92" s="3962">
        <f t="shared" si="13"/>
        <v>0</v>
      </c>
      <c r="G92" s="1089"/>
      <c r="H92" s="1090"/>
      <c r="I92" s="1090"/>
      <c r="J92" s="3962">
        <f t="shared" si="16"/>
        <v>0</v>
      </c>
      <c r="K92" s="1089"/>
      <c r="L92" s="1090"/>
      <c r="M92" s="1098"/>
      <c r="N92" s="3962">
        <f t="shared" si="14"/>
        <v>0</v>
      </c>
      <c r="O92" s="3232"/>
      <c r="P92" s="3435"/>
      <c r="Q92" s="3329"/>
      <c r="R92" s="1077"/>
      <c r="S92" s="1089"/>
      <c r="T92" s="1077"/>
      <c r="U92" s="3232"/>
      <c r="V92" s="1077"/>
      <c r="W92" s="3435"/>
      <c r="X92" s="3329"/>
      <c r="Y92" s="1077"/>
      <c r="Z92" s="5238"/>
      <c r="AA92" s="5238"/>
      <c r="AB92" s="5238"/>
      <c r="AC92" s="5238"/>
      <c r="AD92" s="5238"/>
      <c r="AE92" s="2489"/>
      <c r="AF92" s="5270"/>
      <c r="AG92" s="106"/>
      <c r="AH92" s="5239"/>
      <c r="AI92" s="4561"/>
    </row>
    <row r="93" spans="1:35" x14ac:dyDescent="0.25">
      <c r="A93" s="3470" t="s">
        <v>2136</v>
      </c>
      <c r="B93" s="3962">
        <f t="shared" si="15"/>
        <v>0</v>
      </c>
      <c r="C93" s="1089"/>
      <c r="D93" s="1090"/>
      <c r="E93" s="1090"/>
      <c r="F93" s="3962">
        <f t="shared" si="13"/>
        <v>0</v>
      </c>
      <c r="G93" s="1089"/>
      <c r="H93" s="1090"/>
      <c r="I93" s="1090"/>
      <c r="J93" s="3962">
        <f t="shared" si="16"/>
        <v>0</v>
      </c>
      <c r="K93" s="1089"/>
      <c r="L93" s="1090"/>
      <c r="M93" s="1098"/>
      <c r="N93" s="3962">
        <f t="shared" si="14"/>
        <v>0</v>
      </c>
      <c r="O93" s="3232"/>
      <c r="P93" s="3435"/>
      <c r="Q93" s="3329"/>
      <c r="R93" s="1077"/>
      <c r="S93" s="1089"/>
      <c r="T93" s="1077"/>
      <c r="U93" s="3232"/>
      <c r="V93" s="1077"/>
      <c r="W93" s="3435"/>
      <c r="X93" s="3329"/>
      <c r="Y93" s="1077"/>
      <c r="Z93" s="5238"/>
      <c r="AA93" s="5238"/>
      <c r="AB93" s="5238"/>
      <c r="AC93" s="5238"/>
      <c r="AD93" s="5238"/>
      <c r="AE93" s="2489"/>
      <c r="AF93" s="5270"/>
      <c r="AG93" s="106"/>
      <c r="AH93" s="5239"/>
      <c r="AI93" s="4561"/>
    </row>
    <row r="94" spans="1:35" x14ac:dyDescent="0.25">
      <c r="A94" s="3470" t="s">
        <v>2137</v>
      </c>
      <c r="B94" s="3962">
        <f t="shared" si="15"/>
        <v>0</v>
      </c>
      <c r="C94" s="1089"/>
      <c r="D94" s="1090"/>
      <c r="E94" s="1090"/>
      <c r="F94" s="3962">
        <f t="shared" si="13"/>
        <v>0</v>
      </c>
      <c r="G94" s="1089"/>
      <c r="H94" s="1090"/>
      <c r="I94" s="1090"/>
      <c r="J94" s="3962">
        <f t="shared" si="16"/>
        <v>0</v>
      </c>
      <c r="K94" s="1089"/>
      <c r="L94" s="1090"/>
      <c r="M94" s="1098"/>
      <c r="N94" s="3962">
        <f t="shared" si="14"/>
        <v>0</v>
      </c>
      <c r="O94" s="3232"/>
      <c r="P94" s="3435"/>
      <c r="Q94" s="3329"/>
      <c r="R94" s="1077"/>
      <c r="S94" s="1089"/>
      <c r="T94" s="1077"/>
      <c r="U94" s="3232"/>
      <c r="V94" s="1077"/>
      <c r="W94" s="3435"/>
      <c r="X94" s="3329"/>
      <c r="Y94" s="1077"/>
      <c r="Z94" s="5238"/>
      <c r="AA94" s="5238"/>
      <c r="AB94" s="5238"/>
      <c r="AC94" s="5238"/>
      <c r="AD94" s="5238"/>
      <c r="AE94" s="2489"/>
      <c r="AF94" s="5270"/>
      <c r="AG94" s="106"/>
      <c r="AH94" s="5239"/>
      <c r="AI94" s="4561"/>
    </row>
    <row r="95" spans="1:35" x14ac:dyDescent="0.25">
      <c r="A95" s="3470" t="s">
        <v>2138</v>
      </c>
      <c r="B95" s="3962">
        <f t="shared" si="15"/>
        <v>0</v>
      </c>
      <c r="C95" s="1089"/>
      <c r="D95" s="1090"/>
      <c r="E95" s="1090"/>
      <c r="F95" s="3962">
        <f t="shared" si="13"/>
        <v>0</v>
      </c>
      <c r="G95" s="1089"/>
      <c r="H95" s="1090"/>
      <c r="I95" s="1090"/>
      <c r="J95" s="3962">
        <f t="shared" si="16"/>
        <v>0</v>
      </c>
      <c r="K95" s="1089"/>
      <c r="L95" s="1090"/>
      <c r="M95" s="1098"/>
      <c r="N95" s="3962">
        <f t="shared" si="14"/>
        <v>0</v>
      </c>
      <c r="O95" s="3232"/>
      <c r="P95" s="3435"/>
      <c r="Q95" s="3329"/>
      <c r="R95" s="1077"/>
      <c r="S95" s="1089"/>
      <c r="T95" s="1077"/>
      <c r="U95" s="3232"/>
      <c r="V95" s="1077"/>
      <c r="W95" s="3435"/>
      <c r="X95" s="3329"/>
      <c r="Y95" s="1077"/>
      <c r="Z95" s="5238"/>
      <c r="AA95" s="5238"/>
      <c r="AB95" s="5238"/>
      <c r="AC95" s="5238"/>
      <c r="AD95" s="5238"/>
      <c r="AE95" s="2489"/>
      <c r="AF95" s="5270"/>
      <c r="AG95" s="106"/>
      <c r="AH95" s="5239"/>
      <c r="AI95" s="4561"/>
    </row>
    <row r="96" spans="1:35" x14ac:dyDescent="0.25">
      <c r="A96" s="3470" t="s">
        <v>227</v>
      </c>
      <c r="B96" s="3962">
        <f t="shared" si="15"/>
        <v>0</v>
      </c>
      <c r="C96" s="1089"/>
      <c r="D96" s="1090"/>
      <c r="E96" s="1090"/>
      <c r="F96" s="3962">
        <f t="shared" si="13"/>
        <v>0</v>
      </c>
      <c r="G96" s="1089"/>
      <c r="H96" s="1090"/>
      <c r="I96" s="1090"/>
      <c r="J96" s="3962">
        <f t="shared" si="16"/>
        <v>0</v>
      </c>
      <c r="K96" s="1089"/>
      <c r="L96" s="1090"/>
      <c r="M96" s="1098"/>
      <c r="N96" s="3962">
        <f t="shared" si="14"/>
        <v>0</v>
      </c>
      <c r="O96" s="3232"/>
      <c r="P96" s="3435"/>
      <c r="Q96" s="3329"/>
      <c r="R96" s="1077"/>
      <c r="S96" s="1089"/>
      <c r="T96" s="1077"/>
      <c r="U96" s="3232"/>
      <c r="V96" s="1077"/>
      <c r="W96" s="3435"/>
      <c r="X96" s="3329"/>
      <c r="Y96" s="1077"/>
      <c r="Z96" s="5238"/>
      <c r="AA96" s="5238"/>
      <c r="AB96" s="5238"/>
      <c r="AC96" s="5238"/>
      <c r="AD96" s="5238"/>
      <c r="AE96" s="2489"/>
      <c r="AF96" s="5270"/>
      <c r="AG96" s="106"/>
      <c r="AH96" s="5239"/>
      <c r="AI96" s="4561"/>
    </row>
    <row r="97" spans="1:35" x14ac:dyDescent="0.25">
      <c r="A97" s="3470" t="s">
        <v>2139</v>
      </c>
      <c r="B97" s="3962">
        <f t="shared" si="15"/>
        <v>0</v>
      </c>
      <c r="C97" s="1089"/>
      <c r="D97" s="1090"/>
      <c r="E97" s="1090"/>
      <c r="F97" s="3962">
        <f t="shared" si="13"/>
        <v>0</v>
      </c>
      <c r="G97" s="1089"/>
      <c r="H97" s="1090"/>
      <c r="I97" s="1090"/>
      <c r="J97" s="3962">
        <f t="shared" si="16"/>
        <v>0</v>
      </c>
      <c r="K97" s="1089"/>
      <c r="L97" s="1090"/>
      <c r="M97" s="1098"/>
      <c r="N97" s="3962">
        <f t="shared" si="14"/>
        <v>0</v>
      </c>
      <c r="O97" s="3232"/>
      <c r="P97" s="3435"/>
      <c r="Q97" s="3329"/>
      <c r="R97" s="1077"/>
      <c r="S97" s="1089"/>
      <c r="T97" s="1077"/>
      <c r="U97" s="3232"/>
      <c r="V97" s="1077"/>
      <c r="W97" s="3435"/>
      <c r="X97" s="3329"/>
      <c r="Y97" s="1077"/>
      <c r="Z97" s="5238"/>
      <c r="AA97" s="5238"/>
      <c r="AB97" s="5238"/>
      <c r="AC97" s="5238"/>
      <c r="AD97" s="5238"/>
      <c r="AE97" s="2489"/>
      <c r="AF97" s="5270"/>
      <c r="AG97" s="106"/>
      <c r="AH97" s="5239"/>
      <c r="AI97" s="4561"/>
    </row>
    <row r="98" spans="1:35" x14ac:dyDescent="0.25">
      <c r="A98" s="3470" t="s">
        <v>2140</v>
      </c>
      <c r="B98" s="3962">
        <f t="shared" si="15"/>
        <v>0</v>
      </c>
      <c r="C98" s="1089"/>
      <c r="D98" s="1090"/>
      <c r="E98" s="1090"/>
      <c r="F98" s="3962">
        <f t="shared" si="13"/>
        <v>0</v>
      </c>
      <c r="G98" s="1089"/>
      <c r="H98" s="1090"/>
      <c r="I98" s="1090"/>
      <c r="J98" s="3962">
        <f t="shared" si="16"/>
        <v>0</v>
      </c>
      <c r="K98" s="1089"/>
      <c r="L98" s="1090"/>
      <c r="M98" s="1098"/>
      <c r="N98" s="3962">
        <f t="shared" si="14"/>
        <v>0</v>
      </c>
      <c r="O98" s="3232"/>
      <c r="P98" s="3435"/>
      <c r="Q98" s="3329"/>
      <c r="R98" s="1077"/>
      <c r="S98" s="1089"/>
      <c r="T98" s="1077"/>
      <c r="U98" s="3232"/>
      <c r="V98" s="1077"/>
      <c r="W98" s="3435"/>
      <c r="X98" s="3329"/>
      <c r="Y98" s="1077"/>
      <c r="Z98" s="5238"/>
      <c r="AA98" s="5238"/>
      <c r="AB98" s="5238"/>
      <c r="AC98" s="5238"/>
      <c r="AD98" s="5238"/>
      <c r="AE98" s="2489"/>
      <c r="AF98" s="5270"/>
      <c r="AG98" s="106"/>
      <c r="AH98" s="5239"/>
      <c r="AI98" s="4561"/>
    </row>
    <row r="99" spans="1:35" x14ac:dyDescent="0.25">
      <c r="A99" s="3470" t="s">
        <v>228</v>
      </c>
      <c r="B99" s="3962">
        <f t="shared" si="15"/>
        <v>0</v>
      </c>
      <c r="C99" s="1089"/>
      <c r="D99" s="1090"/>
      <c r="E99" s="1090"/>
      <c r="F99" s="3962">
        <f t="shared" si="13"/>
        <v>0</v>
      </c>
      <c r="G99" s="1089"/>
      <c r="H99" s="1090"/>
      <c r="I99" s="1090"/>
      <c r="J99" s="3962">
        <f t="shared" si="16"/>
        <v>0</v>
      </c>
      <c r="K99" s="1089"/>
      <c r="L99" s="1090"/>
      <c r="M99" s="1098"/>
      <c r="N99" s="3962">
        <f t="shared" si="14"/>
        <v>0</v>
      </c>
      <c r="O99" s="3232"/>
      <c r="P99" s="3435"/>
      <c r="Q99" s="3329"/>
      <c r="R99" s="1077"/>
      <c r="S99" s="1089"/>
      <c r="T99" s="1077"/>
      <c r="U99" s="3232"/>
      <c r="V99" s="1077"/>
      <c r="W99" s="3435"/>
      <c r="X99" s="3329"/>
      <c r="Y99" s="1077"/>
      <c r="Z99" s="5238"/>
      <c r="AA99" s="5238"/>
      <c r="AB99" s="5238"/>
      <c r="AC99" s="5238"/>
      <c r="AD99" s="5238"/>
      <c r="AE99" s="2489"/>
      <c r="AF99" s="5270"/>
      <c r="AG99" s="106"/>
      <c r="AH99" s="5239"/>
      <c r="AI99" s="4561"/>
    </row>
    <row r="100" spans="1:35" x14ac:dyDescent="0.25">
      <c r="A100" s="3470" t="s">
        <v>229</v>
      </c>
      <c r="B100" s="3962">
        <f t="shared" si="15"/>
        <v>0</v>
      </c>
      <c r="C100" s="1089"/>
      <c r="D100" s="1090"/>
      <c r="E100" s="1090"/>
      <c r="F100" s="3962">
        <f t="shared" si="13"/>
        <v>0</v>
      </c>
      <c r="G100" s="1089"/>
      <c r="H100" s="1090"/>
      <c r="I100" s="1090"/>
      <c r="J100" s="3962">
        <f t="shared" si="16"/>
        <v>0</v>
      </c>
      <c r="K100" s="1089"/>
      <c r="L100" s="1090"/>
      <c r="M100" s="1098"/>
      <c r="N100" s="3962">
        <f t="shared" si="14"/>
        <v>0</v>
      </c>
      <c r="O100" s="3232"/>
      <c r="P100" s="3435"/>
      <c r="Q100" s="3329"/>
      <c r="R100" s="1077"/>
      <c r="S100" s="1089"/>
      <c r="T100" s="1077"/>
      <c r="U100" s="3232"/>
      <c r="V100" s="1077"/>
      <c r="W100" s="3435"/>
      <c r="X100" s="3329"/>
      <c r="Y100" s="1077"/>
      <c r="Z100" s="5238"/>
      <c r="AA100" s="5238"/>
      <c r="AB100" s="5238"/>
      <c r="AC100" s="5238"/>
      <c r="AD100" s="5238"/>
      <c r="AE100" s="2489"/>
      <c r="AF100" s="5270"/>
      <c r="AG100" s="106"/>
      <c r="AH100" s="5239"/>
      <c r="AI100" s="4561"/>
    </row>
    <row r="101" spans="1:35" x14ac:dyDescent="0.25">
      <c r="A101" s="3470" t="s">
        <v>2141</v>
      </c>
      <c r="B101" s="3962">
        <f t="shared" si="15"/>
        <v>0</v>
      </c>
      <c r="C101" s="1089"/>
      <c r="D101" s="1090"/>
      <c r="E101" s="1090"/>
      <c r="F101" s="3962">
        <f t="shared" si="13"/>
        <v>0</v>
      </c>
      <c r="G101" s="1089"/>
      <c r="H101" s="1090"/>
      <c r="I101" s="1090"/>
      <c r="J101" s="3962">
        <f t="shared" si="16"/>
        <v>0</v>
      </c>
      <c r="K101" s="1089"/>
      <c r="L101" s="1090"/>
      <c r="M101" s="1098"/>
      <c r="N101" s="3962">
        <f t="shared" si="14"/>
        <v>0</v>
      </c>
      <c r="O101" s="3232"/>
      <c r="P101" s="3435"/>
      <c r="Q101" s="3329"/>
      <c r="R101" s="1077"/>
      <c r="S101" s="1089"/>
      <c r="T101" s="1077"/>
      <c r="U101" s="3232"/>
      <c r="V101" s="1077"/>
      <c r="W101" s="3435"/>
      <c r="X101" s="3329"/>
      <c r="Y101" s="1077"/>
      <c r="Z101" s="5238"/>
      <c r="AA101" s="5238"/>
      <c r="AB101" s="5238"/>
      <c r="AC101" s="5238"/>
      <c r="AD101" s="5238"/>
      <c r="AE101" s="2489"/>
      <c r="AF101" s="5270"/>
      <c r="AG101" s="106"/>
      <c r="AH101" s="5239"/>
      <c r="AI101" s="4561"/>
    </row>
    <row r="102" spans="1:35" x14ac:dyDescent="0.25">
      <c r="A102" s="3470" t="s">
        <v>2142</v>
      </c>
      <c r="B102" s="3962">
        <f t="shared" si="15"/>
        <v>0</v>
      </c>
      <c r="C102" s="1089"/>
      <c r="D102" s="1090"/>
      <c r="E102" s="1090"/>
      <c r="F102" s="3962">
        <f t="shared" si="13"/>
        <v>0</v>
      </c>
      <c r="G102" s="1089"/>
      <c r="H102" s="1090"/>
      <c r="I102" s="1090"/>
      <c r="J102" s="3962">
        <f t="shared" si="16"/>
        <v>0</v>
      </c>
      <c r="K102" s="1089"/>
      <c r="L102" s="1090"/>
      <c r="M102" s="1098"/>
      <c r="N102" s="3962">
        <f t="shared" si="14"/>
        <v>0</v>
      </c>
      <c r="O102" s="3232"/>
      <c r="P102" s="3435"/>
      <c r="Q102" s="3329"/>
      <c r="R102" s="1077"/>
      <c r="S102" s="1089"/>
      <c r="T102" s="1077"/>
      <c r="U102" s="3232"/>
      <c r="V102" s="1077"/>
      <c r="W102" s="3435"/>
      <c r="X102" s="3329"/>
      <c r="Y102" s="1077"/>
      <c r="Z102" s="5238"/>
      <c r="AA102" s="5238"/>
      <c r="AB102" s="5238"/>
      <c r="AC102" s="5238"/>
      <c r="AD102" s="5238"/>
      <c r="AE102" s="2489"/>
      <c r="AF102" s="5270"/>
      <c r="AG102" s="106"/>
      <c r="AH102" s="5239"/>
      <c r="AI102" s="4561"/>
    </row>
    <row r="103" spans="1:35" x14ac:dyDescent="0.25">
      <c r="A103" s="3470" t="s">
        <v>230</v>
      </c>
      <c r="B103" s="3962">
        <f t="shared" si="15"/>
        <v>0</v>
      </c>
      <c r="C103" s="1089"/>
      <c r="D103" s="1090"/>
      <c r="E103" s="1090"/>
      <c r="F103" s="3962">
        <f t="shared" si="13"/>
        <v>0</v>
      </c>
      <c r="G103" s="1089"/>
      <c r="H103" s="1090"/>
      <c r="I103" s="1090"/>
      <c r="J103" s="3962">
        <f t="shared" si="16"/>
        <v>0</v>
      </c>
      <c r="K103" s="1089"/>
      <c r="L103" s="1090"/>
      <c r="M103" s="1098"/>
      <c r="N103" s="3962">
        <f t="shared" si="14"/>
        <v>0</v>
      </c>
      <c r="O103" s="3232"/>
      <c r="P103" s="3435"/>
      <c r="Q103" s="3329"/>
      <c r="R103" s="1077"/>
      <c r="S103" s="1089"/>
      <c r="T103" s="1077"/>
      <c r="U103" s="3232"/>
      <c r="V103" s="1077"/>
      <c r="W103" s="3435"/>
      <c r="X103" s="3329"/>
      <c r="Y103" s="1077"/>
      <c r="Z103" s="5238"/>
      <c r="AA103" s="5238"/>
      <c r="AB103" s="5238"/>
      <c r="AC103" s="5238"/>
      <c r="AD103" s="5238"/>
      <c r="AE103" s="2489"/>
      <c r="AF103" s="5270"/>
      <c r="AG103" s="106"/>
      <c r="AH103" s="5239"/>
      <c r="AI103" s="4561"/>
    </row>
    <row r="104" spans="1:35" x14ac:dyDescent="0.25">
      <c r="A104" s="3470" t="s">
        <v>2143</v>
      </c>
      <c r="B104" s="4025">
        <f t="shared" si="15"/>
        <v>0</v>
      </c>
      <c r="C104" s="131"/>
      <c r="D104" s="132"/>
      <c r="E104" s="132"/>
      <c r="F104" s="4025">
        <f t="shared" si="13"/>
        <v>0</v>
      </c>
      <c r="G104" s="131"/>
      <c r="H104" s="132"/>
      <c r="I104" s="132"/>
      <c r="J104" s="4025">
        <f t="shared" si="16"/>
        <v>0</v>
      </c>
      <c r="K104" s="131"/>
      <c r="L104" s="132"/>
      <c r="M104" s="1520"/>
      <c r="N104" s="3962">
        <f t="shared" si="14"/>
        <v>0</v>
      </c>
      <c r="O104" s="4562"/>
      <c r="P104" s="2487"/>
      <c r="Q104" s="3329"/>
      <c r="R104" s="1077"/>
      <c r="S104" s="1089"/>
      <c r="T104" s="1077"/>
      <c r="U104" s="3232"/>
      <c r="V104" s="1077"/>
      <c r="W104" s="3435"/>
      <c r="X104" s="3329"/>
      <c r="Y104" s="1077"/>
      <c r="Z104" s="5238"/>
      <c r="AA104" s="5238"/>
      <c r="AB104" s="5238"/>
      <c r="AC104" s="5238"/>
      <c r="AD104" s="5238"/>
      <c r="AE104" s="2489"/>
      <c r="AF104" s="5270"/>
      <c r="AG104" s="106"/>
      <c r="AH104" s="5239"/>
      <c r="AI104" s="4561"/>
    </row>
    <row r="105" spans="1:35" x14ac:dyDescent="0.25">
      <c r="A105" s="3470" t="s">
        <v>2144</v>
      </c>
      <c r="B105" s="3962">
        <f t="shared" si="15"/>
        <v>0</v>
      </c>
      <c r="C105" s="1089"/>
      <c r="D105" s="1090"/>
      <c r="E105" s="1090"/>
      <c r="F105" s="3962">
        <f t="shared" si="13"/>
        <v>0</v>
      </c>
      <c r="G105" s="1089"/>
      <c r="H105" s="1090"/>
      <c r="I105" s="1090"/>
      <c r="J105" s="3962">
        <f t="shared" si="16"/>
        <v>0</v>
      </c>
      <c r="K105" s="1089"/>
      <c r="L105" s="1090"/>
      <c r="M105" s="1098"/>
      <c r="N105" s="3962">
        <f t="shared" si="14"/>
        <v>0</v>
      </c>
      <c r="O105" s="3232"/>
      <c r="P105" s="3435"/>
      <c r="Q105" s="3329"/>
      <c r="R105" s="1077"/>
      <c r="S105" s="1089"/>
      <c r="T105" s="1077"/>
      <c r="U105" s="3232"/>
      <c r="V105" s="1077"/>
      <c r="W105" s="3435"/>
      <c r="X105" s="3329"/>
      <c r="Y105" s="1077"/>
      <c r="Z105" s="5238"/>
      <c r="AA105" s="5238"/>
      <c r="AB105" s="5238"/>
      <c r="AC105" s="5238"/>
      <c r="AD105" s="5238"/>
      <c r="AE105" s="2489"/>
      <c r="AF105" s="5270"/>
      <c r="AG105" s="106"/>
      <c r="AH105" s="5239"/>
      <c r="AI105" s="4561"/>
    </row>
    <row r="106" spans="1:35" x14ac:dyDescent="0.25">
      <c r="A106" s="3470" t="s">
        <v>2186</v>
      </c>
      <c r="B106" s="3962">
        <f t="shared" si="15"/>
        <v>0</v>
      </c>
      <c r="C106" s="1089"/>
      <c r="D106" s="1090"/>
      <c r="E106" s="1090"/>
      <c r="F106" s="3962">
        <f t="shared" si="13"/>
        <v>0</v>
      </c>
      <c r="G106" s="1089"/>
      <c r="H106" s="1090"/>
      <c r="I106" s="1090"/>
      <c r="J106" s="3962">
        <f t="shared" si="16"/>
        <v>0</v>
      </c>
      <c r="K106" s="1089"/>
      <c r="L106" s="1090"/>
      <c r="M106" s="1098"/>
      <c r="N106" s="3962">
        <f t="shared" si="14"/>
        <v>0</v>
      </c>
      <c r="O106" s="3232"/>
      <c r="P106" s="3435"/>
      <c r="Q106" s="3329"/>
      <c r="R106" s="1077"/>
      <c r="S106" s="1089"/>
      <c r="T106" s="1077"/>
      <c r="U106" s="3232"/>
      <c r="V106" s="1077"/>
      <c r="W106" s="3435"/>
      <c r="X106" s="3329"/>
      <c r="Y106" s="1077"/>
      <c r="Z106" s="5238"/>
      <c r="AA106" s="5238"/>
      <c r="AB106" s="5238"/>
      <c r="AC106" s="5238"/>
      <c r="AD106" s="5238"/>
      <c r="AE106" s="2489"/>
      <c r="AF106" s="5270"/>
      <c r="AG106" s="106"/>
      <c r="AH106" s="5239"/>
      <c r="AI106" s="4561"/>
    </row>
    <row r="107" spans="1:35" x14ac:dyDescent="0.25">
      <c r="A107" s="3470" t="s">
        <v>2146</v>
      </c>
      <c r="B107" s="3962">
        <f t="shared" si="15"/>
        <v>0</v>
      </c>
      <c r="C107" s="1089"/>
      <c r="D107" s="1090"/>
      <c r="E107" s="1090"/>
      <c r="F107" s="3962">
        <f t="shared" si="13"/>
        <v>0</v>
      </c>
      <c r="G107" s="1089"/>
      <c r="H107" s="1090"/>
      <c r="I107" s="1090"/>
      <c r="J107" s="3962">
        <f t="shared" si="16"/>
        <v>0</v>
      </c>
      <c r="K107" s="1089"/>
      <c r="L107" s="1090"/>
      <c r="M107" s="1098"/>
      <c r="N107" s="3962">
        <f t="shared" si="14"/>
        <v>0</v>
      </c>
      <c r="O107" s="3232"/>
      <c r="P107" s="3435"/>
      <c r="Q107" s="3329"/>
      <c r="R107" s="1077"/>
      <c r="S107" s="1089"/>
      <c r="T107" s="1077"/>
      <c r="U107" s="3232"/>
      <c r="V107" s="1077"/>
      <c r="W107" s="3435"/>
      <c r="X107" s="3329"/>
      <c r="Y107" s="1077"/>
      <c r="Z107" s="5238"/>
      <c r="AA107" s="5238"/>
      <c r="AB107" s="5238"/>
      <c r="AC107" s="5238"/>
      <c r="AD107" s="5238"/>
      <c r="AE107" s="2489"/>
      <c r="AF107" s="5270"/>
      <c r="AG107" s="106"/>
      <c r="AH107" s="5239"/>
      <c r="AI107" s="4561"/>
    </row>
    <row r="108" spans="1:35" x14ac:dyDescent="0.25">
      <c r="A108" s="3470" t="s">
        <v>231</v>
      </c>
      <c r="B108" s="1751">
        <f t="shared" si="15"/>
        <v>0</v>
      </c>
      <c r="C108" s="106"/>
      <c r="D108" s="5239"/>
      <c r="E108" s="5239"/>
      <c r="F108" s="1751">
        <f t="shared" si="13"/>
        <v>0</v>
      </c>
      <c r="G108" s="106"/>
      <c r="H108" s="5239"/>
      <c r="I108" s="5239"/>
      <c r="J108" s="1751">
        <f t="shared" si="16"/>
        <v>0</v>
      </c>
      <c r="K108" s="106"/>
      <c r="L108" s="5239"/>
      <c r="M108" s="4952"/>
      <c r="N108" s="3962">
        <f t="shared" si="14"/>
        <v>0</v>
      </c>
      <c r="O108" s="591"/>
      <c r="P108" s="135"/>
      <c r="Q108" s="3329"/>
      <c r="R108" s="1077"/>
      <c r="S108" s="1089"/>
      <c r="T108" s="1077"/>
      <c r="U108" s="3232"/>
      <c r="V108" s="1077"/>
      <c r="W108" s="3435"/>
      <c r="X108" s="3329"/>
      <c r="Y108" s="1077"/>
      <c r="Z108" s="5238"/>
      <c r="AA108" s="5238"/>
      <c r="AB108" s="5238"/>
      <c r="AC108" s="5238"/>
      <c r="AD108" s="5238"/>
      <c r="AE108" s="2489"/>
      <c r="AF108" s="5270"/>
      <c r="AG108" s="106"/>
      <c r="AH108" s="5239"/>
      <c r="AI108" s="4561"/>
    </row>
    <row r="109" spans="1:35" x14ac:dyDescent="0.25">
      <c r="A109" s="3470" t="s">
        <v>2147</v>
      </c>
      <c r="B109" s="4025">
        <f t="shared" si="15"/>
        <v>0</v>
      </c>
      <c r="C109" s="131"/>
      <c r="D109" s="132"/>
      <c r="E109" s="132"/>
      <c r="F109" s="4025">
        <f t="shared" si="13"/>
        <v>0</v>
      </c>
      <c r="G109" s="131"/>
      <c r="H109" s="132"/>
      <c r="I109" s="132"/>
      <c r="J109" s="4025">
        <f t="shared" si="16"/>
        <v>0</v>
      </c>
      <c r="K109" s="131"/>
      <c r="L109" s="132"/>
      <c r="M109" s="1520"/>
      <c r="N109" s="3962">
        <f t="shared" si="14"/>
        <v>0</v>
      </c>
      <c r="O109" s="4562"/>
      <c r="P109" s="2487"/>
      <c r="Q109" s="3329"/>
      <c r="R109" s="1077"/>
      <c r="S109" s="1089"/>
      <c r="T109" s="1077"/>
      <c r="U109" s="3232"/>
      <c r="V109" s="1077"/>
      <c r="W109" s="3166"/>
      <c r="X109" s="3329"/>
      <c r="Y109" s="1077"/>
      <c r="Z109" s="5238"/>
      <c r="AA109" s="5238"/>
      <c r="AB109" s="5238"/>
      <c r="AC109" s="5238"/>
      <c r="AD109" s="5238"/>
      <c r="AE109" s="2489"/>
      <c r="AF109" s="5270"/>
      <c r="AG109" s="106"/>
      <c r="AH109" s="5239"/>
      <c r="AI109" s="4561"/>
    </row>
    <row r="110" spans="1:35" x14ac:dyDescent="0.25">
      <c r="A110" s="112" t="s">
        <v>2148</v>
      </c>
      <c r="B110" s="3962">
        <f t="shared" si="15"/>
        <v>0</v>
      </c>
      <c r="C110" s="1089"/>
      <c r="D110" s="1090"/>
      <c r="E110" s="1090"/>
      <c r="F110" s="3962">
        <f t="shared" si="13"/>
        <v>0</v>
      </c>
      <c r="G110" s="1089"/>
      <c r="H110" s="1090"/>
      <c r="I110" s="1090"/>
      <c r="J110" s="3962">
        <f t="shared" si="16"/>
        <v>0</v>
      </c>
      <c r="K110" s="1089"/>
      <c r="L110" s="1090"/>
      <c r="M110" s="1098"/>
      <c r="N110" s="3962">
        <f t="shared" si="14"/>
        <v>0</v>
      </c>
      <c r="O110" s="3232"/>
      <c r="P110" s="3435"/>
      <c r="Q110" s="3329"/>
      <c r="R110" s="1077"/>
      <c r="S110" s="1089"/>
      <c r="T110" s="1077"/>
      <c r="U110" s="3232"/>
      <c r="V110" s="1077"/>
      <c r="W110" s="3435"/>
      <c r="X110" s="3329"/>
      <c r="Y110" s="1077"/>
      <c r="Z110" s="5238"/>
      <c r="AA110" s="5238"/>
      <c r="AB110" s="5238"/>
      <c r="AC110" s="5238"/>
      <c r="AD110" s="5238"/>
      <c r="AE110" s="2489"/>
      <c r="AF110" s="5270"/>
      <c r="AG110" s="106"/>
      <c r="AH110" s="5239"/>
      <c r="AI110" s="4561"/>
    </row>
    <row r="111" spans="1:35" x14ac:dyDescent="0.25">
      <c r="A111" s="3713" t="s">
        <v>251</v>
      </c>
      <c r="B111" s="4025">
        <f t="shared" si="15"/>
        <v>0</v>
      </c>
      <c r="C111" s="131"/>
      <c r="D111" s="132"/>
      <c r="E111" s="132"/>
      <c r="F111" s="4025">
        <f t="shared" si="13"/>
        <v>0</v>
      </c>
      <c r="G111" s="131"/>
      <c r="H111" s="132"/>
      <c r="I111" s="132"/>
      <c r="J111" s="4025">
        <f t="shared" si="16"/>
        <v>0</v>
      </c>
      <c r="K111" s="131"/>
      <c r="L111" s="132"/>
      <c r="M111" s="1520"/>
      <c r="N111" s="3962">
        <f t="shared" si="14"/>
        <v>0</v>
      </c>
      <c r="O111" s="4562"/>
      <c r="P111" s="2487"/>
      <c r="Q111" s="3329"/>
      <c r="R111" s="1077"/>
      <c r="S111" s="1089"/>
      <c r="T111" s="1077"/>
      <c r="U111" s="3232"/>
      <c r="V111" s="1077"/>
      <c r="W111" s="3435"/>
      <c r="X111" s="3329"/>
      <c r="Y111" s="1077"/>
      <c r="Z111" s="5238"/>
      <c r="AA111" s="5238"/>
      <c r="AB111" s="5238"/>
      <c r="AC111" s="5238"/>
      <c r="AD111" s="5238"/>
      <c r="AE111" s="2489"/>
      <c r="AF111" s="5270"/>
      <c r="AG111" s="106"/>
      <c r="AH111" s="5239"/>
      <c r="AI111" s="4561"/>
    </row>
    <row r="112" spans="1:35" x14ac:dyDescent="0.25">
      <c r="A112" s="3470" t="s">
        <v>2149</v>
      </c>
      <c r="B112" s="3962">
        <f t="shared" si="15"/>
        <v>0</v>
      </c>
      <c r="C112" s="1089"/>
      <c r="D112" s="1090"/>
      <c r="E112" s="1090"/>
      <c r="F112" s="3962">
        <f t="shared" si="13"/>
        <v>0</v>
      </c>
      <c r="G112" s="1089"/>
      <c r="H112" s="1090"/>
      <c r="I112" s="1090"/>
      <c r="J112" s="3962">
        <f t="shared" si="16"/>
        <v>0</v>
      </c>
      <c r="K112" s="1089"/>
      <c r="L112" s="1090"/>
      <c r="M112" s="1098"/>
      <c r="N112" s="3962">
        <f t="shared" si="14"/>
        <v>0</v>
      </c>
      <c r="O112" s="3232"/>
      <c r="P112" s="3435"/>
      <c r="Q112" s="3329"/>
      <c r="R112" s="1077"/>
      <c r="S112" s="1089"/>
      <c r="T112" s="1077"/>
      <c r="U112" s="3232"/>
      <c r="V112" s="1077"/>
      <c r="W112" s="3435"/>
      <c r="X112" s="3329"/>
      <c r="Y112" s="1077"/>
      <c r="Z112" s="5238"/>
      <c r="AA112" s="5238"/>
      <c r="AB112" s="5238"/>
      <c r="AC112" s="5238"/>
      <c r="AD112" s="5238"/>
      <c r="AE112" s="2489"/>
      <c r="AF112" s="5270"/>
      <c r="AG112" s="106"/>
      <c r="AH112" s="5239"/>
      <c r="AI112" s="4561"/>
    </row>
    <row r="113" spans="1:35" x14ac:dyDescent="0.25">
      <c r="A113" s="3470" t="s">
        <v>2150</v>
      </c>
      <c r="B113" s="3962">
        <f t="shared" si="15"/>
        <v>0</v>
      </c>
      <c r="C113" s="1089"/>
      <c r="D113" s="1090"/>
      <c r="E113" s="1090"/>
      <c r="F113" s="3962">
        <f t="shared" si="13"/>
        <v>0</v>
      </c>
      <c r="G113" s="1089"/>
      <c r="H113" s="1090"/>
      <c r="I113" s="1090"/>
      <c r="J113" s="3962">
        <f t="shared" si="16"/>
        <v>0</v>
      </c>
      <c r="K113" s="1089"/>
      <c r="L113" s="1090"/>
      <c r="M113" s="1098"/>
      <c r="N113" s="3962">
        <f t="shared" si="14"/>
        <v>0</v>
      </c>
      <c r="O113" s="3232"/>
      <c r="P113" s="3435"/>
      <c r="Q113" s="3329"/>
      <c r="R113" s="1077"/>
      <c r="S113" s="1089"/>
      <c r="T113" s="1077"/>
      <c r="U113" s="3232"/>
      <c r="V113" s="1077"/>
      <c r="W113" s="3435"/>
      <c r="X113" s="3329"/>
      <c r="Y113" s="1077"/>
      <c r="Z113" s="5238"/>
      <c r="AA113" s="5238"/>
      <c r="AB113" s="5238"/>
      <c r="AC113" s="5238"/>
      <c r="AD113" s="5238"/>
      <c r="AE113" s="2489"/>
      <c r="AF113" s="5270"/>
      <c r="AG113" s="106"/>
      <c r="AH113" s="5239"/>
      <c r="AI113" s="4561"/>
    </row>
    <row r="114" spans="1:35" x14ac:dyDescent="0.25">
      <c r="A114" s="3470" t="s">
        <v>2151</v>
      </c>
      <c r="B114" s="4025">
        <f t="shared" si="15"/>
        <v>0</v>
      </c>
      <c r="C114" s="131"/>
      <c r="D114" s="132"/>
      <c r="E114" s="132"/>
      <c r="F114" s="4025">
        <f t="shared" si="13"/>
        <v>0</v>
      </c>
      <c r="G114" s="131"/>
      <c r="H114" s="132"/>
      <c r="I114" s="132"/>
      <c r="J114" s="4025">
        <f t="shared" si="16"/>
        <v>0</v>
      </c>
      <c r="K114" s="131"/>
      <c r="L114" s="132"/>
      <c r="M114" s="1520"/>
      <c r="N114" s="3962">
        <f t="shared" si="14"/>
        <v>0</v>
      </c>
      <c r="O114" s="4562"/>
      <c r="P114" s="2487"/>
      <c r="Q114" s="3329"/>
      <c r="R114" s="1077"/>
      <c r="S114" s="1089"/>
      <c r="T114" s="1077"/>
      <c r="U114" s="3232"/>
      <c r="V114" s="1077"/>
      <c r="W114" s="3435"/>
      <c r="X114" s="3329"/>
      <c r="Y114" s="1077"/>
      <c r="Z114" s="5238"/>
      <c r="AA114" s="5238"/>
      <c r="AB114" s="5238"/>
      <c r="AC114" s="5238"/>
      <c r="AD114" s="5238"/>
      <c r="AE114" s="2489"/>
      <c r="AF114" s="5270"/>
      <c r="AG114" s="106"/>
      <c r="AH114" s="5239"/>
      <c r="AI114" s="4561"/>
    </row>
    <row r="115" spans="1:35" x14ac:dyDescent="0.25">
      <c r="A115" s="3470" t="s">
        <v>232</v>
      </c>
      <c r="B115" s="3962">
        <f t="shared" si="15"/>
        <v>0</v>
      </c>
      <c r="C115" s="1089"/>
      <c r="D115" s="1090"/>
      <c r="E115" s="1090"/>
      <c r="F115" s="3962">
        <f t="shared" si="13"/>
        <v>0</v>
      </c>
      <c r="G115" s="1089"/>
      <c r="H115" s="1090"/>
      <c r="I115" s="1090"/>
      <c r="J115" s="3962">
        <f t="shared" si="16"/>
        <v>0</v>
      </c>
      <c r="K115" s="1089"/>
      <c r="L115" s="1090"/>
      <c r="M115" s="1098"/>
      <c r="N115" s="3962">
        <f t="shared" si="14"/>
        <v>0</v>
      </c>
      <c r="O115" s="3232"/>
      <c r="P115" s="3435"/>
      <c r="Q115" s="3329"/>
      <c r="R115" s="1077"/>
      <c r="S115" s="1089"/>
      <c r="T115" s="1077"/>
      <c r="U115" s="3232"/>
      <c r="V115" s="1077"/>
      <c r="W115" s="3435"/>
      <c r="X115" s="3329"/>
      <c r="Y115" s="1077"/>
      <c r="Z115" s="5238"/>
      <c r="AA115" s="5238"/>
      <c r="AB115" s="5238"/>
      <c r="AC115" s="5238"/>
      <c r="AD115" s="5238"/>
      <c r="AE115" s="2489"/>
      <c r="AF115" s="5270"/>
      <c r="AG115" s="106"/>
      <c r="AH115" s="5239"/>
      <c r="AI115" s="4561"/>
    </row>
    <row r="116" spans="1:35" x14ac:dyDescent="0.25">
      <c r="A116" s="3470" t="s">
        <v>233</v>
      </c>
      <c r="B116" s="2490">
        <f t="shared" si="15"/>
        <v>0</v>
      </c>
      <c r="C116" s="90"/>
      <c r="D116" s="127"/>
      <c r="E116" s="127"/>
      <c r="F116" s="2490">
        <f t="shared" si="13"/>
        <v>0</v>
      </c>
      <c r="G116" s="90"/>
      <c r="H116" s="127"/>
      <c r="I116" s="127"/>
      <c r="J116" s="2490">
        <f t="shared" si="16"/>
        <v>0</v>
      </c>
      <c r="K116" s="90"/>
      <c r="L116" s="127"/>
      <c r="M116" s="128"/>
      <c r="N116" s="3962">
        <f t="shared" si="14"/>
        <v>0</v>
      </c>
      <c r="O116" s="129"/>
      <c r="P116" s="2056"/>
      <c r="Q116" s="3329"/>
      <c r="R116" s="1077"/>
      <c r="S116" s="1089"/>
      <c r="T116" s="1077"/>
      <c r="U116" s="3232"/>
      <c r="V116" s="1077"/>
      <c r="W116" s="3435"/>
      <c r="X116" s="3329"/>
      <c r="Y116" s="1077"/>
      <c r="Z116" s="3234"/>
      <c r="AA116" s="1077"/>
      <c r="AB116" s="5238"/>
      <c r="AC116" s="5238"/>
      <c r="AD116" s="5238"/>
      <c r="AE116" s="2489"/>
      <c r="AF116" s="5270"/>
      <c r="AG116" s="106"/>
      <c r="AH116" s="5239"/>
      <c r="AI116" s="4561"/>
    </row>
    <row r="117" spans="1:35" x14ac:dyDescent="0.25">
      <c r="A117" s="3470" t="s">
        <v>234</v>
      </c>
      <c r="B117" s="2490">
        <f t="shared" si="15"/>
        <v>0</v>
      </c>
      <c r="C117" s="90"/>
      <c r="D117" s="127"/>
      <c r="E117" s="127"/>
      <c r="F117" s="2490">
        <f t="shared" si="13"/>
        <v>0</v>
      </c>
      <c r="G117" s="90"/>
      <c r="H117" s="127"/>
      <c r="I117" s="127"/>
      <c r="J117" s="2490">
        <f t="shared" si="16"/>
        <v>0</v>
      </c>
      <c r="K117" s="90"/>
      <c r="L117" s="127"/>
      <c r="M117" s="128"/>
      <c r="N117" s="3962">
        <f t="shared" si="14"/>
        <v>0</v>
      </c>
      <c r="O117" s="129"/>
      <c r="P117" s="2056"/>
      <c r="Q117" s="3329"/>
      <c r="R117" s="1077"/>
      <c r="S117" s="1089"/>
      <c r="T117" s="1077"/>
      <c r="U117" s="3232"/>
      <c r="V117" s="1077"/>
      <c r="W117" s="3435"/>
      <c r="X117" s="3329"/>
      <c r="Y117" s="1077"/>
      <c r="Z117" s="3234"/>
      <c r="AA117" s="1077"/>
      <c r="AB117" s="5238"/>
      <c r="AC117" s="5238"/>
      <c r="AD117" s="5238"/>
      <c r="AE117" s="2489"/>
      <c r="AF117" s="5270"/>
      <c r="AG117" s="106"/>
      <c r="AH117" s="5239"/>
      <c r="AI117" s="4561"/>
    </row>
    <row r="118" spans="1:35" x14ac:dyDescent="0.25">
      <c r="A118" s="3470" t="s">
        <v>235</v>
      </c>
      <c r="B118" s="2490">
        <f t="shared" si="15"/>
        <v>0</v>
      </c>
      <c r="C118" s="90"/>
      <c r="D118" s="127"/>
      <c r="E118" s="127"/>
      <c r="F118" s="2490">
        <f t="shared" si="13"/>
        <v>0</v>
      </c>
      <c r="G118" s="90"/>
      <c r="H118" s="127"/>
      <c r="I118" s="127"/>
      <c r="J118" s="2490">
        <f t="shared" si="16"/>
        <v>0</v>
      </c>
      <c r="K118" s="90"/>
      <c r="L118" s="127"/>
      <c r="M118" s="128"/>
      <c r="N118" s="3962">
        <f t="shared" si="14"/>
        <v>0</v>
      </c>
      <c r="O118" s="129"/>
      <c r="P118" s="2056"/>
      <c r="Q118" s="3329"/>
      <c r="R118" s="1077"/>
      <c r="S118" s="1089"/>
      <c r="T118" s="1077"/>
      <c r="U118" s="3232"/>
      <c r="V118" s="1077"/>
      <c r="W118" s="3435"/>
      <c r="X118" s="3329"/>
      <c r="Y118" s="1077"/>
      <c r="Z118" s="3234"/>
      <c r="AA118" s="1077"/>
      <c r="AB118" s="5238"/>
      <c r="AC118" s="5238"/>
      <c r="AD118" s="5238"/>
      <c r="AE118" s="2489"/>
      <c r="AF118" s="5270"/>
      <c r="AG118" s="106"/>
      <c r="AH118" s="5239"/>
      <c r="AI118" s="4561"/>
    </row>
    <row r="119" spans="1:35" x14ac:dyDescent="0.25">
      <c r="A119" s="2028" t="s">
        <v>236</v>
      </c>
      <c r="B119" s="2490">
        <f t="shared" si="15"/>
        <v>0</v>
      </c>
      <c r="C119" s="90"/>
      <c r="D119" s="127"/>
      <c r="E119" s="127"/>
      <c r="F119" s="2490">
        <f t="shared" si="13"/>
        <v>0</v>
      </c>
      <c r="G119" s="90"/>
      <c r="H119" s="127"/>
      <c r="I119" s="127"/>
      <c r="J119" s="2490">
        <f t="shared" si="16"/>
        <v>0</v>
      </c>
      <c r="K119" s="90"/>
      <c r="L119" s="127"/>
      <c r="M119" s="128"/>
      <c r="N119" s="3962">
        <f t="shared" si="14"/>
        <v>0</v>
      </c>
      <c r="O119" s="129"/>
      <c r="P119" s="2056"/>
      <c r="Q119" s="3329"/>
      <c r="R119" s="1077"/>
      <c r="S119" s="1089"/>
      <c r="T119" s="1077"/>
      <c r="U119" s="3232"/>
      <c r="V119" s="1077"/>
      <c r="W119" s="3435"/>
      <c r="X119" s="3329"/>
      <c r="Y119" s="1077"/>
      <c r="Z119" s="3234"/>
      <c r="AA119" s="1077"/>
      <c r="AB119" s="5238"/>
      <c r="AC119" s="5238"/>
      <c r="AD119" s="5238"/>
      <c r="AE119" s="2489"/>
      <c r="AF119" s="5270"/>
      <c r="AG119" s="106"/>
      <c r="AH119" s="5239"/>
      <c r="AI119" s="4561"/>
    </row>
    <row r="120" spans="1:35" x14ac:dyDescent="0.25">
      <c r="A120" s="3713" t="s">
        <v>237</v>
      </c>
      <c r="B120" s="2490">
        <f t="shared" si="15"/>
        <v>0</v>
      </c>
      <c r="C120" s="90"/>
      <c r="D120" s="127"/>
      <c r="E120" s="127"/>
      <c r="F120" s="2490">
        <f t="shared" si="13"/>
        <v>0</v>
      </c>
      <c r="G120" s="90"/>
      <c r="H120" s="127"/>
      <c r="I120" s="127"/>
      <c r="J120" s="2490">
        <f t="shared" si="16"/>
        <v>0</v>
      </c>
      <c r="K120" s="90"/>
      <c r="L120" s="127"/>
      <c r="M120" s="128"/>
      <c r="N120" s="3962">
        <f t="shared" si="14"/>
        <v>0</v>
      </c>
      <c r="O120" s="129"/>
      <c r="P120" s="2056"/>
      <c r="Q120" s="3329"/>
      <c r="R120" s="1077"/>
      <c r="S120" s="1089"/>
      <c r="T120" s="1077"/>
      <c r="U120" s="3232"/>
      <c r="V120" s="1077"/>
      <c r="W120" s="3435"/>
      <c r="X120" s="3329"/>
      <c r="Y120" s="1077"/>
      <c r="Z120" s="3234"/>
      <c r="AA120" s="1077"/>
      <c r="AB120" s="5238"/>
      <c r="AC120" s="5238"/>
      <c r="AD120" s="5238"/>
      <c r="AE120" s="2489"/>
      <c r="AF120" s="5270"/>
      <c r="AG120" s="106"/>
      <c r="AH120" s="5239"/>
      <c r="AI120" s="4561"/>
    </row>
    <row r="121" spans="1:35" x14ac:dyDescent="0.25">
      <c r="A121" s="3713" t="s">
        <v>2152</v>
      </c>
      <c r="B121" s="2490">
        <f t="shared" si="15"/>
        <v>0</v>
      </c>
      <c r="C121" s="90"/>
      <c r="D121" s="127"/>
      <c r="E121" s="127"/>
      <c r="F121" s="2490">
        <f t="shared" si="13"/>
        <v>0</v>
      </c>
      <c r="G121" s="90"/>
      <c r="H121" s="127"/>
      <c r="I121" s="127"/>
      <c r="J121" s="2490">
        <f t="shared" si="16"/>
        <v>0</v>
      </c>
      <c r="K121" s="90"/>
      <c r="L121" s="127"/>
      <c r="M121" s="128"/>
      <c r="N121" s="3962">
        <f t="shared" si="14"/>
        <v>0</v>
      </c>
      <c r="O121" s="129"/>
      <c r="P121" s="2056"/>
      <c r="Q121" s="3329"/>
      <c r="R121" s="1077"/>
      <c r="S121" s="1089"/>
      <c r="T121" s="1077"/>
      <c r="U121" s="3232"/>
      <c r="V121" s="1077"/>
      <c r="W121" s="3435"/>
      <c r="X121" s="3329"/>
      <c r="Y121" s="1077"/>
      <c r="Z121" s="3234"/>
      <c r="AA121" s="1077"/>
      <c r="AB121" s="5238"/>
      <c r="AC121" s="5238"/>
      <c r="AD121" s="5238"/>
      <c r="AE121" s="2489"/>
      <c r="AF121" s="5270"/>
      <c r="AG121" s="106"/>
      <c r="AH121" s="5239"/>
      <c r="AI121" s="4561"/>
    </row>
    <row r="122" spans="1:35" x14ac:dyDescent="0.25">
      <c r="A122" s="3713" t="s">
        <v>2153</v>
      </c>
      <c r="B122" s="2490">
        <f t="shared" si="15"/>
        <v>0</v>
      </c>
      <c r="C122" s="90"/>
      <c r="D122" s="127"/>
      <c r="E122" s="127"/>
      <c r="F122" s="2490">
        <f t="shared" si="13"/>
        <v>0</v>
      </c>
      <c r="G122" s="90"/>
      <c r="H122" s="127"/>
      <c r="I122" s="127"/>
      <c r="J122" s="2490">
        <f t="shared" si="16"/>
        <v>0</v>
      </c>
      <c r="K122" s="90"/>
      <c r="L122" s="127"/>
      <c r="M122" s="128"/>
      <c r="N122" s="3962">
        <f t="shared" si="14"/>
        <v>0</v>
      </c>
      <c r="O122" s="129"/>
      <c r="P122" s="2056"/>
      <c r="Q122" s="3329"/>
      <c r="R122" s="1077"/>
      <c r="S122" s="1089"/>
      <c r="T122" s="1077"/>
      <c r="U122" s="3232"/>
      <c r="V122" s="1077"/>
      <c r="W122" s="3435"/>
      <c r="X122" s="3329"/>
      <c r="Y122" s="1077"/>
      <c r="Z122" s="3234"/>
      <c r="AA122" s="1077"/>
      <c r="AB122" s="5238"/>
      <c r="AC122" s="5238"/>
      <c r="AD122" s="5238"/>
      <c r="AE122" s="2489"/>
      <c r="AF122" s="5270"/>
      <c r="AG122" s="106"/>
      <c r="AH122" s="5239"/>
      <c r="AI122" s="4561"/>
    </row>
    <row r="123" spans="1:35" x14ac:dyDescent="0.25">
      <c r="A123" s="3470" t="s">
        <v>238</v>
      </c>
      <c r="B123" s="2490">
        <f t="shared" si="15"/>
        <v>0</v>
      </c>
      <c r="C123" s="90"/>
      <c r="D123" s="127"/>
      <c r="E123" s="127"/>
      <c r="F123" s="2490">
        <f t="shared" si="13"/>
        <v>0</v>
      </c>
      <c r="G123" s="90"/>
      <c r="H123" s="127"/>
      <c r="I123" s="127"/>
      <c r="J123" s="2490">
        <f t="shared" si="16"/>
        <v>0</v>
      </c>
      <c r="K123" s="90"/>
      <c r="L123" s="127"/>
      <c r="M123" s="128"/>
      <c r="N123" s="3962">
        <f t="shared" si="14"/>
        <v>0</v>
      </c>
      <c r="O123" s="129"/>
      <c r="P123" s="2056"/>
      <c r="Q123" s="3329"/>
      <c r="R123" s="1077"/>
      <c r="S123" s="1089"/>
      <c r="T123" s="1077"/>
      <c r="U123" s="3232"/>
      <c r="V123" s="1077"/>
      <c r="W123" s="3435"/>
      <c r="X123" s="3329"/>
      <c r="Y123" s="1077"/>
      <c r="Z123" s="3234"/>
      <c r="AA123" s="1077"/>
      <c r="AB123" s="5238"/>
      <c r="AC123" s="5238"/>
      <c r="AD123" s="5238"/>
      <c r="AE123" s="2489"/>
      <c r="AF123" s="5270"/>
      <c r="AG123" s="106"/>
      <c r="AH123" s="5239"/>
      <c r="AI123" s="4561"/>
    </row>
    <row r="124" spans="1:35" x14ac:dyDescent="0.25">
      <c r="A124" s="3470" t="s">
        <v>239</v>
      </c>
      <c r="B124" s="3962">
        <f t="shared" si="15"/>
        <v>0</v>
      </c>
      <c r="C124" s="1089"/>
      <c r="D124" s="1090"/>
      <c r="E124" s="1090"/>
      <c r="F124" s="3962">
        <f t="shared" si="13"/>
        <v>0</v>
      </c>
      <c r="G124" s="1089"/>
      <c r="H124" s="1090"/>
      <c r="I124" s="1090"/>
      <c r="J124" s="3962">
        <f t="shared" si="16"/>
        <v>0</v>
      </c>
      <c r="K124" s="1089"/>
      <c r="L124" s="1090"/>
      <c r="M124" s="1098"/>
      <c r="N124" s="3962">
        <f t="shared" si="14"/>
        <v>0</v>
      </c>
      <c r="O124" s="3232"/>
      <c r="P124" s="3435"/>
      <c r="Q124" s="3329"/>
      <c r="R124" s="1077"/>
      <c r="S124" s="1089"/>
      <c r="T124" s="1077"/>
      <c r="U124" s="3232"/>
      <c r="V124" s="1077"/>
      <c r="W124" s="3435"/>
      <c r="X124" s="3329"/>
      <c r="Y124" s="1077"/>
      <c r="Z124" s="3234"/>
      <c r="AA124" s="1077"/>
      <c r="AB124" s="5238"/>
      <c r="AC124" s="5238"/>
      <c r="AD124" s="5238"/>
      <c r="AE124" s="2489"/>
      <c r="AF124" s="5270"/>
      <c r="AG124" s="106"/>
      <c r="AH124" s="5239"/>
      <c r="AI124" s="4561"/>
    </row>
    <row r="125" spans="1:35" x14ac:dyDescent="0.25">
      <c r="A125" s="3470" t="s">
        <v>2154</v>
      </c>
      <c r="B125" s="3962">
        <f t="shared" si="15"/>
        <v>0</v>
      </c>
      <c r="C125" s="1089"/>
      <c r="D125" s="1090"/>
      <c r="E125" s="1090"/>
      <c r="F125" s="3962">
        <f t="shared" si="13"/>
        <v>0</v>
      </c>
      <c r="G125" s="1089"/>
      <c r="H125" s="1090"/>
      <c r="I125" s="1090"/>
      <c r="J125" s="3962">
        <f t="shared" si="16"/>
        <v>0</v>
      </c>
      <c r="K125" s="1089"/>
      <c r="L125" s="1090"/>
      <c r="M125" s="1098"/>
      <c r="N125" s="3962">
        <f t="shared" si="14"/>
        <v>0</v>
      </c>
      <c r="O125" s="3232"/>
      <c r="P125" s="3435"/>
      <c r="Q125" s="3329"/>
      <c r="R125" s="1077"/>
      <c r="S125" s="1089"/>
      <c r="T125" s="1077"/>
      <c r="U125" s="3232"/>
      <c r="V125" s="1077"/>
      <c r="W125" s="3435"/>
      <c r="X125" s="3329"/>
      <c r="Y125" s="1077"/>
      <c r="Z125" s="3234"/>
      <c r="AA125" s="1077"/>
      <c r="AB125" s="5238"/>
      <c r="AC125" s="5238"/>
      <c r="AD125" s="5238"/>
      <c r="AE125" s="2489"/>
      <c r="AF125" s="5270"/>
      <c r="AG125" s="106"/>
      <c r="AH125" s="5239"/>
      <c r="AI125" s="4561"/>
    </row>
    <row r="126" spans="1:35" x14ac:dyDescent="0.25">
      <c r="A126" s="3470" t="s">
        <v>2155</v>
      </c>
      <c r="B126" s="4025">
        <f t="shared" si="15"/>
        <v>0</v>
      </c>
      <c r="C126" s="131"/>
      <c r="D126" s="132"/>
      <c r="E126" s="132"/>
      <c r="F126" s="4025">
        <f t="shared" si="13"/>
        <v>0</v>
      </c>
      <c r="G126" s="131"/>
      <c r="H126" s="132"/>
      <c r="I126" s="132"/>
      <c r="J126" s="4025">
        <f t="shared" si="16"/>
        <v>0</v>
      </c>
      <c r="K126" s="131"/>
      <c r="L126" s="132"/>
      <c r="M126" s="1520"/>
      <c r="N126" s="3962">
        <f t="shared" si="14"/>
        <v>0</v>
      </c>
      <c r="O126" s="4562"/>
      <c r="P126" s="2487"/>
      <c r="Q126" s="3329"/>
      <c r="R126" s="1077"/>
      <c r="S126" s="1089"/>
      <c r="T126" s="1077"/>
      <c r="U126" s="3232"/>
      <c r="V126" s="1077"/>
      <c r="W126" s="3435"/>
      <c r="X126" s="3329"/>
      <c r="Y126" s="1077"/>
      <c r="Z126" s="3234"/>
      <c r="AA126" s="1077"/>
      <c r="AB126" s="5238"/>
      <c r="AC126" s="5238"/>
      <c r="AD126" s="5238"/>
      <c r="AE126" s="2489"/>
      <c r="AF126" s="5270"/>
      <c r="AG126" s="106"/>
      <c r="AH126" s="5239"/>
      <c r="AI126" s="4561"/>
    </row>
    <row r="127" spans="1:35" x14ac:dyDescent="0.25">
      <c r="A127" s="3470" t="s">
        <v>2156</v>
      </c>
      <c r="B127" s="2490">
        <f t="shared" si="15"/>
        <v>0</v>
      </c>
      <c r="C127" s="90"/>
      <c r="D127" s="127"/>
      <c r="E127" s="127"/>
      <c r="F127" s="2490">
        <f t="shared" si="13"/>
        <v>0</v>
      </c>
      <c r="G127" s="90"/>
      <c r="H127" s="127"/>
      <c r="I127" s="127"/>
      <c r="J127" s="2490">
        <f t="shared" si="16"/>
        <v>0</v>
      </c>
      <c r="K127" s="90"/>
      <c r="L127" s="127"/>
      <c r="M127" s="128"/>
      <c r="N127" s="3962">
        <f t="shared" si="14"/>
        <v>0</v>
      </c>
      <c r="O127" s="129"/>
      <c r="P127" s="2056"/>
      <c r="Q127" s="3329"/>
      <c r="R127" s="1077"/>
      <c r="S127" s="1089"/>
      <c r="T127" s="1077"/>
      <c r="U127" s="3232"/>
      <c r="V127" s="1077"/>
      <c r="W127" s="3435"/>
      <c r="X127" s="3329"/>
      <c r="Y127" s="1077"/>
      <c r="Z127" s="3234"/>
      <c r="AA127" s="1077"/>
      <c r="AB127" s="5238"/>
      <c r="AC127" s="5238"/>
      <c r="AD127" s="5238"/>
      <c r="AE127" s="2489"/>
      <c r="AF127" s="5270"/>
      <c r="AG127" s="106"/>
      <c r="AH127" s="5239"/>
      <c r="AI127" s="4561"/>
    </row>
    <row r="128" spans="1:35" x14ac:dyDescent="0.25">
      <c r="A128" s="3470" t="s">
        <v>2157</v>
      </c>
      <c r="B128" s="2490">
        <f t="shared" si="15"/>
        <v>0</v>
      </c>
      <c r="C128" s="90"/>
      <c r="D128" s="127"/>
      <c r="E128" s="127"/>
      <c r="F128" s="2490">
        <f t="shared" si="13"/>
        <v>0</v>
      </c>
      <c r="G128" s="90"/>
      <c r="H128" s="127"/>
      <c r="I128" s="127"/>
      <c r="J128" s="2490">
        <f t="shared" si="16"/>
        <v>0</v>
      </c>
      <c r="K128" s="90"/>
      <c r="L128" s="127"/>
      <c r="M128" s="128"/>
      <c r="N128" s="3962">
        <f t="shared" si="14"/>
        <v>0</v>
      </c>
      <c r="O128" s="129"/>
      <c r="P128" s="2056"/>
      <c r="Q128" s="3329"/>
      <c r="R128" s="1077"/>
      <c r="S128" s="1089"/>
      <c r="T128" s="1077"/>
      <c r="U128" s="3232"/>
      <c r="V128" s="1077"/>
      <c r="W128" s="3435"/>
      <c r="X128" s="3329"/>
      <c r="Y128" s="1077"/>
      <c r="Z128" s="3234"/>
      <c r="AA128" s="1077"/>
      <c r="AB128" s="5238"/>
      <c r="AC128" s="5238"/>
      <c r="AD128" s="5238"/>
      <c r="AE128" s="2489"/>
      <c r="AF128" s="5270"/>
      <c r="AG128" s="106"/>
      <c r="AH128" s="5239"/>
      <c r="AI128" s="4561"/>
    </row>
    <row r="129" spans="1:66" x14ac:dyDescent="0.25">
      <c r="A129" s="3470" t="s">
        <v>2158</v>
      </c>
      <c r="B129" s="2490">
        <f t="shared" si="15"/>
        <v>0</v>
      </c>
      <c r="C129" s="90"/>
      <c r="D129" s="127"/>
      <c r="E129" s="127"/>
      <c r="F129" s="2490">
        <f t="shared" si="13"/>
        <v>0</v>
      </c>
      <c r="G129" s="90"/>
      <c r="H129" s="127"/>
      <c r="I129" s="127"/>
      <c r="J129" s="2490">
        <f t="shared" si="16"/>
        <v>0</v>
      </c>
      <c r="K129" s="90"/>
      <c r="L129" s="127"/>
      <c r="M129" s="128"/>
      <c r="N129" s="3962">
        <f t="shared" si="14"/>
        <v>0</v>
      </c>
      <c r="O129" s="129"/>
      <c r="P129" s="2056"/>
      <c r="Q129" s="3329"/>
      <c r="R129" s="1077"/>
      <c r="S129" s="1089"/>
      <c r="T129" s="1077"/>
      <c r="U129" s="3232"/>
      <c r="V129" s="1077"/>
      <c r="W129" s="3435"/>
      <c r="X129" s="3329"/>
      <c r="Y129" s="1077"/>
      <c r="Z129" s="3234"/>
      <c r="AA129" s="1077"/>
      <c r="AB129" s="5238"/>
      <c r="AC129" s="5238"/>
      <c r="AD129" s="5238"/>
      <c r="AE129" s="2489"/>
      <c r="AF129" s="5270"/>
      <c r="AG129" s="106"/>
      <c r="AH129" s="5239"/>
      <c r="AI129" s="4561"/>
    </row>
    <row r="130" spans="1:66" x14ac:dyDescent="0.25">
      <c r="A130" s="3470" t="s">
        <v>2159</v>
      </c>
      <c r="B130" s="3962">
        <f t="shared" si="15"/>
        <v>0</v>
      </c>
      <c r="C130" s="1089"/>
      <c r="D130" s="1090"/>
      <c r="E130" s="1090"/>
      <c r="F130" s="3962">
        <f t="shared" si="13"/>
        <v>0</v>
      </c>
      <c r="G130" s="1089"/>
      <c r="H130" s="1090"/>
      <c r="I130" s="1090"/>
      <c r="J130" s="3962">
        <f t="shared" si="16"/>
        <v>0</v>
      </c>
      <c r="K130" s="1089"/>
      <c r="L130" s="1090"/>
      <c r="M130" s="1098"/>
      <c r="N130" s="3962">
        <f t="shared" si="14"/>
        <v>0</v>
      </c>
      <c r="O130" s="3232"/>
      <c r="P130" s="3435"/>
      <c r="Q130" s="3329"/>
      <c r="R130" s="1077"/>
      <c r="S130" s="1089"/>
      <c r="T130" s="1077"/>
      <c r="U130" s="3232"/>
      <c r="V130" s="1077"/>
      <c r="W130" s="3435"/>
      <c r="X130" s="3329"/>
      <c r="Y130" s="1077"/>
      <c r="Z130" s="3234"/>
      <c r="AA130" s="1077"/>
      <c r="AB130" s="5238"/>
      <c r="AC130" s="5238"/>
      <c r="AD130" s="5238"/>
      <c r="AE130" s="2489"/>
      <c r="AF130" s="5270"/>
      <c r="AG130" s="106"/>
      <c r="AH130" s="5239"/>
      <c r="AI130" s="4561"/>
    </row>
    <row r="131" spans="1:66" x14ac:dyDescent="0.25">
      <c r="A131" s="3470" t="s">
        <v>2160</v>
      </c>
      <c r="B131" s="3962">
        <f t="shared" si="15"/>
        <v>0</v>
      </c>
      <c r="C131" s="1089"/>
      <c r="D131" s="1090"/>
      <c r="E131" s="1090"/>
      <c r="F131" s="3962">
        <f t="shared" si="13"/>
        <v>0</v>
      </c>
      <c r="G131" s="1089"/>
      <c r="H131" s="1090"/>
      <c r="I131" s="1090"/>
      <c r="J131" s="3962">
        <f t="shared" si="16"/>
        <v>0</v>
      </c>
      <c r="K131" s="1089"/>
      <c r="L131" s="1090"/>
      <c r="M131" s="1098"/>
      <c r="N131" s="3962">
        <f t="shared" si="14"/>
        <v>0</v>
      </c>
      <c r="O131" s="3232"/>
      <c r="P131" s="3435"/>
      <c r="Q131" s="3329"/>
      <c r="R131" s="1077"/>
      <c r="S131" s="1089"/>
      <c r="T131" s="1077"/>
      <c r="U131" s="3232"/>
      <c r="V131" s="1077"/>
      <c r="W131" s="3435"/>
      <c r="X131" s="3329"/>
      <c r="Y131" s="1077"/>
      <c r="Z131" s="3234"/>
      <c r="AA131" s="1077"/>
      <c r="AB131" s="5238"/>
      <c r="AC131" s="5238"/>
      <c r="AD131" s="5238"/>
      <c r="AE131" s="2489"/>
      <c r="AF131" s="5270"/>
      <c r="AG131" s="106"/>
      <c r="AH131" s="5239"/>
      <c r="AI131" s="4561"/>
    </row>
    <row r="132" spans="1:66" x14ac:dyDescent="0.25">
      <c r="A132" s="3470" t="s">
        <v>240</v>
      </c>
      <c r="B132" s="3962">
        <f t="shared" si="15"/>
        <v>0</v>
      </c>
      <c r="C132" s="1089"/>
      <c r="D132" s="1090"/>
      <c r="E132" s="1090"/>
      <c r="F132" s="3962">
        <f t="shared" si="13"/>
        <v>0</v>
      </c>
      <c r="G132" s="1089"/>
      <c r="H132" s="1090"/>
      <c r="I132" s="1090"/>
      <c r="J132" s="3962">
        <f t="shared" si="16"/>
        <v>0</v>
      </c>
      <c r="K132" s="1089"/>
      <c r="L132" s="1090"/>
      <c r="M132" s="1098"/>
      <c r="N132" s="3962">
        <f t="shared" si="14"/>
        <v>0</v>
      </c>
      <c r="O132" s="3232"/>
      <c r="P132" s="3435"/>
      <c r="Q132" s="3329"/>
      <c r="R132" s="1077"/>
      <c r="S132" s="1089"/>
      <c r="T132" s="1077"/>
      <c r="U132" s="3232"/>
      <c r="V132" s="1077"/>
      <c r="W132" s="3435"/>
      <c r="X132" s="3329"/>
      <c r="Y132" s="1077"/>
      <c r="Z132" s="3234"/>
      <c r="AA132" s="1077"/>
      <c r="AB132" s="5238"/>
      <c r="AC132" s="5238"/>
      <c r="AD132" s="5238"/>
      <c r="AE132" s="2492"/>
      <c r="AF132" s="5270"/>
      <c r="AG132" s="106"/>
      <c r="AH132" s="5239"/>
      <c r="AI132" s="4561"/>
    </row>
    <row r="133" spans="1:66" x14ac:dyDescent="0.25">
      <c r="A133" s="3470" t="s">
        <v>2161</v>
      </c>
      <c r="B133" s="3962">
        <f t="shared" si="15"/>
        <v>0</v>
      </c>
      <c r="C133" s="1089"/>
      <c r="D133" s="1090"/>
      <c r="E133" s="1090"/>
      <c r="F133" s="3962">
        <f t="shared" si="13"/>
        <v>0</v>
      </c>
      <c r="G133" s="1089"/>
      <c r="H133" s="1090"/>
      <c r="I133" s="1090"/>
      <c r="J133" s="3962">
        <f t="shared" si="16"/>
        <v>0</v>
      </c>
      <c r="K133" s="1089"/>
      <c r="L133" s="1090"/>
      <c r="M133" s="1098"/>
      <c r="N133" s="3962">
        <f t="shared" si="14"/>
        <v>0</v>
      </c>
      <c r="O133" s="3232"/>
      <c r="P133" s="3435"/>
      <c r="Q133" s="3329"/>
      <c r="R133" s="1077"/>
      <c r="S133" s="1089"/>
      <c r="T133" s="1077"/>
      <c r="U133" s="3232"/>
      <c r="V133" s="1077"/>
      <c r="W133" s="3435"/>
      <c r="X133" s="3329"/>
      <c r="Y133" s="1077"/>
      <c r="Z133" s="3234"/>
      <c r="AA133" s="1077"/>
      <c r="AB133" s="3234"/>
      <c r="AC133" s="3234"/>
      <c r="AD133" s="1077"/>
      <c r="AE133" s="2492"/>
      <c r="AF133" s="2493"/>
      <c r="AG133" s="1089"/>
      <c r="AH133" s="1090"/>
      <c r="AI133" s="3166"/>
    </row>
    <row r="134" spans="1:66" x14ac:dyDescent="0.25">
      <c r="A134" s="2028" t="s">
        <v>241</v>
      </c>
      <c r="B134" s="1751">
        <f t="shared" si="15"/>
        <v>0</v>
      </c>
      <c r="C134" s="106"/>
      <c r="D134" s="5239"/>
      <c r="E134" s="5239"/>
      <c r="F134" s="1751">
        <f t="shared" si="13"/>
        <v>0</v>
      </c>
      <c r="G134" s="106"/>
      <c r="H134" s="5239"/>
      <c r="I134" s="5239"/>
      <c r="J134" s="1751">
        <f t="shared" si="16"/>
        <v>0</v>
      </c>
      <c r="K134" s="106"/>
      <c r="L134" s="5239"/>
      <c r="M134" s="4952"/>
      <c r="N134" s="3962">
        <f t="shared" si="14"/>
        <v>0</v>
      </c>
      <c r="O134" s="591"/>
      <c r="P134" s="135"/>
      <c r="Q134" s="3329"/>
      <c r="R134" s="1077"/>
      <c r="S134" s="106"/>
      <c r="T134" s="5238"/>
      <c r="U134" s="591"/>
      <c r="V134" s="5238"/>
      <c r="W134" s="135"/>
      <c r="X134" s="3329"/>
      <c r="Y134" s="1077"/>
      <c r="Z134" s="4561"/>
      <c r="AA134" s="4561"/>
      <c r="AB134" s="4561"/>
      <c r="AC134" s="4561"/>
      <c r="AD134" s="4561"/>
      <c r="AE134" s="2489"/>
      <c r="AF134" s="2494"/>
      <c r="AG134" s="106"/>
      <c r="AH134" s="5239"/>
      <c r="AI134" s="4561"/>
    </row>
    <row r="135" spans="1:66" x14ac:dyDescent="0.25">
      <c r="A135" s="5243" t="s">
        <v>2162</v>
      </c>
      <c r="B135" s="1752">
        <f t="shared" si="15"/>
        <v>0</v>
      </c>
      <c r="C135" s="3112"/>
      <c r="D135" s="3109"/>
      <c r="E135" s="3109"/>
      <c r="F135" s="1752">
        <f t="shared" si="13"/>
        <v>0</v>
      </c>
      <c r="G135" s="3112"/>
      <c r="H135" s="3109"/>
      <c r="I135" s="3109"/>
      <c r="J135" s="1752">
        <f t="shared" si="16"/>
        <v>0</v>
      </c>
      <c r="K135" s="3112"/>
      <c r="L135" s="3109"/>
      <c r="M135" s="3333"/>
      <c r="N135" s="1752">
        <f t="shared" si="14"/>
        <v>0</v>
      </c>
      <c r="O135" s="121"/>
      <c r="P135" s="138"/>
      <c r="Q135" s="118"/>
      <c r="R135" s="3124"/>
      <c r="S135" s="3112"/>
      <c r="T135" s="3124"/>
      <c r="U135" s="121"/>
      <c r="V135" s="3124"/>
      <c r="W135" s="138"/>
      <c r="X135" s="118"/>
      <c r="Y135" s="3124"/>
      <c r="Z135" s="117"/>
      <c r="AA135" s="117"/>
      <c r="AB135" s="117"/>
      <c r="AC135" s="117"/>
      <c r="AD135" s="117"/>
      <c r="AE135" s="5271"/>
      <c r="AF135" s="2495"/>
      <c r="AG135" s="3112"/>
      <c r="AH135" s="3109"/>
      <c r="AI135" s="117"/>
    </row>
    <row r="136" spans="1:66" x14ac:dyDescent="0.25">
      <c r="A136" s="5272" t="s">
        <v>24</v>
      </c>
      <c r="B136" s="5273">
        <f t="shared" ref="B136:V136" si="17">SUM(B76:B135)</f>
        <v>0</v>
      </c>
      <c r="C136" s="5250">
        <f>SUM(C76:C135)</f>
        <v>0</v>
      </c>
      <c r="D136" s="2484">
        <f>SUM(D76:D135)</f>
        <v>0</v>
      </c>
      <c r="E136" s="2484">
        <f>SUM(E76:E135)</f>
        <v>0</v>
      </c>
      <c r="F136" s="5273">
        <f t="shared" si="17"/>
        <v>0</v>
      </c>
      <c r="G136" s="5250">
        <f t="shared" si="17"/>
        <v>0</v>
      </c>
      <c r="H136" s="2484">
        <f t="shared" si="17"/>
        <v>0</v>
      </c>
      <c r="I136" s="2484">
        <f t="shared" si="17"/>
        <v>0</v>
      </c>
      <c r="J136" s="5273">
        <f t="shared" si="17"/>
        <v>0</v>
      </c>
      <c r="K136" s="5250">
        <f t="shared" si="17"/>
        <v>0</v>
      </c>
      <c r="L136" s="2484">
        <f t="shared" si="17"/>
        <v>0</v>
      </c>
      <c r="M136" s="2484">
        <f t="shared" si="17"/>
        <v>0</v>
      </c>
      <c r="N136" s="5273">
        <f>SUM(N76:N135)</f>
        <v>0</v>
      </c>
      <c r="O136" s="5274">
        <f t="shared" si="17"/>
        <v>0</v>
      </c>
      <c r="P136" s="5275">
        <f t="shared" si="17"/>
        <v>0</v>
      </c>
      <c r="Q136" s="5250">
        <f t="shared" si="17"/>
        <v>0</v>
      </c>
      <c r="R136" s="5276">
        <f>SUM(R76:R135)</f>
        <v>0</v>
      </c>
      <c r="S136" s="5219">
        <f>SUM(S76:S135)</f>
        <v>0</v>
      </c>
      <c r="T136" s="4954">
        <f>SUM(T76:T135)</f>
        <v>0</v>
      </c>
      <c r="U136" s="5274">
        <f t="shared" si="17"/>
        <v>0</v>
      </c>
      <c r="V136" s="5247">
        <f t="shared" si="17"/>
        <v>0</v>
      </c>
      <c r="W136" s="5276">
        <f>SUM(W76:W135)</f>
        <v>0</v>
      </c>
      <c r="X136" s="5277">
        <f t="shared" ref="X136:AI136" si="18">SUM(X76:X135)</f>
        <v>0</v>
      </c>
      <c r="Y136" s="5247">
        <f t="shared" si="18"/>
        <v>0</v>
      </c>
      <c r="Z136" s="5276">
        <f t="shared" si="18"/>
        <v>0</v>
      </c>
      <c r="AA136" s="5276">
        <f t="shared" si="18"/>
        <v>0</v>
      </c>
      <c r="AB136" s="5276">
        <f t="shared" si="18"/>
        <v>0</v>
      </c>
      <c r="AC136" s="5276">
        <f t="shared" si="18"/>
        <v>0</v>
      </c>
      <c r="AD136" s="5273">
        <f t="shared" si="18"/>
        <v>0</v>
      </c>
      <c r="AE136" s="5250">
        <f t="shared" si="18"/>
        <v>0</v>
      </c>
      <c r="AF136" s="5275">
        <f t="shared" si="18"/>
        <v>0</v>
      </c>
      <c r="AG136" s="5250">
        <f t="shared" si="18"/>
        <v>0</v>
      </c>
      <c r="AH136" s="2484">
        <f t="shared" si="18"/>
        <v>0</v>
      </c>
      <c r="AI136" s="5276">
        <f t="shared" si="18"/>
        <v>0</v>
      </c>
    </row>
    <row r="137" spans="1:66" s="17" customFormat="1" ht="18" customHeight="1" x14ac:dyDescent="0.2">
      <c r="A137" s="2814" t="s">
        <v>2187</v>
      </c>
      <c r="B137" s="5278"/>
      <c r="C137" s="5278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3"/>
    </row>
    <row r="138" spans="1:66" ht="21" x14ac:dyDescent="0.25">
      <c r="A138" s="5272" t="s">
        <v>2188</v>
      </c>
      <c r="B138" s="5279" t="s">
        <v>24</v>
      </c>
      <c r="C138" s="5233" t="s">
        <v>36</v>
      </c>
      <c r="D138" s="4696" t="s">
        <v>37</v>
      </c>
      <c r="E138" s="4976" t="s">
        <v>38</v>
      </c>
      <c r="F138" s="4976" t="s">
        <v>4</v>
      </c>
      <c r="G138" s="4976" t="s">
        <v>5</v>
      </c>
      <c r="H138" s="4905" t="s">
        <v>6</v>
      </c>
      <c r="I138" s="4905" t="s">
        <v>7</v>
      </c>
      <c r="J138" s="4905" t="s">
        <v>8</v>
      </c>
      <c r="K138" s="4905" t="s">
        <v>9</v>
      </c>
      <c r="L138" s="4905" t="s">
        <v>10</v>
      </c>
      <c r="M138" s="4905" t="s">
        <v>11</v>
      </c>
      <c r="N138" s="4905" t="s">
        <v>18</v>
      </c>
      <c r="O138" s="4905" t="s">
        <v>19</v>
      </c>
      <c r="P138" s="4905" t="s">
        <v>20</v>
      </c>
      <c r="Q138" s="4905" t="s">
        <v>70</v>
      </c>
      <c r="R138" s="4905" t="s">
        <v>71</v>
      </c>
      <c r="S138" s="4977" t="s">
        <v>2189</v>
      </c>
      <c r="T138" s="4885" t="s">
        <v>2190</v>
      </c>
      <c r="U138" s="4885" t="s">
        <v>2191</v>
      </c>
    </row>
    <row r="139" spans="1:66" ht="15" customHeight="1" x14ac:dyDescent="0.25">
      <c r="A139" s="5240" t="s">
        <v>2192</v>
      </c>
      <c r="B139" s="4855">
        <f>SUM(C139:S139)</f>
        <v>0</v>
      </c>
      <c r="C139" s="5213"/>
      <c r="D139" s="5235"/>
      <c r="E139" s="5235"/>
      <c r="F139" s="5235"/>
      <c r="G139" s="5235"/>
      <c r="H139" s="5235"/>
      <c r="I139" s="5235"/>
      <c r="J139" s="5235"/>
      <c r="K139" s="5235"/>
      <c r="L139" s="5235"/>
      <c r="M139" s="5235"/>
      <c r="N139" s="5235"/>
      <c r="O139" s="5235"/>
      <c r="P139" s="5235"/>
      <c r="Q139" s="5235"/>
      <c r="R139" s="5235"/>
      <c r="S139" s="5280"/>
      <c r="T139" s="4861"/>
      <c r="U139" s="4861"/>
      <c r="V139" t="str">
        <f>BE139&amp;BF139&amp;BG139</f>
        <v/>
      </c>
      <c r="BE139" s="1791" t="str">
        <f>IF(AND(B139&gt;0,T139="")," * No olvide digitar Trans Masculino. (Digite CERO si no tiene).","")</f>
        <v/>
      </c>
      <c r="BF139" s="1791" t="str">
        <f>IF(AND(B139&gt;0,U139="")," * No olvide digitar Trans Femenino. (Digite CERO si no tiene).","")</f>
        <v/>
      </c>
      <c r="BG139" s="1791" t="str">
        <f t="shared" ref="BG139:BG154" si="19">IF((T139+U139)&gt;B139," * Trans Masculino + Trans Femenino No puede ser Mayor al Total.","")</f>
        <v/>
      </c>
      <c r="BL139" s="1793">
        <f>IF(AND(B139&gt;0,T139=""),1,0)</f>
        <v>0</v>
      </c>
      <c r="BM139" s="1793">
        <f>IF(AND(B139&gt;0,U139=""),1,0)</f>
        <v>0</v>
      </c>
      <c r="BN139" s="1793">
        <f t="shared" ref="BN139:BN154" si="20">IF((T139+U139)&gt;B139,1,0)</f>
        <v>0</v>
      </c>
    </row>
    <row r="140" spans="1:66" ht="15" customHeight="1" x14ac:dyDescent="0.25">
      <c r="A140" s="3135" t="s">
        <v>1894</v>
      </c>
      <c r="B140" s="3280">
        <f t="shared" ref="B140:B152" si="21">SUM(C140:S140)</f>
        <v>0</v>
      </c>
      <c r="C140" s="1089"/>
      <c r="D140" s="1090"/>
      <c r="E140" s="1090"/>
      <c r="F140" s="1090"/>
      <c r="G140" s="1090"/>
      <c r="H140" s="1090"/>
      <c r="I140" s="1090"/>
      <c r="J140" s="1090"/>
      <c r="K140" s="1090"/>
      <c r="L140" s="1090"/>
      <c r="M140" s="1090"/>
      <c r="N140" s="1090"/>
      <c r="O140" s="1090"/>
      <c r="P140" s="1090"/>
      <c r="Q140" s="1090"/>
      <c r="R140" s="1090"/>
      <c r="S140" s="1078"/>
      <c r="T140" s="3166"/>
      <c r="U140" s="3166"/>
      <c r="V140" t="str">
        <f t="shared" ref="V140:V154" si="22">BE140&amp;BF140&amp;BG140</f>
        <v/>
      </c>
      <c r="BE140" s="1791" t="str">
        <f t="shared" ref="BE140:BE154" si="23">IF(AND(B140&gt;0,T140="")," * No olvide digitar Trans Masculino. (Digite CERO si no tiene).","")</f>
        <v/>
      </c>
      <c r="BF140" s="1791" t="str">
        <f t="shared" ref="BF140:BF154" si="24">IF(AND(B140&gt;0,U140="")," * No olvide digitar Trans Femenino. (Digite CERO si no tiene).","")</f>
        <v/>
      </c>
      <c r="BG140" s="1791" t="str">
        <f t="shared" si="19"/>
        <v/>
      </c>
      <c r="BL140" s="1793">
        <f t="shared" ref="BL140:BL154" si="25">IF(AND(B140&gt;0,T140=""),1,0)</f>
        <v>0</v>
      </c>
      <c r="BM140" s="1793">
        <f t="shared" ref="BM140:BM154" si="26">IF(AND(B140&gt;0,U140=""),1,0)</f>
        <v>0</v>
      </c>
      <c r="BN140" s="1793">
        <f t="shared" si="20"/>
        <v>0</v>
      </c>
    </row>
    <row r="141" spans="1:66" ht="15" customHeight="1" x14ac:dyDescent="0.25">
      <c r="A141" s="3135" t="s">
        <v>2193</v>
      </c>
      <c r="B141" s="3280">
        <f t="shared" si="21"/>
        <v>0</v>
      </c>
      <c r="C141" s="1089"/>
      <c r="D141" s="1090"/>
      <c r="E141" s="1090"/>
      <c r="F141" s="1090"/>
      <c r="G141" s="1090"/>
      <c r="H141" s="1090"/>
      <c r="I141" s="1090"/>
      <c r="J141" s="1090"/>
      <c r="K141" s="1090"/>
      <c r="L141" s="1090"/>
      <c r="M141" s="1090"/>
      <c r="N141" s="1090"/>
      <c r="O141" s="1090"/>
      <c r="P141" s="1090"/>
      <c r="Q141" s="1090"/>
      <c r="R141" s="1090"/>
      <c r="S141" s="1078"/>
      <c r="T141" s="3166"/>
      <c r="U141" s="3166"/>
      <c r="V141" t="str">
        <f t="shared" si="22"/>
        <v/>
      </c>
      <c r="BE141" s="1791" t="str">
        <f t="shared" si="23"/>
        <v/>
      </c>
      <c r="BF141" s="1791" t="str">
        <f t="shared" si="24"/>
        <v/>
      </c>
      <c r="BG141" s="1791" t="str">
        <f t="shared" si="19"/>
        <v/>
      </c>
      <c r="BL141" s="1793">
        <f t="shared" si="25"/>
        <v>0</v>
      </c>
      <c r="BM141" s="1793">
        <f t="shared" si="26"/>
        <v>0</v>
      </c>
      <c r="BN141" s="1793">
        <f t="shared" si="20"/>
        <v>0</v>
      </c>
    </row>
    <row r="142" spans="1:66" ht="15" customHeight="1" x14ac:dyDescent="0.25">
      <c r="A142" s="3135" t="s">
        <v>2194</v>
      </c>
      <c r="B142" s="3280">
        <f t="shared" si="21"/>
        <v>0</v>
      </c>
      <c r="C142" s="1089"/>
      <c r="D142" s="1090"/>
      <c r="E142" s="1090"/>
      <c r="F142" s="1090"/>
      <c r="G142" s="1090"/>
      <c r="H142" s="1090"/>
      <c r="I142" s="1090"/>
      <c r="J142" s="1090"/>
      <c r="K142" s="1090"/>
      <c r="L142" s="1090"/>
      <c r="M142" s="1090"/>
      <c r="N142" s="1090"/>
      <c r="O142" s="1090"/>
      <c r="P142" s="1090"/>
      <c r="Q142" s="1090"/>
      <c r="R142" s="1090"/>
      <c r="S142" s="1078"/>
      <c r="T142" s="3166"/>
      <c r="U142" s="3166"/>
      <c r="V142" t="str">
        <f t="shared" si="22"/>
        <v/>
      </c>
      <c r="BE142" s="1791" t="str">
        <f t="shared" si="23"/>
        <v/>
      </c>
      <c r="BF142" s="1791" t="str">
        <f t="shared" si="24"/>
        <v/>
      </c>
      <c r="BG142" s="1791" t="str">
        <f t="shared" si="19"/>
        <v/>
      </c>
      <c r="BL142" s="1793">
        <f t="shared" si="25"/>
        <v>0</v>
      </c>
      <c r="BM142" s="1793">
        <f t="shared" si="26"/>
        <v>0</v>
      </c>
      <c r="BN142" s="1793">
        <f t="shared" si="20"/>
        <v>0</v>
      </c>
    </row>
    <row r="143" spans="1:66" ht="15" customHeight="1" x14ac:dyDescent="0.25">
      <c r="A143" s="3135" t="s">
        <v>2195</v>
      </c>
      <c r="B143" s="3280">
        <f t="shared" si="21"/>
        <v>0</v>
      </c>
      <c r="C143" s="1089"/>
      <c r="D143" s="1090"/>
      <c r="E143" s="1090"/>
      <c r="F143" s="1090"/>
      <c r="G143" s="1090"/>
      <c r="H143" s="1090"/>
      <c r="I143" s="1090"/>
      <c r="J143" s="1090"/>
      <c r="K143" s="1090"/>
      <c r="L143" s="1090"/>
      <c r="M143" s="1090"/>
      <c r="N143" s="1090"/>
      <c r="O143" s="1090"/>
      <c r="P143" s="1090"/>
      <c r="Q143" s="1090"/>
      <c r="R143" s="1090"/>
      <c r="S143" s="1078"/>
      <c r="T143" s="3166"/>
      <c r="U143" s="3166"/>
      <c r="V143" t="str">
        <f t="shared" si="22"/>
        <v/>
      </c>
      <c r="BE143" s="1791" t="str">
        <f t="shared" si="23"/>
        <v/>
      </c>
      <c r="BF143" s="1791" t="str">
        <f t="shared" si="24"/>
        <v/>
      </c>
      <c r="BG143" s="1791" t="str">
        <f t="shared" si="19"/>
        <v/>
      </c>
      <c r="BL143" s="1793">
        <f t="shared" si="25"/>
        <v>0</v>
      </c>
      <c r="BM143" s="1793">
        <f t="shared" si="26"/>
        <v>0</v>
      </c>
      <c r="BN143" s="1793">
        <f t="shared" si="20"/>
        <v>0</v>
      </c>
    </row>
    <row r="144" spans="1:66" ht="15" customHeight="1" x14ac:dyDescent="0.25">
      <c r="A144" s="3135" t="s">
        <v>2196</v>
      </c>
      <c r="B144" s="3280">
        <f t="shared" si="21"/>
        <v>0</v>
      </c>
      <c r="C144" s="1089"/>
      <c r="D144" s="1090"/>
      <c r="E144" s="1090"/>
      <c r="F144" s="1090"/>
      <c r="G144" s="1090"/>
      <c r="H144" s="1090"/>
      <c r="I144" s="1090"/>
      <c r="J144" s="1090"/>
      <c r="K144" s="1090"/>
      <c r="L144" s="1090"/>
      <c r="M144" s="1090"/>
      <c r="N144" s="1090"/>
      <c r="O144" s="1090"/>
      <c r="P144" s="1090"/>
      <c r="Q144" s="1090"/>
      <c r="R144" s="1090"/>
      <c r="S144" s="1078"/>
      <c r="T144" s="3166"/>
      <c r="U144" s="3166"/>
      <c r="V144" t="str">
        <f t="shared" si="22"/>
        <v/>
      </c>
      <c r="BE144" s="1791" t="str">
        <f t="shared" si="23"/>
        <v/>
      </c>
      <c r="BF144" s="1791" t="str">
        <f t="shared" si="24"/>
        <v/>
      </c>
      <c r="BG144" s="1791" t="str">
        <f t="shared" si="19"/>
        <v/>
      </c>
      <c r="BL144" s="1793">
        <f t="shared" si="25"/>
        <v>0</v>
      </c>
      <c r="BM144" s="1793">
        <f t="shared" si="26"/>
        <v>0</v>
      </c>
      <c r="BN144" s="1793">
        <f t="shared" si="20"/>
        <v>0</v>
      </c>
    </row>
    <row r="145" spans="1:67" ht="15" customHeight="1" x14ac:dyDescent="0.25">
      <c r="A145" s="3135" t="s">
        <v>2197</v>
      </c>
      <c r="B145" s="3280">
        <f t="shared" si="21"/>
        <v>0</v>
      </c>
      <c r="C145" s="1089"/>
      <c r="D145" s="1090"/>
      <c r="E145" s="1090"/>
      <c r="F145" s="1090"/>
      <c r="G145" s="1090"/>
      <c r="H145" s="1090"/>
      <c r="I145" s="1090"/>
      <c r="J145" s="1090"/>
      <c r="K145" s="1090"/>
      <c r="L145" s="1090"/>
      <c r="M145" s="1090"/>
      <c r="N145" s="1090"/>
      <c r="O145" s="1090"/>
      <c r="P145" s="1090"/>
      <c r="Q145" s="1090"/>
      <c r="R145" s="1090"/>
      <c r="S145" s="1078"/>
      <c r="T145" s="3166"/>
      <c r="U145" s="3166"/>
      <c r="V145" t="str">
        <f t="shared" si="22"/>
        <v/>
      </c>
      <c r="BE145" s="1791" t="str">
        <f t="shared" si="23"/>
        <v/>
      </c>
      <c r="BF145" s="1791" t="str">
        <f t="shared" si="24"/>
        <v/>
      </c>
      <c r="BG145" s="1791" t="str">
        <f t="shared" si="19"/>
        <v/>
      </c>
      <c r="BL145" s="1793">
        <f t="shared" si="25"/>
        <v>0</v>
      </c>
      <c r="BM145" s="1793">
        <f t="shared" si="26"/>
        <v>0</v>
      </c>
      <c r="BN145" s="1793">
        <f t="shared" si="20"/>
        <v>0</v>
      </c>
    </row>
    <row r="146" spans="1:67" ht="15" customHeight="1" x14ac:dyDescent="0.25">
      <c r="A146" s="3135" t="s">
        <v>244</v>
      </c>
      <c r="B146" s="3280">
        <f t="shared" si="21"/>
        <v>0</v>
      </c>
      <c r="C146" s="1089"/>
      <c r="D146" s="1090"/>
      <c r="E146" s="1090"/>
      <c r="F146" s="1090"/>
      <c r="G146" s="1090"/>
      <c r="H146" s="1090"/>
      <c r="I146" s="1090"/>
      <c r="J146" s="1090"/>
      <c r="K146" s="1090"/>
      <c r="L146" s="1090"/>
      <c r="M146" s="1090"/>
      <c r="N146" s="1090"/>
      <c r="O146" s="1090"/>
      <c r="P146" s="1090"/>
      <c r="Q146" s="1090"/>
      <c r="R146" s="1090"/>
      <c r="S146" s="1078"/>
      <c r="T146" s="3166"/>
      <c r="U146" s="3166"/>
      <c r="V146" t="str">
        <f t="shared" si="22"/>
        <v/>
      </c>
      <c r="BE146" s="1791" t="str">
        <f t="shared" si="23"/>
        <v/>
      </c>
      <c r="BF146" s="1791" t="str">
        <f t="shared" si="24"/>
        <v/>
      </c>
      <c r="BG146" s="1791" t="str">
        <f t="shared" si="19"/>
        <v/>
      </c>
      <c r="BL146" s="1793">
        <f t="shared" si="25"/>
        <v>0</v>
      </c>
      <c r="BM146" s="1793">
        <f t="shared" si="26"/>
        <v>0</v>
      </c>
      <c r="BN146" s="1793">
        <f t="shared" si="20"/>
        <v>0</v>
      </c>
    </row>
    <row r="147" spans="1:67" ht="15" customHeight="1" x14ac:dyDescent="0.25">
      <c r="A147" s="3135" t="s">
        <v>2198</v>
      </c>
      <c r="B147" s="3280">
        <f t="shared" si="21"/>
        <v>0</v>
      </c>
      <c r="C147" s="1089"/>
      <c r="D147" s="1090"/>
      <c r="E147" s="1090"/>
      <c r="F147" s="1090"/>
      <c r="G147" s="1090"/>
      <c r="H147" s="1090"/>
      <c r="I147" s="1090"/>
      <c r="J147" s="1090"/>
      <c r="K147" s="1090"/>
      <c r="L147" s="1090"/>
      <c r="M147" s="1090"/>
      <c r="N147" s="1090"/>
      <c r="O147" s="1090"/>
      <c r="P147" s="1090"/>
      <c r="Q147" s="1090"/>
      <c r="R147" s="1090"/>
      <c r="S147" s="1078"/>
      <c r="T147" s="3166"/>
      <c r="U147" s="3166"/>
      <c r="V147" t="str">
        <f t="shared" si="22"/>
        <v/>
      </c>
      <c r="BE147" s="1791" t="str">
        <f t="shared" si="23"/>
        <v/>
      </c>
      <c r="BF147" s="1791" t="str">
        <f t="shared" si="24"/>
        <v/>
      </c>
      <c r="BG147" s="1791" t="str">
        <f t="shared" si="19"/>
        <v/>
      </c>
      <c r="BL147" s="1793">
        <f t="shared" si="25"/>
        <v>0</v>
      </c>
      <c r="BM147" s="1793">
        <f t="shared" si="26"/>
        <v>0</v>
      </c>
      <c r="BN147" s="1793">
        <f t="shared" si="20"/>
        <v>0</v>
      </c>
    </row>
    <row r="148" spans="1:67" ht="15" customHeight="1" x14ac:dyDescent="0.25">
      <c r="A148" s="3135" t="s">
        <v>2199</v>
      </c>
      <c r="B148" s="3280">
        <f t="shared" si="21"/>
        <v>0</v>
      </c>
      <c r="C148" s="1089"/>
      <c r="D148" s="1090"/>
      <c r="E148" s="1090"/>
      <c r="F148" s="1090"/>
      <c r="G148" s="1090"/>
      <c r="H148" s="1090"/>
      <c r="I148" s="1090"/>
      <c r="J148" s="1090"/>
      <c r="K148" s="1090"/>
      <c r="L148" s="1090"/>
      <c r="M148" s="1090"/>
      <c r="N148" s="1090"/>
      <c r="O148" s="1090"/>
      <c r="P148" s="1090"/>
      <c r="Q148" s="1090"/>
      <c r="R148" s="1090"/>
      <c r="S148" s="1078"/>
      <c r="T148" s="3166"/>
      <c r="U148" s="3166"/>
      <c r="V148" t="str">
        <f t="shared" si="22"/>
        <v/>
      </c>
      <c r="BE148" s="1791" t="str">
        <f t="shared" si="23"/>
        <v/>
      </c>
      <c r="BF148" s="1791" t="str">
        <f t="shared" si="24"/>
        <v/>
      </c>
      <c r="BG148" s="1791" t="str">
        <f t="shared" si="19"/>
        <v/>
      </c>
      <c r="BL148" s="1793">
        <f t="shared" si="25"/>
        <v>0</v>
      </c>
      <c r="BM148" s="1793">
        <f t="shared" si="26"/>
        <v>0</v>
      </c>
      <c r="BN148" s="1793">
        <f t="shared" si="20"/>
        <v>0</v>
      </c>
    </row>
    <row r="149" spans="1:67" ht="15" customHeight="1" x14ac:dyDescent="0.25">
      <c r="A149" s="3135" t="s">
        <v>2200</v>
      </c>
      <c r="B149" s="3280">
        <f t="shared" si="21"/>
        <v>0</v>
      </c>
      <c r="C149" s="1089"/>
      <c r="D149" s="1090"/>
      <c r="E149" s="1090"/>
      <c r="F149" s="1090"/>
      <c r="G149" s="1090"/>
      <c r="H149" s="1090"/>
      <c r="I149" s="1090"/>
      <c r="J149" s="1090"/>
      <c r="K149" s="1090"/>
      <c r="L149" s="1090"/>
      <c r="M149" s="1090"/>
      <c r="N149" s="1090"/>
      <c r="O149" s="1090"/>
      <c r="P149" s="1090"/>
      <c r="Q149" s="1090"/>
      <c r="R149" s="1090"/>
      <c r="S149" s="1078"/>
      <c r="T149" s="3166"/>
      <c r="U149" s="3166"/>
      <c r="V149" t="str">
        <f t="shared" si="22"/>
        <v/>
      </c>
      <c r="BE149" s="1791" t="str">
        <f t="shared" si="23"/>
        <v/>
      </c>
      <c r="BF149" s="1791" t="str">
        <f t="shared" si="24"/>
        <v/>
      </c>
      <c r="BG149" s="1791" t="str">
        <f t="shared" si="19"/>
        <v/>
      </c>
      <c r="BL149" s="1793">
        <f t="shared" si="25"/>
        <v>0</v>
      </c>
      <c r="BM149" s="1793">
        <f t="shared" si="26"/>
        <v>0</v>
      </c>
      <c r="BN149" s="1793">
        <f t="shared" si="20"/>
        <v>0</v>
      </c>
    </row>
    <row r="150" spans="1:67" ht="15" customHeight="1" x14ac:dyDescent="0.25">
      <c r="A150" s="3135" t="s">
        <v>2201</v>
      </c>
      <c r="B150" s="3280">
        <f t="shared" si="21"/>
        <v>0</v>
      </c>
      <c r="C150" s="1089"/>
      <c r="D150" s="1090"/>
      <c r="E150" s="1090"/>
      <c r="F150" s="1090"/>
      <c r="G150" s="1090"/>
      <c r="H150" s="1090"/>
      <c r="I150" s="1090"/>
      <c r="J150" s="1090"/>
      <c r="K150" s="1090"/>
      <c r="L150" s="1090"/>
      <c r="M150" s="1090"/>
      <c r="N150" s="1090"/>
      <c r="O150" s="1090"/>
      <c r="P150" s="1090"/>
      <c r="Q150" s="1090"/>
      <c r="R150" s="1090"/>
      <c r="S150" s="1078"/>
      <c r="T150" s="3166"/>
      <c r="U150" s="3166"/>
      <c r="V150" t="str">
        <f t="shared" si="22"/>
        <v/>
      </c>
      <c r="BE150" s="1791" t="str">
        <f t="shared" si="23"/>
        <v/>
      </c>
      <c r="BF150" s="1791" t="str">
        <f t="shared" si="24"/>
        <v/>
      </c>
      <c r="BG150" s="1791" t="str">
        <f t="shared" si="19"/>
        <v/>
      </c>
      <c r="BL150" s="1793">
        <f t="shared" si="25"/>
        <v>0</v>
      </c>
      <c r="BM150" s="1793">
        <f t="shared" si="26"/>
        <v>0</v>
      </c>
      <c r="BN150" s="1793">
        <f t="shared" si="20"/>
        <v>0</v>
      </c>
    </row>
    <row r="151" spans="1:67" ht="15" customHeight="1" x14ac:dyDescent="0.25">
      <c r="A151" s="3135" t="s">
        <v>2202</v>
      </c>
      <c r="B151" s="3280">
        <f t="shared" si="21"/>
        <v>0</v>
      </c>
      <c r="C151" s="1089"/>
      <c r="D151" s="1090"/>
      <c r="E151" s="1090"/>
      <c r="F151" s="1090"/>
      <c r="G151" s="1090"/>
      <c r="H151" s="1090"/>
      <c r="I151" s="1090"/>
      <c r="J151" s="1090"/>
      <c r="K151" s="1090"/>
      <c r="L151" s="1090"/>
      <c r="M151" s="1090"/>
      <c r="N151" s="1090"/>
      <c r="O151" s="1090"/>
      <c r="P151" s="1090"/>
      <c r="Q151" s="1090"/>
      <c r="R151" s="1090"/>
      <c r="S151" s="1078"/>
      <c r="T151" s="3166"/>
      <c r="U151" s="3166"/>
      <c r="V151" t="str">
        <f t="shared" si="22"/>
        <v/>
      </c>
      <c r="BE151" s="1791" t="str">
        <f t="shared" si="23"/>
        <v/>
      </c>
      <c r="BF151" s="1791" t="str">
        <f t="shared" si="24"/>
        <v/>
      </c>
      <c r="BG151" s="1791" t="str">
        <f t="shared" si="19"/>
        <v/>
      </c>
      <c r="BL151" s="1793">
        <f t="shared" si="25"/>
        <v>0</v>
      </c>
      <c r="BM151" s="1793">
        <f t="shared" si="26"/>
        <v>0</v>
      </c>
      <c r="BN151" s="1793">
        <f t="shared" si="20"/>
        <v>0</v>
      </c>
    </row>
    <row r="152" spans="1:67" ht="15" customHeight="1" x14ac:dyDescent="0.25">
      <c r="A152" s="3135" t="s">
        <v>2203</v>
      </c>
      <c r="B152" s="3280">
        <f t="shared" si="21"/>
        <v>0</v>
      </c>
      <c r="C152" s="1089"/>
      <c r="D152" s="1090"/>
      <c r="E152" s="1090"/>
      <c r="F152" s="1090"/>
      <c r="G152" s="1090"/>
      <c r="H152" s="1090"/>
      <c r="I152" s="1090"/>
      <c r="J152" s="1090"/>
      <c r="K152" s="1090"/>
      <c r="L152" s="1090"/>
      <c r="M152" s="1090"/>
      <c r="N152" s="1090"/>
      <c r="O152" s="1090"/>
      <c r="P152" s="1090"/>
      <c r="Q152" s="1090"/>
      <c r="R152" s="1090"/>
      <c r="S152" s="1078"/>
      <c r="T152" s="3166"/>
      <c r="U152" s="3166"/>
      <c r="V152" t="str">
        <f t="shared" si="22"/>
        <v/>
      </c>
      <c r="BE152" s="1791" t="str">
        <f t="shared" si="23"/>
        <v/>
      </c>
      <c r="BF152" s="1791" t="str">
        <f t="shared" si="24"/>
        <v/>
      </c>
      <c r="BG152" s="1791" t="str">
        <f t="shared" si="19"/>
        <v/>
      </c>
      <c r="BL152" s="1793">
        <f t="shared" si="25"/>
        <v>0</v>
      </c>
      <c r="BM152" s="1793">
        <f t="shared" si="26"/>
        <v>0</v>
      </c>
      <c r="BN152" s="1793">
        <f t="shared" si="20"/>
        <v>0</v>
      </c>
    </row>
    <row r="153" spans="1:67" ht="15" customHeight="1" x14ac:dyDescent="0.25">
      <c r="A153" s="3135" t="s">
        <v>2204</v>
      </c>
      <c r="B153" s="4856">
        <f>SUM(C153:S153)</f>
        <v>0</v>
      </c>
      <c r="C153" s="1089"/>
      <c r="D153" s="1090"/>
      <c r="E153" s="1090"/>
      <c r="F153" s="1090"/>
      <c r="G153" s="1090"/>
      <c r="H153" s="1090"/>
      <c r="I153" s="1090"/>
      <c r="J153" s="1090"/>
      <c r="K153" s="1090"/>
      <c r="L153" s="1090"/>
      <c r="M153" s="1090"/>
      <c r="N153" s="1090"/>
      <c r="O153" s="1090"/>
      <c r="P153" s="1090"/>
      <c r="Q153" s="1090"/>
      <c r="R153" s="1090"/>
      <c r="S153" s="1078"/>
      <c r="T153" s="3166"/>
      <c r="U153" s="3166"/>
      <c r="V153" t="str">
        <f t="shared" si="22"/>
        <v/>
      </c>
      <c r="BE153" s="1791" t="str">
        <f t="shared" si="23"/>
        <v/>
      </c>
      <c r="BF153" s="1791" t="str">
        <f t="shared" si="24"/>
        <v/>
      </c>
      <c r="BG153" s="1791" t="str">
        <f t="shared" si="19"/>
        <v/>
      </c>
      <c r="BL153" s="1793">
        <f t="shared" si="25"/>
        <v>0</v>
      </c>
      <c r="BM153" s="1793">
        <f t="shared" si="26"/>
        <v>0</v>
      </c>
      <c r="BN153" s="1793">
        <f t="shared" si="20"/>
        <v>0</v>
      </c>
    </row>
    <row r="154" spans="1:67" ht="15" customHeight="1" x14ac:dyDescent="0.25">
      <c r="A154" s="5276" t="s">
        <v>2205</v>
      </c>
      <c r="B154" s="1745">
        <f>SUM(C154:S154)</f>
        <v>0</v>
      </c>
      <c r="C154" s="5281"/>
      <c r="D154" s="2499"/>
      <c r="E154" s="2499"/>
      <c r="F154" s="2499"/>
      <c r="G154" s="2499"/>
      <c r="H154" s="2499"/>
      <c r="I154" s="2499"/>
      <c r="J154" s="2499"/>
      <c r="K154" s="2499"/>
      <c r="L154" s="2499"/>
      <c r="M154" s="2499"/>
      <c r="N154" s="2499"/>
      <c r="O154" s="2499"/>
      <c r="P154" s="2499"/>
      <c r="Q154" s="2499"/>
      <c r="R154" s="2499"/>
      <c r="S154" s="2500"/>
      <c r="T154" s="5282"/>
      <c r="U154" s="5282"/>
      <c r="V154" t="str">
        <f t="shared" si="22"/>
        <v/>
      </c>
      <c r="BE154" s="1791" t="str">
        <f t="shared" si="23"/>
        <v/>
      </c>
      <c r="BF154" s="1791" t="str">
        <f t="shared" si="24"/>
        <v/>
      </c>
      <c r="BG154" s="1791" t="str">
        <f t="shared" si="19"/>
        <v/>
      </c>
      <c r="BL154" s="1793">
        <f t="shared" si="25"/>
        <v>0</v>
      </c>
      <c r="BM154" s="1793">
        <f t="shared" si="26"/>
        <v>0</v>
      </c>
      <c r="BN154" s="1793">
        <f t="shared" si="20"/>
        <v>0</v>
      </c>
    </row>
    <row r="155" spans="1:67" ht="15" customHeight="1" x14ac:dyDescent="0.25">
      <c r="A155" s="5283" t="s">
        <v>47</v>
      </c>
      <c r="B155" s="5245">
        <f>SUM(B139:B154)</f>
        <v>0</v>
      </c>
      <c r="C155" s="5250">
        <f t="shared" ref="C155:T155" si="27">SUM(C139:C154)</f>
        <v>0</v>
      </c>
      <c r="D155" s="2484">
        <f t="shared" si="27"/>
        <v>0</v>
      </c>
      <c r="E155" s="2484">
        <f t="shared" si="27"/>
        <v>0</v>
      </c>
      <c r="F155" s="2484">
        <f t="shared" si="27"/>
        <v>0</v>
      </c>
      <c r="G155" s="2484">
        <f t="shared" si="27"/>
        <v>0</v>
      </c>
      <c r="H155" s="2484">
        <f>SUM(H139:H154)</f>
        <v>0</v>
      </c>
      <c r="I155" s="2484">
        <f t="shared" si="27"/>
        <v>0</v>
      </c>
      <c r="J155" s="2484">
        <f t="shared" si="27"/>
        <v>0</v>
      </c>
      <c r="K155" s="2484">
        <f t="shared" si="27"/>
        <v>0</v>
      </c>
      <c r="L155" s="2484">
        <f t="shared" si="27"/>
        <v>0</v>
      </c>
      <c r="M155" s="2484">
        <f t="shared" si="27"/>
        <v>0</v>
      </c>
      <c r="N155" s="2484">
        <f t="shared" si="27"/>
        <v>0</v>
      </c>
      <c r="O155" s="2484">
        <f t="shared" si="27"/>
        <v>0</v>
      </c>
      <c r="P155" s="2484">
        <f t="shared" si="27"/>
        <v>0</v>
      </c>
      <c r="Q155" s="2484">
        <f t="shared" si="27"/>
        <v>0</v>
      </c>
      <c r="R155" s="2484">
        <f t="shared" si="27"/>
        <v>0</v>
      </c>
      <c r="S155" s="2817">
        <f t="shared" si="27"/>
        <v>0</v>
      </c>
      <c r="T155" s="5276">
        <f t="shared" si="27"/>
        <v>0</v>
      </c>
      <c r="U155" s="5276">
        <f>SUM(U139:U154)</f>
        <v>0</v>
      </c>
    </row>
    <row r="156" spans="1:67" s="17" customFormat="1" ht="18" customHeight="1" x14ac:dyDescent="0.2">
      <c r="A156" s="5253" t="s">
        <v>2206</v>
      </c>
      <c r="B156" s="5284"/>
      <c r="C156" s="5284"/>
      <c r="D156" s="5284"/>
      <c r="E156" s="5284"/>
      <c r="F156" s="5284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  <c r="AA156" s="163"/>
      <c r="AB156" s="163"/>
      <c r="AC156" s="163"/>
      <c r="AD156" s="163"/>
      <c r="AE156" s="163"/>
      <c r="AF156" s="163"/>
      <c r="AG156" s="163"/>
      <c r="AH156" s="163"/>
      <c r="AI156" s="163"/>
      <c r="AJ156" s="163"/>
      <c r="AK156" s="163"/>
      <c r="AL156" s="163"/>
      <c r="AM156" s="163"/>
      <c r="AN156" s="163"/>
      <c r="AO156" s="163"/>
      <c r="AP156" s="163"/>
      <c r="AQ156" s="163"/>
    </row>
    <row r="157" spans="1:67" x14ac:dyDescent="0.25">
      <c r="A157" s="7289" t="s">
        <v>61</v>
      </c>
      <c r="B157" s="7290"/>
      <c r="C157" s="7289" t="s">
        <v>47</v>
      </c>
      <c r="D157" s="6836"/>
      <c r="E157" s="7290"/>
      <c r="F157" s="6520" t="s">
        <v>30</v>
      </c>
      <c r="G157" s="6498"/>
      <c r="H157" s="6498"/>
      <c r="I157" s="6498"/>
      <c r="J157" s="6498"/>
      <c r="K157" s="6498"/>
      <c r="L157" s="6498"/>
      <c r="M157" s="6498"/>
      <c r="N157" s="6498"/>
      <c r="O157" s="6498"/>
      <c r="P157" s="6498"/>
      <c r="Q157" s="6498"/>
      <c r="R157" s="6498"/>
      <c r="S157" s="6498"/>
      <c r="T157" s="6498"/>
      <c r="U157" s="6498"/>
      <c r="V157" s="6498"/>
      <c r="W157" s="6498"/>
      <c r="X157" s="6498"/>
      <c r="Y157" s="6498"/>
      <c r="Z157" s="6498"/>
      <c r="AA157" s="6498"/>
      <c r="AB157" s="6498"/>
      <c r="AC157" s="6498"/>
      <c r="AD157" s="6498"/>
      <c r="AE157" s="6498"/>
      <c r="AF157" s="6498"/>
      <c r="AG157" s="6498"/>
      <c r="AH157" s="6498"/>
      <c r="AI157" s="6498"/>
      <c r="AJ157" s="6498"/>
      <c r="AK157" s="6498"/>
      <c r="AL157" s="6498"/>
      <c r="AM157" s="7302"/>
      <c r="AN157" s="7155" t="s">
        <v>67</v>
      </c>
      <c r="AO157" s="7155" t="s">
        <v>245</v>
      </c>
      <c r="AP157" s="6516" t="s">
        <v>2</v>
      </c>
      <c r="AQ157" s="7155" t="s">
        <v>3</v>
      </c>
    </row>
    <row r="158" spans="1:67" x14ac:dyDescent="0.25">
      <c r="A158" s="6589"/>
      <c r="B158" s="6590"/>
      <c r="C158" s="7291"/>
      <c r="D158" s="7292"/>
      <c r="E158" s="7293"/>
      <c r="F158" s="6510" t="s">
        <v>36</v>
      </c>
      <c r="G158" s="6509"/>
      <c r="H158" s="6510" t="s">
        <v>37</v>
      </c>
      <c r="I158" s="6509"/>
      <c r="J158" s="6510" t="s">
        <v>38</v>
      </c>
      <c r="K158" s="6509"/>
      <c r="L158" s="6510" t="s">
        <v>4</v>
      </c>
      <c r="M158" s="6509"/>
      <c r="N158" s="6510" t="s">
        <v>5</v>
      </c>
      <c r="O158" s="6509"/>
      <c r="P158" s="6520" t="s">
        <v>6</v>
      </c>
      <c r="Q158" s="6521"/>
      <c r="R158" s="6520" t="s">
        <v>7</v>
      </c>
      <c r="S158" s="6521"/>
      <c r="T158" s="6520" t="s">
        <v>8</v>
      </c>
      <c r="U158" s="6521"/>
      <c r="V158" s="6520" t="s">
        <v>9</v>
      </c>
      <c r="W158" s="6521"/>
      <c r="X158" s="6520" t="s">
        <v>10</v>
      </c>
      <c r="Y158" s="6521"/>
      <c r="Z158" s="6520" t="s">
        <v>11</v>
      </c>
      <c r="AA158" s="6521"/>
      <c r="AB158" s="6520" t="s">
        <v>18</v>
      </c>
      <c r="AC158" s="6521"/>
      <c r="AD158" s="6520" t="s">
        <v>19</v>
      </c>
      <c r="AE158" s="6521"/>
      <c r="AF158" s="6520" t="s">
        <v>20</v>
      </c>
      <c r="AG158" s="6521"/>
      <c r="AH158" s="6520" t="s">
        <v>70</v>
      </c>
      <c r="AI158" s="6521"/>
      <c r="AJ158" s="6520" t="s">
        <v>71</v>
      </c>
      <c r="AK158" s="6521"/>
      <c r="AL158" s="6520" t="s">
        <v>32</v>
      </c>
      <c r="AM158" s="7302"/>
      <c r="AN158" s="6472"/>
      <c r="AO158" s="6472"/>
      <c r="AP158" s="7151"/>
      <c r="AQ158" s="6472"/>
    </row>
    <row r="159" spans="1:67" x14ac:dyDescent="0.25">
      <c r="A159" s="7291"/>
      <c r="B159" s="7293"/>
      <c r="C159" s="4791" t="s">
        <v>26</v>
      </c>
      <c r="D159" s="4905" t="s">
        <v>22</v>
      </c>
      <c r="E159" s="4870" t="s">
        <v>27</v>
      </c>
      <c r="F159" s="5791" t="s">
        <v>22</v>
      </c>
      <c r="G159" s="6086" t="s">
        <v>27</v>
      </c>
      <c r="H159" s="5791" t="s">
        <v>22</v>
      </c>
      <c r="I159" s="6086" t="s">
        <v>27</v>
      </c>
      <c r="J159" s="5791" t="s">
        <v>22</v>
      </c>
      <c r="K159" s="6086" t="s">
        <v>27</v>
      </c>
      <c r="L159" s="5791" t="s">
        <v>22</v>
      </c>
      <c r="M159" s="6086" t="s">
        <v>27</v>
      </c>
      <c r="N159" s="5791" t="s">
        <v>22</v>
      </c>
      <c r="O159" s="6086" t="s">
        <v>27</v>
      </c>
      <c r="P159" s="5791" t="s">
        <v>22</v>
      </c>
      <c r="Q159" s="6086" t="s">
        <v>27</v>
      </c>
      <c r="R159" s="5791" t="s">
        <v>22</v>
      </c>
      <c r="S159" s="6086" t="s">
        <v>27</v>
      </c>
      <c r="T159" s="5791" t="s">
        <v>22</v>
      </c>
      <c r="U159" s="6086" t="s">
        <v>27</v>
      </c>
      <c r="V159" s="5791" t="s">
        <v>22</v>
      </c>
      <c r="W159" s="6086" t="s">
        <v>27</v>
      </c>
      <c r="X159" s="5791" t="s">
        <v>22</v>
      </c>
      <c r="Y159" s="6086" t="s">
        <v>27</v>
      </c>
      <c r="Z159" s="5791" t="s">
        <v>22</v>
      </c>
      <c r="AA159" s="6086" t="s">
        <v>27</v>
      </c>
      <c r="AB159" s="5791" t="s">
        <v>22</v>
      </c>
      <c r="AC159" s="6086" t="s">
        <v>27</v>
      </c>
      <c r="AD159" s="5791" t="s">
        <v>22</v>
      </c>
      <c r="AE159" s="6086" t="s">
        <v>27</v>
      </c>
      <c r="AF159" s="5791" t="s">
        <v>22</v>
      </c>
      <c r="AG159" s="6086" t="s">
        <v>27</v>
      </c>
      <c r="AH159" s="5791" t="s">
        <v>22</v>
      </c>
      <c r="AI159" s="6086" t="s">
        <v>27</v>
      </c>
      <c r="AJ159" s="5791" t="s">
        <v>22</v>
      </c>
      <c r="AK159" s="6086" t="s">
        <v>27</v>
      </c>
      <c r="AL159" s="5791" t="s">
        <v>22</v>
      </c>
      <c r="AM159" s="6087" t="s">
        <v>27</v>
      </c>
      <c r="AN159" s="7287"/>
      <c r="AO159" s="7287"/>
      <c r="AP159" s="6517"/>
      <c r="AQ159" s="7287"/>
    </row>
    <row r="160" spans="1:67" x14ac:dyDescent="0.25">
      <c r="A160" s="7303" t="s">
        <v>76</v>
      </c>
      <c r="B160" s="7284"/>
      <c r="C160" s="5216">
        <f>SUM(D160+E160)</f>
        <v>0</v>
      </c>
      <c r="D160" s="5285">
        <f>SUM(F160+H160+J160+L160+N160+P160+R160+T160+V160+X160+Z160+AB160+AD160+AF160+AH160+AJ160+AL160)</f>
        <v>0</v>
      </c>
      <c r="E160" s="5286">
        <f>SUM(G160+I160+K160+M160+O160+Q160+S160+U160+W160+Y160+AA160+AC160+AE160+AG160+AI160+AK160+AM160)</f>
        <v>0</v>
      </c>
      <c r="F160" s="5627"/>
      <c r="G160" s="6088"/>
      <c r="H160" s="5627"/>
      <c r="I160" s="6088"/>
      <c r="J160" s="5627"/>
      <c r="K160" s="5632"/>
      <c r="L160" s="5627"/>
      <c r="M160" s="5632"/>
      <c r="N160" s="5627"/>
      <c r="O160" s="5632"/>
      <c r="P160" s="5627"/>
      <c r="Q160" s="5632"/>
      <c r="R160" s="5627"/>
      <c r="S160" s="5632"/>
      <c r="T160" s="5627"/>
      <c r="U160" s="5632"/>
      <c r="V160" s="5627"/>
      <c r="W160" s="5632"/>
      <c r="X160" s="5627"/>
      <c r="Y160" s="5632"/>
      <c r="Z160" s="5627"/>
      <c r="AA160" s="5632"/>
      <c r="AB160" s="5627"/>
      <c r="AC160" s="5632"/>
      <c r="AD160" s="5627"/>
      <c r="AE160" s="5632"/>
      <c r="AF160" s="5627"/>
      <c r="AG160" s="5632"/>
      <c r="AH160" s="5627"/>
      <c r="AI160" s="5632"/>
      <c r="AJ160" s="5627"/>
      <c r="AK160" s="5632"/>
      <c r="AL160" s="6089"/>
      <c r="AM160" s="5636"/>
      <c r="AN160" s="5287"/>
      <c r="AO160" s="5291"/>
      <c r="AP160" s="5550"/>
      <c r="AQ160" s="5287"/>
      <c r="AR160" t="str">
        <f>BE160&amp;BF160&amp;BG160&amp;BH160&amp;BI160</f>
        <v/>
      </c>
      <c r="BE160" s="2553" t="str">
        <f>IF(AND(C160&gt;0,AN160="")," * No olvide digitar la variable Beneficiarios. Digite Cero si no tiene.",IF(AN160&gt;C160," *   La variable Beneficiarios No puede ser mayor al Total.",""))</f>
        <v/>
      </c>
      <c r="BF160" s="2553" t="str">
        <f>IF(AND(C160&gt;0,AO160="")," * No olvide digitar la variable Total de Controles. Digite Cero si no tiene.",IF(AO160&gt;C160,"  * La variable Total de Controles No puede ser mayor al Total.",""))</f>
        <v/>
      </c>
      <c r="BG160" s="2553" t="str">
        <f>IF(AND(C160&gt;0,AP160="")," * No olvide digitar la variable Pueblos Originarios. Digite Cero si no tiene.",IF(AP160&gt;C160," *  * La variable Pueblos Originarios No puede ser mayor al Total.",""))</f>
        <v/>
      </c>
      <c r="BH160" s="2553" t="str">
        <f>IF(AND(C160&gt;0,AQ160="")," * No olvide digitar la variable Migrantes. Digite Cero si no tiene.",IF(AQ160&gt;C160," *  * La variable Migrantes No puede ser mayor al Total.",""))</f>
        <v/>
      </c>
      <c r="BI160" s="170"/>
      <c r="BJ160" s="170"/>
      <c r="BL160" s="1793">
        <f>IF(AND(C160&gt;0,AN160=""),1,IF(AN160&gt;C160,1,0))</f>
        <v>0</v>
      </c>
      <c r="BM160" s="1793">
        <f>IF(AND(C160&gt;0,AO160=""),1,IF(AO160&gt;C160,1,0))</f>
        <v>0</v>
      </c>
      <c r="BN160" s="1793">
        <f>IF(AND(C160&gt;0,AP160=""),1,IF(AP160&gt;C160,1,0))</f>
        <v>0</v>
      </c>
      <c r="BO160" s="1793">
        <f>IF(AND(C160&gt;0,AQ160=""),1,IF(AQ160&gt;C160,1,0))</f>
        <v>0</v>
      </c>
    </row>
    <row r="161" spans="1:71" x14ac:dyDescent="0.25">
      <c r="A161" s="7149" t="s">
        <v>77</v>
      </c>
      <c r="B161" s="5240" t="s">
        <v>246</v>
      </c>
      <c r="C161" s="145">
        <f>SUM(D161:E161)</f>
        <v>0</v>
      </c>
      <c r="D161" s="5293"/>
      <c r="E161" s="5212">
        <f>SUM(K161+M161+O161+Q161+S161+U161+W161+Y161+AA161+AC161+AE161+AG161+AI161+AK161+AM161)</f>
        <v>0</v>
      </c>
      <c r="F161" s="6090"/>
      <c r="G161" s="6091"/>
      <c r="H161" s="6090"/>
      <c r="I161" s="6091"/>
      <c r="J161" s="6090"/>
      <c r="K161" s="5952"/>
      <c r="L161" s="6090"/>
      <c r="M161" s="5952"/>
      <c r="N161" s="6090"/>
      <c r="O161" s="5952"/>
      <c r="P161" s="6090"/>
      <c r="Q161" s="5952"/>
      <c r="R161" s="6090"/>
      <c r="S161" s="5952"/>
      <c r="T161" s="6090"/>
      <c r="U161" s="5952"/>
      <c r="V161" s="6090"/>
      <c r="W161" s="5952"/>
      <c r="X161" s="6090"/>
      <c r="Y161" s="5952"/>
      <c r="Z161" s="6090"/>
      <c r="AA161" s="5952"/>
      <c r="AB161" s="6090"/>
      <c r="AC161" s="5952"/>
      <c r="AD161" s="6090"/>
      <c r="AE161" s="5952"/>
      <c r="AF161" s="6090"/>
      <c r="AG161" s="5952"/>
      <c r="AH161" s="6090"/>
      <c r="AI161" s="5952"/>
      <c r="AJ161" s="6090"/>
      <c r="AK161" s="5952"/>
      <c r="AL161" s="6090"/>
      <c r="AM161" s="6092"/>
      <c r="AN161" s="4861"/>
      <c r="AO161" s="5294"/>
      <c r="AP161" s="5867"/>
      <c r="AQ161" s="4861"/>
      <c r="AR161" t="str">
        <f t="shared" ref="AR161:AR170" si="28">BE161&amp;BF161&amp;BG161&amp;BH161&amp;BI161</f>
        <v/>
      </c>
      <c r="BE161" s="2553" t="str">
        <f t="shared" ref="BE161:BE170" si="29">IF(AND(C161&gt;0,AN161="")," * No olvide digitar la variable Beneficiarios. Digite Cero si no tiene.",IF(AN161&gt;C161," *   La variable Beneficiarios No puede ser mayor al Total.",""))</f>
        <v/>
      </c>
      <c r="BF161" s="2553" t="str">
        <f t="shared" ref="BF161:BF170" si="30">IF(AND(C161&gt;0,AO161="")," * No olvide digitar la variable Total de Controles. Digite Cero si no tiene.",IF(AO161&gt;C161,"  * La variable Total de Controles No puede ser mayor al Total.",""))</f>
        <v/>
      </c>
      <c r="BG161" s="2553" t="str">
        <f t="shared" ref="BG161:BG170" si="31">IF(AND(C161&gt;0,AP161="")," * No olvide digitar la variable Pueblos Originarios. Digite Cero si no tiene.",IF(AP161&gt;C161," *  * La variable Pueblos Originarios No puede ser mayor al Total.",""))</f>
        <v/>
      </c>
      <c r="BH161" s="2553" t="str">
        <f t="shared" ref="BH161:BH170" si="32">IF(AND(C161&gt;0,AQ161="")," * No olvide digitar la variable Migrantes. Digite Cero si no tiene.",IF(AQ161&gt;C161," *  * La variable Migrantes No puede ser mayor al Total.",""))</f>
        <v/>
      </c>
      <c r="BI161" s="170"/>
      <c r="BJ161" s="170"/>
      <c r="BL161" s="1793">
        <f t="shared" ref="BL161:BL170" si="33">IF(AND(C161&gt;0,AN161=""),1,IF(AN161&gt;C161,1,0))</f>
        <v>0</v>
      </c>
      <c r="BM161" s="1793">
        <f t="shared" ref="BM161:BM170" si="34">IF(AND(C161&gt;0,AO161=""),1,IF(AO161&gt;C161,1,0))</f>
        <v>0</v>
      </c>
      <c r="BN161" s="1793">
        <f t="shared" ref="BN161:BN170" si="35">IF(AND(C161&gt;0,AP161=""),1,IF(AP161&gt;C161,1,0))</f>
        <v>0</v>
      </c>
      <c r="BO161" s="1793">
        <f t="shared" ref="BO161:BO170" si="36">IF(AND(C161&gt;0,AQ161=""),1,IF(AQ161&gt;C161,1,0))</f>
        <v>0</v>
      </c>
    </row>
    <row r="162" spans="1:71" x14ac:dyDescent="0.25">
      <c r="A162" s="7151"/>
      <c r="B162" s="3135" t="s">
        <v>2207</v>
      </c>
      <c r="C162" s="145">
        <f>SUM(D162:E162)</f>
        <v>0</v>
      </c>
      <c r="D162" s="5295"/>
      <c r="E162" s="2012">
        <f>SUM(K162+M162+O162+Q162+S162+U162+W162+Y162+AA162+AC162+AE162+AG162+AI162+AK162+AM162)</f>
        <v>0</v>
      </c>
      <c r="F162" s="905"/>
      <c r="G162" s="6093"/>
      <c r="H162" s="905"/>
      <c r="I162" s="6093"/>
      <c r="J162" s="905"/>
      <c r="K162" s="5238"/>
      <c r="L162" s="905"/>
      <c r="M162" s="5238"/>
      <c r="N162" s="905"/>
      <c r="O162" s="5238"/>
      <c r="P162" s="905"/>
      <c r="Q162" s="5238"/>
      <c r="R162" s="905"/>
      <c r="S162" s="5238"/>
      <c r="T162" s="905"/>
      <c r="U162" s="5238"/>
      <c r="V162" s="905"/>
      <c r="W162" s="5238"/>
      <c r="X162" s="905"/>
      <c r="Y162" s="5238"/>
      <c r="Z162" s="905"/>
      <c r="AA162" s="5238"/>
      <c r="AB162" s="905"/>
      <c r="AC162" s="5238"/>
      <c r="AD162" s="905"/>
      <c r="AE162" s="5238"/>
      <c r="AF162" s="905"/>
      <c r="AG162" s="5238"/>
      <c r="AH162" s="905"/>
      <c r="AI162" s="5238"/>
      <c r="AJ162" s="905"/>
      <c r="AK162" s="5238"/>
      <c r="AL162" s="6094"/>
      <c r="AM162" s="5297"/>
      <c r="AN162" s="4561"/>
      <c r="AO162" s="148"/>
      <c r="AP162" s="789"/>
      <c r="AQ162" s="4561"/>
      <c r="AR162" t="str">
        <f t="shared" si="28"/>
        <v/>
      </c>
      <c r="BE162" s="2553" t="str">
        <f t="shared" si="29"/>
        <v/>
      </c>
      <c r="BF162" s="2553" t="str">
        <f t="shared" si="30"/>
        <v/>
      </c>
      <c r="BG162" s="2553" t="str">
        <f t="shared" si="31"/>
        <v/>
      </c>
      <c r="BH162" s="2553" t="str">
        <f t="shared" si="32"/>
        <v/>
      </c>
      <c r="BI162" s="170"/>
      <c r="BJ162" s="170"/>
      <c r="BL162" s="1793">
        <f t="shared" si="33"/>
        <v>0</v>
      </c>
      <c r="BM162" s="1793">
        <f t="shared" si="34"/>
        <v>0</v>
      </c>
      <c r="BN162" s="1793">
        <f t="shared" si="35"/>
        <v>0</v>
      </c>
      <c r="BO162" s="1793">
        <f t="shared" si="36"/>
        <v>0</v>
      </c>
    </row>
    <row r="163" spans="1:71" x14ac:dyDescent="0.25">
      <c r="A163" s="7151"/>
      <c r="B163" s="3648" t="s">
        <v>2208</v>
      </c>
      <c r="C163" s="1054">
        <f t="shared" ref="C163:C170" si="37">SUM(D163+E163)</f>
        <v>0</v>
      </c>
      <c r="D163" s="2013">
        <f>SUM(F163+H163+J163+L163+N163+P163+R163+T163+V163+X163+Z163+AB163+AD163+AF163+AH163+AJ163+AL163)</f>
        <v>0</v>
      </c>
      <c r="E163" s="3331">
        <f>SUM(G163+I163+K163+M163+O163+Q163+S163+U163+W163+Y163+AA163+AC163+AE163+AG163+AI163+AK163+AM163)</f>
        <v>0</v>
      </c>
      <c r="F163" s="620"/>
      <c r="G163" s="630"/>
      <c r="H163" s="620"/>
      <c r="I163" s="630"/>
      <c r="J163" s="620"/>
      <c r="K163" s="630"/>
      <c r="L163" s="620"/>
      <c r="M163" s="630"/>
      <c r="N163" s="620"/>
      <c r="O163" s="630"/>
      <c r="P163" s="620"/>
      <c r="Q163" s="630"/>
      <c r="R163" s="620"/>
      <c r="S163" s="630"/>
      <c r="T163" s="620"/>
      <c r="U163" s="630"/>
      <c r="V163" s="620"/>
      <c r="W163" s="630"/>
      <c r="X163" s="620"/>
      <c r="Y163" s="630"/>
      <c r="Z163" s="620"/>
      <c r="AA163" s="630"/>
      <c r="AB163" s="620"/>
      <c r="AC163" s="630"/>
      <c r="AD163" s="620"/>
      <c r="AE163" s="630"/>
      <c r="AF163" s="620"/>
      <c r="AG163" s="630"/>
      <c r="AH163" s="620"/>
      <c r="AI163" s="630"/>
      <c r="AJ163" s="620"/>
      <c r="AK163" s="630"/>
      <c r="AL163" s="3329"/>
      <c r="AM163" s="628"/>
      <c r="AN163" s="3166"/>
      <c r="AO163" s="3234"/>
      <c r="AP163" s="3234"/>
      <c r="AQ163" s="3166"/>
      <c r="AR163" t="str">
        <f t="shared" si="28"/>
        <v/>
      </c>
      <c r="BE163" s="2553" t="str">
        <f t="shared" si="29"/>
        <v/>
      </c>
      <c r="BF163" s="2553" t="str">
        <f t="shared" si="30"/>
        <v/>
      </c>
      <c r="BG163" s="2553" t="str">
        <f t="shared" si="31"/>
        <v/>
      </c>
      <c r="BH163" s="2553" t="str">
        <f t="shared" si="32"/>
        <v/>
      </c>
      <c r="BI163" s="170"/>
      <c r="BJ163" s="170"/>
      <c r="BL163" s="1793">
        <f t="shared" si="33"/>
        <v>0</v>
      </c>
      <c r="BM163" s="1793">
        <f t="shared" si="34"/>
        <v>0</v>
      </c>
      <c r="BN163" s="1793">
        <f t="shared" si="35"/>
        <v>0</v>
      </c>
      <c r="BO163" s="1793">
        <f t="shared" si="36"/>
        <v>0</v>
      </c>
    </row>
    <row r="164" spans="1:71" x14ac:dyDescent="0.25">
      <c r="A164" s="7150"/>
      <c r="B164" s="150" t="s">
        <v>2209</v>
      </c>
      <c r="C164" s="5298">
        <f t="shared" si="37"/>
        <v>0</v>
      </c>
      <c r="D164" s="1991">
        <f>SUM(N164+P164+R164+T164+V164+X164+Z164+AB164)</f>
        <v>0</v>
      </c>
      <c r="E164" s="5299">
        <f>SUM(O164+Q164+S164+U164+W164+Y164+AA164+AC164)</f>
        <v>0</v>
      </c>
      <c r="F164" s="151"/>
      <c r="G164" s="4324"/>
      <c r="H164" s="151"/>
      <c r="I164" s="4324"/>
      <c r="J164" s="151"/>
      <c r="K164" s="4324"/>
      <c r="L164" s="151"/>
      <c r="M164" s="4324"/>
      <c r="N164" s="114"/>
      <c r="O164" s="3124"/>
      <c r="P164" s="114"/>
      <c r="Q164" s="3124"/>
      <c r="R164" s="114"/>
      <c r="S164" s="3124"/>
      <c r="T164" s="114"/>
      <c r="U164" s="3124"/>
      <c r="V164" s="114"/>
      <c r="W164" s="3124"/>
      <c r="X164" s="114"/>
      <c r="Y164" s="3124"/>
      <c r="Z164" s="114"/>
      <c r="AA164" s="2889"/>
      <c r="AB164" s="114"/>
      <c r="AC164" s="3124"/>
      <c r="AD164" s="151"/>
      <c r="AE164" s="4324"/>
      <c r="AF164" s="151"/>
      <c r="AG164" s="4324"/>
      <c r="AH164" s="151"/>
      <c r="AI164" s="4324"/>
      <c r="AJ164" s="151"/>
      <c r="AK164" s="4324"/>
      <c r="AL164" s="151"/>
      <c r="AM164" s="2504"/>
      <c r="AN164" s="117"/>
      <c r="AO164" s="153"/>
      <c r="AP164" s="153"/>
      <c r="AQ164" s="117"/>
      <c r="AR164" t="str">
        <f t="shared" si="28"/>
        <v/>
      </c>
      <c r="BE164" s="2553" t="str">
        <f t="shared" si="29"/>
        <v/>
      </c>
      <c r="BF164" s="2553" t="str">
        <f t="shared" si="30"/>
        <v/>
      </c>
      <c r="BG164" s="2553" t="str">
        <f t="shared" si="31"/>
        <v/>
      </c>
      <c r="BH164" s="2553" t="str">
        <f t="shared" si="32"/>
        <v/>
      </c>
      <c r="BI164" s="170"/>
      <c r="BJ164" s="170"/>
      <c r="BL164" s="1793">
        <f t="shared" si="33"/>
        <v>0</v>
      </c>
      <c r="BM164" s="1793">
        <f t="shared" si="34"/>
        <v>0</v>
      </c>
      <c r="BN164" s="1793">
        <f t="shared" si="35"/>
        <v>0</v>
      </c>
      <c r="BO164" s="1793">
        <f t="shared" si="36"/>
        <v>0</v>
      </c>
    </row>
    <row r="165" spans="1:71" x14ac:dyDescent="0.25">
      <c r="A165" s="7295" t="s">
        <v>247</v>
      </c>
      <c r="B165" s="7296"/>
      <c r="C165" s="2093">
        <f t="shared" si="37"/>
        <v>0</v>
      </c>
      <c r="D165" s="5300">
        <f t="shared" ref="D165:E170" si="38">SUM(F165+H165+J165+L165+N165+P165+R165+T165+V165+X165+Z165+AB165+AD165+AF165+AH165+AJ165+AL165)</f>
        <v>0</v>
      </c>
      <c r="E165" s="4661">
        <f t="shared" si="38"/>
        <v>0</v>
      </c>
      <c r="F165" s="589"/>
      <c r="G165" s="6095"/>
      <c r="H165" s="589"/>
      <c r="I165" s="6095"/>
      <c r="J165" s="589"/>
      <c r="K165" s="5238"/>
      <c r="L165" s="589"/>
      <c r="M165" s="5238"/>
      <c r="N165" s="589"/>
      <c r="O165" s="5238"/>
      <c r="P165" s="589"/>
      <c r="Q165" s="5238"/>
      <c r="R165" s="589"/>
      <c r="S165" s="5238"/>
      <c r="T165" s="589"/>
      <c r="U165" s="5238"/>
      <c r="V165" s="589"/>
      <c r="W165" s="5238"/>
      <c r="X165" s="589"/>
      <c r="Y165" s="5238"/>
      <c r="Z165" s="589"/>
      <c r="AA165" s="5238"/>
      <c r="AB165" s="589"/>
      <c r="AC165" s="5238"/>
      <c r="AD165" s="589"/>
      <c r="AE165" s="5238"/>
      <c r="AF165" s="589"/>
      <c r="AG165" s="5238"/>
      <c r="AH165" s="589"/>
      <c r="AI165" s="6095"/>
      <c r="AJ165" s="589"/>
      <c r="AK165" s="6095"/>
      <c r="AL165" s="6096"/>
      <c r="AM165" s="5297"/>
      <c r="AN165" s="4561"/>
      <c r="AO165" s="148"/>
      <c r="AP165" s="789"/>
      <c r="AQ165" s="4561"/>
      <c r="AR165" t="str">
        <f t="shared" si="28"/>
        <v/>
      </c>
      <c r="BE165" s="2553" t="str">
        <f t="shared" si="29"/>
        <v/>
      </c>
      <c r="BF165" s="2553" t="str">
        <f t="shared" si="30"/>
        <v/>
      </c>
      <c r="BG165" s="2553" t="str">
        <f t="shared" si="31"/>
        <v/>
      </c>
      <c r="BH165" s="2553" t="str">
        <f t="shared" si="32"/>
        <v/>
      </c>
      <c r="BI165" s="170"/>
      <c r="BJ165" s="170"/>
      <c r="BL165" s="1793">
        <f t="shared" si="33"/>
        <v>0</v>
      </c>
      <c r="BM165" s="1793">
        <f t="shared" si="34"/>
        <v>0</v>
      </c>
      <c r="BN165" s="1793">
        <f t="shared" si="35"/>
        <v>0</v>
      </c>
      <c r="BO165" s="1793">
        <f t="shared" si="36"/>
        <v>0</v>
      </c>
    </row>
    <row r="166" spans="1:71" x14ac:dyDescent="0.25">
      <c r="A166" s="6596" t="s">
        <v>248</v>
      </c>
      <c r="B166" s="7297"/>
      <c r="C166" s="2014">
        <f t="shared" si="37"/>
        <v>0</v>
      </c>
      <c r="D166" s="2013">
        <f t="shared" si="38"/>
        <v>0</v>
      </c>
      <c r="E166" s="3331">
        <f t="shared" si="38"/>
        <v>0</v>
      </c>
      <c r="F166" s="620"/>
      <c r="G166" s="3166"/>
      <c r="H166" s="620"/>
      <c r="I166" s="3166"/>
      <c r="J166" s="620"/>
      <c r="K166" s="630"/>
      <c r="L166" s="620"/>
      <c r="M166" s="630"/>
      <c r="N166" s="620"/>
      <c r="O166" s="630"/>
      <c r="P166" s="620"/>
      <c r="Q166" s="630"/>
      <c r="R166" s="620"/>
      <c r="S166" s="630"/>
      <c r="T166" s="620"/>
      <c r="U166" s="630"/>
      <c r="V166" s="620"/>
      <c r="W166" s="630"/>
      <c r="X166" s="620"/>
      <c r="Y166" s="630"/>
      <c r="Z166" s="620"/>
      <c r="AA166" s="630"/>
      <c r="AB166" s="620"/>
      <c r="AC166" s="3166"/>
      <c r="AD166" s="620"/>
      <c r="AE166" s="3166"/>
      <c r="AF166" s="620"/>
      <c r="AG166" s="3166"/>
      <c r="AH166" s="620"/>
      <c r="AI166" s="3166"/>
      <c r="AJ166" s="620"/>
      <c r="AK166" s="3166"/>
      <c r="AL166" s="3329"/>
      <c r="AM166" s="628"/>
      <c r="AN166" s="3166"/>
      <c r="AO166" s="3234"/>
      <c r="AP166" s="3234"/>
      <c r="AQ166" s="3166"/>
      <c r="AR166" t="str">
        <f t="shared" si="28"/>
        <v/>
      </c>
      <c r="BE166" s="2553" t="str">
        <f t="shared" si="29"/>
        <v/>
      </c>
      <c r="BF166" s="2553" t="str">
        <f t="shared" si="30"/>
        <v/>
      </c>
      <c r="BG166" s="2553" t="str">
        <f t="shared" si="31"/>
        <v/>
      </c>
      <c r="BH166" s="2553" t="str">
        <f t="shared" si="32"/>
        <v/>
      </c>
      <c r="BI166" s="170"/>
      <c r="BJ166" s="170"/>
      <c r="BL166" s="1793">
        <f t="shared" si="33"/>
        <v>0</v>
      </c>
      <c r="BM166" s="1793">
        <f t="shared" si="34"/>
        <v>0</v>
      </c>
      <c r="BN166" s="1793">
        <f t="shared" si="35"/>
        <v>0</v>
      </c>
      <c r="BO166" s="1793">
        <f t="shared" si="36"/>
        <v>0</v>
      </c>
    </row>
    <row r="167" spans="1:71" x14ac:dyDescent="0.25">
      <c r="A167" s="7298" t="s">
        <v>249</v>
      </c>
      <c r="B167" s="7299"/>
      <c r="C167" s="2505">
        <f t="shared" si="37"/>
        <v>0</v>
      </c>
      <c r="D167" s="2506">
        <f t="shared" si="38"/>
        <v>0</v>
      </c>
      <c r="E167" s="3331">
        <f t="shared" si="38"/>
        <v>0</v>
      </c>
      <c r="F167" s="620"/>
      <c r="G167" s="3166"/>
      <c r="H167" s="620"/>
      <c r="I167" s="3166"/>
      <c r="J167" s="620"/>
      <c r="K167" s="630"/>
      <c r="L167" s="620"/>
      <c r="M167" s="630"/>
      <c r="N167" s="620"/>
      <c r="O167" s="630"/>
      <c r="P167" s="620"/>
      <c r="Q167" s="630"/>
      <c r="R167" s="620"/>
      <c r="S167" s="630"/>
      <c r="T167" s="620"/>
      <c r="U167" s="630"/>
      <c r="V167" s="620"/>
      <c r="W167" s="630"/>
      <c r="X167" s="620"/>
      <c r="Y167" s="630"/>
      <c r="Z167" s="620"/>
      <c r="AA167" s="630"/>
      <c r="AB167" s="620"/>
      <c r="AC167" s="3166"/>
      <c r="AD167" s="620"/>
      <c r="AE167" s="3166"/>
      <c r="AF167" s="620"/>
      <c r="AG167" s="3166"/>
      <c r="AH167" s="620"/>
      <c r="AI167" s="3166"/>
      <c r="AJ167" s="620"/>
      <c r="AK167" s="3166"/>
      <c r="AL167" s="3329"/>
      <c r="AM167" s="628"/>
      <c r="AN167" s="3166"/>
      <c r="AO167" s="3234"/>
      <c r="AP167" s="3234"/>
      <c r="AQ167" s="3166"/>
      <c r="AR167" t="str">
        <f t="shared" si="28"/>
        <v/>
      </c>
      <c r="BE167" s="2553" t="str">
        <f t="shared" si="29"/>
        <v/>
      </c>
      <c r="BF167" s="2553" t="str">
        <f t="shared" si="30"/>
        <v/>
      </c>
      <c r="BG167" s="2553" t="str">
        <f t="shared" si="31"/>
        <v/>
      </c>
      <c r="BH167" s="2553" t="str">
        <f t="shared" si="32"/>
        <v/>
      </c>
      <c r="BI167" s="170"/>
      <c r="BJ167" s="170"/>
      <c r="BL167" s="1793">
        <f t="shared" si="33"/>
        <v>0</v>
      </c>
      <c r="BM167" s="1793">
        <f t="shared" si="34"/>
        <v>0</v>
      </c>
      <c r="BN167" s="1793">
        <f t="shared" si="35"/>
        <v>0</v>
      </c>
      <c r="BO167" s="1793">
        <f t="shared" si="36"/>
        <v>0</v>
      </c>
    </row>
    <row r="168" spans="1:71" x14ac:dyDescent="0.25">
      <c r="A168" s="6596" t="s">
        <v>2210</v>
      </c>
      <c r="B168" s="7297"/>
      <c r="C168" s="2014">
        <f t="shared" si="37"/>
        <v>0</v>
      </c>
      <c r="D168" s="2013">
        <f t="shared" si="38"/>
        <v>0</v>
      </c>
      <c r="E168" s="3331">
        <f t="shared" si="38"/>
        <v>0</v>
      </c>
      <c r="F168" s="620"/>
      <c r="G168" s="3166"/>
      <c r="H168" s="620"/>
      <c r="I168" s="3166"/>
      <c r="J168" s="620"/>
      <c r="K168" s="630"/>
      <c r="L168" s="620"/>
      <c r="M168" s="630"/>
      <c r="N168" s="620"/>
      <c r="O168" s="630"/>
      <c r="P168" s="620"/>
      <c r="Q168" s="630"/>
      <c r="R168" s="620"/>
      <c r="S168" s="630"/>
      <c r="T168" s="620"/>
      <c r="U168" s="630"/>
      <c r="V168" s="620"/>
      <c r="W168" s="630"/>
      <c r="X168" s="620"/>
      <c r="Y168" s="630"/>
      <c r="Z168" s="620"/>
      <c r="AA168" s="630"/>
      <c r="AB168" s="620"/>
      <c r="AC168" s="630"/>
      <c r="AD168" s="620"/>
      <c r="AE168" s="630"/>
      <c r="AF168" s="620"/>
      <c r="AG168" s="630"/>
      <c r="AH168" s="620"/>
      <c r="AI168" s="3166"/>
      <c r="AJ168" s="620"/>
      <c r="AK168" s="3166"/>
      <c r="AL168" s="3329"/>
      <c r="AM168" s="628"/>
      <c r="AN168" s="3166"/>
      <c r="AO168" s="3234"/>
      <c r="AP168" s="3234"/>
      <c r="AQ168" s="3166"/>
      <c r="AR168" t="str">
        <f t="shared" si="28"/>
        <v/>
      </c>
      <c r="BE168" s="2553" t="str">
        <f t="shared" si="29"/>
        <v/>
      </c>
      <c r="BF168" s="2553" t="str">
        <f t="shared" si="30"/>
        <v/>
      </c>
      <c r="BG168" s="2553" t="str">
        <f t="shared" si="31"/>
        <v/>
      </c>
      <c r="BH168" s="2553" t="str">
        <f t="shared" si="32"/>
        <v/>
      </c>
      <c r="BI168" s="170"/>
      <c r="BJ168" s="170"/>
      <c r="BL168" s="1793">
        <f t="shared" si="33"/>
        <v>0</v>
      </c>
      <c r="BM168" s="1793">
        <f t="shared" si="34"/>
        <v>0</v>
      </c>
      <c r="BN168" s="1793">
        <f t="shared" si="35"/>
        <v>0</v>
      </c>
      <c r="BO168" s="1793">
        <f t="shared" si="36"/>
        <v>0</v>
      </c>
    </row>
    <row r="169" spans="1:71" x14ac:dyDescent="0.25">
      <c r="A169" s="6596" t="s">
        <v>62</v>
      </c>
      <c r="B169" s="7297"/>
      <c r="C169" s="156">
        <f>SUM(D169+E169)</f>
        <v>0</v>
      </c>
      <c r="D169" s="157">
        <f>SUM(F169+H169+J169+L169+N169+P169+R169+T169+V169+X169+Z169+AB169+AD169+AF169+AH169+AJ169+AL169)</f>
        <v>0</v>
      </c>
      <c r="E169" s="89">
        <f>SUM(G169+I169+K169+M169+O169+Q169+S169+U169+W169+Y169+AA169+AC169+AE169+AG169+AI169+AK169+AM169)</f>
        <v>0</v>
      </c>
      <c r="F169" s="90"/>
      <c r="G169" s="91"/>
      <c r="H169" s="90"/>
      <c r="I169" s="91"/>
      <c r="J169" s="90"/>
      <c r="K169" s="92"/>
      <c r="L169" s="90"/>
      <c r="M169" s="92"/>
      <c r="N169" s="90"/>
      <c r="O169" s="92"/>
      <c r="P169" s="90"/>
      <c r="Q169" s="92"/>
      <c r="R169" s="90"/>
      <c r="S169" s="92"/>
      <c r="T169" s="90"/>
      <c r="U169" s="92"/>
      <c r="V169" s="90"/>
      <c r="W169" s="92"/>
      <c r="X169" s="90"/>
      <c r="Y169" s="92"/>
      <c r="Z169" s="90"/>
      <c r="AA169" s="92"/>
      <c r="AB169" s="90"/>
      <c r="AC169" s="92"/>
      <c r="AD169" s="90"/>
      <c r="AE169" s="92"/>
      <c r="AF169" s="90"/>
      <c r="AG169" s="92"/>
      <c r="AH169" s="90"/>
      <c r="AI169" s="91"/>
      <c r="AJ169" s="90"/>
      <c r="AK169" s="91"/>
      <c r="AL169" s="93"/>
      <c r="AM169" s="94"/>
      <c r="AN169" s="91"/>
      <c r="AO169" s="158"/>
      <c r="AP169" s="158"/>
      <c r="AQ169" s="91"/>
      <c r="AR169" t="str">
        <f t="shared" si="28"/>
        <v/>
      </c>
      <c r="BE169" s="2553" t="str">
        <f t="shared" si="29"/>
        <v/>
      </c>
      <c r="BF169" s="2553" t="str">
        <f t="shared" si="30"/>
        <v/>
      </c>
      <c r="BG169" s="2553" t="str">
        <f t="shared" si="31"/>
        <v/>
      </c>
      <c r="BH169" s="2553" t="str">
        <f t="shared" si="32"/>
        <v/>
      </c>
      <c r="BI169" s="170"/>
      <c r="BJ169" s="170"/>
      <c r="BL169" s="1793">
        <f t="shared" si="33"/>
        <v>0</v>
      </c>
      <c r="BM169" s="1793">
        <f t="shared" si="34"/>
        <v>0</v>
      </c>
      <c r="BN169" s="1793">
        <f t="shared" si="35"/>
        <v>0</v>
      </c>
      <c r="BO169" s="1793">
        <f t="shared" si="36"/>
        <v>0</v>
      </c>
    </row>
    <row r="170" spans="1:71" x14ac:dyDescent="0.25">
      <c r="A170" s="7300" t="s">
        <v>79</v>
      </c>
      <c r="B170" s="7301"/>
      <c r="C170" s="3614">
        <f t="shared" si="37"/>
        <v>0</v>
      </c>
      <c r="D170" s="5301">
        <f t="shared" si="38"/>
        <v>0</v>
      </c>
      <c r="E170" s="161">
        <f t="shared" si="38"/>
        <v>0</v>
      </c>
      <c r="F170" s="114"/>
      <c r="G170" s="2889"/>
      <c r="H170" s="114"/>
      <c r="I170" s="2889"/>
      <c r="J170" s="114"/>
      <c r="K170" s="3124"/>
      <c r="L170" s="114"/>
      <c r="M170" s="3124"/>
      <c r="N170" s="114"/>
      <c r="O170" s="3124"/>
      <c r="P170" s="114"/>
      <c r="Q170" s="3124"/>
      <c r="R170" s="114"/>
      <c r="S170" s="3124"/>
      <c r="T170" s="114"/>
      <c r="U170" s="3124"/>
      <c r="V170" s="114"/>
      <c r="W170" s="3124"/>
      <c r="X170" s="114"/>
      <c r="Y170" s="3124"/>
      <c r="Z170" s="114"/>
      <c r="AA170" s="3124"/>
      <c r="AB170" s="114"/>
      <c r="AC170" s="3124"/>
      <c r="AD170" s="114"/>
      <c r="AE170" s="3124"/>
      <c r="AF170" s="114"/>
      <c r="AG170" s="3124"/>
      <c r="AH170" s="114"/>
      <c r="AI170" s="3124"/>
      <c r="AJ170" s="114"/>
      <c r="AK170" s="3124"/>
      <c r="AL170" s="118"/>
      <c r="AM170" s="3169"/>
      <c r="AN170" s="117"/>
      <c r="AO170" s="153"/>
      <c r="AP170" s="153"/>
      <c r="AQ170" s="117"/>
      <c r="AR170" t="str">
        <f t="shared" si="28"/>
        <v/>
      </c>
      <c r="BE170" s="2553" t="str">
        <f t="shared" si="29"/>
        <v/>
      </c>
      <c r="BF170" s="2553" t="str">
        <f t="shared" si="30"/>
        <v/>
      </c>
      <c r="BG170" s="2553" t="str">
        <f t="shared" si="31"/>
        <v/>
      </c>
      <c r="BH170" s="2553" t="str">
        <f t="shared" si="32"/>
        <v/>
      </c>
      <c r="BI170" s="170"/>
      <c r="BJ170" s="170"/>
      <c r="BL170" s="1793">
        <f t="shared" si="33"/>
        <v>0</v>
      </c>
      <c r="BM170" s="1793">
        <f t="shared" si="34"/>
        <v>0</v>
      </c>
      <c r="BN170" s="1793">
        <f t="shared" si="35"/>
        <v>0</v>
      </c>
      <c r="BO170" s="1793">
        <f t="shared" si="36"/>
        <v>0</v>
      </c>
    </row>
    <row r="171" spans="1:71" x14ac:dyDescent="0.25">
      <c r="A171" s="6558" t="s">
        <v>24</v>
      </c>
      <c r="B171" s="7190"/>
      <c r="C171" s="5302">
        <f t="shared" ref="C171:AQ171" si="39">SUM(C160:C170)</f>
        <v>0</v>
      </c>
      <c r="D171" s="2819">
        <f t="shared" si="39"/>
        <v>0</v>
      </c>
      <c r="E171" s="5299">
        <f t="shared" si="39"/>
        <v>0</v>
      </c>
      <c r="F171" s="6097">
        <f t="shared" si="39"/>
        <v>0</v>
      </c>
      <c r="G171" s="6098">
        <f t="shared" si="39"/>
        <v>0</v>
      </c>
      <c r="H171" s="6097">
        <f t="shared" si="39"/>
        <v>0</v>
      </c>
      <c r="I171" s="6098">
        <f t="shared" si="39"/>
        <v>0</v>
      </c>
      <c r="J171" s="5811">
        <f t="shared" si="39"/>
        <v>0</v>
      </c>
      <c r="K171" s="6099">
        <f t="shared" si="39"/>
        <v>0</v>
      </c>
      <c r="L171" s="5811">
        <f t="shared" si="39"/>
        <v>0</v>
      </c>
      <c r="M171" s="6099">
        <f t="shared" si="39"/>
        <v>0</v>
      </c>
      <c r="N171" s="5811">
        <f t="shared" si="39"/>
        <v>0</v>
      </c>
      <c r="O171" s="6099">
        <f t="shared" si="39"/>
        <v>0</v>
      </c>
      <c r="P171" s="5811">
        <f t="shared" si="39"/>
        <v>0</v>
      </c>
      <c r="Q171" s="6099">
        <f t="shared" si="39"/>
        <v>0</v>
      </c>
      <c r="R171" s="5811">
        <f t="shared" si="39"/>
        <v>0</v>
      </c>
      <c r="S171" s="6099">
        <f t="shared" si="39"/>
        <v>0</v>
      </c>
      <c r="T171" s="5811">
        <f t="shared" si="39"/>
        <v>0</v>
      </c>
      <c r="U171" s="6099">
        <f t="shared" si="39"/>
        <v>0</v>
      </c>
      <c r="V171" s="5811">
        <f t="shared" si="39"/>
        <v>0</v>
      </c>
      <c r="W171" s="6099">
        <f t="shared" si="39"/>
        <v>0</v>
      </c>
      <c r="X171" s="5811">
        <f t="shared" si="39"/>
        <v>0</v>
      </c>
      <c r="Y171" s="6099">
        <f t="shared" si="39"/>
        <v>0</v>
      </c>
      <c r="Z171" s="5811">
        <f t="shared" si="39"/>
        <v>0</v>
      </c>
      <c r="AA171" s="6099">
        <f t="shared" si="39"/>
        <v>0</v>
      </c>
      <c r="AB171" s="5811">
        <f t="shared" si="39"/>
        <v>0</v>
      </c>
      <c r="AC171" s="6099">
        <f t="shared" si="39"/>
        <v>0</v>
      </c>
      <c r="AD171" s="5811">
        <f t="shared" si="39"/>
        <v>0</v>
      </c>
      <c r="AE171" s="6099">
        <f t="shared" si="39"/>
        <v>0</v>
      </c>
      <c r="AF171" s="5811">
        <f t="shared" si="39"/>
        <v>0</v>
      </c>
      <c r="AG171" s="6099">
        <f t="shared" si="39"/>
        <v>0</v>
      </c>
      <c r="AH171" s="5811">
        <f t="shared" si="39"/>
        <v>0</v>
      </c>
      <c r="AI171" s="6099">
        <f t="shared" si="39"/>
        <v>0</v>
      </c>
      <c r="AJ171" s="5811">
        <f t="shared" si="39"/>
        <v>0</v>
      </c>
      <c r="AK171" s="6099">
        <f t="shared" si="39"/>
        <v>0</v>
      </c>
      <c r="AL171" s="6100">
        <f t="shared" si="39"/>
        <v>0</v>
      </c>
      <c r="AM171" s="5883">
        <f t="shared" si="39"/>
        <v>0</v>
      </c>
      <c r="AN171" s="5276">
        <f t="shared" si="39"/>
        <v>0</v>
      </c>
      <c r="AO171" s="5273">
        <f t="shared" si="39"/>
        <v>0</v>
      </c>
      <c r="AP171" s="5966">
        <f t="shared" si="39"/>
        <v>0</v>
      </c>
      <c r="AQ171" s="5276">
        <f t="shared" si="39"/>
        <v>0</v>
      </c>
    </row>
    <row r="172" spans="1:71" s="17" customFormat="1" ht="18" customHeight="1" x14ac:dyDescent="0.2">
      <c r="A172" s="5284" t="s">
        <v>2211</v>
      </c>
      <c r="B172" s="5303"/>
      <c r="C172" s="5303"/>
      <c r="D172" s="5303"/>
      <c r="E172" s="5303"/>
      <c r="F172" s="5303"/>
      <c r="G172" s="5304"/>
      <c r="H172" s="5304"/>
      <c r="I172" s="5304"/>
      <c r="J172" s="163"/>
      <c r="K172" s="163"/>
      <c r="L172" s="163"/>
      <c r="M172" s="163"/>
      <c r="N172" s="163"/>
      <c r="O172" s="163"/>
      <c r="P172" s="163"/>
      <c r="Q172" s="163"/>
      <c r="R172" s="163"/>
      <c r="S172" s="163"/>
      <c r="T172" s="163"/>
      <c r="U172" s="163"/>
      <c r="V172" s="163"/>
      <c r="W172" s="163"/>
      <c r="X172" s="163"/>
      <c r="Y172" s="163"/>
      <c r="Z172" s="163"/>
      <c r="AA172" s="163"/>
      <c r="AB172" s="163"/>
      <c r="AC172" s="163"/>
      <c r="AD172" s="163"/>
      <c r="AE172" s="163"/>
      <c r="AF172" s="163"/>
      <c r="AG172" s="163"/>
      <c r="AH172" s="163"/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</row>
    <row r="173" spans="1:71" x14ac:dyDescent="0.25">
      <c r="A173" s="7165" t="s">
        <v>58</v>
      </c>
      <c r="B173" s="7149" t="s">
        <v>61</v>
      </c>
      <c r="C173" s="7289" t="s">
        <v>47</v>
      </c>
      <c r="D173" s="6836"/>
      <c r="E173" s="7290"/>
      <c r="F173" s="7285" t="s">
        <v>30</v>
      </c>
      <c r="G173" s="7294"/>
      <c r="H173" s="7294"/>
      <c r="I173" s="7294"/>
      <c r="J173" s="7294"/>
      <c r="K173" s="7294"/>
      <c r="L173" s="7294"/>
      <c r="M173" s="7294"/>
      <c r="N173" s="7294"/>
      <c r="O173" s="7294"/>
      <c r="P173" s="7294"/>
      <c r="Q173" s="7294"/>
      <c r="R173" s="7294"/>
      <c r="S173" s="7294"/>
      <c r="T173" s="7294"/>
      <c r="U173" s="7294"/>
      <c r="V173" s="7294"/>
      <c r="W173" s="7294"/>
      <c r="X173" s="7294"/>
      <c r="Y173" s="7294"/>
      <c r="Z173" s="7294"/>
      <c r="AA173" s="7294"/>
      <c r="AB173" s="7294"/>
      <c r="AC173" s="7294"/>
      <c r="AD173" s="7294"/>
      <c r="AE173" s="7294"/>
      <c r="AF173" s="7294"/>
      <c r="AG173" s="7294"/>
      <c r="AH173" s="7294"/>
      <c r="AI173" s="7294"/>
      <c r="AJ173" s="7294"/>
      <c r="AK173" s="7294"/>
      <c r="AL173" s="7294"/>
      <c r="AM173" s="7288"/>
      <c r="AN173" s="7155" t="s">
        <v>67</v>
      </c>
      <c r="AO173" s="7169" t="s">
        <v>48</v>
      </c>
      <c r="AP173" s="7155"/>
      <c r="AQ173" s="6516" t="s">
        <v>2</v>
      </c>
      <c r="AR173" s="7155" t="s">
        <v>3</v>
      </c>
      <c r="AS173" s="7149" t="s">
        <v>2212</v>
      </c>
      <c r="AT173" s="7149" t="s">
        <v>45</v>
      </c>
    </row>
    <row r="174" spans="1:71" x14ac:dyDescent="0.25">
      <c r="A174" s="7166"/>
      <c r="B174" s="7151"/>
      <c r="C174" s="7291"/>
      <c r="D174" s="7292"/>
      <c r="E174" s="7293"/>
      <c r="F174" s="6558" t="s">
        <v>36</v>
      </c>
      <c r="G174" s="7190"/>
      <c r="H174" s="6558" t="s">
        <v>37</v>
      </c>
      <c r="I174" s="7190"/>
      <c r="J174" s="6558" t="s">
        <v>38</v>
      </c>
      <c r="K174" s="7190"/>
      <c r="L174" s="6558" t="s">
        <v>4</v>
      </c>
      <c r="M174" s="7190"/>
      <c r="N174" s="6558" t="s">
        <v>5</v>
      </c>
      <c r="O174" s="7190"/>
      <c r="P174" s="7285" t="s">
        <v>6</v>
      </c>
      <c r="Q174" s="7286"/>
      <c r="R174" s="7285" t="s">
        <v>7</v>
      </c>
      <c r="S174" s="7286"/>
      <c r="T174" s="7285" t="s">
        <v>8</v>
      </c>
      <c r="U174" s="7286"/>
      <c r="V174" s="7285" t="s">
        <v>9</v>
      </c>
      <c r="W174" s="7286"/>
      <c r="X174" s="7285" t="s">
        <v>10</v>
      </c>
      <c r="Y174" s="7286"/>
      <c r="Z174" s="7285" t="s">
        <v>11</v>
      </c>
      <c r="AA174" s="7286"/>
      <c r="AB174" s="7285" t="s">
        <v>18</v>
      </c>
      <c r="AC174" s="7286"/>
      <c r="AD174" s="7285" t="s">
        <v>19</v>
      </c>
      <c r="AE174" s="7286"/>
      <c r="AF174" s="7285" t="s">
        <v>20</v>
      </c>
      <c r="AG174" s="7286"/>
      <c r="AH174" s="7285" t="s">
        <v>70</v>
      </c>
      <c r="AI174" s="7286"/>
      <c r="AJ174" s="7285" t="s">
        <v>71</v>
      </c>
      <c r="AK174" s="7286"/>
      <c r="AL174" s="7285" t="s">
        <v>32</v>
      </c>
      <c r="AM174" s="7288"/>
      <c r="AN174" s="6472"/>
      <c r="AO174" s="6471"/>
      <c r="AP174" s="6472"/>
      <c r="AQ174" s="7151"/>
      <c r="AR174" s="6472"/>
      <c r="AS174" s="7151"/>
      <c r="AT174" s="7151"/>
    </row>
    <row r="175" spans="1:71" x14ac:dyDescent="0.25">
      <c r="A175" s="7167"/>
      <c r="B175" s="7150"/>
      <c r="C175" s="4807" t="s">
        <v>26</v>
      </c>
      <c r="D175" s="5207" t="s">
        <v>250</v>
      </c>
      <c r="E175" s="164" t="s">
        <v>21</v>
      </c>
      <c r="F175" s="5203" t="s">
        <v>250</v>
      </c>
      <c r="G175" s="5234" t="s">
        <v>21</v>
      </c>
      <c r="H175" s="5233" t="s">
        <v>250</v>
      </c>
      <c r="I175" s="5205" t="s">
        <v>21</v>
      </c>
      <c r="J175" s="5203" t="s">
        <v>250</v>
      </c>
      <c r="K175" s="5234" t="s">
        <v>21</v>
      </c>
      <c r="L175" s="5203" t="s">
        <v>250</v>
      </c>
      <c r="M175" s="5234" t="s">
        <v>21</v>
      </c>
      <c r="N175" s="5203" t="s">
        <v>250</v>
      </c>
      <c r="O175" s="5234" t="s">
        <v>21</v>
      </c>
      <c r="P175" s="5233" t="s">
        <v>250</v>
      </c>
      <c r="Q175" s="5205" t="s">
        <v>21</v>
      </c>
      <c r="R175" s="5233" t="s">
        <v>250</v>
      </c>
      <c r="S175" s="5205" t="s">
        <v>21</v>
      </c>
      <c r="T175" s="5203" t="s">
        <v>250</v>
      </c>
      <c r="U175" s="5234" t="s">
        <v>21</v>
      </c>
      <c r="V175" s="5233" t="s">
        <v>250</v>
      </c>
      <c r="W175" s="5205" t="s">
        <v>21</v>
      </c>
      <c r="X175" s="5233" t="s">
        <v>250</v>
      </c>
      <c r="Y175" s="5205" t="s">
        <v>21</v>
      </c>
      <c r="Z175" s="5203" t="s">
        <v>250</v>
      </c>
      <c r="AA175" s="5234" t="s">
        <v>21</v>
      </c>
      <c r="AB175" s="5203" t="s">
        <v>250</v>
      </c>
      <c r="AC175" s="5234" t="s">
        <v>21</v>
      </c>
      <c r="AD175" s="5233" t="s">
        <v>250</v>
      </c>
      <c r="AE175" s="5205" t="s">
        <v>21</v>
      </c>
      <c r="AF175" s="5233" t="s">
        <v>250</v>
      </c>
      <c r="AG175" s="5205" t="s">
        <v>21</v>
      </c>
      <c r="AH175" s="5203" t="s">
        <v>250</v>
      </c>
      <c r="AI175" s="5234" t="s">
        <v>21</v>
      </c>
      <c r="AJ175" s="5233" t="s">
        <v>250</v>
      </c>
      <c r="AK175" s="5205" t="s">
        <v>21</v>
      </c>
      <c r="AL175" s="5203" t="s">
        <v>250</v>
      </c>
      <c r="AM175" s="4977" t="s">
        <v>21</v>
      </c>
      <c r="AN175" s="7287"/>
      <c r="AO175" s="5204" t="s">
        <v>41</v>
      </c>
      <c r="AP175" s="5234" t="s">
        <v>42</v>
      </c>
      <c r="AQ175" s="6517"/>
      <c r="AR175" s="7287"/>
      <c r="AS175" s="7150"/>
      <c r="AT175" s="7150"/>
    </row>
    <row r="176" spans="1:71" x14ac:dyDescent="0.25">
      <c r="A176" s="7281" t="s">
        <v>2213</v>
      </c>
      <c r="B176" s="5305" t="s">
        <v>76</v>
      </c>
      <c r="C176" s="5306">
        <f t="shared" ref="C176:C186" si="40">SUM(D176+E176)</f>
        <v>0</v>
      </c>
      <c r="D176" s="5307">
        <f>SUM(F176+H176+J176+L176+N176+P176+R176+T176+V176+X176+Z176+AB176+AD176+AF176+AH176+AJ176+AL176)</f>
        <v>0</v>
      </c>
      <c r="E176" s="5308">
        <f>SUM(G176+I176+K176+M176+O176+Q176+S176+U176+W176+Y176+AA176+AC176+AE176+AG176+AI176+AK176+AM176)</f>
        <v>0</v>
      </c>
      <c r="F176" s="5213"/>
      <c r="G176" s="4861"/>
      <c r="H176" s="5213"/>
      <c r="I176" s="4861"/>
      <c r="J176" s="5213"/>
      <c r="K176" s="5268"/>
      <c r="L176" s="5213"/>
      <c r="M176" s="5268"/>
      <c r="N176" s="5213"/>
      <c r="O176" s="5268"/>
      <c r="P176" s="5213"/>
      <c r="Q176" s="5268"/>
      <c r="R176" s="5213"/>
      <c r="S176" s="5268"/>
      <c r="T176" s="5213"/>
      <c r="U176" s="5268"/>
      <c r="V176" s="5213"/>
      <c r="W176" s="5268"/>
      <c r="X176" s="5213"/>
      <c r="Y176" s="5268"/>
      <c r="Z176" s="5213"/>
      <c r="AA176" s="5268"/>
      <c r="AB176" s="5213"/>
      <c r="AC176" s="5268"/>
      <c r="AD176" s="5213"/>
      <c r="AE176" s="5268"/>
      <c r="AF176" s="5213"/>
      <c r="AG176" s="5268"/>
      <c r="AH176" s="5213"/>
      <c r="AI176" s="5268"/>
      <c r="AJ176" s="5213"/>
      <c r="AK176" s="5268"/>
      <c r="AL176" s="5309"/>
      <c r="AM176" s="5280"/>
      <c r="AN176" s="4861"/>
      <c r="AO176" s="5269"/>
      <c r="AP176" s="4861"/>
      <c r="AQ176" s="5867"/>
      <c r="AR176" s="4861"/>
      <c r="AS176" s="4861"/>
      <c r="AT176" s="4861"/>
      <c r="AU176" t="str">
        <f>BE176&amp;BF176&amp;BG176&amp;BH176&amp;BI176&amp;BJ176&amp;BK176</f>
        <v/>
      </c>
      <c r="BE176" s="2553" t="str">
        <f>IF(AND(C176&gt;0,AN176="")," * No olvide digitar la variable Beneficiarios. Digite Cero si no tiene.",IF(AN176&gt;C176," *   La variable Beneficiarios No puede ser mayor al Total.",""))</f>
        <v/>
      </c>
      <c r="BF176" s="2553" t="str">
        <f>IF(AND(E176&gt;0,OR(AO176=""))," * No olvide digitar la variable Trans (Masculino). Digite Cero si no tiene.",IF((AO176)&gt;E176," * La variable Trans (Masculino) No puede ser mayor al Total Mujeres.",""))</f>
        <v/>
      </c>
      <c r="BG176" s="2553" t="str">
        <f>IF(AND(D176&gt;0,OR(AP176=""))," * No olvide digitar la variable Trans (Femenino). Digite Cero si no tiene.",IF((AP176)&gt;D176," * La variable Trans (Femenino) No puede ser mayor al Total Hombres.",""))</f>
        <v/>
      </c>
      <c r="BH176" s="2553" t="str">
        <f>IF(AND(C176&gt;0,AQ176="")," * No olvide digitar la variable Pueblos Originarios. Digite Cero si no tiene.",IF(AQ176&gt;C176," *  * La variable Pueblos Originarios No puede ser mayor al Total.",""))</f>
        <v/>
      </c>
      <c r="BI176" s="2553" t="str">
        <f>IF(AND(C176&gt;0,AR176="")," * No olvide digitar la variable Migrantes. Digite Cero si no tiene.",IF(AR176&gt;C176," *  * La variable Migrantes No puede ser mayor al Total.",""))</f>
        <v/>
      </c>
      <c r="BJ176" s="2553" t="str">
        <f>IF(AND(C176&gt;0,AS176="")," * No olvide digitar la variable Niños, niñas, Adolescentes SENAME. Digite Cero si no tiene.",IF(AS176&gt;C176," *  * La variable Niños, niñas, Adolescentes SENAME No puede ser mayor al Total.",""))</f>
        <v/>
      </c>
      <c r="BK176" s="2553" t="str">
        <f>IF(AND(C176&gt;0,AT176="")," * No olvide digitar la variable Niños, Niñas, Adolescentes y Jóvenes Mejor Niñez. Digite Cero si no tiene.",IF(AT176&gt;C176," *  * La variable Niños, Niñas, Adolescentes y Jóvenes Mejor Niñez No puede ser mayor al Total.",""))</f>
        <v/>
      </c>
      <c r="BM176" s="1793">
        <f>IF(AND(C176&gt;0,AN176=""),1,IF(AN176&gt;C176,1,0))</f>
        <v>0</v>
      </c>
      <c r="BN176" s="1793">
        <f>IF(AND(E176&gt;0,OR(AO176="")),1,IF((AO176)&gt;E176,1,0))</f>
        <v>0</v>
      </c>
      <c r="BO176" s="1793">
        <f>IF(AND(D176&gt;0,OR(AP176="")),1,IF((AP176)&gt;D176,1,0))</f>
        <v>0</v>
      </c>
      <c r="BP176" s="1793">
        <f>IF(AND(C176&gt;0,AQ176=""),1,IF(AQ176&gt;C176,1,0))</f>
        <v>0</v>
      </c>
      <c r="BQ176" s="1793">
        <f>IF(AND(C176&gt;0,AR176=""),1,IF(AR176&gt;C176,1,0))</f>
        <v>0</v>
      </c>
      <c r="BR176" s="1793">
        <f>IF(AND(C176&gt;0,AS176=""),1,IF(AS176&gt;C176,1,0))</f>
        <v>0</v>
      </c>
      <c r="BS176" s="1793">
        <f>IF(AND(C176&gt;0,AT176=""),1,IF(AT176&gt;C176,1,0))</f>
        <v>0</v>
      </c>
    </row>
    <row r="177" spans="1:71" x14ac:dyDescent="0.25">
      <c r="A177" s="6607"/>
      <c r="B177" s="2508" t="s">
        <v>77</v>
      </c>
      <c r="C177" s="3614">
        <f t="shared" si="40"/>
        <v>0</v>
      </c>
      <c r="D177" s="5301">
        <f>SUM(F177+H177+J177+L177+N177+P177+R177+T177+V177+X177+Z177+AB177+AD177+AF177+AH177+AJ177+AL177)</f>
        <v>0</v>
      </c>
      <c r="E177" s="161">
        <f t="shared" ref="E177:E184" si="41">SUM(G177+I177+K177+M177+O177+Q177+S177+U177+W177+Y177+AA177+AC177+AE177+AG177+AI177+AK177+AM177)</f>
        <v>0</v>
      </c>
      <c r="F177" s="3112"/>
      <c r="G177" s="117"/>
      <c r="H177" s="3112"/>
      <c r="I177" s="117"/>
      <c r="J177" s="3112"/>
      <c r="K177" s="3124"/>
      <c r="L177" s="3112"/>
      <c r="M177" s="3124"/>
      <c r="N177" s="3112"/>
      <c r="O177" s="3124"/>
      <c r="P177" s="3112"/>
      <c r="Q177" s="3124"/>
      <c r="R177" s="3112"/>
      <c r="S177" s="3124"/>
      <c r="T177" s="3112"/>
      <c r="U177" s="3124"/>
      <c r="V177" s="3112"/>
      <c r="W177" s="3124"/>
      <c r="X177" s="3112"/>
      <c r="Y177" s="3124"/>
      <c r="Z177" s="3112"/>
      <c r="AA177" s="3124"/>
      <c r="AB177" s="3112"/>
      <c r="AC177" s="3124"/>
      <c r="AD177" s="3112"/>
      <c r="AE177" s="3124"/>
      <c r="AF177" s="3112"/>
      <c r="AG177" s="3124"/>
      <c r="AH177" s="3112"/>
      <c r="AI177" s="3124"/>
      <c r="AJ177" s="3112"/>
      <c r="AK177" s="3124"/>
      <c r="AL177" s="118"/>
      <c r="AM177" s="3169"/>
      <c r="AN177" s="117"/>
      <c r="AO177" s="121"/>
      <c r="AP177" s="117"/>
      <c r="AQ177" s="153"/>
      <c r="AR177" s="117"/>
      <c r="AS177" s="117"/>
      <c r="AT177" s="117"/>
      <c r="AU177" t="str">
        <f t="shared" ref="AU177:AU184" si="42">BE177&amp;BF177&amp;BG177&amp;BH177&amp;BI177&amp;BJ177&amp;BK177</f>
        <v/>
      </c>
      <c r="BE177" s="2553" t="str">
        <f t="shared" ref="BE177:BE186" si="43">IF(AND(C177&gt;0,AN177="")," * No olvide digitar la variable Beneficiarios. Digite Cero si no tiene.",IF(AN177&gt;C177," *   La variable Beneficiarios No puede ser mayor al Total.",""))</f>
        <v/>
      </c>
      <c r="BF177" s="2553" t="str">
        <f t="shared" ref="BF177:BF186" si="44">IF(AND(E177&gt;0,OR(AO177=""))," * No olvide digitar la variable Trans (Masculino). Digite Cero si no tiene.",IF((AO177)&gt;E177," * La variable Trans (Masculino) No puede ser mayor al Total Mujeres.",""))</f>
        <v/>
      </c>
      <c r="BG177" s="2553" t="str">
        <f t="shared" ref="BG177:BG186" si="45">IF(AND(D177&gt;0,OR(AP177=""))," * No olvide digitar la variable Trans (Femenino). Digite Cero si no tiene.",IF((AP177)&gt;D177," * La variable Trans (Femenino) No puede ser mayor al Total Hombres.",""))</f>
        <v/>
      </c>
      <c r="BH177" s="2553" t="str">
        <f t="shared" ref="BH177:BH186" si="46">IF(AND(C177&gt;0,AQ177="")," * No olvide digitar la variable Pueblos Originarios. Digite Cero si no tiene.",IF(AQ177&gt;C177," *  * La variable Pueblos Originarios No puede ser mayor al Total.",""))</f>
        <v/>
      </c>
      <c r="BI177" s="2553" t="str">
        <f t="shared" ref="BI177:BI186" si="47">IF(AND(C177&gt;0,AR177="")," * No olvide digitar la variable Migrantes. Digite Cero si no tiene.",IF(AR177&gt;C177," *  * La variable Migrantes No puede ser mayor al Total.",""))</f>
        <v/>
      </c>
      <c r="BJ177" s="2553" t="str">
        <f t="shared" ref="BJ177:BJ186" si="48">IF(AND(C177&gt;0,AS177="")," * No olvide digitar la variable Niños, niñas, Adolescentes SENAME. Digite Cero si no tiene.",IF(AS177&gt;C177," *  * La variable Niños, niñas, Adolescentes SENAME No puede ser mayor al Total.",""))</f>
        <v/>
      </c>
      <c r="BK177" s="2553" t="str">
        <f t="shared" ref="BK177:BK186" si="49">IF(AND(C177&gt;0,AT177="")," * No olvide digitar la variable Niños, Niñas, Adolescentes y Jóvenes Mejor Niñez. Digite Cero si no tiene.",IF(AT177&gt;C177," *  * La variable Niños, Niñas, Adolescentes y Jóvenes Mejor Niñez No puede ser mayor al Total.",""))</f>
        <v/>
      </c>
      <c r="BM177" s="1793">
        <f t="shared" ref="BM177:BM186" si="50">IF(AND(C177&gt;0,AN177=""),1,IF(AN177&gt;C177,1,0))</f>
        <v>0</v>
      </c>
      <c r="BN177" s="1793">
        <f t="shared" ref="BN177:BN186" si="51">IF(AND(E177&gt;0,OR(AO177="")),1,IF((AO177)&gt;E177,1,0))</f>
        <v>0</v>
      </c>
      <c r="BO177" s="1793">
        <f t="shared" ref="BO177:BO186" si="52">IF(AND(D177&gt;0,OR(AP177="")),1,IF((AP177)&gt;D177,1,0))</f>
        <v>0</v>
      </c>
      <c r="BP177" s="1793">
        <f t="shared" ref="BP177:BP186" si="53">IF(AND(C177&gt;0,AQ177=""),1,IF(AQ177&gt;C177,1,0))</f>
        <v>0</v>
      </c>
      <c r="BQ177" s="1793">
        <f t="shared" ref="BQ177:BQ186" si="54">IF(AND(C177&gt;0,AR177=""),1,IF(AR177&gt;C177,1,0))</f>
        <v>0</v>
      </c>
      <c r="BR177" s="1793">
        <f t="shared" ref="BR177:BR186" si="55">IF(AND(C177&gt;0,AS177=""),1,IF(AS177&gt;C177,1,0))</f>
        <v>0</v>
      </c>
      <c r="BS177" s="1793">
        <f t="shared" ref="BS177:BS186" si="56">IF(AND(C177&gt;0,AT177=""),1,IF(AT177&gt;C177,1,0))</f>
        <v>0</v>
      </c>
    </row>
    <row r="178" spans="1:71" x14ac:dyDescent="0.25">
      <c r="A178" s="7282" t="s">
        <v>2214</v>
      </c>
      <c r="B178" s="5305" t="s">
        <v>76</v>
      </c>
      <c r="C178" s="5306">
        <f t="shared" si="40"/>
        <v>0</v>
      </c>
      <c r="D178" s="5307">
        <f t="shared" ref="D178:D184" si="57">SUM(F178+H178+J178+L178+N178+P178+R178+T178+V178+X178+Z178+AB178+AD178+AF178+AH178+AJ178+AL178)</f>
        <v>0</v>
      </c>
      <c r="E178" s="5308">
        <f>SUM(G178+I178+K178+M178+O178+Q178+S178+U178+W178+Y178+AA178+AC178+AE178+AG178+AI178+AK178+AM178)</f>
        <v>0</v>
      </c>
      <c r="F178" s="5213"/>
      <c r="G178" s="4861"/>
      <c r="H178" s="5213"/>
      <c r="I178" s="4861"/>
      <c r="J178" s="5213"/>
      <c r="K178" s="5268"/>
      <c r="L178" s="5213"/>
      <c r="M178" s="5268"/>
      <c r="N178" s="5213"/>
      <c r="O178" s="5268"/>
      <c r="P178" s="5213"/>
      <c r="Q178" s="5268"/>
      <c r="R178" s="5213"/>
      <c r="S178" s="5268"/>
      <c r="T178" s="5213"/>
      <c r="U178" s="5268"/>
      <c r="V178" s="5213"/>
      <c r="W178" s="5268"/>
      <c r="X178" s="5213"/>
      <c r="Y178" s="5268"/>
      <c r="Z178" s="5213"/>
      <c r="AA178" s="5268"/>
      <c r="AB178" s="5213"/>
      <c r="AC178" s="5268"/>
      <c r="AD178" s="5213"/>
      <c r="AE178" s="5268"/>
      <c r="AF178" s="5213"/>
      <c r="AG178" s="5268"/>
      <c r="AH178" s="5213"/>
      <c r="AI178" s="5268"/>
      <c r="AJ178" s="5213"/>
      <c r="AK178" s="5268"/>
      <c r="AL178" s="5309"/>
      <c r="AM178" s="5280"/>
      <c r="AN178" s="4861"/>
      <c r="AO178" s="5269"/>
      <c r="AP178" s="4861"/>
      <c r="AQ178" s="5867"/>
      <c r="AR178" s="4861"/>
      <c r="AS178" s="4861"/>
      <c r="AT178" s="4861"/>
      <c r="AU178" t="str">
        <f t="shared" si="42"/>
        <v/>
      </c>
      <c r="BE178" s="2553" t="str">
        <f t="shared" si="43"/>
        <v/>
      </c>
      <c r="BF178" s="2553" t="str">
        <f t="shared" si="44"/>
        <v/>
      </c>
      <c r="BG178" s="2553" t="str">
        <f t="shared" si="45"/>
        <v/>
      </c>
      <c r="BH178" s="2553" t="str">
        <f t="shared" si="46"/>
        <v/>
      </c>
      <c r="BI178" s="2553" t="str">
        <f t="shared" si="47"/>
        <v/>
      </c>
      <c r="BJ178" s="2553" t="str">
        <f t="shared" si="48"/>
        <v/>
      </c>
      <c r="BK178" s="2553" t="str">
        <f t="shared" si="49"/>
        <v/>
      </c>
      <c r="BM178" s="1793">
        <f t="shared" si="50"/>
        <v>0</v>
      </c>
      <c r="BN178" s="1793">
        <f t="shared" si="51"/>
        <v>0</v>
      </c>
      <c r="BO178" s="1793">
        <f t="shared" si="52"/>
        <v>0</v>
      </c>
      <c r="BP178" s="1793">
        <f t="shared" si="53"/>
        <v>0</v>
      </c>
      <c r="BQ178" s="1793">
        <f t="shared" si="54"/>
        <v>0</v>
      </c>
      <c r="BR178" s="1793">
        <f t="shared" si="55"/>
        <v>0</v>
      </c>
      <c r="BS178" s="1793">
        <f t="shared" si="56"/>
        <v>0</v>
      </c>
    </row>
    <row r="179" spans="1:71" x14ac:dyDescent="0.25">
      <c r="A179" s="6595"/>
      <c r="B179" s="2509" t="s">
        <v>77</v>
      </c>
      <c r="C179" s="2014">
        <f t="shared" si="40"/>
        <v>0</v>
      </c>
      <c r="D179" s="2013">
        <f t="shared" si="57"/>
        <v>0</v>
      </c>
      <c r="E179" s="3331">
        <f t="shared" si="41"/>
        <v>0</v>
      </c>
      <c r="F179" s="1089"/>
      <c r="G179" s="3166"/>
      <c r="H179" s="1089"/>
      <c r="I179" s="3166"/>
      <c r="J179" s="1089"/>
      <c r="K179" s="1077"/>
      <c r="L179" s="1089"/>
      <c r="M179" s="1077"/>
      <c r="N179" s="1089"/>
      <c r="O179" s="1077"/>
      <c r="P179" s="1089"/>
      <c r="Q179" s="1077"/>
      <c r="R179" s="1089"/>
      <c r="S179" s="1077"/>
      <c r="T179" s="1089"/>
      <c r="U179" s="1077"/>
      <c r="V179" s="1089"/>
      <c r="W179" s="1077"/>
      <c r="X179" s="1089"/>
      <c r="Y179" s="1077"/>
      <c r="Z179" s="1089"/>
      <c r="AA179" s="1077"/>
      <c r="AB179" s="1089"/>
      <c r="AC179" s="1077"/>
      <c r="AD179" s="1089"/>
      <c r="AE179" s="1077"/>
      <c r="AF179" s="1089"/>
      <c r="AG179" s="1077"/>
      <c r="AH179" s="1089"/>
      <c r="AI179" s="1077"/>
      <c r="AJ179" s="1089"/>
      <c r="AK179" s="1077"/>
      <c r="AL179" s="3329"/>
      <c r="AM179" s="1078"/>
      <c r="AN179" s="3166"/>
      <c r="AO179" s="3232"/>
      <c r="AP179" s="3166"/>
      <c r="AQ179" s="3234"/>
      <c r="AR179" s="3166"/>
      <c r="AS179" s="3166"/>
      <c r="AT179" s="3166"/>
      <c r="AU179" t="str">
        <f t="shared" si="42"/>
        <v/>
      </c>
      <c r="BE179" s="2553" t="str">
        <f t="shared" si="43"/>
        <v/>
      </c>
      <c r="BF179" s="2553" t="str">
        <f t="shared" si="44"/>
        <v/>
      </c>
      <c r="BG179" s="2553" t="str">
        <f t="shared" si="45"/>
        <v/>
      </c>
      <c r="BH179" s="2553" t="str">
        <f t="shared" si="46"/>
        <v/>
      </c>
      <c r="BI179" s="2553" t="str">
        <f t="shared" si="47"/>
        <v/>
      </c>
      <c r="BJ179" s="2553" t="str">
        <f t="shared" si="48"/>
        <v/>
      </c>
      <c r="BK179" s="2553" t="str">
        <f t="shared" si="49"/>
        <v/>
      </c>
      <c r="BM179" s="1793">
        <f t="shared" si="50"/>
        <v>0</v>
      </c>
      <c r="BN179" s="1793">
        <f t="shared" si="51"/>
        <v>0</v>
      </c>
      <c r="BO179" s="1793">
        <f t="shared" si="52"/>
        <v>0</v>
      </c>
      <c r="BP179" s="1793">
        <f t="shared" si="53"/>
        <v>0</v>
      </c>
      <c r="BQ179" s="1793">
        <f t="shared" si="54"/>
        <v>0</v>
      </c>
      <c r="BR179" s="1793">
        <f t="shared" si="55"/>
        <v>0</v>
      </c>
      <c r="BS179" s="1793">
        <f t="shared" si="56"/>
        <v>0</v>
      </c>
    </row>
    <row r="180" spans="1:71" x14ac:dyDescent="0.25">
      <c r="A180" s="7283"/>
      <c r="B180" s="2508" t="s">
        <v>75</v>
      </c>
      <c r="C180" s="3614">
        <f t="shared" si="40"/>
        <v>0</v>
      </c>
      <c r="D180" s="5301">
        <f t="shared" si="57"/>
        <v>0</v>
      </c>
      <c r="E180" s="161">
        <f t="shared" si="41"/>
        <v>0</v>
      </c>
      <c r="F180" s="3112"/>
      <c r="G180" s="117"/>
      <c r="H180" s="3112"/>
      <c r="I180" s="117"/>
      <c r="J180" s="3112"/>
      <c r="K180" s="3124"/>
      <c r="L180" s="3112"/>
      <c r="M180" s="3124"/>
      <c r="N180" s="3112"/>
      <c r="O180" s="3124"/>
      <c r="P180" s="3112"/>
      <c r="Q180" s="3124"/>
      <c r="R180" s="3112"/>
      <c r="S180" s="3124"/>
      <c r="T180" s="3112"/>
      <c r="U180" s="3124"/>
      <c r="V180" s="3112"/>
      <c r="W180" s="3124"/>
      <c r="X180" s="3112"/>
      <c r="Y180" s="3124"/>
      <c r="Z180" s="3112"/>
      <c r="AA180" s="3124"/>
      <c r="AB180" s="3112"/>
      <c r="AC180" s="3124"/>
      <c r="AD180" s="3112"/>
      <c r="AE180" s="3124"/>
      <c r="AF180" s="3112"/>
      <c r="AG180" s="3124"/>
      <c r="AH180" s="3112"/>
      <c r="AI180" s="3124"/>
      <c r="AJ180" s="3112"/>
      <c r="AK180" s="3124"/>
      <c r="AL180" s="118"/>
      <c r="AM180" s="3169"/>
      <c r="AN180" s="117"/>
      <c r="AO180" s="121"/>
      <c r="AP180" s="117"/>
      <c r="AQ180" s="153"/>
      <c r="AR180" s="117"/>
      <c r="AS180" s="117"/>
      <c r="AT180" s="117"/>
      <c r="AU180" t="str">
        <f t="shared" si="42"/>
        <v/>
      </c>
      <c r="BE180" s="2553" t="str">
        <f t="shared" si="43"/>
        <v/>
      </c>
      <c r="BF180" s="2553" t="str">
        <f t="shared" si="44"/>
        <v/>
      </c>
      <c r="BG180" s="2553" t="str">
        <f t="shared" si="45"/>
        <v/>
      </c>
      <c r="BH180" s="2553" t="str">
        <f t="shared" si="46"/>
        <v/>
      </c>
      <c r="BI180" s="2553" t="str">
        <f t="shared" si="47"/>
        <v/>
      </c>
      <c r="BJ180" s="2553" t="str">
        <f t="shared" si="48"/>
        <v/>
      </c>
      <c r="BK180" s="2553" t="str">
        <f t="shared" si="49"/>
        <v/>
      </c>
      <c r="BM180" s="1793">
        <f t="shared" si="50"/>
        <v>0</v>
      </c>
      <c r="BN180" s="1793">
        <f t="shared" si="51"/>
        <v>0</v>
      </c>
      <c r="BO180" s="1793">
        <f t="shared" si="52"/>
        <v>0</v>
      </c>
      <c r="BP180" s="1793">
        <f t="shared" si="53"/>
        <v>0</v>
      </c>
      <c r="BQ180" s="1793">
        <f t="shared" si="54"/>
        <v>0</v>
      </c>
      <c r="BR180" s="1793">
        <f t="shared" si="55"/>
        <v>0</v>
      </c>
      <c r="BS180" s="1793">
        <f t="shared" si="56"/>
        <v>0</v>
      </c>
    </row>
    <row r="181" spans="1:71" x14ac:dyDescent="0.25">
      <c r="A181" s="7284" t="s">
        <v>2215</v>
      </c>
      <c r="B181" s="5305" t="s">
        <v>76</v>
      </c>
      <c r="C181" s="5306">
        <f t="shared" si="40"/>
        <v>0</v>
      </c>
      <c r="D181" s="5307">
        <f t="shared" si="57"/>
        <v>0</v>
      </c>
      <c r="E181" s="5308">
        <f t="shared" si="41"/>
        <v>0</v>
      </c>
      <c r="F181" s="5213"/>
      <c r="G181" s="4861"/>
      <c r="H181" s="5213"/>
      <c r="I181" s="4861"/>
      <c r="J181" s="5213"/>
      <c r="K181" s="5268"/>
      <c r="L181" s="5213"/>
      <c r="M181" s="5268"/>
      <c r="N181" s="5213"/>
      <c r="O181" s="5268"/>
      <c r="P181" s="5213"/>
      <c r="Q181" s="5268"/>
      <c r="R181" s="5213"/>
      <c r="S181" s="5268"/>
      <c r="T181" s="5213"/>
      <c r="U181" s="5268"/>
      <c r="V181" s="5213"/>
      <c r="W181" s="4861"/>
      <c r="X181" s="5213"/>
      <c r="Y181" s="5268"/>
      <c r="Z181" s="5213"/>
      <c r="AA181" s="5268"/>
      <c r="AB181" s="5213"/>
      <c r="AC181" s="5268"/>
      <c r="AD181" s="5213"/>
      <c r="AE181" s="5268"/>
      <c r="AF181" s="5213"/>
      <c r="AG181" s="5268"/>
      <c r="AH181" s="5213"/>
      <c r="AI181" s="5268"/>
      <c r="AJ181" s="5213"/>
      <c r="AK181" s="5268"/>
      <c r="AL181" s="5309"/>
      <c r="AM181" s="5280"/>
      <c r="AN181" s="4861"/>
      <c r="AO181" s="5269"/>
      <c r="AP181" s="4861"/>
      <c r="AQ181" s="5867"/>
      <c r="AR181" s="4861"/>
      <c r="AS181" s="4861"/>
      <c r="AT181" s="4861"/>
      <c r="AU181" t="str">
        <f t="shared" si="42"/>
        <v/>
      </c>
      <c r="BE181" s="2553" t="str">
        <f t="shared" si="43"/>
        <v/>
      </c>
      <c r="BF181" s="2553" t="str">
        <f t="shared" si="44"/>
        <v/>
      </c>
      <c r="BG181" s="2553" t="str">
        <f t="shared" si="45"/>
        <v/>
      </c>
      <c r="BH181" s="2553" t="str">
        <f t="shared" si="46"/>
        <v/>
      </c>
      <c r="BI181" s="2553" t="str">
        <f t="shared" si="47"/>
        <v/>
      </c>
      <c r="BJ181" s="2553" t="str">
        <f t="shared" si="48"/>
        <v/>
      </c>
      <c r="BK181" s="2553" t="str">
        <f t="shared" si="49"/>
        <v/>
      </c>
      <c r="BM181" s="1793">
        <f t="shared" si="50"/>
        <v>0</v>
      </c>
      <c r="BN181" s="1793">
        <f t="shared" si="51"/>
        <v>0</v>
      </c>
      <c r="BO181" s="1793">
        <f t="shared" si="52"/>
        <v>0</v>
      </c>
      <c r="BP181" s="1793">
        <f t="shared" si="53"/>
        <v>0</v>
      </c>
      <c r="BQ181" s="1793">
        <f t="shared" si="54"/>
        <v>0</v>
      </c>
      <c r="BR181" s="1793">
        <f t="shared" si="55"/>
        <v>0</v>
      </c>
      <c r="BS181" s="1793">
        <f t="shared" si="56"/>
        <v>0</v>
      </c>
    </row>
    <row r="182" spans="1:71" x14ac:dyDescent="0.25">
      <c r="A182" s="6614"/>
      <c r="B182" s="2508" t="s">
        <v>77</v>
      </c>
      <c r="C182" s="2014">
        <f t="shared" si="40"/>
        <v>0</v>
      </c>
      <c r="D182" s="2013">
        <f t="shared" si="57"/>
        <v>0</v>
      </c>
      <c r="E182" s="3331">
        <f t="shared" si="41"/>
        <v>0</v>
      </c>
      <c r="F182" s="3112"/>
      <c r="G182" s="117"/>
      <c r="H182" s="3112"/>
      <c r="I182" s="117"/>
      <c r="J182" s="3112"/>
      <c r="K182" s="3124"/>
      <c r="L182" s="3112"/>
      <c r="M182" s="3124"/>
      <c r="N182" s="3112"/>
      <c r="O182" s="3124"/>
      <c r="P182" s="3112"/>
      <c r="Q182" s="3124"/>
      <c r="R182" s="3112"/>
      <c r="S182" s="3124"/>
      <c r="T182" s="3112"/>
      <c r="U182" s="3124"/>
      <c r="V182" s="3112"/>
      <c r="W182" s="3124"/>
      <c r="X182" s="3112"/>
      <c r="Y182" s="3124"/>
      <c r="Z182" s="3112"/>
      <c r="AA182" s="3124"/>
      <c r="AB182" s="3112"/>
      <c r="AC182" s="3124"/>
      <c r="AD182" s="3112"/>
      <c r="AE182" s="3124"/>
      <c r="AF182" s="3112"/>
      <c r="AG182" s="3124"/>
      <c r="AH182" s="3112"/>
      <c r="AI182" s="3124"/>
      <c r="AJ182" s="3112"/>
      <c r="AK182" s="3124"/>
      <c r="AL182" s="118"/>
      <c r="AM182" s="3169"/>
      <c r="AN182" s="117"/>
      <c r="AO182" s="121"/>
      <c r="AP182" s="117"/>
      <c r="AQ182" s="153"/>
      <c r="AR182" s="117"/>
      <c r="AS182" s="117"/>
      <c r="AT182" s="117"/>
      <c r="AU182" t="str">
        <f t="shared" si="42"/>
        <v/>
      </c>
      <c r="BE182" s="2553" t="str">
        <f t="shared" si="43"/>
        <v/>
      </c>
      <c r="BF182" s="2553" t="str">
        <f t="shared" si="44"/>
        <v/>
      </c>
      <c r="BG182" s="2553" t="str">
        <f t="shared" si="45"/>
        <v/>
      </c>
      <c r="BH182" s="2553" t="str">
        <f t="shared" si="46"/>
        <v/>
      </c>
      <c r="BI182" s="2553" t="str">
        <f t="shared" si="47"/>
        <v/>
      </c>
      <c r="BJ182" s="2553" t="str">
        <f t="shared" si="48"/>
        <v/>
      </c>
      <c r="BK182" s="2553" t="str">
        <f t="shared" si="49"/>
        <v/>
      </c>
      <c r="BM182" s="1793">
        <f t="shared" si="50"/>
        <v>0</v>
      </c>
      <c r="BN182" s="1793">
        <f t="shared" si="51"/>
        <v>0</v>
      </c>
      <c r="BO182" s="1793">
        <f t="shared" si="52"/>
        <v>0</v>
      </c>
      <c r="BP182" s="1793">
        <f t="shared" si="53"/>
        <v>0</v>
      </c>
      <c r="BQ182" s="1793">
        <f t="shared" si="54"/>
        <v>0</v>
      </c>
      <c r="BR182" s="1793">
        <f t="shared" si="55"/>
        <v>0</v>
      </c>
      <c r="BS182" s="1793">
        <f t="shared" si="56"/>
        <v>0</v>
      </c>
    </row>
    <row r="183" spans="1:71" x14ac:dyDescent="0.25">
      <c r="A183" s="7284" t="s">
        <v>2216</v>
      </c>
      <c r="B183" s="5305" t="s">
        <v>76</v>
      </c>
      <c r="C183" s="5306">
        <f t="shared" si="40"/>
        <v>0</v>
      </c>
      <c r="D183" s="5307">
        <f t="shared" si="57"/>
        <v>0</v>
      </c>
      <c r="E183" s="5308">
        <f t="shared" si="41"/>
        <v>0</v>
      </c>
      <c r="F183" s="5213"/>
      <c r="G183" s="4861"/>
      <c r="H183" s="5213"/>
      <c r="I183" s="4861"/>
      <c r="J183" s="5213"/>
      <c r="K183" s="5268"/>
      <c r="L183" s="5213"/>
      <c r="M183" s="5268"/>
      <c r="N183" s="5213"/>
      <c r="O183" s="5268"/>
      <c r="P183" s="5213"/>
      <c r="Q183" s="5268"/>
      <c r="R183" s="5213"/>
      <c r="S183" s="5268"/>
      <c r="T183" s="5213"/>
      <c r="U183" s="5268"/>
      <c r="V183" s="106"/>
      <c r="W183" s="5238"/>
      <c r="X183" s="106"/>
      <c r="Y183" s="5238"/>
      <c r="Z183" s="106"/>
      <c r="AA183" s="5238"/>
      <c r="AB183" s="106"/>
      <c r="AC183" s="5238"/>
      <c r="AD183" s="106"/>
      <c r="AE183" s="5238"/>
      <c r="AF183" s="106"/>
      <c r="AG183" s="5238"/>
      <c r="AH183" s="106"/>
      <c r="AI183" s="5238"/>
      <c r="AJ183" s="106"/>
      <c r="AK183" s="5238"/>
      <c r="AL183" s="113"/>
      <c r="AM183" s="5297"/>
      <c r="AN183" s="4861"/>
      <c r="AO183" s="5269"/>
      <c r="AP183" s="4861"/>
      <c r="AQ183" s="5867"/>
      <c r="AR183" s="4861"/>
      <c r="AS183" s="4861"/>
      <c r="AT183" s="4861"/>
      <c r="AU183" t="str">
        <f t="shared" si="42"/>
        <v/>
      </c>
      <c r="BE183" s="2553" t="str">
        <f t="shared" si="43"/>
        <v/>
      </c>
      <c r="BF183" s="2553" t="str">
        <f t="shared" si="44"/>
        <v/>
      </c>
      <c r="BG183" s="2553" t="str">
        <f t="shared" si="45"/>
        <v/>
      </c>
      <c r="BH183" s="2553" t="str">
        <f t="shared" si="46"/>
        <v/>
      </c>
      <c r="BI183" s="2553" t="str">
        <f t="shared" si="47"/>
        <v/>
      </c>
      <c r="BJ183" s="2553" t="str">
        <f t="shared" si="48"/>
        <v/>
      </c>
      <c r="BK183" s="2553" t="str">
        <f t="shared" si="49"/>
        <v/>
      </c>
      <c r="BM183" s="1793">
        <f t="shared" si="50"/>
        <v>0</v>
      </c>
      <c r="BN183" s="1793">
        <f t="shared" si="51"/>
        <v>0</v>
      </c>
      <c r="BO183" s="1793">
        <f t="shared" si="52"/>
        <v>0</v>
      </c>
      <c r="BP183" s="1793">
        <f t="shared" si="53"/>
        <v>0</v>
      </c>
      <c r="BQ183" s="1793">
        <f t="shared" si="54"/>
        <v>0</v>
      </c>
      <c r="BR183" s="1793">
        <f t="shared" si="55"/>
        <v>0</v>
      </c>
      <c r="BS183" s="1793">
        <f t="shared" si="56"/>
        <v>0</v>
      </c>
    </row>
    <row r="184" spans="1:71" x14ac:dyDescent="0.25">
      <c r="A184" s="6614"/>
      <c r="B184" s="2508" t="s">
        <v>77</v>
      </c>
      <c r="C184" s="2014">
        <f t="shared" si="40"/>
        <v>0</v>
      </c>
      <c r="D184" s="2013">
        <f t="shared" si="57"/>
        <v>0</v>
      </c>
      <c r="E184" s="3331">
        <f t="shared" si="41"/>
        <v>0</v>
      </c>
      <c r="F184" s="3112"/>
      <c r="G184" s="117"/>
      <c r="H184" s="3112"/>
      <c r="I184" s="117"/>
      <c r="J184" s="3112"/>
      <c r="K184" s="3124"/>
      <c r="L184" s="3112"/>
      <c r="M184" s="3124"/>
      <c r="N184" s="3112"/>
      <c r="O184" s="3124"/>
      <c r="P184" s="3112"/>
      <c r="Q184" s="3124"/>
      <c r="R184" s="3112"/>
      <c r="S184" s="3124"/>
      <c r="T184" s="3112"/>
      <c r="U184" s="3124"/>
      <c r="V184" s="131"/>
      <c r="W184" s="4561"/>
      <c r="X184" s="106"/>
      <c r="Y184" s="5238"/>
      <c r="Z184" s="106"/>
      <c r="AA184" s="5238"/>
      <c r="AB184" s="106"/>
      <c r="AC184" s="5238"/>
      <c r="AD184" s="106"/>
      <c r="AE184" s="5238"/>
      <c r="AF184" s="106"/>
      <c r="AG184" s="5238"/>
      <c r="AH184" s="106"/>
      <c r="AI184" s="5238"/>
      <c r="AJ184" s="106"/>
      <c r="AK184" s="5238"/>
      <c r="AL184" s="113"/>
      <c r="AM184" s="5297"/>
      <c r="AN184" s="4561"/>
      <c r="AO184" s="591"/>
      <c r="AP184" s="4561"/>
      <c r="AQ184" s="789"/>
      <c r="AR184" s="4561"/>
      <c r="AS184" s="4561"/>
      <c r="AT184" s="4561"/>
      <c r="AU184" t="str">
        <f t="shared" si="42"/>
        <v/>
      </c>
      <c r="BE184" s="2553" t="str">
        <f t="shared" si="43"/>
        <v/>
      </c>
      <c r="BF184" s="2553" t="str">
        <f t="shared" si="44"/>
        <v/>
      </c>
      <c r="BG184" s="2553" t="str">
        <f t="shared" si="45"/>
        <v/>
      </c>
      <c r="BH184" s="2553" t="str">
        <f t="shared" si="46"/>
        <v/>
      </c>
      <c r="BI184" s="2553" t="str">
        <f t="shared" si="47"/>
        <v/>
      </c>
      <c r="BJ184" s="2553" t="str">
        <f t="shared" si="48"/>
        <v/>
      </c>
      <c r="BK184" s="2553" t="str">
        <f t="shared" si="49"/>
        <v/>
      </c>
      <c r="BM184" s="1793">
        <f t="shared" si="50"/>
        <v>0</v>
      </c>
      <c r="BN184" s="1793">
        <f t="shared" si="51"/>
        <v>0</v>
      </c>
      <c r="BO184" s="1793">
        <f t="shared" si="52"/>
        <v>0</v>
      </c>
      <c r="BP184" s="1793">
        <f t="shared" si="53"/>
        <v>0</v>
      </c>
      <c r="BQ184" s="1793">
        <f t="shared" si="54"/>
        <v>0</v>
      </c>
      <c r="BR184" s="1793">
        <f t="shared" si="55"/>
        <v>0</v>
      </c>
      <c r="BS184" s="1793">
        <f t="shared" si="56"/>
        <v>0</v>
      </c>
    </row>
    <row r="185" spans="1:71" x14ac:dyDescent="0.25">
      <c r="A185" s="7268" t="s">
        <v>2217</v>
      </c>
      <c r="B185" s="5305" t="s">
        <v>76</v>
      </c>
      <c r="C185" s="5310">
        <f t="shared" si="40"/>
        <v>0</v>
      </c>
      <c r="D185" s="5285">
        <f>SUM(L185+N185+P185+R185+T185+V185+X185+Z185+AB185+AD185+AF185+AH185+AJ185+AL185)</f>
        <v>0</v>
      </c>
      <c r="E185" s="5286">
        <f>SUM(M185+O185+Q185+S185+U185+W185+Y185+AA185+AC185+AE185+AG185+AI185+AK185+AM185)</f>
        <v>0</v>
      </c>
      <c r="F185" s="5311"/>
      <c r="G185" s="5312"/>
      <c r="H185" s="5311"/>
      <c r="I185" s="5312"/>
      <c r="J185" s="5311"/>
      <c r="K185" s="5312"/>
      <c r="L185" s="5313"/>
      <c r="M185" s="5288"/>
      <c r="N185" s="5264"/>
      <c r="O185" s="5288"/>
      <c r="P185" s="5264"/>
      <c r="Q185" s="5288"/>
      <c r="R185" s="5264"/>
      <c r="S185" s="5288"/>
      <c r="T185" s="5264"/>
      <c r="U185" s="5288"/>
      <c r="V185" s="5264"/>
      <c r="W185" s="5288"/>
      <c r="X185" s="5264"/>
      <c r="Y185" s="5288"/>
      <c r="Z185" s="5264"/>
      <c r="AA185" s="5288"/>
      <c r="AB185" s="5264"/>
      <c r="AC185" s="5288"/>
      <c r="AD185" s="5264"/>
      <c r="AE185" s="5288"/>
      <c r="AF185" s="5264"/>
      <c r="AG185" s="5288"/>
      <c r="AH185" s="5264"/>
      <c r="AI185" s="5288"/>
      <c r="AJ185" s="5264"/>
      <c r="AK185" s="5288"/>
      <c r="AL185" s="5289"/>
      <c r="AM185" s="5290"/>
      <c r="AN185" s="5287"/>
      <c r="AO185" s="5292"/>
      <c r="AP185" s="5287"/>
      <c r="AQ185" s="5550"/>
      <c r="AR185" s="5287"/>
      <c r="AS185" s="5287"/>
      <c r="AT185" s="5287"/>
      <c r="AU185" t="str">
        <f>BE185&amp;BF185&amp;BG185&amp;BH185&amp;BI185&amp;BJ185&amp;BK185</f>
        <v/>
      </c>
      <c r="BE185" s="2553" t="str">
        <f t="shared" si="43"/>
        <v/>
      </c>
      <c r="BF185" s="2553" t="str">
        <f t="shared" si="44"/>
        <v/>
      </c>
      <c r="BG185" s="2553" t="str">
        <f t="shared" si="45"/>
        <v/>
      </c>
      <c r="BH185" s="2553" t="str">
        <f t="shared" si="46"/>
        <v/>
      </c>
      <c r="BI185" s="2553" t="str">
        <f t="shared" si="47"/>
        <v/>
      </c>
      <c r="BJ185" s="2553" t="str">
        <f t="shared" si="48"/>
        <v/>
      </c>
      <c r="BK185" s="2553" t="str">
        <f t="shared" si="49"/>
        <v/>
      </c>
      <c r="BM185" s="1793">
        <f t="shared" si="50"/>
        <v>0</v>
      </c>
      <c r="BN185" s="1793">
        <f t="shared" si="51"/>
        <v>0</v>
      </c>
      <c r="BO185" s="1793">
        <f t="shared" si="52"/>
        <v>0</v>
      </c>
      <c r="BP185" s="1793">
        <f t="shared" si="53"/>
        <v>0</v>
      </c>
      <c r="BQ185" s="1793">
        <f t="shared" si="54"/>
        <v>0</v>
      </c>
      <c r="BR185" s="1793">
        <f t="shared" si="55"/>
        <v>0</v>
      </c>
      <c r="BS185" s="1793">
        <f t="shared" si="56"/>
        <v>0</v>
      </c>
    </row>
    <row r="186" spans="1:71" x14ac:dyDescent="0.25">
      <c r="A186" s="7269"/>
      <c r="B186" s="2508" t="s">
        <v>77</v>
      </c>
      <c r="C186" s="3614">
        <f t="shared" si="40"/>
        <v>0</v>
      </c>
      <c r="D186" s="5301">
        <f>SUM(L186+N186+P186+R186+T186+V186+X186+Z186+AB186+AD186+AF186+AH186+AJ186+AL186)</f>
        <v>0</v>
      </c>
      <c r="E186" s="161">
        <f>SUM(M186+O186+Q186+S186+U186+W186+Y186+AA186+AC186+AE186+AG186+AI186+AK186+AM186)</f>
        <v>0</v>
      </c>
      <c r="F186" s="3108"/>
      <c r="G186" s="152"/>
      <c r="H186" s="3108"/>
      <c r="I186" s="152"/>
      <c r="J186" s="3108"/>
      <c r="K186" s="152"/>
      <c r="L186" s="5314"/>
      <c r="M186" s="3124"/>
      <c r="N186" s="3112"/>
      <c r="O186" s="3124"/>
      <c r="P186" s="3112"/>
      <c r="Q186" s="3124"/>
      <c r="R186" s="3112"/>
      <c r="S186" s="3124"/>
      <c r="T186" s="3112"/>
      <c r="U186" s="3124"/>
      <c r="V186" s="3112"/>
      <c r="W186" s="3124"/>
      <c r="X186" s="3112"/>
      <c r="Y186" s="3124"/>
      <c r="Z186" s="3112"/>
      <c r="AA186" s="3124"/>
      <c r="AB186" s="3112"/>
      <c r="AC186" s="3124"/>
      <c r="AD186" s="3112"/>
      <c r="AE186" s="3124"/>
      <c r="AF186" s="3112"/>
      <c r="AG186" s="3124"/>
      <c r="AH186" s="3112"/>
      <c r="AI186" s="3124"/>
      <c r="AJ186" s="3112"/>
      <c r="AK186" s="3124"/>
      <c r="AL186" s="118"/>
      <c r="AM186" s="3169"/>
      <c r="AN186" s="117"/>
      <c r="AO186" s="121"/>
      <c r="AP186" s="117"/>
      <c r="AQ186" s="153"/>
      <c r="AR186" s="117"/>
      <c r="AS186" s="117"/>
      <c r="AT186" s="117"/>
      <c r="AU186" t="str">
        <f>BE186&amp;BF186&amp;BG186&amp;BH186&amp;BI186&amp;BJ186&amp;BK186</f>
        <v/>
      </c>
      <c r="BE186" s="2553" t="str">
        <f t="shared" si="43"/>
        <v/>
      </c>
      <c r="BF186" s="2553" t="str">
        <f t="shared" si="44"/>
        <v/>
      </c>
      <c r="BG186" s="2553" t="str">
        <f t="shared" si="45"/>
        <v/>
      </c>
      <c r="BH186" s="2553" t="str">
        <f t="shared" si="46"/>
        <v/>
      </c>
      <c r="BI186" s="2553" t="str">
        <f t="shared" si="47"/>
        <v/>
      </c>
      <c r="BJ186" s="2553" t="str">
        <f t="shared" si="48"/>
        <v/>
      </c>
      <c r="BK186" s="2553" t="str">
        <f t="shared" si="49"/>
        <v/>
      </c>
      <c r="BM186" s="1793">
        <f t="shared" si="50"/>
        <v>0</v>
      </c>
      <c r="BN186" s="1793">
        <f t="shared" si="51"/>
        <v>0</v>
      </c>
      <c r="BO186" s="1793">
        <f t="shared" si="52"/>
        <v>0</v>
      </c>
      <c r="BP186" s="1793">
        <f t="shared" si="53"/>
        <v>0</v>
      </c>
      <c r="BQ186" s="1793">
        <f t="shared" si="54"/>
        <v>0</v>
      </c>
      <c r="BR186" s="1793">
        <f t="shared" si="55"/>
        <v>0</v>
      </c>
      <c r="BS186" s="1793">
        <f t="shared" si="56"/>
        <v>0</v>
      </c>
    </row>
    <row r="187" spans="1:71" s="507" customFormat="1" ht="18" customHeight="1" x14ac:dyDescent="0.2">
      <c r="A187" s="2821" t="s">
        <v>2218</v>
      </c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63"/>
      <c r="Q187" s="163"/>
      <c r="R187" s="163"/>
      <c r="S187" s="163"/>
      <c r="T187" s="163"/>
      <c r="U187" s="163"/>
      <c r="V187" s="163"/>
      <c r="W187" s="163"/>
      <c r="X187" s="163"/>
      <c r="Y187" s="163"/>
      <c r="Z187" s="163"/>
      <c r="AA187" s="163"/>
      <c r="AB187" s="163"/>
      <c r="AC187" s="163"/>
      <c r="AD187" s="163"/>
      <c r="AE187" s="163"/>
      <c r="AF187" s="163"/>
      <c r="AG187" s="163"/>
      <c r="AH187" s="163"/>
      <c r="AI187" s="163"/>
      <c r="AJ187" s="163"/>
      <c r="AK187" s="163"/>
      <c r="AL187" s="163"/>
      <c r="AM187" s="163"/>
      <c r="AN187" s="163"/>
      <c r="AO187" s="163"/>
      <c r="AP187" s="163"/>
    </row>
    <row r="188" spans="1:71" ht="15" customHeight="1" x14ac:dyDescent="0.25">
      <c r="A188" s="7270" t="s">
        <v>2219</v>
      </c>
      <c r="B188" s="7271"/>
      <c r="C188" s="7274" t="s">
        <v>59</v>
      </c>
      <c r="D188" s="7275"/>
      <c r="E188" s="7271"/>
      <c r="F188" s="7257" t="s">
        <v>30</v>
      </c>
      <c r="G188" s="7277"/>
      <c r="H188" s="7277"/>
      <c r="I188" s="7277"/>
      <c r="J188" s="7277"/>
      <c r="K188" s="7277"/>
      <c r="L188" s="7277"/>
      <c r="M188" s="7277"/>
      <c r="N188" s="7277"/>
      <c r="O188" s="7277"/>
      <c r="P188" s="7277"/>
      <c r="Q188" s="7277"/>
      <c r="R188" s="7277"/>
      <c r="S188" s="7277"/>
      <c r="T188" s="7277"/>
      <c r="U188" s="7277"/>
      <c r="V188" s="7277"/>
      <c r="W188" s="7277"/>
      <c r="X188" s="7277"/>
      <c r="Y188" s="7277"/>
      <c r="Z188" s="7277"/>
      <c r="AA188" s="7277"/>
      <c r="AB188" s="7277"/>
      <c r="AC188" s="7277"/>
      <c r="AD188" s="7277"/>
      <c r="AE188" s="7277"/>
      <c r="AF188" s="7277"/>
      <c r="AG188" s="7259"/>
      <c r="AH188" s="7278" t="s">
        <v>2220</v>
      </c>
      <c r="AI188" s="7278"/>
      <c r="AJ188" s="7278"/>
      <c r="AK188" s="7279"/>
      <c r="AL188" s="7251" t="s">
        <v>2221</v>
      </c>
      <c r="AM188" s="7262" t="s">
        <v>2222</v>
      </c>
      <c r="AN188" s="7258"/>
      <c r="AO188" s="7263" t="s">
        <v>3</v>
      </c>
      <c r="AP188" s="7265" t="s">
        <v>2</v>
      </c>
    </row>
    <row r="189" spans="1:71" x14ac:dyDescent="0.25">
      <c r="A189" s="7272"/>
      <c r="B189" s="7266"/>
      <c r="C189" s="7273"/>
      <c r="D189" s="7276"/>
      <c r="E189" s="7267"/>
      <c r="F189" s="7257" t="s">
        <v>4</v>
      </c>
      <c r="G189" s="7258"/>
      <c r="H189" s="7257" t="s">
        <v>5</v>
      </c>
      <c r="I189" s="7258"/>
      <c r="J189" s="7257" t="s">
        <v>6</v>
      </c>
      <c r="K189" s="7258"/>
      <c r="L189" s="7257" t="s">
        <v>7</v>
      </c>
      <c r="M189" s="7258"/>
      <c r="N189" s="7257" t="s">
        <v>8</v>
      </c>
      <c r="O189" s="7258"/>
      <c r="P189" s="7257" t="s">
        <v>9</v>
      </c>
      <c r="Q189" s="7258"/>
      <c r="R189" s="7257" t="s">
        <v>10</v>
      </c>
      <c r="S189" s="7258"/>
      <c r="T189" s="7257" t="s">
        <v>11</v>
      </c>
      <c r="U189" s="7258"/>
      <c r="V189" s="7257" t="s">
        <v>18</v>
      </c>
      <c r="W189" s="7258"/>
      <c r="X189" s="7257" t="s">
        <v>19</v>
      </c>
      <c r="Y189" s="7258"/>
      <c r="Z189" s="7257" t="s">
        <v>20</v>
      </c>
      <c r="AA189" s="7258"/>
      <c r="AB189" s="7257" t="s">
        <v>70</v>
      </c>
      <c r="AC189" s="7258"/>
      <c r="AD189" s="7257" t="s">
        <v>71</v>
      </c>
      <c r="AE189" s="7258"/>
      <c r="AF189" s="7257" t="s">
        <v>32</v>
      </c>
      <c r="AG189" s="7259"/>
      <c r="AH189" s="7249" t="s">
        <v>220</v>
      </c>
      <c r="AI189" s="7260" t="s">
        <v>1337</v>
      </c>
      <c r="AJ189" s="7251" t="s">
        <v>3718</v>
      </c>
      <c r="AK189" s="7249" t="s">
        <v>221</v>
      </c>
      <c r="AL189" s="7280"/>
      <c r="AM189" s="7251" t="s">
        <v>2223</v>
      </c>
      <c r="AN189" s="7251" t="s">
        <v>1469</v>
      </c>
      <c r="AO189" s="7264"/>
      <c r="AP189" s="7266"/>
    </row>
    <row r="190" spans="1:71" x14ac:dyDescent="0.25">
      <c r="A190" s="7273"/>
      <c r="B190" s="7267"/>
      <c r="C190" s="2822" t="s">
        <v>26</v>
      </c>
      <c r="D190" s="2823" t="s">
        <v>22</v>
      </c>
      <c r="E190" s="668" t="s">
        <v>27</v>
      </c>
      <c r="F190" s="2824" t="s">
        <v>22</v>
      </c>
      <c r="G190" s="668" t="s">
        <v>27</v>
      </c>
      <c r="H190" s="2824" t="s">
        <v>22</v>
      </c>
      <c r="I190" s="668" t="s">
        <v>27</v>
      </c>
      <c r="J190" s="2824" t="s">
        <v>51</v>
      </c>
      <c r="K190" s="668" t="s">
        <v>27</v>
      </c>
      <c r="L190" s="2824" t="s">
        <v>51</v>
      </c>
      <c r="M190" s="668" t="s">
        <v>27</v>
      </c>
      <c r="N190" s="2824" t="s">
        <v>51</v>
      </c>
      <c r="O190" s="668" t="s">
        <v>27</v>
      </c>
      <c r="P190" s="2824" t="s">
        <v>51</v>
      </c>
      <c r="Q190" s="668" t="s">
        <v>27</v>
      </c>
      <c r="R190" s="2824" t="s">
        <v>51</v>
      </c>
      <c r="S190" s="668" t="s">
        <v>27</v>
      </c>
      <c r="T190" s="2824" t="s">
        <v>51</v>
      </c>
      <c r="U190" s="668" t="s">
        <v>27</v>
      </c>
      <c r="V190" s="2824" t="s">
        <v>51</v>
      </c>
      <c r="W190" s="668" t="s">
        <v>27</v>
      </c>
      <c r="X190" s="2824" t="s">
        <v>51</v>
      </c>
      <c r="Y190" s="668" t="s">
        <v>27</v>
      </c>
      <c r="Z190" s="2824" t="s">
        <v>51</v>
      </c>
      <c r="AA190" s="668" t="s">
        <v>27</v>
      </c>
      <c r="AB190" s="2824" t="s">
        <v>51</v>
      </c>
      <c r="AC190" s="668" t="s">
        <v>27</v>
      </c>
      <c r="AD190" s="2824" t="s">
        <v>51</v>
      </c>
      <c r="AE190" s="668" t="s">
        <v>27</v>
      </c>
      <c r="AF190" s="2824" t="s">
        <v>51</v>
      </c>
      <c r="AG190" s="2825" t="s">
        <v>27</v>
      </c>
      <c r="AH190" s="7250"/>
      <c r="AI190" s="7250"/>
      <c r="AJ190" s="7261"/>
      <c r="AK190" s="7250"/>
      <c r="AL190" s="7261"/>
      <c r="AM190" s="7252"/>
      <c r="AN190" s="7252"/>
      <c r="AO190" s="7255"/>
      <c r="AP190" s="7267"/>
    </row>
    <row r="191" spans="1:71" ht="15" customHeight="1" x14ac:dyDescent="0.25">
      <c r="A191" s="7246" t="s">
        <v>2224</v>
      </c>
      <c r="B191" s="2510" t="s">
        <v>2083</v>
      </c>
      <c r="C191" s="2511">
        <f>SUM(D191+E191)</f>
        <v>0</v>
      </c>
      <c r="D191" s="2511">
        <f>SUM(F191+H191+J191+L191+N191+P191+R191+T191+V191+X191+Z191+AB191+AD191+AF191)</f>
        <v>0</v>
      </c>
      <c r="E191" s="2511">
        <f>SUM(G191+I191+K191+M191+O191+Q191+S191+U191+W191+Y191+AA191+AC191+AE191+AG191)</f>
        <v>0</v>
      </c>
      <c r="F191" s="5315"/>
      <c r="G191" s="5316"/>
      <c r="H191" s="5315"/>
      <c r="I191" s="5316"/>
      <c r="J191" s="5315"/>
      <c r="K191" s="5316"/>
      <c r="L191" s="5315"/>
      <c r="M191" s="5316"/>
      <c r="N191" s="5315"/>
      <c r="O191" s="5316"/>
      <c r="P191" s="5315"/>
      <c r="Q191" s="5316"/>
      <c r="R191" s="5315"/>
      <c r="S191" s="5316"/>
      <c r="T191" s="5315"/>
      <c r="U191" s="5316"/>
      <c r="V191" s="5315"/>
      <c r="W191" s="5316"/>
      <c r="X191" s="5315"/>
      <c r="Y191" s="5316"/>
      <c r="Z191" s="5315"/>
      <c r="AA191" s="5316"/>
      <c r="AB191" s="5315"/>
      <c r="AC191" s="5316"/>
      <c r="AD191" s="5315"/>
      <c r="AE191" s="5316"/>
      <c r="AF191" s="5315"/>
      <c r="AG191" s="5317"/>
      <c r="AH191" s="4464"/>
      <c r="AI191" s="4465"/>
      <c r="AJ191" s="4465"/>
      <c r="AK191" s="4465"/>
      <c r="AL191" s="4466"/>
      <c r="AM191" s="4465"/>
      <c r="AN191" s="4467"/>
      <c r="AO191" s="5969"/>
      <c r="AP191" s="5967"/>
      <c r="AQ191" t="str">
        <f>BE191&amp;BF191</f>
        <v/>
      </c>
      <c r="BE191" s="2553" t="str">
        <f>IF(AND(C191&gt;0,AO191="")," * No olvide digitar la variable Migrantes. Digite Cero si no tiene.",IF(AO191&gt;C191," * La variable Migrantes No puede ser mayor al Total Ambos Sexos.",""))</f>
        <v/>
      </c>
      <c r="BF191" s="2553" t="str">
        <f>IF(AND(C191&gt;0,AP191="")," * No olvide digitar la variable Pueblos Originarios. Digite Cero si no tiene.",IF(AP191&gt;C191," * La variable Pueblos Originarios No puede ser mayor al Total Ambos Sexos.",""))</f>
        <v/>
      </c>
      <c r="BL191" s="1793">
        <f>IF(AND(C191&gt;0,AO191=""),1,IF(AO191&gt;C191,1,0))</f>
        <v>0</v>
      </c>
      <c r="BM191" s="1793">
        <f>IF(AND(C191&gt;0,AP191=""),1,IF(AP191&gt;C191,1,0))</f>
        <v>0</v>
      </c>
    </row>
    <row r="192" spans="1:71" ht="15" customHeight="1" x14ac:dyDescent="0.25">
      <c r="A192" s="7253"/>
      <c r="B192" s="2512" t="s">
        <v>2082</v>
      </c>
      <c r="C192" s="5318">
        <f t="shared" ref="C192:C200" si="58">SUM(D192+E192)</f>
        <v>0</v>
      </c>
      <c r="D192" s="5318">
        <f>SUM(F192+H192+J192+L192+N192+P192+R192+T192+V192+X192+Z192+AB192+AD192+AF192)</f>
        <v>0</v>
      </c>
      <c r="E192" s="5318">
        <f>SUM(G192+I192+K192+M192+O192+Q192+S192+U192+W192+Y192+AA192+AC192+AE192+AG192)</f>
        <v>0</v>
      </c>
      <c r="F192" s="5319"/>
      <c r="G192" s="5320"/>
      <c r="H192" s="5319"/>
      <c r="I192" s="5320"/>
      <c r="J192" s="5319"/>
      <c r="K192" s="5320"/>
      <c r="L192" s="5319"/>
      <c r="M192" s="5320"/>
      <c r="N192" s="5319"/>
      <c r="O192" s="5320"/>
      <c r="P192" s="5319"/>
      <c r="Q192" s="5320"/>
      <c r="R192" s="5319"/>
      <c r="S192" s="5320"/>
      <c r="T192" s="5319"/>
      <c r="U192" s="5320"/>
      <c r="V192" s="5319"/>
      <c r="W192" s="5320"/>
      <c r="X192" s="5319"/>
      <c r="Y192" s="5320"/>
      <c r="Z192" s="5319"/>
      <c r="AA192" s="5320"/>
      <c r="AB192" s="5319"/>
      <c r="AC192" s="5320"/>
      <c r="AD192" s="5319"/>
      <c r="AE192" s="5320"/>
      <c r="AF192" s="5319"/>
      <c r="AG192" s="5321"/>
      <c r="AH192" s="4468"/>
      <c r="AI192" s="4469"/>
      <c r="AJ192" s="4469"/>
      <c r="AK192" s="4469"/>
      <c r="AL192" s="4470"/>
      <c r="AM192" s="4469"/>
      <c r="AN192" s="4471"/>
      <c r="AO192" s="5970"/>
      <c r="AP192" s="5968"/>
      <c r="AQ192" t="str">
        <f t="shared" ref="AQ192:AQ200" si="59">BE192&amp;BF192</f>
        <v/>
      </c>
      <c r="BE192" s="2553" t="str">
        <f t="shared" ref="BE192:BE200" si="60">IF(AND(C192&gt;0,AO192="")," * No olvide digitar la variable Migrantes. Digite Cero si no tiene.",IF(AO192&gt;C192," * La variable Migrantes No puede ser mayor al Total Ambos Sexos.",""))</f>
        <v/>
      </c>
      <c r="BF192" s="2553" t="str">
        <f t="shared" ref="BF192:BF200" si="61">IF(AND(C192&gt;0,AP192="")," * No olvide digitar la variable Pueblos Originarios. Digite Cero si no tiene.",IF(AP192&gt;C192," * La variable Pueblos Originarios No puede ser mayor al Total Ambos Sexos.",""))</f>
        <v/>
      </c>
      <c r="BL192" s="1793">
        <f t="shared" ref="BL192:BL200" si="62">IF(AND(C192&gt;0,AO192=""),1,IF(AO192&gt;C192,1,0))</f>
        <v>0</v>
      </c>
      <c r="BM192" s="1793">
        <f t="shared" ref="BM192:BM200" si="63">IF(AND(C192&gt;0,AP192=""),1,IF(AP192&gt;C192,1,0))</f>
        <v>0</v>
      </c>
    </row>
    <row r="193" spans="1:65" ht="15" customHeight="1" x14ac:dyDescent="0.25">
      <c r="A193" s="7254" t="s">
        <v>2225</v>
      </c>
      <c r="B193" s="2513" t="s">
        <v>2083</v>
      </c>
      <c r="C193" s="5322">
        <f t="shared" si="58"/>
        <v>0</v>
      </c>
      <c r="D193" s="5322">
        <f t="shared" ref="D193:E200" si="64">SUM(F193+H193+J193+L193+N193+P193+R193+T193+V193+X193+Z193+AB193+AD193+AF193)</f>
        <v>0</v>
      </c>
      <c r="E193" s="5322">
        <f t="shared" si="64"/>
        <v>0</v>
      </c>
      <c r="F193" s="5315"/>
      <c r="G193" s="5316"/>
      <c r="H193" s="5315"/>
      <c r="I193" s="5316"/>
      <c r="J193" s="5315"/>
      <c r="K193" s="5316"/>
      <c r="L193" s="5315"/>
      <c r="M193" s="5316"/>
      <c r="N193" s="5315"/>
      <c r="O193" s="5316"/>
      <c r="P193" s="5315"/>
      <c r="Q193" s="5316"/>
      <c r="R193" s="5315"/>
      <c r="S193" s="5316"/>
      <c r="T193" s="5315"/>
      <c r="U193" s="5316"/>
      <c r="V193" s="5315"/>
      <c r="W193" s="5316"/>
      <c r="X193" s="5315"/>
      <c r="Y193" s="5316"/>
      <c r="Z193" s="5315"/>
      <c r="AA193" s="5316"/>
      <c r="AB193" s="5315"/>
      <c r="AC193" s="5316"/>
      <c r="AD193" s="5315"/>
      <c r="AE193" s="5316"/>
      <c r="AF193" s="5315"/>
      <c r="AG193" s="5317"/>
      <c r="AH193" s="4464"/>
      <c r="AI193" s="4465"/>
      <c r="AJ193" s="4465"/>
      <c r="AK193" s="4465"/>
      <c r="AL193" s="4465"/>
      <c r="AM193" s="4465"/>
      <c r="AN193" s="4465"/>
      <c r="AO193" s="5969"/>
      <c r="AP193" s="5967"/>
      <c r="AQ193" t="str">
        <f t="shared" si="59"/>
        <v/>
      </c>
      <c r="BE193" s="2553" t="str">
        <f t="shared" si="60"/>
        <v/>
      </c>
      <c r="BF193" s="2553" t="str">
        <f t="shared" si="61"/>
        <v/>
      </c>
      <c r="BL193" s="1793">
        <f t="shared" si="62"/>
        <v>0</v>
      </c>
      <c r="BM193" s="1793">
        <f t="shared" si="63"/>
        <v>0</v>
      </c>
    </row>
    <row r="194" spans="1:65" ht="15" customHeight="1" x14ac:dyDescent="0.25">
      <c r="A194" s="7255"/>
      <c r="B194" s="2514" t="s">
        <v>2082</v>
      </c>
      <c r="C194" s="5318">
        <f t="shared" si="58"/>
        <v>0</v>
      </c>
      <c r="D194" s="5318">
        <f t="shared" si="64"/>
        <v>0</v>
      </c>
      <c r="E194" s="5318">
        <f t="shared" si="64"/>
        <v>0</v>
      </c>
      <c r="F194" s="5319"/>
      <c r="G194" s="5320"/>
      <c r="H194" s="5319"/>
      <c r="I194" s="5320"/>
      <c r="J194" s="5319"/>
      <c r="K194" s="5320"/>
      <c r="L194" s="5319"/>
      <c r="M194" s="5320"/>
      <c r="N194" s="5319"/>
      <c r="O194" s="5320"/>
      <c r="P194" s="5319"/>
      <c r="Q194" s="5320"/>
      <c r="R194" s="5319"/>
      <c r="S194" s="5320"/>
      <c r="T194" s="5319"/>
      <c r="U194" s="5320"/>
      <c r="V194" s="5319"/>
      <c r="W194" s="5320"/>
      <c r="X194" s="5319"/>
      <c r="Y194" s="5320"/>
      <c r="Z194" s="5319"/>
      <c r="AA194" s="5320"/>
      <c r="AB194" s="5319"/>
      <c r="AC194" s="5320"/>
      <c r="AD194" s="5319"/>
      <c r="AE194" s="5320"/>
      <c r="AF194" s="5319"/>
      <c r="AG194" s="5321"/>
      <c r="AH194" s="4468"/>
      <c r="AI194" s="4469"/>
      <c r="AJ194" s="4469"/>
      <c r="AK194" s="4469"/>
      <c r="AL194" s="4469"/>
      <c r="AM194" s="4469"/>
      <c r="AN194" s="4469"/>
      <c r="AO194" s="5970"/>
      <c r="AP194" s="5968"/>
      <c r="AQ194" t="str">
        <f t="shared" si="59"/>
        <v/>
      </c>
      <c r="BE194" s="2553" t="str">
        <f t="shared" si="60"/>
        <v/>
      </c>
      <c r="BF194" s="2553" t="str">
        <f t="shared" si="61"/>
        <v/>
      </c>
      <c r="BL194" s="1793">
        <f t="shared" si="62"/>
        <v>0</v>
      </c>
      <c r="BM194" s="1793">
        <f t="shared" si="63"/>
        <v>0</v>
      </c>
    </row>
    <row r="195" spans="1:65" ht="15" customHeight="1" x14ac:dyDescent="0.25">
      <c r="A195" s="7256" t="s">
        <v>2226</v>
      </c>
      <c r="B195" s="2510" t="s">
        <v>2083</v>
      </c>
      <c r="C195" s="5322">
        <f t="shared" si="58"/>
        <v>0</v>
      </c>
      <c r="D195" s="5322">
        <f t="shared" si="64"/>
        <v>0</v>
      </c>
      <c r="E195" s="5322">
        <f t="shared" si="64"/>
        <v>0</v>
      </c>
      <c r="F195" s="5315"/>
      <c r="G195" s="5316"/>
      <c r="H195" s="5315"/>
      <c r="I195" s="5316"/>
      <c r="J195" s="5315"/>
      <c r="K195" s="5316"/>
      <c r="L195" s="5315"/>
      <c r="M195" s="5316"/>
      <c r="N195" s="5315"/>
      <c r="O195" s="5316"/>
      <c r="P195" s="5315"/>
      <c r="Q195" s="5316"/>
      <c r="R195" s="5315"/>
      <c r="S195" s="5316"/>
      <c r="T195" s="5315"/>
      <c r="U195" s="5316"/>
      <c r="V195" s="5315"/>
      <c r="W195" s="5316"/>
      <c r="X195" s="5315"/>
      <c r="Y195" s="5316"/>
      <c r="Z195" s="5315"/>
      <c r="AA195" s="5316"/>
      <c r="AB195" s="5315"/>
      <c r="AC195" s="5316"/>
      <c r="AD195" s="5315"/>
      <c r="AE195" s="5316"/>
      <c r="AF195" s="5315"/>
      <c r="AG195" s="5317"/>
      <c r="AH195" s="4464"/>
      <c r="AI195" s="4465"/>
      <c r="AJ195" s="4465"/>
      <c r="AK195" s="4465"/>
      <c r="AL195" s="4472"/>
      <c r="AM195" s="4466"/>
      <c r="AN195" s="4466"/>
      <c r="AO195" s="5969"/>
      <c r="AP195" s="5967"/>
      <c r="AQ195" t="str">
        <f t="shared" si="59"/>
        <v/>
      </c>
      <c r="BE195" s="2553" t="str">
        <f t="shared" si="60"/>
        <v/>
      </c>
      <c r="BF195" s="2553" t="str">
        <f t="shared" si="61"/>
        <v/>
      </c>
      <c r="BL195" s="1793">
        <f t="shared" si="62"/>
        <v>0</v>
      </c>
      <c r="BM195" s="1793">
        <f t="shared" si="63"/>
        <v>0</v>
      </c>
    </row>
    <row r="196" spans="1:65" ht="15" customHeight="1" x14ac:dyDescent="0.25">
      <c r="A196" s="7252"/>
      <c r="B196" s="2512" t="s">
        <v>2082</v>
      </c>
      <c r="C196" s="5318">
        <f t="shared" si="58"/>
        <v>0</v>
      </c>
      <c r="D196" s="5318">
        <f t="shared" si="64"/>
        <v>0</v>
      </c>
      <c r="E196" s="5318">
        <f t="shared" si="64"/>
        <v>0</v>
      </c>
      <c r="F196" s="5319"/>
      <c r="G196" s="5320"/>
      <c r="H196" s="5319"/>
      <c r="I196" s="5320"/>
      <c r="J196" s="5319"/>
      <c r="K196" s="5320"/>
      <c r="L196" s="5319"/>
      <c r="M196" s="5320"/>
      <c r="N196" s="5319"/>
      <c r="O196" s="5320"/>
      <c r="P196" s="5319"/>
      <c r="Q196" s="5320"/>
      <c r="R196" s="5319"/>
      <c r="S196" s="5320"/>
      <c r="T196" s="5319"/>
      <c r="U196" s="5320"/>
      <c r="V196" s="5319"/>
      <c r="W196" s="5320"/>
      <c r="X196" s="5319"/>
      <c r="Y196" s="5320"/>
      <c r="Z196" s="5319"/>
      <c r="AA196" s="5320"/>
      <c r="AB196" s="5319"/>
      <c r="AC196" s="5320"/>
      <c r="AD196" s="5319"/>
      <c r="AE196" s="5320"/>
      <c r="AF196" s="5319"/>
      <c r="AG196" s="5321"/>
      <c r="AH196" s="4468"/>
      <c r="AI196" s="4469"/>
      <c r="AJ196" s="4469"/>
      <c r="AK196" s="4469"/>
      <c r="AL196" s="4473"/>
      <c r="AM196" s="4470"/>
      <c r="AN196" s="4470"/>
      <c r="AO196" s="5970"/>
      <c r="AP196" s="5968"/>
      <c r="AQ196" t="str">
        <f t="shared" si="59"/>
        <v/>
      </c>
      <c r="BE196" s="2553" t="str">
        <f t="shared" si="60"/>
        <v/>
      </c>
      <c r="BF196" s="2553" t="str">
        <f t="shared" si="61"/>
        <v/>
      </c>
      <c r="BL196" s="1793">
        <f t="shared" si="62"/>
        <v>0</v>
      </c>
      <c r="BM196" s="1793">
        <f t="shared" si="63"/>
        <v>0</v>
      </c>
    </row>
    <row r="197" spans="1:65" ht="15" customHeight="1" x14ac:dyDescent="0.25">
      <c r="A197" s="7246" t="s">
        <v>2227</v>
      </c>
      <c r="B197" s="2510" t="s">
        <v>2083</v>
      </c>
      <c r="C197" s="5322">
        <f t="shared" si="58"/>
        <v>0</v>
      </c>
      <c r="D197" s="5322">
        <f t="shared" si="64"/>
        <v>0</v>
      </c>
      <c r="E197" s="5322">
        <f t="shared" si="64"/>
        <v>0</v>
      </c>
      <c r="F197" s="5315"/>
      <c r="G197" s="5316"/>
      <c r="H197" s="5315"/>
      <c r="I197" s="5316"/>
      <c r="J197" s="5315"/>
      <c r="K197" s="5316"/>
      <c r="L197" s="5315"/>
      <c r="M197" s="5316"/>
      <c r="N197" s="5315"/>
      <c r="O197" s="5316"/>
      <c r="P197" s="5315"/>
      <c r="Q197" s="5316"/>
      <c r="R197" s="5315"/>
      <c r="S197" s="5316"/>
      <c r="T197" s="5315"/>
      <c r="U197" s="5316"/>
      <c r="V197" s="5315"/>
      <c r="W197" s="5316"/>
      <c r="X197" s="5315"/>
      <c r="Y197" s="5316"/>
      <c r="Z197" s="5315"/>
      <c r="AA197" s="5316"/>
      <c r="AB197" s="5315"/>
      <c r="AC197" s="5316"/>
      <c r="AD197" s="5315"/>
      <c r="AE197" s="5316"/>
      <c r="AF197" s="5315"/>
      <c r="AG197" s="5317"/>
      <c r="AH197" s="4464"/>
      <c r="AI197" s="4465"/>
      <c r="AJ197" s="4465"/>
      <c r="AK197" s="4465"/>
      <c r="AL197" s="4474"/>
      <c r="AM197" s="4466"/>
      <c r="AN197" s="4466"/>
      <c r="AO197" s="5969"/>
      <c r="AP197" s="5967"/>
      <c r="AQ197" t="str">
        <f t="shared" si="59"/>
        <v/>
      </c>
      <c r="BE197" s="2553" t="str">
        <f t="shared" si="60"/>
        <v/>
      </c>
      <c r="BF197" s="2553" t="str">
        <f t="shared" si="61"/>
        <v/>
      </c>
      <c r="BL197" s="1793">
        <f t="shared" si="62"/>
        <v>0</v>
      </c>
      <c r="BM197" s="1793">
        <f t="shared" si="63"/>
        <v>0</v>
      </c>
    </row>
    <row r="198" spans="1:65" ht="15" customHeight="1" x14ac:dyDescent="0.25">
      <c r="A198" s="7247"/>
      <c r="B198" s="2512" t="s">
        <v>2082</v>
      </c>
      <c r="C198" s="5318">
        <f t="shared" si="58"/>
        <v>0</v>
      </c>
      <c r="D198" s="5318">
        <f t="shared" si="64"/>
        <v>0</v>
      </c>
      <c r="E198" s="5318">
        <f t="shared" si="64"/>
        <v>0</v>
      </c>
      <c r="F198" s="5319"/>
      <c r="G198" s="5320"/>
      <c r="H198" s="5319"/>
      <c r="I198" s="5320"/>
      <c r="J198" s="5319"/>
      <c r="K198" s="5320"/>
      <c r="L198" s="5319"/>
      <c r="M198" s="5320"/>
      <c r="N198" s="5319"/>
      <c r="O198" s="5320"/>
      <c r="P198" s="5319"/>
      <c r="Q198" s="5320"/>
      <c r="R198" s="5319"/>
      <c r="S198" s="5320"/>
      <c r="T198" s="5319"/>
      <c r="U198" s="5320"/>
      <c r="V198" s="5319"/>
      <c r="W198" s="5320"/>
      <c r="X198" s="5319"/>
      <c r="Y198" s="5320"/>
      <c r="Z198" s="5319"/>
      <c r="AA198" s="5320"/>
      <c r="AB198" s="5319"/>
      <c r="AC198" s="5320"/>
      <c r="AD198" s="5319"/>
      <c r="AE198" s="5320"/>
      <c r="AF198" s="5319"/>
      <c r="AG198" s="5321"/>
      <c r="AH198" s="4468"/>
      <c r="AI198" s="4469"/>
      <c r="AJ198" s="4469"/>
      <c r="AK198" s="4469"/>
      <c r="AL198" s="4475"/>
      <c r="AM198" s="4470"/>
      <c r="AN198" s="4470"/>
      <c r="AO198" s="5970"/>
      <c r="AP198" s="5968"/>
      <c r="AQ198" t="str">
        <f t="shared" si="59"/>
        <v/>
      </c>
      <c r="BE198" s="2553" t="str">
        <f t="shared" si="60"/>
        <v/>
      </c>
      <c r="BF198" s="2553" t="str">
        <f t="shared" si="61"/>
        <v/>
      </c>
      <c r="BL198" s="1793">
        <f t="shared" si="62"/>
        <v>0</v>
      </c>
      <c r="BM198" s="1793">
        <f t="shared" si="63"/>
        <v>0</v>
      </c>
    </row>
    <row r="199" spans="1:65" ht="15" customHeight="1" x14ac:dyDescent="0.25">
      <c r="A199" s="7246" t="s">
        <v>2228</v>
      </c>
      <c r="B199" s="2510" t="s">
        <v>2083</v>
      </c>
      <c r="C199" s="2515">
        <f t="shared" si="58"/>
        <v>0</v>
      </c>
      <c r="D199" s="2515">
        <f t="shared" si="64"/>
        <v>0</v>
      </c>
      <c r="E199" s="2515">
        <f t="shared" si="64"/>
        <v>0</v>
      </c>
      <c r="F199" s="4476"/>
      <c r="G199" s="4477"/>
      <c r="H199" s="4476"/>
      <c r="I199" s="4477"/>
      <c r="J199" s="4476"/>
      <c r="K199" s="4477"/>
      <c r="L199" s="4476"/>
      <c r="M199" s="4477"/>
      <c r="N199" s="4476"/>
      <c r="O199" s="4477"/>
      <c r="P199" s="4476"/>
      <c r="Q199" s="4477"/>
      <c r="R199" s="4476"/>
      <c r="S199" s="4477"/>
      <c r="T199" s="4476"/>
      <c r="U199" s="4477"/>
      <c r="V199" s="4476"/>
      <c r="W199" s="4477"/>
      <c r="X199" s="4476"/>
      <c r="Y199" s="4477"/>
      <c r="Z199" s="4476"/>
      <c r="AA199" s="4477"/>
      <c r="AB199" s="4476"/>
      <c r="AC199" s="4477"/>
      <c r="AD199" s="4476"/>
      <c r="AE199" s="4477"/>
      <c r="AF199" s="4476"/>
      <c r="AG199" s="4478"/>
      <c r="AH199" s="4479"/>
      <c r="AI199" s="4480"/>
      <c r="AJ199" s="4480"/>
      <c r="AK199" s="4480"/>
      <c r="AL199" s="4481"/>
      <c r="AM199" s="4466"/>
      <c r="AN199" s="4466"/>
      <c r="AO199" s="5969"/>
      <c r="AP199" s="5967"/>
      <c r="AQ199" t="str">
        <f t="shared" si="59"/>
        <v/>
      </c>
      <c r="BE199" s="2553" t="str">
        <f t="shared" si="60"/>
        <v/>
      </c>
      <c r="BF199" s="2553" t="str">
        <f t="shared" si="61"/>
        <v/>
      </c>
      <c r="BL199" s="1793">
        <f t="shared" si="62"/>
        <v>0</v>
      </c>
      <c r="BM199" s="1793">
        <f t="shared" si="63"/>
        <v>0</v>
      </c>
    </row>
    <row r="200" spans="1:65" ht="15" customHeight="1" x14ac:dyDescent="0.25">
      <c r="A200" s="7248"/>
      <c r="B200" s="2516" t="s">
        <v>2082</v>
      </c>
      <c r="C200" s="5318">
        <f t="shared" si="58"/>
        <v>0</v>
      </c>
      <c r="D200" s="5318">
        <f t="shared" si="64"/>
        <v>0</v>
      </c>
      <c r="E200" s="5318">
        <f t="shared" si="64"/>
        <v>0</v>
      </c>
      <c r="F200" s="5319"/>
      <c r="G200" s="5320"/>
      <c r="H200" s="5319"/>
      <c r="I200" s="5320"/>
      <c r="J200" s="5319"/>
      <c r="K200" s="5320"/>
      <c r="L200" s="5319"/>
      <c r="M200" s="5320"/>
      <c r="N200" s="5319"/>
      <c r="O200" s="5320"/>
      <c r="P200" s="5319"/>
      <c r="Q200" s="5320"/>
      <c r="R200" s="5319"/>
      <c r="S200" s="5320"/>
      <c r="T200" s="5319"/>
      <c r="U200" s="5320"/>
      <c r="V200" s="5319"/>
      <c r="W200" s="5320"/>
      <c r="X200" s="5319"/>
      <c r="Y200" s="5320"/>
      <c r="Z200" s="5319"/>
      <c r="AA200" s="5320"/>
      <c r="AB200" s="5319"/>
      <c r="AC200" s="5320"/>
      <c r="AD200" s="5319"/>
      <c r="AE200" s="5320"/>
      <c r="AF200" s="5319"/>
      <c r="AG200" s="5321"/>
      <c r="AH200" s="4482"/>
      <c r="AI200" s="4483"/>
      <c r="AJ200" s="4483"/>
      <c r="AK200" s="4483"/>
      <c r="AL200" s="4484"/>
      <c r="AM200" s="4485"/>
      <c r="AN200" s="4470"/>
      <c r="AO200" s="5970"/>
      <c r="AP200" s="5968"/>
      <c r="AQ200" t="str">
        <f t="shared" si="59"/>
        <v/>
      </c>
      <c r="BE200" s="2553" t="str">
        <f t="shared" si="60"/>
        <v/>
      </c>
      <c r="BF200" s="2553" t="str">
        <f t="shared" si="61"/>
        <v/>
      </c>
      <c r="BL200" s="1793">
        <f t="shared" si="62"/>
        <v>0</v>
      </c>
      <c r="BM200" s="1793">
        <f t="shared" si="63"/>
        <v>0</v>
      </c>
    </row>
    <row r="249" spans="1:2" hidden="1" x14ac:dyDescent="0.25">
      <c r="A249" s="4600">
        <f>SUM(B12:B72,W12:W71,AA12:AA71,AE12:AF71,B76:B136,F76:F136,J76:J136,N76:N136,Q76:AI136,B139:B155,C160:C171,C176:C186,C191:C200)</f>
        <v>0</v>
      </c>
      <c r="B249" s="4574">
        <f>SUM(BL12:BS200)</f>
        <v>0</v>
      </c>
    </row>
  </sheetData>
  <sheetProtection algorithmName="SHA-512" hashValue="40iHqpwlj5N6JyRfjNZZd1WBIk0eMLGVKESlKCTM1u2RUO8hBB4WRurhRHRDj67u0wacucO/pfIJQoiBjThRsQ==" saltValue="g7Na4jBnHkWEXnSZKWCyNw==" spinCount="100000" sheet="1" objects="1" scenarios="1"/>
  <mergeCells count="124">
    <mergeCell ref="A6:AD6"/>
    <mergeCell ref="A9:A11"/>
    <mergeCell ref="B9:V9"/>
    <mergeCell ref="W9:AD9"/>
    <mergeCell ref="AE9:AF10"/>
    <mergeCell ref="B10:B11"/>
    <mergeCell ref="C10:S10"/>
    <mergeCell ref="T10:T11"/>
    <mergeCell ref="U10:V10"/>
    <mergeCell ref="W10:Z10"/>
    <mergeCell ref="X74:Y74"/>
    <mergeCell ref="Z74:AA74"/>
    <mergeCell ref="AB74:AC74"/>
    <mergeCell ref="AD74:AD75"/>
    <mergeCell ref="AE74:AF74"/>
    <mergeCell ref="AG74:AI74"/>
    <mergeCell ref="AA10:AD10"/>
    <mergeCell ref="A74:A75"/>
    <mergeCell ref="B74:E74"/>
    <mergeCell ref="F74:I74"/>
    <mergeCell ref="J74:M74"/>
    <mergeCell ref="N74:P74"/>
    <mergeCell ref="Q74:R74"/>
    <mergeCell ref="S74:T74"/>
    <mergeCell ref="U74:V74"/>
    <mergeCell ref="W74:W75"/>
    <mergeCell ref="AL158:AM158"/>
    <mergeCell ref="A160:B160"/>
    <mergeCell ref="A161:A164"/>
    <mergeCell ref="AQ157:AQ159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A157:B159"/>
    <mergeCell ref="C157:E158"/>
    <mergeCell ref="F157:AM157"/>
    <mergeCell ref="AN157:AN159"/>
    <mergeCell ref="AO157:AO159"/>
    <mergeCell ref="AP157:AP159"/>
    <mergeCell ref="X158:Y158"/>
    <mergeCell ref="Z158:AA158"/>
    <mergeCell ref="AB158:AC158"/>
    <mergeCell ref="AD158:AE158"/>
    <mergeCell ref="A165:B165"/>
    <mergeCell ref="A166:B166"/>
    <mergeCell ref="A167:B167"/>
    <mergeCell ref="A168:B168"/>
    <mergeCell ref="A169:B169"/>
    <mergeCell ref="A170:B170"/>
    <mergeCell ref="AF158:AG158"/>
    <mergeCell ref="AH158:AI158"/>
    <mergeCell ref="AJ158:AK158"/>
    <mergeCell ref="A171:B171"/>
    <mergeCell ref="A173:A175"/>
    <mergeCell ref="B173:B175"/>
    <mergeCell ref="C173:E174"/>
    <mergeCell ref="F173:AM173"/>
    <mergeCell ref="AN173:AN175"/>
    <mergeCell ref="P174:Q174"/>
    <mergeCell ref="R174:S174"/>
    <mergeCell ref="T174:U174"/>
    <mergeCell ref="V174:W174"/>
    <mergeCell ref="AO173:AP174"/>
    <mergeCell ref="AQ173:AQ175"/>
    <mergeCell ref="AR173:AR175"/>
    <mergeCell ref="AS173:AS175"/>
    <mergeCell ref="AT173:AT175"/>
    <mergeCell ref="F174:G174"/>
    <mergeCell ref="H174:I174"/>
    <mergeCell ref="J174:K174"/>
    <mergeCell ref="L174:M174"/>
    <mergeCell ref="N174:O174"/>
    <mergeCell ref="AJ174:AK174"/>
    <mergeCell ref="AL174:AM174"/>
    <mergeCell ref="AH174:AI174"/>
    <mergeCell ref="A176:A177"/>
    <mergeCell ref="A178:A180"/>
    <mergeCell ref="A181:A182"/>
    <mergeCell ref="A183:A184"/>
    <mergeCell ref="X174:Y174"/>
    <mergeCell ref="Z174:AA174"/>
    <mergeCell ref="AB174:AC174"/>
    <mergeCell ref="AD174:AE174"/>
    <mergeCell ref="AF174:AG174"/>
    <mergeCell ref="A185:A186"/>
    <mergeCell ref="A188:B190"/>
    <mergeCell ref="C188:E189"/>
    <mergeCell ref="F188:AG188"/>
    <mergeCell ref="AH188:AK188"/>
    <mergeCell ref="AL188:AL190"/>
    <mergeCell ref="T189:U189"/>
    <mergeCell ref="V189:W189"/>
    <mergeCell ref="X189:Y189"/>
    <mergeCell ref="Z189:AA189"/>
    <mergeCell ref="AM188:AN188"/>
    <mergeCell ref="AO188:AO190"/>
    <mergeCell ref="AP188:AP190"/>
    <mergeCell ref="F189:G189"/>
    <mergeCell ref="H189:I189"/>
    <mergeCell ref="J189:K189"/>
    <mergeCell ref="L189:M189"/>
    <mergeCell ref="N189:O189"/>
    <mergeCell ref="P189:Q189"/>
    <mergeCell ref="R189:S189"/>
    <mergeCell ref="A197:A198"/>
    <mergeCell ref="A199:A200"/>
    <mergeCell ref="AK189:AK190"/>
    <mergeCell ref="AM189:AM190"/>
    <mergeCell ref="AN189:AN190"/>
    <mergeCell ref="A191:A192"/>
    <mergeCell ref="A193:A194"/>
    <mergeCell ref="A195:A196"/>
    <mergeCell ref="AB189:AC189"/>
    <mergeCell ref="AD189:AE189"/>
    <mergeCell ref="AF189:AG189"/>
    <mergeCell ref="AH189:AH190"/>
    <mergeCell ref="AI189:AI190"/>
    <mergeCell ref="AJ189:AJ190"/>
  </mergeCells>
  <dataValidations count="3">
    <dataValidation type="whole" operator="greaterThanOrEqual" allowBlank="1" showInputMessage="1" showErrorMessage="1" sqref="AE12:AF71 K76:M135 C76:E135 G76:I135 O76:AI135" xr:uid="{00000000-0002-0000-0700-000000000000}">
      <formula1>0</formula1>
    </dataValidation>
    <dataValidation type="whole" operator="greaterThanOrEqual" allowBlank="1" showInputMessage="1" showErrorMessage="1" errorTitle="Error" error="Favor Ingrese sólo Números." sqref="C12:AD71 C139:U154 F160:AQ170 F176:AT186" xr:uid="{00000000-0002-0000-0700-000001000000}">
      <formula1>0</formula1>
    </dataValidation>
    <dataValidation type="whole" operator="greaterThanOrEqual" allowBlank="1" showErrorMessage="1" sqref="F191:AP200" xr:uid="{00000000-0002-0000-0700-000002000000}">
      <formula1>0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BV248"/>
  <sheetViews>
    <sheetView showGridLines="0" zoomScaleNormal="100" workbookViewId="0"/>
  </sheetViews>
  <sheetFormatPr baseColWidth="10" defaultRowHeight="15" x14ac:dyDescent="0.25"/>
  <cols>
    <col min="1" max="1" width="44.7109375" customWidth="1"/>
    <col min="2" max="2" width="32.5703125" customWidth="1"/>
    <col min="3" max="3" width="14.140625" customWidth="1"/>
    <col min="4" max="4" width="12.42578125" customWidth="1"/>
    <col min="5" max="5" width="13.140625" customWidth="1"/>
    <col min="7" max="7" width="11.85546875" customWidth="1"/>
    <col min="8" max="9" width="14.42578125" customWidth="1"/>
    <col min="10" max="10" width="12.5703125" customWidth="1"/>
    <col min="14" max="14" width="12.42578125" customWidth="1"/>
    <col min="15" max="15" width="12" customWidth="1"/>
    <col min="17" max="17" width="11.85546875" bestFit="1" customWidth="1"/>
    <col min="23" max="25" width="13.5703125" customWidth="1"/>
    <col min="26" max="26" width="13" customWidth="1"/>
    <col min="31" max="31" width="13.28515625" customWidth="1"/>
    <col min="39" max="39" width="11.140625" customWidth="1"/>
    <col min="40" max="40" width="13" customWidth="1"/>
    <col min="41" max="41" width="13.140625" customWidth="1"/>
    <col min="43" max="43" width="13.28515625" customWidth="1"/>
    <col min="44" max="44" width="14.28515625" customWidth="1"/>
    <col min="45" max="45" width="13.28515625" customWidth="1"/>
    <col min="57" max="57" width="11.42578125" hidden="1" customWidth="1"/>
    <col min="58" max="59" width="11.5703125" hidden="1" customWidth="1"/>
    <col min="60" max="74" width="11.42578125" hidden="1" customWidth="1"/>
    <col min="75" max="77" width="11.42578125" customWidth="1"/>
  </cols>
  <sheetData>
    <row r="1" spans="1:71" x14ac:dyDescent="0.25">
      <c r="A1" s="779" t="s">
        <v>3878</v>
      </c>
    </row>
    <row r="2" spans="1:71" x14ac:dyDescent="0.25">
      <c r="A2" s="779" t="str">
        <f>CONCATENATE("COMUNA: ",NOMBRE!B2," - ","( ",NOMBRE!C2,NOMBRE!D2,NOMBRE!E2,NOMBRE!F2,NOMBRE!G2," )")</f>
        <v>COMUNA:  - (  )</v>
      </c>
    </row>
    <row r="3" spans="1:71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71" x14ac:dyDescent="0.25">
      <c r="A4" s="779" t="str">
        <f>CONCATENATE("MES: ",NOMBRE!B6," - ","( ",NOMBRE!C6,NOMBRE!D6," )")</f>
        <v>MES:  - (  )</v>
      </c>
    </row>
    <row r="5" spans="1:71" x14ac:dyDescent="0.25">
      <c r="A5" s="779" t="str">
        <f>CONCATENATE("AÑO: ",NOMBRE!B7)</f>
        <v>AÑO: 2024</v>
      </c>
    </row>
    <row r="6" spans="1:71" ht="18" customHeight="1" x14ac:dyDescent="0.25">
      <c r="A6" s="7314" t="s">
        <v>252</v>
      </c>
      <c r="B6" s="7314"/>
      <c r="C6" s="7314"/>
      <c r="D6" s="7314"/>
      <c r="E6" s="7314"/>
      <c r="F6" s="7314"/>
      <c r="G6" s="7314"/>
      <c r="H6" s="7314"/>
      <c r="I6" s="7314"/>
      <c r="J6" s="7314"/>
      <c r="K6" s="7314"/>
      <c r="L6" s="7314"/>
      <c r="M6" s="7314"/>
      <c r="N6" s="7314"/>
      <c r="O6" s="7314"/>
    </row>
    <row r="7" spans="1:71" ht="18" customHeight="1" x14ac:dyDescent="0.25">
      <c r="A7" s="595"/>
      <c r="B7" s="595"/>
      <c r="C7" s="595"/>
      <c r="D7" s="595"/>
      <c r="E7" s="595"/>
      <c r="F7" s="595"/>
      <c r="G7" s="595"/>
      <c r="H7" s="595"/>
      <c r="I7" s="595"/>
      <c r="J7" s="595"/>
      <c r="K7" s="595"/>
      <c r="L7" s="595"/>
      <c r="M7" s="595"/>
      <c r="N7" s="595"/>
      <c r="O7" s="595"/>
    </row>
    <row r="8" spans="1:71" s="17" customFormat="1" ht="18" customHeight="1" x14ac:dyDescent="0.2">
      <c r="A8" s="123" t="s">
        <v>543</v>
      </c>
      <c r="B8" s="123"/>
      <c r="C8" s="123"/>
      <c r="D8" s="123"/>
    </row>
    <row r="9" spans="1:71" s="17" customFormat="1" ht="18" customHeight="1" x14ac:dyDescent="0.2">
      <c r="A9" s="74" t="s">
        <v>253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23"/>
      <c r="O9" s="123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40"/>
    </row>
    <row r="10" spans="1:71" ht="21.75" customHeight="1" x14ac:dyDescent="0.25">
      <c r="A10" s="7334" t="s">
        <v>254</v>
      </c>
      <c r="B10" s="7322" t="s">
        <v>63</v>
      </c>
      <c r="C10" s="6468"/>
      <c r="D10" s="7323"/>
      <c r="E10" s="7344" t="s">
        <v>30</v>
      </c>
      <c r="F10" s="7380"/>
      <c r="G10" s="7380"/>
      <c r="H10" s="7380"/>
      <c r="I10" s="7380"/>
      <c r="J10" s="7380"/>
      <c r="K10" s="7380"/>
      <c r="L10" s="7380"/>
      <c r="M10" s="7380"/>
      <c r="N10" s="7380"/>
      <c r="O10" s="7380"/>
      <c r="P10" s="7380"/>
      <c r="Q10" s="7380"/>
      <c r="R10" s="7380"/>
      <c r="S10" s="7380"/>
      <c r="T10" s="7380"/>
      <c r="U10" s="7380"/>
      <c r="V10" s="7380"/>
      <c r="W10" s="7380"/>
      <c r="X10" s="7380"/>
      <c r="Y10" s="7380"/>
      <c r="Z10" s="7380"/>
      <c r="AA10" s="7380"/>
      <c r="AB10" s="7380"/>
      <c r="AC10" s="7380"/>
      <c r="AD10" s="7380"/>
      <c r="AE10" s="7380"/>
      <c r="AF10" s="7380"/>
      <c r="AG10" s="7380"/>
      <c r="AH10" s="7380"/>
      <c r="AI10" s="7380"/>
      <c r="AJ10" s="7380"/>
      <c r="AK10" s="7380"/>
      <c r="AL10" s="7345"/>
      <c r="AM10" s="7411" t="s">
        <v>67</v>
      </c>
      <c r="AN10" s="7344" t="s">
        <v>544</v>
      </c>
      <c r="AO10" s="7380"/>
      <c r="AP10" s="7380"/>
      <c r="AQ10" s="7345"/>
      <c r="AR10" s="7411" t="s">
        <v>255</v>
      </c>
      <c r="AS10" s="7411" t="s">
        <v>256</v>
      </c>
    </row>
    <row r="11" spans="1:71" x14ac:dyDescent="0.25">
      <c r="A11" s="7408"/>
      <c r="B11" s="7324"/>
      <c r="C11" s="7325"/>
      <c r="D11" s="7326"/>
      <c r="E11" s="7344" t="s">
        <v>36</v>
      </c>
      <c r="F11" s="7345"/>
      <c r="G11" s="7344" t="s">
        <v>37</v>
      </c>
      <c r="H11" s="7345"/>
      <c r="I11" s="7344" t="s">
        <v>38</v>
      </c>
      <c r="J11" s="7345"/>
      <c r="K11" s="7344" t="s">
        <v>4</v>
      </c>
      <c r="L11" s="7345"/>
      <c r="M11" s="7344" t="s">
        <v>5</v>
      </c>
      <c r="N11" s="7345"/>
      <c r="O11" s="7327" t="s">
        <v>6</v>
      </c>
      <c r="P11" s="7333"/>
      <c r="Q11" s="7327" t="s">
        <v>7</v>
      </c>
      <c r="R11" s="7333"/>
      <c r="S11" s="7327" t="s">
        <v>8</v>
      </c>
      <c r="T11" s="7333"/>
      <c r="U11" s="7327" t="s">
        <v>9</v>
      </c>
      <c r="V11" s="7333"/>
      <c r="W11" s="7327" t="s">
        <v>10</v>
      </c>
      <c r="X11" s="7333"/>
      <c r="Y11" s="7327" t="s">
        <v>11</v>
      </c>
      <c r="Z11" s="7333"/>
      <c r="AA11" s="7327" t="s">
        <v>18</v>
      </c>
      <c r="AB11" s="7333"/>
      <c r="AC11" s="7327" t="s">
        <v>19</v>
      </c>
      <c r="AD11" s="7333"/>
      <c r="AE11" s="7327" t="s">
        <v>20</v>
      </c>
      <c r="AF11" s="7333"/>
      <c r="AG11" s="7327" t="s">
        <v>70</v>
      </c>
      <c r="AH11" s="7333"/>
      <c r="AI11" s="7327" t="s">
        <v>71</v>
      </c>
      <c r="AJ11" s="7333"/>
      <c r="AK11" s="6907" t="s">
        <v>32</v>
      </c>
      <c r="AL11" s="6913"/>
      <c r="AM11" s="6472"/>
      <c r="AN11" s="7409" t="s">
        <v>257</v>
      </c>
      <c r="AO11" s="7376" t="s">
        <v>258</v>
      </c>
      <c r="AP11" s="7376" t="s">
        <v>259</v>
      </c>
      <c r="AQ11" s="7378" t="s">
        <v>1470</v>
      </c>
      <c r="AR11" s="7355"/>
      <c r="AS11" s="7355"/>
    </row>
    <row r="12" spans="1:71" x14ac:dyDescent="0.25">
      <c r="A12" s="7336"/>
      <c r="B12" s="1799" t="s">
        <v>26</v>
      </c>
      <c r="C12" s="1800" t="s">
        <v>22</v>
      </c>
      <c r="D12" s="76" t="s">
        <v>27</v>
      </c>
      <c r="E12" s="177" t="s">
        <v>22</v>
      </c>
      <c r="F12" s="172" t="s">
        <v>27</v>
      </c>
      <c r="G12" s="177" t="s">
        <v>22</v>
      </c>
      <c r="H12" s="172" t="s">
        <v>27</v>
      </c>
      <c r="I12" s="177" t="s">
        <v>22</v>
      </c>
      <c r="J12" s="172" t="s">
        <v>27</v>
      </c>
      <c r="K12" s="177" t="s">
        <v>22</v>
      </c>
      <c r="L12" s="172" t="s">
        <v>27</v>
      </c>
      <c r="M12" s="177" t="s">
        <v>22</v>
      </c>
      <c r="N12" s="172" t="s">
        <v>27</v>
      </c>
      <c r="O12" s="177" t="s">
        <v>22</v>
      </c>
      <c r="P12" s="172" t="s">
        <v>27</v>
      </c>
      <c r="Q12" s="177" t="s">
        <v>22</v>
      </c>
      <c r="R12" s="172" t="s">
        <v>27</v>
      </c>
      <c r="S12" s="177" t="s">
        <v>22</v>
      </c>
      <c r="T12" s="172" t="s">
        <v>27</v>
      </c>
      <c r="U12" s="177" t="s">
        <v>22</v>
      </c>
      <c r="V12" s="172" t="s">
        <v>27</v>
      </c>
      <c r="W12" s="177" t="s">
        <v>22</v>
      </c>
      <c r="X12" s="172" t="s">
        <v>27</v>
      </c>
      <c r="Y12" s="177" t="s">
        <v>22</v>
      </c>
      <c r="Z12" s="172" t="s">
        <v>27</v>
      </c>
      <c r="AA12" s="177" t="s">
        <v>22</v>
      </c>
      <c r="AB12" s="172" t="s">
        <v>27</v>
      </c>
      <c r="AC12" s="177" t="s">
        <v>22</v>
      </c>
      <c r="AD12" s="172" t="s">
        <v>27</v>
      </c>
      <c r="AE12" s="177" t="s">
        <v>22</v>
      </c>
      <c r="AF12" s="172" t="s">
        <v>27</v>
      </c>
      <c r="AG12" s="179" t="s">
        <v>22</v>
      </c>
      <c r="AH12" s="1773" t="s">
        <v>27</v>
      </c>
      <c r="AI12" s="177" t="s">
        <v>22</v>
      </c>
      <c r="AJ12" s="172" t="s">
        <v>27</v>
      </c>
      <c r="AK12" s="179" t="s">
        <v>22</v>
      </c>
      <c r="AL12" s="172" t="s">
        <v>27</v>
      </c>
      <c r="AM12" s="7356"/>
      <c r="AN12" s="7410"/>
      <c r="AO12" s="7377"/>
      <c r="AP12" s="7377"/>
      <c r="AQ12" s="7379"/>
      <c r="AR12" s="7356"/>
      <c r="AS12" s="7356"/>
    </row>
    <row r="13" spans="1:71" x14ac:dyDescent="0.25">
      <c r="A13" s="180" t="s">
        <v>260</v>
      </c>
      <c r="B13" s="181">
        <f>SUM(C13+D13)</f>
        <v>0</v>
      </c>
      <c r="C13" s="182">
        <f t="shared" ref="C13:D16" si="0">SUM(E13+G13+I13+K13+M13+O13+Q13+S13+U13+W13+Y13+AA13+AC13+AE13+AG13+AI13+AK13)</f>
        <v>0</v>
      </c>
      <c r="D13" s="183">
        <f t="shared" si="0"/>
        <v>0</v>
      </c>
      <c r="E13" s="184"/>
      <c r="F13" s="185"/>
      <c r="G13" s="184"/>
      <c r="H13" s="185"/>
      <c r="I13" s="184"/>
      <c r="J13" s="185"/>
      <c r="K13" s="186"/>
      <c r="L13" s="185"/>
      <c r="M13" s="184"/>
      <c r="N13" s="185"/>
      <c r="O13" s="186"/>
      <c r="P13" s="185"/>
      <c r="Q13" s="184"/>
      <c r="R13" s="185"/>
      <c r="S13" s="186"/>
      <c r="T13" s="187"/>
      <c r="U13" s="186"/>
      <c r="V13" s="187"/>
      <c r="W13" s="186"/>
      <c r="X13" s="187"/>
      <c r="Y13" s="186"/>
      <c r="Z13" s="187"/>
      <c r="AA13" s="186"/>
      <c r="AB13" s="185"/>
      <c r="AC13" s="186"/>
      <c r="AD13" s="185"/>
      <c r="AE13" s="186"/>
      <c r="AF13" s="185"/>
      <c r="AG13" s="186"/>
      <c r="AH13" s="187"/>
      <c r="AI13" s="186"/>
      <c r="AJ13" s="187"/>
      <c r="AK13" s="186"/>
      <c r="AL13" s="187"/>
      <c r="AM13" s="188"/>
      <c r="AN13" s="186"/>
      <c r="AO13" s="184"/>
      <c r="AP13" s="184"/>
      <c r="AQ13" s="187"/>
      <c r="AR13" s="187"/>
      <c r="AS13" s="187"/>
      <c r="AT13" t="str">
        <f>BI13&amp;BJ13&amp;BK13&amp;BL13&amp;BM13</f>
        <v xml:space="preserve"> </v>
      </c>
      <c r="BI13" s="1791" t="str">
        <f>IF(AND(B13&gt;0,AM13="")," * No olvide digitar la columna Beneficiarios",IF(AM13&gt;B13," * La variable Beneficiarios no pueder mayor al Total.",""))</f>
        <v/>
      </c>
      <c r="BJ13" s="1791" t="str">
        <f>IF(AND(B13&gt;0,OR(AN13="",AO13="",AP13="",AQ13=""))," * No olvide digitar el Origen de la Procedencia "&amp;AN$11&amp;""&amp;", "&amp;""&amp;AO$11&amp;""&amp;", "&amp;""&amp;AP$11&amp;""&amp;", "&amp;""&amp;AQ$11&amp;". ""Digite CERO si no tiene datos"""," ")</f>
        <v xml:space="preserve"> </v>
      </c>
      <c r="BK13" s="1791" t="str">
        <f>IF(AN13+AO13+AP13+AQ13&gt;B13," * La variable Origen de la procedencia no pueder mayor al Total.","")</f>
        <v/>
      </c>
      <c r="BL13" s="1791" t="str">
        <f>IF(AND(B13&gt;0,AR13="")," * No olvide digitar la columna Establecimientos de otra Red (Digite cero si no tiene)",IF(AR13&gt;B13," * La variable Establecimientos de otra Red no pueder mayor al Total.",""))</f>
        <v/>
      </c>
      <c r="BM13" s="1791" t="str">
        <f>IF(AND(B13&gt;0,AS13="")," * No olvide digitar la columna Demanda de Urgencia. ",IF(AS13&lt;B13," * La variable Demanda de Urgencia debe ser mayor o igual al Total Ambos Sexos.",""))</f>
        <v/>
      </c>
      <c r="BO13" s="1793">
        <f>IF(AND(B13&gt;0,AM13=""),1,IF(AM13&gt;B13,1,0))</f>
        <v>0</v>
      </c>
      <c r="BP13" s="1793">
        <f>IF(AND(B13&gt;0,OR(AN13="",AO13="",AP13="",AQ13="")),1,0)</f>
        <v>0</v>
      </c>
      <c r="BQ13" s="1793">
        <f>IF(AN13+AO13+AP13+AQ13&gt;B13,1,0)</f>
        <v>0</v>
      </c>
      <c r="BR13" s="1793">
        <f>IF(AND(B13&gt;0,AR13=""),1,IF(AR13&gt;B13,1,0))</f>
        <v>0</v>
      </c>
      <c r="BS13" s="1793">
        <f>IF(AND(B13&gt;0,AS13=""),1,IF(AS13&lt;B13,1,0))</f>
        <v>0</v>
      </c>
    </row>
    <row r="14" spans="1:71" x14ac:dyDescent="0.25">
      <c r="A14" s="66" t="s">
        <v>261</v>
      </c>
      <c r="B14" s="189">
        <f>SUM(C14+D14)</f>
        <v>0</v>
      </c>
      <c r="C14" s="190">
        <f t="shared" si="0"/>
        <v>0</v>
      </c>
      <c r="D14" s="191">
        <f t="shared" si="0"/>
        <v>0</v>
      </c>
      <c r="E14" s="110"/>
      <c r="F14" s="84"/>
      <c r="G14" s="110"/>
      <c r="H14" s="84"/>
      <c r="I14" s="110"/>
      <c r="J14" s="84"/>
      <c r="K14" s="110"/>
      <c r="L14" s="84"/>
      <c r="M14" s="82"/>
      <c r="N14" s="83"/>
      <c r="O14" s="82"/>
      <c r="P14" s="83"/>
      <c r="Q14" s="82"/>
      <c r="R14" s="83"/>
      <c r="S14" s="82"/>
      <c r="T14" s="83"/>
      <c r="U14" s="82"/>
      <c r="V14" s="83"/>
      <c r="W14" s="82"/>
      <c r="X14" s="83"/>
      <c r="Y14" s="82"/>
      <c r="Z14" s="83"/>
      <c r="AA14" s="82"/>
      <c r="AB14" s="83"/>
      <c r="AC14" s="82"/>
      <c r="AD14" s="83"/>
      <c r="AE14" s="82"/>
      <c r="AF14" s="83"/>
      <c r="AG14" s="82"/>
      <c r="AH14" s="83"/>
      <c r="AI14" s="82"/>
      <c r="AJ14" s="83"/>
      <c r="AK14" s="82"/>
      <c r="AL14" s="83"/>
      <c r="AM14" s="83"/>
      <c r="AN14" s="82"/>
      <c r="AO14" s="110"/>
      <c r="AP14" s="110"/>
      <c r="AQ14" s="83"/>
      <c r="AR14" s="83"/>
      <c r="AS14" s="83"/>
      <c r="AT14" t="str">
        <f>BI14&amp;BJ14&amp;BK14&amp;BL14&amp;BM14</f>
        <v xml:space="preserve"> </v>
      </c>
      <c r="BI14" s="1791" t="str">
        <f>IF(AND(B14&gt;0,AM14="")," * No olvide digitar la columna Beneficiarios",IF(AM14&gt;B14," * La variable Beneficiarios no pueder mayor al Total.",""))</f>
        <v/>
      </c>
      <c r="BJ14" s="1791" t="str">
        <f>IF(AND(B14&gt;0,OR(AN14="",AO14="",AP14="",AQ14=""))," * No olvide digitar el Origen de la Procedencia "&amp;AN$11&amp;""&amp;", "&amp;""&amp;AO$11&amp;""&amp;", "&amp;""&amp;AP$11&amp;""&amp;", "&amp;""&amp;AQ$11&amp;". ""Digite CERO si no tiene datos"""," ")</f>
        <v xml:space="preserve"> </v>
      </c>
      <c r="BK14" s="1791" t="str">
        <f>IF(AN14+AO14+AP14+AQ14&gt;B14," * La variable Origen de la procedencia no pueder mayor al Total.","")</f>
        <v/>
      </c>
      <c r="BL14" s="1791" t="str">
        <f>IF(AND(B14&gt;0,AR14="")," * No olvide digitar la columna Establecimientos de otra Red (Digite cero si no tiene)",IF(AR14&gt;B14," * La variable Establecimientos de otra Red no pueder mayor al Total.",""))</f>
        <v/>
      </c>
      <c r="BM14" s="1791" t="str">
        <f>IF(AND(B14&gt;0,AS14="")," * No olvide digitar la columna Demanda de Urgencia. ",IF(AS14&lt;B14," * La variable Demanda de Urgencia debe ser mayor o igual al Total Ambos Sexos.",""))</f>
        <v/>
      </c>
      <c r="BO14" s="1793">
        <f>IF(AND(B14&gt;0,AM14=""),1,IF(AM14&gt;B14,1,0))</f>
        <v>0</v>
      </c>
      <c r="BP14" s="1793">
        <f>IF(AND(B14&gt;0,OR(AN14="",AO14="",AP14="",AQ14="")),1,0)</f>
        <v>0</v>
      </c>
      <c r="BQ14" s="1793">
        <f>IF(AN14+AO14+AP14+AQ14&gt;B14,1,0)</f>
        <v>0</v>
      </c>
      <c r="BR14" s="1793">
        <f>IF(AND(B14&gt;0,AR14=""),1,IF(AR14&gt;B14,1,0))</f>
        <v>0</v>
      </c>
      <c r="BS14" s="1793">
        <f>IF(AND(B14&gt;0,AS14=""),1,IF(AS14&lt;B14,1,0))</f>
        <v>0</v>
      </c>
    </row>
    <row r="15" spans="1:71" x14ac:dyDescent="0.25">
      <c r="A15" s="192" t="s">
        <v>262</v>
      </c>
      <c r="B15" s="155">
        <f>SUM(C15+D15)</f>
        <v>0</v>
      </c>
      <c r="C15" s="149">
        <f t="shared" si="0"/>
        <v>0</v>
      </c>
      <c r="D15" s="146">
        <f t="shared" si="0"/>
        <v>0</v>
      </c>
      <c r="E15" s="82"/>
      <c r="F15" s="83"/>
      <c r="G15" s="82"/>
      <c r="H15" s="83"/>
      <c r="I15" s="82"/>
      <c r="J15" s="83"/>
      <c r="K15" s="82"/>
      <c r="L15" s="83"/>
      <c r="M15" s="82"/>
      <c r="N15" s="83"/>
      <c r="O15" s="82"/>
      <c r="P15" s="83"/>
      <c r="Q15" s="82"/>
      <c r="R15" s="83"/>
      <c r="S15" s="82"/>
      <c r="T15" s="83"/>
      <c r="U15" s="82"/>
      <c r="V15" s="83"/>
      <c r="W15" s="82"/>
      <c r="X15" s="83"/>
      <c r="Y15" s="82"/>
      <c r="Z15" s="83"/>
      <c r="AA15" s="82"/>
      <c r="AB15" s="83"/>
      <c r="AC15" s="82"/>
      <c r="AD15" s="83"/>
      <c r="AE15" s="82"/>
      <c r="AF15" s="83"/>
      <c r="AG15" s="82"/>
      <c r="AH15" s="83"/>
      <c r="AI15" s="82"/>
      <c r="AJ15" s="83"/>
      <c r="AK15" s="82"/>
      <c r="AL15" s="83"/>
      <c r="AM15" s="83"/>
      <c r="AN15" s="193"/>
      <c r="AO15" s="193"/>
      <c r="AP15" s="193"/>
      <c r="AQ15" s="194"/>
      <c r="AR15" s="194"/>
      <c r="AS15" s="194"/>
      <c r="AT15" t="str">
        <f>BI15</f>
        <v/>
      </c>
      <c r="BI15" s="1791" t="str">
        <f t="shared" ref="BI15:BI16" si="1">IF(AND(B15&gt;0,AM15="")," * No olvide digitar la columna Beneficiarios",IF(AM15&gt;B15," * La variable Beneficiarios no pueder mayor al Total.",""))</f>
        <v/>
      </c>
      <c r="BO15" s="1793">
        <f t="shared" ref="BO15:BO16" si="2">IF(AND(B15&gt;0,AM15=""),1,IF(AM15&gt;B15,1,0))</f>
        <v>0</v>
      </c>
    </row>
    <row r="16" spans="1:71" x14ac:dyDescent="0.25">
      <c r="A16" s="195" t="s">
        <v>263</v>
      </c>
      <c r="B16" s="159">
        <f>SUM(C16+D16)</f>
        <v>0</v>
      </c>
      <c r="C16" s="160">
        <f t="shared" si="0"/>
        <v>0</v>
      </c>
      <c r="D16" s="196">
        <f t="shared" si="0"/>
        <v>0</v>
      </c>
      <c r="E16" s="114"/>
      <c r="F16" s="117"/>
      <c r="G16" s="114"/>
      <c r="H16" s="117"/>
      <c r="I16" s="114"/>
      <c r="J16" s="117"/>
      <c r="K16" s="114"/>
      <c r="L16" s="117"/>
      <c r="M16" s="114"/>
      <c r="N16" s="117"/>
      <c r="O16" s="114"/>
      <c r="P16" s="117"/>
      <c r="Q16" s="114"/>
      <c r="R16" s="117"/>
      <c r="S16" s="114"/>
      <c r="T16" s="117"/>
      <c r="U16" s="114"/>
      <c r="V16" s="117"/>
      <c r="W16" s="114"/>
      <c r="X16" s="117"/>
      <c r="Y16" s="114"/>
      <c r="Z16" s="117"/>
      <c r="AA16" s="114"/>
      <c r="AB16" s="117"/>
      <c r="AC16" s="114"/>
      <c r="AD16" s="117"/>
      <c r="AE16" s="114"/>
      <c r="AF16" s="117"/>
      <c r="AG16" s="114"/>
      <c r="AH16" s="117"/>
      <c r="AI16" s="114"/>
      <c r="AJ16" s="117"/>
      <c r="AK16" s="114"/>
      <c r="AL16" s="117"/>
      <c r="AM16" s="117"/>
      <c r="AN16" s="197"/>
      <c r="AO16" s="197"/>
      <c r="AP16" s="197"/>
      <c r="AQ16" s="152"/>
      <c r="AR16" s="152"/>
      <c r="AS16" s="152"/>
      <c r="AT16" t="str">
        <f>BI16</f>
        <v/>
      </c>
      <c r="BI16" s="1791" t="str">
        <f t="shared" si="1"/>
        <v/>
      </c>
      <c r="BO16" s="1793">
        <f t="shared" si="2"/>
        <v>0</v>
      </c>
    </row>
    <row r="17" spans="1:69" s="17" customFormat="1" ht="18" customHeight="1" x14ac:dyDescent="0.2">
      <c r="A17" s="122" t="s">
        <v>264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</row>
    <row r="18" spans="1:69" x14ac:dyDescent="0.25">
      <c r="A18" s="7334" t="s">
        <v>265</v>
      </c>
      <c r="B18" s="7322" t="s">
        <v>63</v>
      </c>
      <c r="C18" s="6468"/>
      <c r="D18" s="7323"/>
      <c r="E18" s="7344" t="s">
        <v>30</v>
      </c>
      <c r="F18" s="7380"/>
      <c r="G18" s="7380"/>
      <c r="H18" s="7380"/>
      <c r="I18" s="7380"/>
      <c r="J18" s="7380"/>
      <c r="K18" s="7380"/>
      <c r="L18" s="7380"/>
      <c r="M18" s="7380"/>
      <c r="N18" s="7380"/>
      <c r="O18" s="7380"/>
      <c r="P18" s="7380"/>
      <c r="Q18" s="7380"/>
      <c r="R18" s="7380"/>
      <c r="S18" s="7380"/>
      <c r="T18" s="7380"/>
      <c r="U18" s="7380"/>
      <c r="V18" s="7380"/>
      <c r="W18" s="7380"/>
      <c r="X18" s="7380"/>
      <c r="Y18" s="7380"/>
      <c r="Z18" s="7380"/>
      <c r="AA18" s="7380"/>
      <c r="AB18" s="7380"/>
      <c r="AC18" s="7380"/>
      <c r="AD18" s="7380"/>
      <c r="AE18" s="7380"/>
      <c r="AF18" s="7380"/>
      <c r="AG18" s="7380"/>
      <c r="AH18" s="7380"/>
      <c r="AI18" s="7380"/>
      <c r="AJ18" s="7380"/>
      <c r="AK18" s="7380"/>
      <c r="AL18" s="7345"/>
      <c r="AM18" s="7323" t="s">
        <v>67</v>
      </c>
      <c r="AN18" s="7354" t="s">
        <v>266</v>
      </c>
      <c r="AO18" s="7354" t="s">
        <v>256</v>
      </c>
      <c r="AP18" s="7354" t="s">
        <v>267</v>
      </c>
    </row>
    <row r="19" spans="1:69" x14ac:dyDescent="0.25">
      <c r="A19" s="7408"/>
      <c r="B19" s="7324"/>
      <c r="C19" s="7325"/>
      <c r="D19" s="7326"/>
      <c r="E19" s="7344" t="s">
        <v>36</v>
      </c>
      <c r="F19" s="7345"/>
      <c r="G19" s="7344" t="s">
        <v>37</v>
      </c>
      <c r="H19" s="7345"/>
      <c r="I19" s="7344" t="s">
        <v>38</v>
      </c>
      <c r="J19" s="7345"/>
      <c r="K19" s="7344" t="s">
        <v>4</v>
      </c>
      <c r="L19" s="7345"/>
      <c r="M19" s="7344" t="s">
        <v>5</v>
      </c>
      <c r="N19" s="7345"/>
      <c r="O19" s="7327" t="s">
        <v>6</v>
      </c>
      <c r="P19" s="7333"/>
      <c r="Q19" s="7327" t="s">
        <v>7</v>
      </c>
      <c r="R19" s="7333"/>
      <c r="S19" s="7327" t="s">
        <v>8</v>
      </c>
      <c r="T19" s="7333"/>
      <c r="U19" s="7327" t="s">
        <v>9</v>
      </c>
      <c r="V19" s="7333"/>
      <c r="W19" s="7327" t="s">
        <v>10</v>
      </c>
      <c r="X19" s="7333"/>
      <c r="Y19" s="7327" t="s">
        <v>11</v>
      </c>
      <c r="Z19" s="7333"/>
      <c r="AA19" s="7327" t="s">
        <v>18</v>
      </c>
      <c r="AB19" s="7333"/>
      <c r="AC19" s="7327" t="s">
        <v>19</v>
      </c>
      <c r="AD19" s="7333"/>
      <c r="AE19" s="7327" t="s">
        <v>20</v>
      </c>
      <c r="AF19" s="7333"/>
      <c r="AG19" s="7327" t="s">
        <v>70</v>
      </c>
      <c r="AH19" s="7333"/>
      <c r="AI19" s="7327" t="s">
        <v>71</v>
      </c>
      <c r="AJ19" s="7333"/>
      <c r="AK19" s="7327" t="s">
        <v>32</v>
      </c>
      <c r="AL19" s="7333"/>
      <c r="AM19" s="7332"/>
      <c r="AN19" s="7355"/>
      <c r="AO19" s="7355"/>
      <c r="AP19" s="7355"/>
    </row>
    <row r="20" spans="1:69" x14ac:dyDescent="0.25">
      <c r="A20" s="7336"/>
      <c r="B20" s="199" t="s">
        <v>26</v>
      </c>
      <c r="C20" s="200" t="s">
        <v>51</v>
      </c>
      <c r="D20" s="175" t="s">
        <v>27</v>
      </c>
      <c r="E20" s="201" t="s">
        <v>51</v>
      </c>
      <c r="F20" s="175" t="s">
        <v>27</v>
      </c>
      <c r="G20" s="201" t="s">
        <v>51</v>
      </c>
      <c r="H20" s="175" t="s">
        <v>27</v>
      </c>
      <c r="I20" s="201" t="s">
        <v>51</v>
      </c>
      <c r="J20" s="175" t="s">
        <v>27</v>
      </c>
      <c r="K20" s="201" t="s">
        <v>51</v>
      </c>
      <c r="L20" s="175" t="s">
        <v>27</v>
      </c>
      <c r="M20" s="201" t="s">
        <v>51</v>
      </c>
      <c r="N20" s="175" t="s">
        <v>27</v>
      </c>
      <c r="O20" s="201" t="s">
        <v>51</v>
      </c>
      <c r="P20" s="175" t="s">
        <v>27</v>
      </c>
      <c r="Q20" s="201" t="s">
        <v>51</v>
      </c>
      <c r="R20" s="175" t="s">
        <v>27</v>
      </c>
      <c r="S20" s="201" t="s">
        <v>51</v>
      </c>
      <c r="T20" s="175" t="s">
        <v>27</v>
      </c>
      <c r="U20" s="201" t="s">
        <v>51</v>
      </c>
      <c r="V20" s="175" t="s">
        <v>27</v>
      </c>
      <c r="W20" s="201" t="s">
        <v>51</v>
      </c>
      <c r="X20" s="175" t="s">
        <v>27</v>
      </c>
      <c r="Y20" s="201" t="s">
        <v>51</v>
      </c>
      <c r="Z20" s="175" t="s">
        <v>27</v>
      </c>
      <c r="AA20" s="201" t="s">
        <v>51</v>
      </c>
      <c r="AB20" s="175" t="s">
        <v>27</v>
      </c>
      <c r="AC20" s="201" t="s">
        <v>51</v>
      </c>
      <c r="AD20" s="175" t="s">
        <v>27</v>
      </c>
      <c r="AE20" s="201" t="s">
        <v>51</v>
      </c>
      <c r="AF20" s="175" t="s">
        <v>27</v>
      </c>
      <c r="AG20" s="201" t="s">
        <v>51</v>
      </c>
      <c r="AH20" s="175" t="s">
        <v>27</v>
      </c>
      <c r="AI20" s="201" t="s">
        <v>51</v>
      </c>
      <c r="AJ20" s="175" t="s">
        <v>27</v>
      </c>
      <c r="AK20" s="201" t="s">
        <v>51</v>
      </c>
      <c r="AL20" s="175" t="s">
        <v>27</v>
      </c>
      <c r="AM20" s="7326"/>
      <c r="AN20" s="7356"/>
      <c r="AO20" s="7356"/>
      <c r="AP20" s="7356"/>
    </row>
    <row r="21" spans="1:69" x14ac:dyDescent="0.25">
      <c r="A21" s="5357" t="s">
        <v>268</v>
      </c>
      <c r="B21" s="5428">
        <f t="shared" ref="B21:B26" si="3">SUM(C21+D21)</f>
        <v>0</v>
      </c>
      <c r="C21" s="5429">
        <f t="shared" ref="C21:D26" si="4">SUM(E21+G21+I21+K21+M21+O21+Q21+S21+U21+W21+Y21+AA21+AC21+AE21+AG21+AI21+AK21)</f>
        <v>0</v>
      </c>
      <c r="D21" s="5332">
        <f t="shared" si="4"/>
        <v>0</v>
      </c>
      <c r="E21" s="5418"/>
      <c r="F21" s="5422"/>
      <c r="G21" s="5418"/>
      <c r="H21" s="5422"/>
      <c r="I21" s="5418"/>
      <c r="J21" s="5448"/>
      <c r="K21" s="5418"/>
      <c r="L21" s="5448"/>
      <c r="M21" s="5418"/>
      <c r="N21" s="5448"/>
      <c r="O21" s="5610"/>
      <c r="P21" s="5448"/>
      <c r="Q21" s="5610"/>
      <c r="R21" s="5448"/>
      <c r="S21" s="5610"/>
      <c r="T21" s="5448"/>
      <c r="U21" s="5610"/>
      <c r="V21" s="5448"/>
      <c r="W21" s="5610"/>
      <c r="X21" s="5448"/>
      <c r="Y21" s="5610"/>
      <c r="Z21" s="5448"/>
      <c r="AA21" s="5610"/>
      <c r="AB21" s="5448"/>
      <c r="AC21" s="5610"/>
      <c r="AD21" s="5448"/>
      <c r="AE21" s="5610"/>
      <c r="AF21" s="5448"/>
      <c r="AG21" s="5610"/>
      <c r="AH21" s="5448"/>
      <c r="AI21" s="5610"/>
      <c r="AJ21" s="5448"/>
      <c r="AK21" s="5610"/>
      <c r="AL21" s="5448"/>
      <c r="AM21" s="5422"/>
      <c r="AN21" s="5464"/>
      <c r="AO21" s="5464"/>
      <c r="AP21" s="5464"/>
      <c r="AQ21" t="str">
        <f>BI21&amp;BJ21&amp;BK21&amp;BL21</f>
        <v/>
      </c>
      <c r="BI21" s="1791" t="str">
        <f>IF(AND(B21&gt;0,AM21="")," * No olvide digitar la columna Beneficiarios Digite cero si no tiene",IF(AM21&gt;B21," * La variable Beneficiarios no puede ser mayor al Total.",""))</f>
        <v/>
      </c>
      <c r="BJ21" s="1791" t="str">
        <f>IF(AND(B21&gt;0,AN21="")," * No olvide digitar la columna Atenciones por profesionales  a Honorarios (Digite Cero si no tiene)",IF(AN21&gt;B21," * La variable Atenciones por profesionales  a Honorarios no puede ser mayor al Total.",""))</f>
        <v/>
      </c>
      <c r="BK21" s="1791" t="str">
        <f>IF(AND(B21&gt;0,AO21="")," * No olvide digitar la columna Demanda de Urgencia.",IF(AO21&lt;B21," * La variable Demanda de Urgencia debe ser mayor o igual al Total Ambos Sexos.",""))</f>
        <v/>
      </c>
      <c r="BL21" s="1791" t="str">
        <f>IF(AND(B21&gt;0,AP21="")," * No olvide digitar la columna Por Campaña de Invierno (Digite Cero si no tiene)",IF(AP21&gt;B21," * La variable Por Campaña de Invierno no puede ser mayor al Total.",""))</f>
        <v/>
      </c>
      <c r="BN21" s="1793">
        <f>IF(AND(B21&gt;0,AM21=""),1,IF(AM21&gt;B21,1,0))</f>
        <v>0</v>
      </c>
      <c r="BO21" s="1793">
        <f>IF(AND(B21&gt;0,AN21=""),1,IF(AN21&gt;B21,1,0))</f>
        <v>0</v>
      </c>
      <c r="BP21" s="1793">
        <f>IF(AND(B21&gt;0,AO21=""),1,IF(AO21&lt;B21,1,0))</f>
        <v>0</v>
      </c>
      <c r="BQ21" s="1793">
        <f>IF(AND(B21&gt;0,AP21=""),1,IF(AP21&gt;B21,1,0))</f>
        <v>0</v>
      </c>
    </row>
    <row r="22" spans="1:69" x14ac:dyDescent="0.25">
      <c r="A22" s="5667" t="s">
        <v>269</v>
      </c>
      <c r="B22" s="1054">
        <f t="shared" si="3"/>
        <v>0</v>
      </c>
      <c r="C22" s="3359">
        <f t="shared" si="4"/>
        <v>0</v>
      </c>
      <c r="D22" s="4661">
        <f t="shared" si="4"/>
        <v>0</v>
      </c>
      <c r="E22" s="589"/>
      <c r="F22" s="4561"/>
      <c r="G22" s="589"/>
      <c r="H22" s="4561"/>
      <c r="I22" s="589"/>
      <c r="J22" s="5238"/>
      <c r="K22" s="589"/>
      <c r="L22" s="5238"/>
      <c r="M22" s="589"/>
      <c r="N22" s="5238"/>
      <c r="O22" s="113"/>
      <c r="P22" s="5238"/>
      <c r="Q22" s="113"/>
      <c r="R22" s="5238"/>
      <c r="S22" s="113"/>
      <c r="T22" s="5238"/>
      <c r="U22" s="113"/>
      <c r="V22" s="5238"/>
      <c r="W22" s="113"/>
      <c r="X22" s="5238"/>
      <c r="Y22" s="113"/>
      <c r="Z22" s="5238"/>
      <c r="AA22" s="113"/>
      <c r="AB22" s="5238"/>
      <c r="AC22" s="113"/>
      <c r="AD22" s="5238"/>
      <c r="AE22" s="113"/>
      <c r="AF22" s="5238"/>
      <c r="AG22" s="113"/>
      <c r="AH22" s="5238"/>
      <c r="AI22" s="113"/>
      <c r="AJ22" s="5238"/>
      <c r="AK22" s="113"/>
      <c r="AL22" s="5238"/>
      <c r="AM22" s="4561"/>
      <c r="AN22" s="789"/>
      <c r="AO22" s="789"/>
      <c r="AP22" s="789"/>
      <c r="AQ22" t="str">
        <f>BI22&amp;BJ22&amp;BK22&amp;BL22</f>
        <v/>
      </c>
      <c r="BI22" s="1791" t="str">
        <f t="shared" ref="BI22:BI26" si="5">IF(AND(B22&gt;0,AM22="")," * No olvide digitar la columna Beneficiarios Digite cero si no tiene",IF(AM22&gt;B22," * La variable Beneficiarios no puede ser mayor al Total.",""))</f>
        <v/>
      </c>
      <c r="BJ22" s="1791" t="str">
        <f t="shared" ref="BJ22:BJ26" si="6">IF(AND(B22&gt;0,AN22="")," * No olvide digitar la columna Atenciones por profesionales  a Honorarios (Digite Cero si no tiene)",IF(AN22&gt;B22," * La variable Atenciones por profesionales  a Honorarios no puede ser mayor al Total.",""))</f>
        <v/>
      </c>
      <c r="BK22" s="1791" t="str">
        <f t="shared" ref="BK22:BK24" si="7">IF(AND(B22&gt;0,AO22="")," * No olvide digitar la columna Demanda de Urgencia.",IF(AO22&lt;B22," * La variable Demanda de Urgencia debe ser mayor o igual al Total Ambos Sexos.",""))</f>
        <v/>
      </c>
      <c r="BL22" s="1791" t="str">
        <f t="shared" ref="BL22:BL24" si="8">IF(AND(B22&gt;0,AP22="")," * No olvide digitar la columna Por Campaña de Invierno (Digite Cero si no tiene)",IF(AP22&gt;B22," * La variable Por Campaña de Invierno no puede ser mayor al Total.",""))</f>
        <v/>
      </c>
      <c r="BN22" s="1793">
        <f t="shared" ref="BN22:BN26" si="9">IF(AND(B22&gt;0,AM22=""),1,IF(AM22&gt;B22,1,0))</f>
        <v>0</v>
      </c>
      <c r="BO22" s="1793">
        <f t="shared" ref="BO22:BO26" si="10">IF(AND(B22&gt;0,AN22=""),1,IF(AN22&gt;B22,1,0))</f>
        <v>0</v>
      </c>
      <c r="BP22" s="1793">
        <f t="shared" ref="BP22:BP24" si="11">IF(AND(B22&gt;0,AO22=""),1,IF(AO22&lt;B22,1,0))</f>
        <v>0</v>
      </c>
      <c r="BQ22" s="1793">
        <f t="shared" ref="BQ22:BQ24" si="12">IF(AND(B22&gt;0,AP22=""),1,IF(AP22&gt;B22,1,0))</f>
        <v>0</v>
      </c>
    </row>
    <row r="23" spans="1:69" x14ac:dyDescent="0.25">
      <c r="A23" s="3328" t="s">
        <v>270</v>
      </c>
      <c r="B23" s="1054">
        <f t="shared" si="3"/>
        <v>0</v>
      </c>
      <c r="C23" s="3359">
        <f t="shared" si="4"/>
        <v>0</v>
      </c>
      <c r="D23" s="3331">
        <f t="shared" si="4"/>
        <v>0</v>
      </c>
      <c r="E23" s="1089"/>
      <c r="F23" s="3166"/>
      <c r="G23" s="1089"/>
      <c r="H23" s="3166"/>
      <c r="I23" s="1089"/>
      <c r="J23" s="630"/>
      <c r="K23" s="1089"/>
      <c r="L23" s="630"/>
      <c r="M23" s="1089"/>
      <c r="N23" s="630"/>
      <c r="O23" s="3329"/>
      <c r="P23" s="630"/>
      <c r="Q23" s="3329"/>
      <c r="R23" s="630"/>
      <c r="S23" s="3329"/>
      <c r="T23" s="630"/>
      <c r="U23" s="3329"/>
      <c r="V23" s="630"/>
      <c r="W23" s="3329"/>
      <c r="X23" s="630"/>
      <c r="Y23" s="3329"/>
      <c r="Z23" s="630"/>
      <c r="AA23" s="3329"/>
      <c r="AB23" s="630"/>
      <c r="AC23" s="3329"/>
      <c r="AD23" s="630"/>
      <c r="AE23" s="3329"/>
      <c r="AF23" s="630"/>
      <c r="AG23" s="3329"/>
      <c r="AH23" s="630"/>
      <c r="AI23" s="3329"/>
      <c r="AJ23" s="630"/>
      <c r="AK23" s="3329"/>
      <c r="AL23" s="630"/>
      <c r="AM23" s="3166"/>
      <c r="AN23" s="3234"/>
      <c r="AO23" s="3234"/>
      <c r="AP23" s="4601"/>
      <c r="AQ23" t="str">
        <f>BI23&amp;BJ23&amp;BK23</f>
        <v/>
      </c>
      <c r="BI23" s="1791" t="str">
        <f t="shared" si="5"/>
        <v/>
      </c>
      <c r="BJ23" s="1791" t="str">
        <f t="shared" si="6"/>
        <v/>
      </c>
      <c r="BK23" s="1791" t="str">
        <f t="shared" si="7"/>
        <v/>
      </c>
      <c r="BL23" s="1793"/>
      <c r="BN23" s="1793">
        <f t="shared" si="9"/>
        <v>0</v>
      </c>
      <c r="BO23" s="1793">
        <f t="shared" si="10"/>
        <v>0</v>
      </c>
      <c r="BP23" s="1793">
        <f t="shared" si="11"/>
        <v>0</v>
      </c>
      <c r="BQ23" s="1791"/>
    </row>
    <row r="24" spans="1:69" x14ac:dyDescent="0.25">
      <c r="A24" s="207" t="s">
        <v>271</v>
      </c>
      <c r="B24" s="3306">
        <f t="shared" si="3"/>
        <v>0</v>
      </c>
      <c r="C24" s="208">
        <f t="shared" si="4"/>
        <v>0</v>
      </c>
      <c r="D24" s="5670">
        <f t="shared" si="4"/>
        <v>0</v>
      </c>
      <c r="E24" s="3112"/>
      <c r="F24" s="2889"/>
      <c r="G24" s="3112"/>
      <c r="H24" s="2889"/>
      <c r="I24" s="3112"/>
      <c r="J24" s="3124"/>
      <c r="K24" s="121"/>
      <c r="L24" s="2889"/>
      <c r="M24" s="3112"/>
      <c r="N24" s="2889"/>
      <c r="O24" s="3112"/>
      <c r="P24" s="2889"/>
      <c r="Q24" s="3112"/>
      <c r="R24" s="2889"/>
      <c r="S24" s="3112"/>
      <c r="T24" s="2889"/>
      <c r="U24" s="3112"/>
      <c r="V24" s="2889"/>
      <c r="W24" s="3112"/>
      <c r="X24" s="2889"/>
      <c r="Y24" s="3112"/>
      <c r="Z24" s="2889"/>
      <c r="AA24" s="3112"/>
      <c r="AB24" s="2889"/>
      <c r="AC24" s="3112"/>
      <c r="AD24" s="2889"/>
      <c r="AE24" s="3112"/>
      <c r="AF24" s="2889"/>
      <c r="AG24" s="3112"/>
      <c r="AH24" s="2889"/>
      <c r="AI24" s="3112"/>
      <c r="AJ24" s="2889"/>
      <c r="AK24" s="3112"/>
      <c r="AL24" s="2889"/>
      <c r="AM24" s="2889"/>
      <c r="AN24" s="2889"/>
      <c r="AO24" s="2889"/>
      <c r="AP24" s="2889"/>
      <c r="AQ24" t="str">
        <f>BI24&amp;BJ24&amp;BK24&amp;BL24</f>
        <v/>
      </c>
      <c r="BI24" s="1791" t="str">
        <f t="shared" si="5"/>
        <v/>
      </c>
      <c r="BJ24" s="1791" t="str">
        <f t="shared" si="6"/>
        <v/>
      </c>
      <c r="BK24" s="1791" t="str">
        <f t="shared" si="7"/>
        <v/>
      </c>
      <c r="BL24" s="1791" t="str">
        <f t="shared" si="8"/>
        <v/>
      </c>
      <c r="BN24" s="1793">
        <f t="shared" si="9"/>
        <v>0</v>
      </c>
      <c r="BO24" s="1793">
        <f t="shared" si="10"/>
        <v>0</v>
      </c>
      <c r="BP24" s="1793">
        <f t="shared" si="11"/>
        <v>0</v>
      </c>
      <c r="BQ24" s="1793">
        <f t="shared" si="12"/>
        <v>0</v>
      </c>
    </row>
    <row r="25" spans="1:69" x14ac:dyDescent="0.25">
      <c r="A25" s="5667" t="s">
        <v>272</v>
      </c>
      <c r="B25" s="5671">
        <f t="shared" si="3"/>
        <v>0</v>
      </c>
      <c r="C25" s="963">
        <f t="shared" si="4"/>
        <v>0</v>
      </c>
      <c r="D25" s="4661">
        <f t="shared" si="4"/>
        <v>0</v>
      </c>
      <c r="E25" s="589"/>
      <c r="F25" s="4561"/>
      <c r="G25" s="589"/>
      <c r="H25" s="4561"/>
      <c r="I25" s="589"/>
      <c r="J25" s="5238"/>
      <c r="K25" s="591"/>
      <c r="L25" s="4561"/>
      <c r="M25" s="589"/>
      <c r="N25" s="4561"/>
      <c r="O25" s="589"/>
      <c r="P25" s="4561"/>
      <c r="Q25" s="589"/>
      <c r="R25" s="4561"/>
      <c r="S25" s="589"/>
      <c r="T25" s="4561"/>
      <c r="U25" s="589"/>
      <c r="V25" s="4561"/>
      <c r="W25" s="589"/>
      <c r="X25" s="4561"/>
      <c r="Y25" s="589"/>
      <c r="Z25" s="4561"/>
      <c r="AA25" s="589"/>
      <c r="AB25" s="4561"/>
      <c r="AC25" s="589"/>
      <c r="AD25" s="4561"/>
      <c r="AE25" s="589"/>
      <c r="AF25" s="4561"/>
      <c r="AG25" s="589"/>
      <c r="AH25" s="4561"/>
      <c r="AI25" s="589"/>
      <c r="AJ25" s="4561"/>
      <c r="AK25" s="589"/>
      <c r="AL25" s="4561"/>
      <c r="AM25" s="4561"/>
      <c r="AN25" s="4561"/>
      <c r="AO25" s="5668"/>
      <c r="AP25" s="5669"/>
      <c r="AQ25" t="str">
        <f>BI25&amp;BJ25</f>
        <v/>
      </c>
      <c r="BI25" s="1791" t="str">
        <f t="shared" si="5"/>
        <v/>
      </c>
      <c r="BJ25" s="1791" t="str">
        <f t="shared" si="6"/>
        <v/>
      </c>
      <c r="BK25" s="6300"/>
      <c r="BL25" s="1793"/>
      <c r="BN25" s="1793">
        <f t="shared" si="9"/>
        <v>0</v>
      </c>
      <c r="BO25" s="1793">
        <f t="shared" si="10"/>
        <v>0</v>
      </c>
      <c r="BP25" s="1791"/>
      <c r="BQ25" s="1791"/>
    </row>
    <row r="26" spans="1:69" x14ac:dyDescent="0.25">
      <c r="A26" s="207" t="s">
        <v>273</v>
      </c>
      <c r="B26" s="3306">
        <f t="shared" si="3"/>
        <v>0</v>
      </c>
      <c r="C26" s="208">
        <f t="shared" si="4"/>
        <v>0</v>
      </c>
      <c r="D26" s="98">
        <f t="shared" si="4"/>
        <v>0</v>
      </c>
      <c r="E26" s="144"/>
      <c r="F26" s="99"/>
      <c r="G26" s="144"/>
      <c r="H26" s="99"/>
      <c r="I26" s="144"/>
      <c r="J26" s="100"/>
      <c r="K26" s="209"/>
      <c r="L26" s="99"/>
      <c r="M26" s="144"/>
      <c r="N26" s="99"/>
      <c r="O26" s="144"/>
      <c r="P26" s="99"/>
      <c r="Q26" s="144"/>
      <c r="R26" s="99"/>
      <c r="S26" s="144"/>
      <c r="T26" s="99"/>
      <c r="U26" s="144"/>
      <c r="V26" s="99"/>
      <c r="W26" s="144"/>
      <c r="X26" s="99"/>
      <c r="Y26" s="144"/>
      <c r="Z26" s="99"/>
      <c r="AA26" s="144"/>
      <c r="AB26" s="99"/>
      <c r="AC26" s="144"/>
      <c r="AD26" s="99"/>
      <c r="AE26" s="144"/>
      <c r="AF26" s="99"/>
      <c r="AG26" s="144"/>
      <c r="AH26" s="99"/>
      <c r="AI26" s="144"/>
      <c r="AJ26" s="99"/>
      <c r="AK26" s="144"/>
      <c r="AL26" s="99"/>
      <c r="AM26" s="153"/>
      <c r="AN26" s="117"/>
      <c r="AO26" s="211"/>
      <c r="AP26" s="211"/>
      <c r="AQ26" t="str">
        <f>BI26&amp;BJ26</f>
        <v/>
      </c>
      <c r="BI26" s="1791" t="str">
        <f t="shared" si="5"/>
        <v/>
      </c>
      <c r="BJ26" s="1791" t="str">
        <f t="shared" si="6"/>
        <v/>
      </c>
      <c r="BK26" s="6300"/>
      <c r="BL26" s="1793"/>
      <c r="BN26" s="1793">
        <f t="shared" si="9"/>
        <v>0</v>
      </c>
      <c r="BO26" s="1793">
        <f t="shared" si="10"/>
        <v>0</v>
      </c>
      <c r="BP26" s="1791"/>
      <c r="BQ26" s="1791"/>
    </row>
    <row r="27" spans="1:69" s="17" customFormat="1" ht="18" customHeight="1" x14ac:dyDescent="0.2">
      <c r="A27" s="7407" t="s">
        <v>274</v>
      </c>
      <c r="B27" s="7407"/>
      <c r="C27" s="7407"/>
      <c r="D27" s="7407"/>
      <c r="E27" s="7407"/>
      <c r="F27" s="7407"/>
      <c r="G27" s="7407"/>
      <c r="H27" s="7407"/>
      <c r="I27" s="122"/>
      <c r="J27" s="122"/>
      <c r="K27" s="122"/>
      <c r="L27" s="122"/>
      <c r="M27" s="122"/>
      <c r="N27" s="122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802"/>
      <c r="AN27" s="163"/>
    </row>
    <row r="28" spans="1:69" x14ac:dyDescent="0.25">
      <c r="A28" s="7337" t="s">
        <v>61</v>
      </c>
      <c r="B28" s="7322" t="s">
        <v>63</v>
      </c>
      <c r="C28" s="6468"/>
      <c r="D28" s="7323"/>
      <c r="E28" s="7344" t="s">
        <v>30</v>
      </c>
      <c r="F28" s="7380"/>
      <c r="G28" s="7380"/>
      <c r="H28" s="7380"/>
      <c r="I28" s="7380"/>
      <c r="J28" s="7380"/>
      <c r="K28" s="7380"/>
      <c r="L28" s="7380"/>
      <c r="M28" s="7380"/>
      <c r="N28" s="7380"/>
      <c r="O28" s="7380"/>
      <c r="P28" s="7380"/>
      <c r="Q28" s="7380"/>
      <c r="R28" s="7380"/>
      <c r="S28" s="7380"/>
      <c r="T28" s="7380"/>
      <c r="U28" s="7380"/>
      <c r="V28" s="7380"/>
      <c r="W28" s="7380"/>
      <c r="X28" s="7380"/>
      <c r="Y28" s="7380"/>
      <c r="Z28" s="7380"/>
      <c r="AA28" s="7380"/>
      <c r="AB28" s="7380"/>
      <c r="AC28" s="7380"/>
      <c r="AD28" s="7380"/>
      <c r="AE28" s="7380"/>
      <c r="AF28" s="7380"/>
      <c r="AG28" s="7380"/>
      <c r="AH28" s="7380"/>
      <c r="AI28" s="7380"/>
      <c r="AJ28" s="7380"/>
      <c r="AK28" s="7380"/>
      <c r="AL28" s="7345"/>
      <c r="AM28" s="7354" t="s">
        <v>67</v>
      </c>
      <c r="AN28" s="7354" t="s">
        <v>256</v>
      </c>
    </row>
    <row r="29" spans="1:69" x14ac:dyDescent="0.25">
      <c r="A29" s="7359"/>
      <c r="B29" s="7324"/>
      <c r="C29" s="7325"/>
      <c r="D29" s="7326"/>
      <c r="E29" s="7344" t="s">
        <v>36</v>
      </c>
      <c r="F29" s="7345"/>
      <c r="G29" s="7344" t="s">
        <v>37</v>
      </c>
      <c r="H29" s="7345"/>
      <c r="I29" s="7344" t="s">
        <v>38</v>
      </c>
      <c r="J29" s="7345"/>
      <c r="K29" s="7344" t="s">
        <v>4</v>
      </c>
      <c r="L29" s="7345"/>
      <c r="M29" s="7344" t="s">
        <v>5</v>
      </c>
      <c r="N29" s="7345"/>
      <c r="O29" s="7327" t="s">
        <v>6</v>
      </c>
      <c r="P29" s="7333"/>
      <c r="Q29" s="7327" t="s">
        <v>7</v>
      </c>
      <c r="R29" s="7333"/>
      <c r="S29" s="7327" t="s">
        <v>8</v>
      </c>
      <c r="T29" s="7333"/>
      <c r="U29" s="7327" t="s">
        <v>9</v>
      </c>
      <c r="V29" s="7333"/>
      <c r="W29" s="7327" t="s">
        <v>10</v>
      </c>
      <c r="X29" s="7333"/>
      <c r="Y29" s="7327" t="s">
        <v>11</v>
      </c>
      <c r="Z29" s="7333"/>
      <c r="AA29" s="7327" t="s">
        <v>18</v>
      </c>
      <c r="AB29" s="7333"/>
      <c r="AC29" s="7327" t="s">
        <v>19</v>
      </c>
      <c r="AD29" s="7333"/>
      <c r="AE29" s="7327" t="s">
        <v>20</v>
      </c>
      <c r="AF29" s="7333"/>
      <c r="AG29" s="7327" t="s">
        <v>70</v>
      </c>
      <c r="AH29" s="7333"/>
      <c r="AI29" s="7327" t="s">
        <v>71</v>
      </c>
      <c r="AJ29" s="7333"/>
      <c r="AK29" s="7327" t="s">
        <v>32</v>
      </c>
      <c r="AL29" s="7333"/>
      <c r="AM29" s="7355"/>
      <c r="AN29" s="7355"/>
    </row>
    <row r="30" spans="1:69" x14ac:dyDescent="0.25">
      <c r="A30" s="7338"/>
      <c r="B30" s="199" t="s">
        <v>26</v>
      </c>
      <c r="C30" s="1800" t="s">
        <v>51</v>
      </c>
      <c r="D30" s="76" t="s">
        <v>27</v>
      </c>
      <c r="E30" s="1775" t="s">
        <v>51</v>
      </c>
      <c r="F30" s="172" t="s">
        <v>27</v>
      </c>
      <c r="G30" s="1775" t="s">
        <v>51</v>
      </c>
      <c r="H30" s="172" t="s">
        <v>27</v>
      </c>
      <c r="I30" s="1775" t="s">
        <v>51</v>
      </c>
      <c r="J30" s="172" t="s">
        <v>27</v>
      </c>
      <c r="K30" s="1775" t="s">
        <v>51</v>
      </c>
      <c r="L30" s="172" t="s">
        <v>27</v>
      </c>
      <c r="M30" s="1775" t="s">
        <v>51</v>
      </c>
      <c r="N30" s="172" t="s">
        <v>27</v>
      </c>
      <c r="O30" s="1775" t="s">
        <v>51</v>
      </c>
      <c r="P30" s="172" t="s">
        <v>27</v>
      </c>
      <c r="Q30" s="1775" t="s">
        <v>51</v>
      </c>
      <c r="R30" s="172" t="s">
        <v>27</v>
      </c>
      <c r="S30" s="1775" t="s">
        <v>51</v>
      </c>
      <c r="T30" s="172" t="s">
        <v>27</v>
      </c>
      <c r="U30" s="1775" t="s">
        <v>51</v>
      </c>
      <c r="V30" s="172" t="s">
        <v>27</v>
      </c>
      <c r="W30" s="1775" t="s">
        <v>51</v>
      </c>
      <c r="X30" s="172" t="s">
        <v>27</v>
      </c>
      <c r="Y30" s="1775" t="s">
        <v>51</v>
      </c>
      <c r="Z30" s="172" t="s">
        <v>27</v>
      </c>
      <c r="AA30" s="1775" t="s">
        <v>51</v>
      </c>
      <c r="AB30" s="172" t="s">
        <v>27</v>
      </c>
      <c r="AC30" s="1775" t="s">
        <v>51</v>
      </c>
      <c r="AD30" s="172" t="s">
        <v>27</v>
      </c>
      <c r="AE30" s="1775" t="s">
        <v>51</v>
      </c>
      <c r="AF30" s="172" t="s">
        <v>27</v>
      </c>
      <c r="AG30" s="1775" t="s">
        <v>51</v>
      </c>
      <c r="AH30" s="172" t="s">
        <v>27</v>
      </c>
      <c r="AI30" s="1775" t="s">
        <v>51</v>
      </c>
      <c r="AJ30" s="172" t="s">
        <v>27</v>
      </c>
      <c r="AK30" s="1775" t="s">
        <v>51</v>
      </c>
      <c r="AL30" s="172" t="s">
        <v>27</v>
      </c>
      <c r="AM30" s="7356"/>
      <c r="AN30" s="7356"/>
    </row>
    <row r="31" spans="1:69" x14ac:dyDescent="0.25">
      <c r="A31" s="202" t="s">
        <v>60</v>
      </c>
      <c r="B31" s="212">
        <f t="shared" ref="B31:B36" si="13">SUM(C31+D31)</f>
        <v>0</v>
      </c>
      <c r="C31" s="213">
        <f t="shared" ref="C31:D36" si="14">SUM(E31+G31+I31+K31+M31+O31+Q31+S31+U31+W31+Y31+AA31+AC31+AE31+AG31+AI31+AK31)</f>
        <v>0</v>
      </c>
      <c r="D31" s="214">
        <f t="shared" si="14"/>
        <v>0</v>
      </c>
      <c r="E31" s="186"/>
      <c r="F31" s="187"/>
      <c r="G31" s="186"/>
      <c r="H31" s="187"/>
      <c r="I31" s="186"/>
      <c r="J31" s="185"/>
      <c r="K31" s="186"/>
      <c r="L31" s="185"/>
      <c r="M31" s="186"/>
      <c r="N31" s="185"/>
      <c r="O31" s="215"/>
      <c r="P31" s="185"/>
      <c r="Q31" s="215"/>
      <c r="R31" s="185"/>
      <c r="S31" s="215"/>
      <c r="T31" s="185"/>
      <c r="U31" s="215"/>
      <c r="V31" s="185"/>
      <c r="W31" s="215"/>
      <c r="X31" s="185"/>
      <c r="Y31" s="215"/>
      <c r="Z31" s="185"/>
      <c r="AA31" s="215"/>
      <c r="AB31" s="185"/>
      <c r="AC31" s="215"/>
      <c r="AD31" s="185"/>
      <c r="AE31" s="215"/>
      <c r="AF31" s="185"/>
      <c r="AG31" s="215"/>
      <c r="AH31" s="185"/>
      <c r="AI31" s="215"/>
      <c r="AJ31" s="185"/>
      <c r="AK31" s="215"/>
      <c r="AL31" s="185"/>
      <c r="AM31" s="188"/>
      <c r="AN31" s="188"/>
      <c r="AO31" t="str">
        <f>BI31&amp;BJ31</f>
        <v/>
      </c>
      <c r="BI31" s="1791" t="str">
        <f>IF(AND(B31&gt;0,AM31="")," * No olvide digitar la columna Beneficiarios (Digite Cero si no tiene)",IF(AM31&gt;B31," * La variable Beneficiarios no puede ser mayor al Total.",""))</f>
        <v/>
      </c>
      <c r="BJ31" s="1791" t="str">
        <f>IF(AND(B31&gt;0,AN31="")," * No olvide digitar la columna Demanda de Urgencia. ",IF(AN31&lt;B31," *  La variable Demanda de Urgencia debe ser mayor o igual al Total Ambos Sexos.",""))</f>
        <v/>
      </c>
      <c r="BN31" s="1793">
        <f>IF(AND(B31&gt;0,AM31=""),1,IF(AM31&gt;B31,1,0))</f>
        <v>0</v>
      </c>
      <c r="BO31" s="1793">
        <f>IF(AND(B31&gt;0,AN31=""),1,IF(AN31&lt;B31,1,0))</f>
        <v>0</v>
      </c>
    </row>
    <row r="32" spans="1:69" x14ac:dyDescent="0.25">
      <c r="A32" s="204" t="s">
        <v>275</v>
      </c>
      <c r="B32" s="79">
        <f t="shared" si="13"/>
        <v>0</v>
      </c>
      <c r="C32" s="80">
        <f t="shared" si="14"/>
        <v>0</v>
      </c>
      <c r="D32" s="81">
        <f t="shared" si="14"/>
        <v>0</v>
      </c>
      <c r="E32" s="82"/>
      <c r="F32" s="83"/>
      <c r="G32" s="82"/>
      <c r="H32" s="83"/>
      <c r="I32" s="82"/>
      <c r="J32" s="84"/>
      <c r="K32" s="82"/>
      <c r="L32" s="84"/>
      <c r="M32" s="82"/>
      <c r="N32" s="84"/>
      <c r="O32" s="85"/>
      <c r="P32" s="84"/>
      <c r="Q32" s="85"/>
      <c r="R32" s="84"/>
      <c r="S32" s="85"/>
      <c r="T32" s="84"/>
      <c r="U32" s="85"/>
      <c r="V32" s="84"/>
      <c r="W32" s="85"/>
      <c r="X32" s="84"/>
      <c r="Y32" s="85"/>
      <c r="Z32" s="84"/>
      <c r="AA32" s="85"/>
      <c r="AB32" s="84"/>
      <c r="AC32" s="85"/>
      <c r="AD32" s="84"/>
      <c r="AE32" s="85"/>
      <c r="AF32" s="84"/>
      <c r="AG32" s="85"/>
      <c r="AH32" s="84"/>
      <c r="AI32" s="85"/>
      <c r="AJ32" s="84"/>
      <c r="AK32" s="85"/>
      <c r="AL32" s="84"/>
      <c r="AM32" s="136"/>
      <c r="AN32" s="216"/>
      <c r="AO32" t="str">
        <f t="shared" ref="AO32:AO36" si="15">BI32</f>
        <v/>
      </c>
      <c r="BI32" s="1791" t="str">
        <f t="shared" ref="BI32:BI36" si="16">IF(AND(B32&gt;0,AM32="")," * No olvide digitar la columna Beneficiarios (Digite Cero si no tiene)",IF(AM32&gt;B32," * La variable Beneficiarios no puede ser mayor al Total.",""))</f>
        <v/>
      </c>
      <c r="BJ32" s="1793"/>
      <c r="BN32" s="1793">
        <f t="shared" ref="BN32:BN36" si="17">IF(AND(B32&gt;0,AM32=""),1,IF(AM32&gt;B32,1,0))</f>
        <v>0</v>
      </c>
      <c r="BO32" s="1791"/>
    </row>
    <row r="33" spans="1:68" x14ac:dyDescent="0.25">
      <c r="A33" s="204" t="s">
        <v>276</v>
      </c>
      <c r="B33" s="79">
        <f t="shared" si="13"/>
        <v>0</v>
      </c>
      <c r="C33" s="80">
        <f t="shared" si="14"/>
        <v>0</v>
      </c>
      <c r="D33" s="81">
        <f t="shared" si="14"/>
        <v>0</v>
      </c>
      <c r="E33" s="82"/>
      <c r="F33" s="83"/>
      <c r="G33" s="82"/>
      <c r="H33" s="83"/>
      <c r="I33" s="82"/>
      <c r="J33" s="84"/>
      <c r="K33" s="82"/>
      <c r="L33" s="84"/>
      <c r="M33" s="82"/>
      <c r="N33" s="84"/>
      <c r="O33" s="85"/>
      <c r="P33" s="84"/>
      <c r="Q33" s="85"/>
      <c r="R33" s="84"/>
      <c r="S33" s="85"/>
      <c r="T33" s="84"/>
      <c r="U33" s="85"/>
      <c r="V33" s="84"/>
      <c r="W33" s="85"/>
      <c r="X33" s="84"/>
      <c r="Y33" s="85"/>
      <c r="Z33" s="84"/>
      <c r="AA33" s="85"/>
      <c r="AB33" s="84"/>
      <c r="AC33" s="85"/>
      <c r="AD33" s="84"/>
      <c r="AE33" s="85"/>
      <c r="AF33" s="84"/>
      <c r="AG33" s="85"/>
      <c r="AH33" s="84"/>
      <c r="AI33" s="85"/>
      <c r="AJ33" s="84"/>
      <c r="AK33" s="85"/>
      <c r="AL33" s="84"/>
      <c r="AM33" s="136"/>
      <c r="AN33" s="216"/>
      <c r="AO33" t="str">
        <f t="shared" si="15"/>
        <v/>
      </c>
      <c r="BI33" s="1791" t="str">
        <f t="shared" si="16"/>
        <v/>
      </c>
      <c r="BJ33" s="1793"/>
      <c r="BN33" s="1793">
        <f t="shared" si="17"/>
        <v>0</v>
      </c>
      <c r="BO33" s="1791"/>
    </row>
    <row r="34" spans="1:68" x14ac:dyDescent="0.25">
      <c r="A34" s="204" t="s">
        <v>277</v>
      </c>
      <c r="B34" s="79">
        <f t="shared" si="13"/>
        <v>0</v>
      </c>
      <c r="C34" s="80">
        <f t="shared" si="14"/>
        <v>0</v>
      </c>
      <c r="D34" s="81">
        <f t="shared" si="14"/>
        <v>0</v>
      </c>
      <c r="E34" s="82"/>
      <c r="F34" s="83"/>
      <c r="G34" s="82"/>
      <c r="H34" s="83"/>
      <c r="I34" s="82"/>
      <c r="J34" s="84"/>
      <c r="K34" s="82"/>
      <c r="L34" s="84"/>
      <c r="M34" s="82"/>
      <c r="N34" s="84"/>
      <c r="O34" s="85"/>
      <c r="P34" s="84"/>
      <c r="Q34" s="85"/>
      <c r="R34" s="84"/>
      <c r="S34" s="85"/>
      <c r="T34" s="84"/>
      <c r="U34" s="85"/>
      <c r="V34" s="84"/>
      <c r="W34" s="85"/>
      <c r="X34" s="84"/>
      <c r="Y34" s="85"/>
      <c r="Z34" s="84"/>
      <c r="AA34" s="85"/>
      <c r="AB34" s="84"/>
      <c r="AC34" s="85"/>
      <c r="AD34" s="84"/>
      <c r="AE34" s="85"/>
      <c r="AF34" s="84"/>
      <c r="AG34" s="85"/>
      <c r="AH34" s="84"/>
      <c r="AI34" s="85"/>
      <c r="AJ34" s="84"/>
      <c r="AK34" s="85"/>
      <c r="AL34" s="84"/>
      <c r="AM34" s="136"/>
      <c r="AN34" s="216"/>
      <c r="AO34" t="str">
        <f t="shared" si="15"/>
        <v/>
      </c>
      <c r="BI34" s="1791" t="str">
        <f t="shared" si="16"/>
        <v/>
      </c>
      <c r="BJ34" s="1793"/>
      <c r="BN34" s="1793">
        <f t="shared" si="17"/>
        <v>0</v>
      </c>
      <c r="BO34" s="1791"/>
    </row>
    <row r="35" spans="1:68" x14ac:dyDescent="0.25">
      <c r="A35" s="204" t="s">
        <v>192</v>
      </c>
      <c r="B35" s="79">
        <f t="shared" si="13"/>
        <v>0</v>
      </c>
      <c r="C35" s="80">
        <f t="shared" si="14"/>
        <v>0</v>
      </c>
      <c r="D35" s="81">
        <f t="shared" si="14"/>
        <v>0</v>
      </c>
      <c r="E35" s="82"/>
      <c r="F35" s="83"/>
      <c r="G35" s="82"/>
      <c r="H35" s="83"/>
      <c r="I35" s="82"/>
      <c r="J35" s="84"/>
      <c r="K35" s="82"/>
      <c r="L35" s="84"/>
      <c r="M35" s="82"/>
      <c r="N35" s="84"/>
      <c r="O35" s="85"/>
      <c r="P35" s="84"/>
      <c r="Q35" s="85"/>
      <c r="R35" s="84"/>
      <c r="S35" s="85"/>
      <c r="T35" s="84"/>
      <c r="U35" s="85"/>
      <c r="V35" s="84"/>
      <c r="W35" s="85"/>
      <c r="X35" s="84"/>
      <c r="Y35" s="85"/>
      <c r="Z35" s="84"/>
      <c r="AA35" s="85"/>
      <c r="AB35" s="84"/>
      <c r="AC35" s="85"/>
      <c r="AD35" s="84"/>
      <c r="AE35" s="85"/>
      <c r="AF35" s="84"/>
      <c r="AG35" s="85"/>
      <c r="AH35" s="84"/>
      <c r="AI35" s="85"/>
      <c r="AJ35" s="84"/>
      <c r="AK35" s="85"/>
      <c r="AL35" s="84"/>
      <c r="AM35" s="136"/>
      <c r="AN35" s="216"/>
      <c r="AO35" t="str">
        <f t="shared" si="15"/>
        <v/>
      </c>
      <c r="BI35" s="1791" t="str">
        <f t="shared" si="16"/>
        <v/>
      </c>
      <c r="BJ35" s="1793"/>
      <c r="BN35" s="1793">
        <f t="shared" si="17"/>
        <v>0</v>
      </c>
      <c r="BO35" s="1791"/>
    </row>
    <row r="36" spans="1:68" x14ac:dyDescent="0.25">
      <c r="A36" s="207" t="s">
        <v>123</v>
      </c>
      <c r="B36" s="217">
        <f t="shared" si="13"/>
        <v>0</v>
      </c>
      <c r="C36" s="95">
        <f t="shared" si="14"/>
        <v>0</v>
      </c>
      <c r="D36" s="161">
        <f t="shared" si="14"/>
        <v>0</v>
      </c>
      <c r="E36" s="114"/>
      <c r="F36" s="117"/>
      <c r="G36" s="114"/>
      <c r="H36" s="117"/>
      <c r="I36" s="114"/>
      <c r="J36" s="116"/>
      <c r="K36" s="114"/>
      <c r="L36" s="116"/>
      <c r="M36" s="114"/>
      <c r="N36" s="116"/>
      <c r="O36" s="118"/>
      <c r="P36" s="116"/>
      <c r="Q36" s="118"/>
      <c r="R36" s="116"/>
      <c r="S36" s="118"/>
      <c r="T36" s="116"/>
      <c r="U36" s="118"/>
      <c r="V36" s="116"/>
      <c r="W36" s="118"/>
      <c r="X36" s="116"/>
      <c r="Y36" s="118"/>
      <c r="Z36" s="116"/>
      <c r="AA36" s="118"/>
      <c r="AB36" s="116"/>
      <c r="AC36" s="118"/>
      <c r="AD36" s="116"/>
      <c r="AE36" s="118"/>
      <c r="AF36" s="116"/>
      <c r="AG36" s="118"/>
      <c r="AH36" s="116"/>
      <c r="AI36" s="118"/>
      <c r="AJ36" s="116"/>
      <c r="AK36" s="118"/>
      <c r="AL36" s="116"/>
      <c r="AM36" s="153"/>
      <c r="AN36" s="218"/>
      <c r="AO36" t="str">
        <f t="shared" si="15"/>
        <v/>
      </c>
      <c r="BI36" s="1791" t="str">
        <f t="shared" si="16"/>
        <v/>
      </c>
      <c r="BJ36" s="1793"/>
      <c r="BN36" s="1793">
        <f t="shared" si="17"/>
        <v>0</v>
      </c>
      <c r="BO36" s="1791"/>
    </row>
    <row r="37" spans="1:68" s="17" customFormat="1" ht="18" customHeight="1" x14ac:dyDescent="0.2">
      <c r="A37" s="122" t="s">
        <v>278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</row>
    <row r="38" spans="1:68" x14ac:dyDescent="0.25">
      <c r="A38" s="7337" t="s">
        <v>61</v>
      </c>
      <c r="B38" s="7322" t="s">
        <v>63</v>
      </c>
      <c r="C38" s="6468"/>
      <c r="D38" s="7323"/>
      <c r="E38" s="7344" t="s">
        <v>30</v>
      </c>
      <c r="F38" s="7380"/>
      <c r="G38" s="7380"/>
      <c r="H38" s="7380"/>
      <c r="I38" s="7380"/>
      <c r="J38" s="7380"/>
      <c r="K38" s="7380"/>
      <c r="L38" s="7380"/>
      <c r="M38" s="7380"/>
      <c r="N38" s="7380"/>
      <c r="O38" s="7380"/>
      <c r="P38" s="7380"/>
      <c r="Q38" s="7380"/>
      <c r="R38" s="7380"/>
      <c r="S38" s="7380"/>
      <c r="T38" s="7380"/>
      <c r="U38" s="7380"/>
      <c r="V38" s="7380"/>
      <c r="W38" s="7380"/>
      <c r="X38" s="7380"/>
      <c r="Y38" s="7380"/>
      <c r="Z38" s="7380"/>
      <c r="AA38" s="7380"/>
      <c r="AB38" s="7380"/>
      <c r="AC38" s="7380"/>
      <c r="AD38" s="7380"/>
      <c r="AE38" s="7380"/>
      <c r="AF38" s="7380"/>
      <c r="AG38" s="7380"/>
      <c r="AH38" s="7380"/>
      <c r="AI38" s="7380"/>
      <c r="AJ38" s="7380"/>
      <c r="AK38" s="7380"/>
      <c r="AL38" s="7345"/>
      <c r="AM38" s="7354" t="s">
        <v>67</v>
      </c>
      <c r="AN38" s="7354" t="s">
        <v>256</v>
      </c>
    </row>
    <row r="39" spans="1:68" x14ac:dyDescent="0.25">
      <c r="A39" s="7359"/>
      <c r="B39" s="7324"/>
      <c r="C39" s="7325"/>
      <c r="D39" s="7326"/>
      <c r="E39" s="7344" t="s">
        <v>36</v>
      </c>
      <c r="F39" s="7345"/>
      <c r="G39" s="7344" t="s">
        <v>37</v>
      </c>
      <c r="H39" s="7345"/>
      <c r="I39" s="7344" t="s">
        <v>38</v>
      </c>
      <c r="J39" s="7345"/>
      <c r="K39" s="7344" t="s">
        <v>4</v>
      </c>
      <c r="L39" s="7345"/>
      <c r="M39" s="7344" t="s">
        <v>5</v>
      </c>
      <c r="N39" s="7345"/>
      <c r="O39" s="7327" t="s">
        <v>6</v>
      </c>
      <c r="P39" s="7333"/>
      <c r="Q39" s="7327" t="s">
        <v>7</v>
      </c>
      <c r="R39" s="7333"/>
      <c r="S39" s="7327" t="s">
        <v>8</v>
      </c>
      <c r="T39" s="7333"/>
      <c r="U39" s="7327" t="s">
        <v>9</v>
      </c>
      <c r="V39" s="7333"/>
      <c r="W39" s="7327" t="s">
        <v>10</v>
      </c>
      <c r="X39" s="7333"/>
      <c r="Y39" s="7327" t="s">
        <v>11</v>
      </c>
      <c r="Z39" s="7333"/>
      <c r="AA39" s="7327" t="s">
        <v>18</v>
      </c>
      <c r="AB39" s="7333"/>
      <c r="AC39" s="7327" t="s">
        <v>19</v>
      </c>
      <c r="AD39" s="7333"/>
      <c r="AE39" s="7327" t="s">
        <v>20</v>
      </c>
      <c r="AF39" s="7333"/>
      <c r="AG39" s="7327" t="s">
        <v>70</v>
      </c>
      <c r="AH39" s="7333"/>
      <c r="AI39" s="7327" t="s">
        <v>71</v>
      </c>
      <c r="AJ39" s="7333"/>
      <c r="AK39" s="6907" t="s">
        <v>32</v>
      </c>
      <c r="AL39" s="6913"/>
      <c r="AM39" s="6472"/>
      <c r="AN39" s="7355"/>
    </row>
    <row r="40" spans="1:68" x14ac:dyDescent="0.25">
      <c r="A40" s="7338"/>
      <c r="B40" s="199" t="s">
        <v>26</v>
      </c>
      <c r="C40" s="1800" t="s">
        <v>51</v>
      </c>
      <c r="D40" s="76" t="s">
        <v>27</v>
      </c>
      <c r="E40" s="173" t="s">
        <v>51</v>
      </c>
      <c r="F40" s="175" t="s">
        <v>27</v>
      </c>
      <c r="G40" s="173" t="s">
        <v>51</v>
      </c>
      <c r="H40" s="175" t="s">
        <v>27</v>
      </c>
      <c r="I40" s="173" t="s">
        <v>51</v>
      </c>
      <c r="J40" s="175" t="s">
        <v>27</v>
      </c>
      <c r="K40" s="173" t="s">
        <v>51</v>
      </c>
      <c r="L40" s="175" t="s">
        <v>27</v>
      </c>
      <c r="M40" s="173" t="s">
        <v>51</v>
      </c>
      <c r="N40" s="175" t="s">
        <v>27</v>
      </c>
      <c r="O40" s="173" t="s">
        <v>51</v>
      </c>
      <c r="P40" s="175" t="s">
        <v>27</v>
      </c>
      <c r="Q40" s="173" t="s">
        <v>51</v>
      </c>
      <c r="R40" s="175" t="s">
        <v>27</v>
      </c>
      <c r="S40" s="173" t="s">
        <v>51</v>
      </c>
      <c r="T40" s="175" t="s">
        <v>27</v>
      </c>
      <c r="U40" s="173" t="s">
        <v>51</v>
      </c>
      <c r="V40" s="175" t="s">
        <v>27</v>
      </c>
      <c r="W40" s="173" t="s">
        <v>51</v>
      </c>
      <c r="X40" s="175" t="s">
        <v>27</v>
      </c>
      <c r="Y40" s="173" t="s">
        <v>51</v>
      </c>
      <c r="Z40" s="175" t="s">
        <v>27</v>
      </c>
      <c r="AA40" s="173" t="s">
        <v>51</v>
      </c>
      <c r="AB40" s="175" t="s">
        <v>27</v>
      </c>
      <c r="AC40" s="173" t="s">
        <v>51</v>
      </c>
      <c r="AD40" s="175" t="s">
        <v>27</v>
      </c>
      <c r="AE40" s="173" t="s">
        <v>51</v>
      </c>
      <c r="AF40" s="175" t="s">
        <v>27</v>
      </c>
      <c r="AG40" s="173" t="s">
        <v>51</v>
      </c>
      <c r="AH40" s="175" t="s">
        <v>27</v>
      </c>
      <c r="AI40" s="173" t="s">
        <v>51</v>
      </c>
      <c r="AJ40" s="175" t="s">
        <v>27</v>
      </c>
      <c r="AK40" s="173" t="s">
        <v>51</v>
      </c>
      <c r="AL40" s="175" t="s">
        <v>27</v>
      </c>
      <c r="AM40" s="7356"/>
      <c r="AN40" s="7356"/>
    </row>
    <row r="41" spans="1:68" x14ac:dyDescent="0.25">
      <c r="A41" s="202" t="s">
        <v>60</v>
      </c>
      <c r="B41" s="212">
        <f t="shared" ref="B41:B46" si="18">SUM(C41+D41)</f>
        <v>0</v>
      </c>
      <c r="C41" s="213">
        <f>SUM(E41+G41+I41+K41+M41+O41+Q41+S41+U41+W41+Y41+AA41+AC41+AE41+AG41+AI41+AK41)</f>
        <v>0</v>
      </c>
      <c r="D41" s="214">
        <f>SUM(F41+H41+J41+L41+N41+P41+R41+T41+V41+X41+Z41+AB41+AD41+AF41+AH41+AJ41+AL41)</f>
        <v>0</v>
      </c>
      <c r="E41" s="106"/>
      <c r="F41" s="105"/>
      <c r="G41" s="106"/>
      <c r="H41" s="105"/>
      <c r="I41" s="106"/>
      <c r="J41" s="107"/>
      <c r="K41" s="106"/>
      <c r="L41" s="107"/>
      <c r="M41" s="106"/>
      <c r="N41" s="107"/>
      <c r="O41" s="113"/>
      <c r="P41" s="107"/>
      <c r="Q41" s="113"/>
      <c r="R41" s="107"/>
      <c r="S41" s="113"/>
      <c r="T41" s="107"/>
      <c r="U41" s="113"/>
      <c r="V41" s="107"/>
      <c r="W41" s="113"/>
      <c r="X41" s="107"/>
      <c r="Y41" s="113"/>
      <c r="Z41" s="107"/>
      <c r="AA41" s="113"/>
      <c r="AB41" s="107"/>
      <c r="AC41" s="113"/>
      <c r="AD41" s="107"/>
      <c r="AE41" s="113"/>
      <c r="AF41" s="107"/>
      <c r="AG41" s="113"/>
      <c r="AH41" s="107"/>
      <c r="AI41" s="113"/>
      <c r="AJ41" s="107"/>
      <c r="AK41" s="113"/>
      <c r="AL41" s="107"/>
      <c r="AM41" s="136"/>
      <c r="AN41" s="188"/>
      <c r="AO41" t="str">
        <f>BI41&amp;BJ41</f>
        <v/>
      </c>
      <c r="BI41" s="1791" t="str">
        <f>IF(AND(B41&gt;0,AM41="")," * No olvide digitar la columna Beneficiarios (Digite Cero si no tiene)",IF(AM41&gt;B41," * La variable Beneficiarios no puede ser mayor al Total.",""))</f>
        <v/>
      </c>
      <c r="BJ41" s="1791" t="str">
        <f>IF(AND(B41&gt;0,AN41="")," * No olvide digitar la columna Demanda de Urgencia. ",IF(AN41&lt;B41," * La variable Demanda de Urgencia debe ser mayor o igual al Total Ambos Sexos.",""))</f>
        <v/>
      </c>
      <c r="BN41" s="1793">
        <f>IF(AND(B41&gt;0,AM41=""),1,IF(AM41&gt;B41,1,0))</f>
        <v>0</v>
      </c>
      <c r="BO41" s="1793">
        <f>IF(AND(B41&gt;0,AN41=""),1,IF(AN41&lt;B41,1,0))</f>
        <v>0</v>
      </c>
      <c r="BP41" s="1793"/>
    </row>
    <row r="42" spans="1:68" x14ac:dyDescent="0.25">
      <c r="A42" s="204" t="s">
        <v>275</v>
      </c>
      <c r="B42" s="79">
        <f t="shared" si="18"/>
        <v>0</v>
      </c>
      <c r="C42" s="80">
        <f t="shared" ref="C42:D46" si="19">SUM(E42+G42+I42+K42+M42+O42+Q42+S42+U42+W42+Y42+AA42+AC42+AE42+AG42+AI42+AK42)</f>
        <v>0</v>
      </c>
      <c r="D42" s="81">
        <f t="shared" si="19"/>
        <v>0</v>
      </c>
      <c r="E42" s="82"/>
      <c r="F42" s="83"/>
      <c r="G42" s="82"/>
      <c r="H42" s="83"/>
      <c r="I42" s="82"/>
      <c r="J42" s="84"/>
      <c r="K42" s="82"/>
      <c r="L42" s="84"/>
      <c r="M42" s="82"/>
      <c r="N42" s="84"/>
      <c r="O42" s="85"/>
      <c r="P42" s="84"/>
      <c r="Q42" s="85"/>
      <c r="R42" s="84"/>
      <c r="S42" s="85"/>
      <c r="T42" s="84"/>
      <c r="U42" s="85"/>
      <c r="V42" s="84"/>
      <c r="W42" s="85"/>
      <c r="X42" s="84"/>
      <c r="Y42" s="85"/>
      <c r="Z42" s="84"/>
      <c r="AA42" s="85"/>
      <c r="AB42" s="84"/>
      <c r="AC42" s="85"/>
      <c r="AD42" s="84"/>
      <c r="AE42" s="85"/>
      <c r="AF42" s="84"/>
      <c r="AG42" s="85"/>
      <c r="AH42" s="84"/>
      <c r="AI42" s="85"/>
      <c r="AJ42" s="84"/>
      <c r="AK42" s="85"/>
      <c r="AL42" s="84"/>
      <c r="AM42" s="136"/>
      <c r="AN42" s="136"/>
      <c r="AO42" t="str">
        <f t="shared" ref="AO42:AO46" si="20">BI42&amp;BJ42</f>
        <v/>
      </c>
      <c r="BI42" s="1791" t="str">
        <f t="shared" ref="BI42:BI46" si="21">IF(AND(B42&gt;0,AM42="")," * No olvide digitar la columna Beneficiarios (Digite Cero si no tiene)",IF(AM42&gt;B42," * La variable Beneficiarios no puede ser mayor al Total.",""))</f>
        <v/>
      </c>
      <c r="BJ42" s="1791" t="str">
        <f t="shared" ref="BJ42:BJ46" si="22">IF(AND(B42&gt;0,AN42="")," * No olvide digitar la columna Demanda de Urgencia. ",IF(AN42&lt;B42," * La variable Demanda de Urgencia debe ser mayor o igual al Total Ambos Sexos.",""))</f>
        <v/>
      </c>
      <c r="BN42" s="1793">
        <f t="shared" ref="BN42:BN46" si="23">IF(AND(B42&gt;0,AM42=""),1,IF(AM42&gt;B42,1,0))</f>
        <v>0</v>
      </c>
      <c r="BO42" s="1793">
        <f t="shared" ref="BO42:BO46" si="24">IF(AND(B42&gt;0,AN42=""),1,IF(AN42&lt;B42,1,0))</f>
        <v>0</v>
      </c>
      <c r="BP42" s="1793"/>
    </row>
    <row r="43" spans="1:68" x14ac:dyDescent="0.25">
      <c r="A43" s="204" t="s">
        <v>276</v>
      </c>
      <c r="B43" s="79">
        <f t="shared" si="18"/>
        <v>0</v>
      </c>
      <c r="C43" s="80">
        <f t="shared" si="19"/>
        <v>0</v>
      </c>
      <c r="D43" s="81">
        <f t="shared" si="19"/>
        <v>0</v>
      </c>
      <c r="E43" s="82"/>
      <c r="F43" s="83"/>
      <c r="G43" s="82"/>
      <c r="H43" s="83"/>
      <c r="I43" s="82"/>
      <c r="J43" s="84"/>
      <c r="K43" s="82"/>
      <c r="L43" s="84"/>
      <c r="M43" s="82"/>
      <c r="N43" s="84"/>
      <c r="O43" s="85"/>
      <c r="P43" s="84"/>
      <c r="Q43" s="85"/>
      <c r="R43" s="84"/>
      <c r="S43" s="85"/>
      <c r="T43" s="84"/>
      <c r="U43" s="85"/>
      <c r="V43" s="84"/>
      <c r="W43" s="85"/>
      <c r="X43" s="84"/>
      <c r="Y43" s="85"/>
      <c r="Z43" s="84"/>
      <c r="AA43" s="85"/>
      <c r="AB43" s="84"/>
      <c r="AC43" s="85"/>
      <c r="AD43" s="84"/>
      <c r="AE43" s="85"/>
      <c r="AF43" s="84"/>
      <c r="AG43" s="85"/>
      <c r="AH43" s="84"/>
      <c r="AI43" s="85"/>
      <c r="AJ43" s="84"/>
      <c r="AK43" s="85"/>
      <c r="AL43" s="84"/>
      <c r="AM43" s="136"/>
      <c r="AN43" s="136"/>
      <c r="AO43" t="str">
        <f t="shared" si="20"/>
        <v/>
      </c>
      <c r="BI43" s="1791" t="str">
        <f t="shared" si="21"/>
        <v/>
      </c>
      <c r="BJ43" s="1791" t="str">
        <f t="shared" si="22"/>
        <v/>
      </c>
      <c r="BN43" s="1793">
        <f t="shared" si="23"/>
        <v>0</v>
      </c>
      <c r="BO43" s="1793">
        <f t="shared" si="24"/>
        <v>0</v>
      </c>
      <c r="BP43" s="1793"/>
    </row>
    <row r="44" spans="1:68" x14ac:dyDescent="0.25">
      <c r="A44" s="204" t="s">
        <v>277</v>
      </c>
      <c r="B44" s="79">
        <f t="shared" si="18"/>
        <v>0</v>
      </c>
      <c r="C44" s="80">
        <f t="shared" si="19"/>
        <v>0</v>
      </c>
      <c r="D44" s="81">
        <f t="shared" si="19"/>
        <v>0</v>
      </c>
      <c r="E44" s="82"/>
      <c r="F44" s="83"/>
      <c r="G44" s="82"/>
      <c r="H44" s="83"/>
      <c r="I44" s="82"/>
      <c r="J44" s="84"/>
      <c r="K44" s="82"/>
      <c r="L44" s="84"/>
      <c r="M44" s="82"/>
      <c r="N44" s="84"/>
      <c r="O44" s="85"/>
      <c r="P44" s="84"/>
      <c r="Q44" s="85"/>
      <c r="R44" s="84"/>
      <c r="S44" s="85"/>
      <c r="T44" s="84"/>
      <c r="U44" s="85"/>
      <c r="V44" s="84"/>
      <c r="W44" s="85"/>
      <c r="X44" s="84"/>
      <c r="Y44" s="85"/>
      <c r="Z44" s="84"/>
      <c r="AA44" s="85"/>
      <c r="AB44" s="84"/>
      <c r="AC44" s="85"/>
      <c r="AD44" s="84"/>
      <c r="AE44" s="85"/>
      <c r="AF44" s="84"/>
      <c r="AG44" s="85"/>
      <c r="AH44" s="84"/>
      <c r="AI44" s="85"/>
      <c r="AJ44" s="84"/>
      <c r="AK44" s="85"/>
      <c r="AL44" s="84"/>
      <c r="AM44" s="136"/>
      <c r="AN44" s="136"/>
      <c r="AO44" t="str">
        <f t="shared" si="20"/>
        <v/>
      </c>
      <c r="BI44" s="1791" t="str">
        <f t="shared" si="21"/>
        <v/>
      </c>
      <c r="BJ44" s="1791" t="str">
        <f t="shared" si="22"/>
        <v/>
      </c>
      <c r="BN44" s="1793">
        <f t="shared" si="23"/>
        <v>0</v>
      </c>
      <c r="BO44" s="1793">
        <f t="shared" si="24"/>
        <v>0</v>
      </c>
      <c r="BP44" s="1793"/>
    </row>
    <row r="45" spans="1:68" x14ac:dyDescent="0.25">
      <c r="A45" s="204" t="s">
        <v>192</v>
      </c>
      <c r="B45" s="79">
        <f t="shared" si="18"/>
        <v>0</v>
      </c>
      <c r="C45" s="80">
        <f t="shared" si="19"/>
        <v>0</v>
      </c>
      <c r="D45" s="81">
        <f t="shared" si="19"/>
        <v>0</v>
      </c>
      <c r="E45" s="82"/>
      <c r="F45" s="83"/>
      <c r="G45" s="82"/>
      <c r="H45" s="83"/>
      <c r="I45" s="82"/>
      <c r="J45" s="84"/>
      <c r="K45" s="82"/>
      <c r="L45" s="84"/>
      <c r="M45" s="82"/>
      <c r="N45" s="84"/>
      <c r="O45" s="85"/>
      <c r="P45" s="84"/>
      <c r="Q45" s="85"/>
      <c r="R45" s="84"/>
      <c r="S45" s="85"/>
      <c r="T45" s="84"/>
      <c r="U45" s="85"/>
      <c r="V45" s="84"/>
      <c r="W45" s="85"/>
      <c r="X45" s="84"/>
      <c r="Y45" s="85"/>
      <c r="Z45" s="84"/>
      <c r="AA45" s="85"/>
      <c r="AB45" s="84"/>
      <c r="AC45" s="85"/>
      <c r="AD45" s="84"/>
      <c r="AE45" s="85"/>
      <c r="AF45" s="84"/>
      <c r="AG45" s="85"/>
      <c r="AH45" s="84"/>
      <c r="AI45" s="85"/>
      <c r="AJ45" s="84"/>
      <c r="AK45" s="85"/>
      <c r="AL45" s="84"/>
      <c r="AM45" s="136"/>
      <c r="AN45" s="136"/>
      <c r="AO45" t="str">
        <f t="shared" si="20"/>
        <v/>
      </c>
      <c r="BI45" s="1791" t="str">
        <f t="shared" si="21"/>
        <v/>
      </c>
      <c r="BJ45" s="1791" t="str">
        <f t="shared" si="22"/>
        <v/>
      </c>
      <c r="BN45" s="1793">
        <f t="shared" si="23"/>
        <v>0</v>
      </c>
      <c r="BO45" s="1793">
        <f t="shared" si="24"/>
        <v>0</v>
      </c>
      <c r="BP45" s="1793"/>
    </row>
    <row r="46" spans="1:68" x14ac:dyDescent="0.25">
      <c r="A46" s="207" t="s">
        <v>123</v>
      </c>
      <c r="B46" s="217">
        <f t="shared" si="18"/>
        <v>0</v>
      </c>
      <c r="C46" s="95">
        <f t="shared" si="19"/>
        <v>0</v>
      </c>
      <c r="D46" s="161">
        <f t="shared" si="19"/>
        <v>0</v>
      </c>
      <c r="E46" s="114"/>
      <c r="F46" s="117"/>
      <c r="G46" s="114"/>
      <c r="H46" s="117"/>
      <c r="I46" s="114"/>
      <c r="J46" s="116"/>
      <c r="K46" s="114"/>
      <c r="L46" s="116"/>
      <c r="M46" s="114"/>
      <c r="N46" s="116"/>
      <c r="O46" s="118"/>
      <c r="P46" s="116"/>
      <c r="Q46" s="118"/>
      <c r="R46" s="116"/>
      <c r="S46" s="118"/>
      <c r="T46" s="116"/>
      <c r="U46" s="118"/>
      <c r="V46" s="116"/>
      <c r="W46" s="118"/>
      <c r="X46" s="116"/>
      <c r="Y46" s="118"/>
      <c r="Z46" s="116"/>
      <c r="AA46" s="118"/>
      <c r="AB46" s="116"/>
      <c r="AC46" s="118"/>
      <c r="AD46" s="116"/>
      <c r="AE46" s="118"/>
      <c r="AF46" s="116"/>
      <c r="AG46" s="118"/>
      <c r="AH46" s="116"/>
      <c r="AI46" s="118"/>
      <c r="AJ46" s="116"/>
      <c r="AK46" s="118"/>
      <c r="AL46" s="116"/>
      <c r="AM46" s="153"/>
      <c r="AN46" s="153"/>
      <c r="AO46" t="str">
        <f t="shared" si="20"/>
        <v/>
      </c>
      <c r="BI46" s="1791" t="str">
        <f t="shared" si="21"/>
        <v/>
      </c>
      <c r="BJ46" s="1791" t="str">
        <f t="shared" si="22"/>
        <v/>
      </c>
      <c r="BN46" s="1793">
        <f t="shared" si="23"/>
        <v>0</v>
      </c>
      <c r="BO46" s="1793">
        <f t="shared" si="24"/>
        <v>0</v>
      </c>
      <c r="BP46" s="1793"/>
    </row>
    <row r="47" spans="1:68" s="17" customFormat="1" ht="18" customHeight="1" x14ac:dyDescent="0.2">
      <c r="A47" s="122" t="s">
        <v>279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802"/>
      <c r="AN47" s="163"/>
    </row>
    <row r="48" spans="1:68" x14ac:dyDescent="0.25">
      <c r="A48" s="7337" t="s">
        <v>61</v>
      </c>
      <c r="B48" s="7322" t="s">
        <v>63</v>
      </c>
      <c r="C48" s="6468"/>
      <c r="D48" s="7323"/>
      <c r="E48" s="7344" t="s">
        <v>30</v>
      </c>
      <c r="F48" s="7380"/>
      <c r="G48" s="7380"/>
      <c r="H48" s="7380"/>
      <c r="I48" s="7380"/>
      <c r="J48" s="7380"/>
      <c r="K48" s="7380"/>
      <c r="L48" s="7380"/>
      <c r="M48" s="7380"/>
      <c r="N48" s="7380"/>
      <c r="O48" s="7380"/>
      <c r="P48" s="7380"/>
      <c r="Q48" s="7380"/>
      <c r="R48" s="7380"/>
      <c r="S48" s="7380"/>
      <c r="T48" s="7380"/>
      <c r="U48" s="7380"/>
      <c r="V48" s="7380"/>
      <c r="W48" s="7380"/>
      <c r="X48" s="7380"/>
      <c r="Y48" s="7380"/>
      <c r="Z48" s="7380"/>
      <c r="AA48" s="7380"/>
      <c r="AB48" s="7380"/>
      <c r="AC48" s="7380"/>
      <c r="AD48" s="7380"/>
      <c r="AE48" s="7380"/>
      <c r="AF48" s="7380"/>
      <c r="AG48" s="7380"/>
      <c r="AH48" s="7380"/>
      <c r="AI48" s="7380"/>
      <c r="AJ48" s="7380"/>
      <c r="AK48" s="7380"/>
      <c r="AL48" s="7345"/>
      <c r="AM48" s="7354" t="s">
        <v>67</v>
      </c>
      <c r="AN48" s="7354" t="s">
        <v>256</v>
      </c>
    </row>
    <row r="49" spans="1:68" x14ac:dyDescent="0.25">
      <c r="A49" s="7359"/>
      <c r="B49" s="7324"/>
      <c r="C49" s="7325"/>
      <c r="D49" s="7326"/>
      <c r="E49" s="7344" t="s">
        <v>36</v>
      </c>
      <c r="F49" s="7345"/>
      <c r="G49" s="7344" t="s">
        <v>37</v>
      </c>
      <c r="H49" s="7345"/>
      <c r="I49" s="7344" t="s">
        <v>38</v>
      </c>
      <c r="J49" s="7345"/>
      <c r="K49" s="7344" t="s">
        <v>4</v>
      </c>
      <c r="L49" s="7345"/>
      <c r="M49" s="7344" t="s">
        <v>5</v>
      </c>
      <c r="N49" s="7345"/>
      <c r="O49" s="7327" t="s">
        <v>6</v>
      </c>
      <c r="P49" s="7333"/>
      <c r="Q49" s="7327" t="s">
        <v>7</v>
      </c>
      <c r="R49" s="7333"/>
      <c r="S49" s="7327" t="s">
        <v>8</v>
      </c>
      <c r="T49" s="7333"/>
      <c r="U49" s="7327" t="s">
        <v>9</v>
      </c>
      <c r="V49" s="7333"/>
      <c r="W49" s="7327" t="s">
        <v>10</v>
      </c>
      <c r="X49" s="7333"/>
      <c r="Y49" s="7327" t="s">
        <v>11</v>
      </c>
      <c r="Z49" s="7333"/>
      <c r="AA49" s="7327" t="s">
        <v>18</v>
      </c>
      <c r="AB49" s="7333"/>
      <c r="AC49" s="7327" t="s">
        <v>19</v>
      </c>
      <c r="AD49" s="7333"/>
      <c r="AE49" s="7327" t="s">
        <v>20</v>
      </c>
      <c r="AF49" s="7333"/>
      <c r="AG49" s="7327" t="s">
        <v>70</v>
      </c>
      <c r="AH49" s="7333"/>
      <c r="AI49" s="7327" t="s">
        <v>71</v>
      </c>
      <c r="AJ49" s="7333"/>
      <c r="AK49" s="6907" t="s">
        <v>32</v>
      </c>
      <c r="AL49" s="6913"/>
      <c r="AM49" s="6472"/>
      <c r="AN49" s="7355"/>
    </row>
    <row r="50" spans="1:68" x14ac:dyDescent="0.25">
      <c r="A50" s="7338"/>
      <c r="B50" s="199" t="s">
        <v>26</v>
      </c>
      <c r="C50" s="1800" t="s">
        <v>51</v>
      </c>
      <c r="D50" s="76" t="s">
        <v>27</v>
      </c>
      <c r="E50" s="1775" t="s">
        <v>51</v>
      </c>
      <c r="F50" s="172" t="s">
        <v>27</v>
      </c>
      <c r="G50" s="1775" t="s">
        <v>51</v>
      </c>
      <c r="H50" s="172" t="s">
        <v>27</v>
      </c>
      <c r="I50" s="1775" t="s">
        <v>51</v>
      </c>
      <c r="J50" s="172" t="s">
        <v>27</v>
      </c>
      <c r="K50" s="1775" t="s">
        <v>51</v>
      </c>
      <c r="L50" s="172" t="s">
        <v>27</v>
      </c>
      <c r="M50" s="1775" t="s">
        <v>51</v>
      </c>
      <c r="N50" s="172" t="s">
        <v>27</v>
      </c>
      <c r="O50" s="1775" t="s">
        <v>51</v>
      </c>
      <c r="P50" s="172" t="s">
        <v>27</v>
      </c>
      <c r="Q50" s="1775" t="s">
        <v>51</v>
      </c>
      <c r="R50" s="172" t="s">
        <v>27</v>
      </c>
      <c r="S50" s="1775" t="s">
        <v>51</v>
      </c>
      <c r="T50" s="172" t="s">
        <v>27</v>
      </c>
      <c r="U50" s="1775" t="s">
        <v>51</v>
      </c>
      <c r="V50" s="172" t="s">
        <v>27</v>
      </c>
      <c r="W50" s="1775" t="s">
        <v>51</v>
      </c>
      <c r="X50" s="172" t="s">
        <v>27</v>
      </c>
      <c r="Y50" s="1775" t="s">
        <v>51</v>
      </c>
      <c r="Z50" s="172" t="s">
        <v>27</v>
      </c>
      <c r="AA50" s="1775" t="s">
        <v>51</v>
      </c>
      <c r="AB50" s="172" t="s">
        <v>27</v>
      </c>
      <c r="AC50" s="1775" t="s">
        <v>51</v>
      </c>
      <c r="AD50" s="172" t="s">
        <v>27</v>
      </c>
      <c r="AE50" s="1775" t="s">
        <v>51</v>
      </c>
      <c r="AF50" s="172" t="s">
        <v>27</v>
      </c>
      <c r="AG50" s="1775" t="s">
        <v>51</v>
      </c>
      <c r="AH50" s="172" t="s">
        <v>27</v>
      </c>
      <c r="AI50" s="1775" t="s">
        <v>51</v>
      </c>
      <c r="AJ50" s="172" t="s">
        <v>27</v>
      </c>
      <c r="AK50" s="1775" t="s">
        <v>51</v>
      </c>
      <c r="AL50" s="172" t="s">
        <v>27</v>
      </c>
      <c r="AM50" s="7356"/>
      <c r="AN50" s="7356"/>
    </row>
    <row r="51" spans="1:68" x14ac:dyDescent="0.25">
      <c r="A51" s="202" t="s">
        <v>60</v>
      </c>
      <c r="B51" s="212">
        <f t="shared" ref="B51:B56" si="25">SUM(C51+D51)</f>
        <v>0</v>
      </c>
      <c r="C51" s="213">
        <f t="shared" ref="C51:D56" si="26">SUM(E51+G51+I51+K51+M51+O51+Q51+S51+U51+W51+Y51+AA51+AC51+AE51+AG51+AI51+AK51)</f>
        <v>0</v>
      </c>
      <c r="D51" s="214">
        <f t="shared" si="26"/>
        <v>0</v>
      </c>
      <c r="E51" s="186"/>
      <c r="F51" s="187"/>
      <c r="G51" s="186"/>
      <c r="H51" s="187"/>
      <c r="I51" s="186"/>
      <c r="J51" s="185"/>
      <c r="K51" s="186"/>
      <c r="L51" s="185"/>
      <c r="M51" s="186"/>
      <c r="N51" s="185"/>
      <c r="O51" s="215"/>
      <c r="P51" s="185"/>
      <c r="Q51" s="215"/>
      <c r="R51" s="185"/>
      <c r="S51" s="215"/>
      <c r="T51" s="185"/>
      <c r="U51" s="215"/>
      <c r="V51" s="185"/>
      <c r="W51" s="215"/>
      <c r="X51" s="185"/>
      <c r="Y51" s="215"/>
      <c r="Z51" s="185"/>
      <c r="AA51" s="215"/>
      <c r="AB51" s="185"/>
      <c r="AC51" s="215"/>
      <c r="AD51" s="185"/>
      <c r="AE51" s="215"/>
      <c r="AF51" s="185"/>
      <c r="AG51" s="215"/>
      <c r="AH51" s="185"/>
      <c r="AI51" s="215"/>
      <c r="AJ51" s="185"/>
      <c r="AK51" s="215"/>
      <c r="AL51" s="185"/>
      <c r="AM51" s="188"/>
      <c r="AN51" s="188"/>
      <c r="AO51" t="str">
        <f>BI51&amp;BJ51</f>
        <v/>
      </c>
      <c r="BI51" s="1791" t="str">
        <f>IF(AND(B51&gt;0,AM51="")," * No olvide digitar la columna Beneficiarios (Digite Cero si no tiene)",IF(AM51&gt;B51," * La variable Beneficiarios no puede ser mayor al Total.",""))</f>
        <v/>
      </c>
      <c r="BJ51" s="1791" t="str">
        <f>IF(AND(B51&gt;0,AN51="")," * No olvide digitar la columna Demanda de Urgencia. ",IF(AN51&lt;B51," *  La variable Demanda de Urgencia debe ser mayor o igual al Total Ambos Sexos.",""))</f>
        <v/>
      </c>
      <c r="BN51" s="1793">
        <f t="shared" ref="BN51" si="27">IF(AND(B51&gt;0,AM51=""),1,IF(AM51&gt;B51,1,0))</f>
        <v>0</v>
      </c>
      <c r="BO51" s="1793">
        <f>IF(AND(B51&gt;0,AN51=""),1,IF(AN51&lt;B51,1,0))</f>
        <v>0</v>
      </c>
      <c r="BP51" s="1793"/>
    </row>
    <row r="52" spans="1:68" x14ac:dyDescent="0.25">
      <c r="A52" s="204" t="s">
        <v>275</v>
      </c>
      <c r="B52" s="79">
        <f t="shared" si="25"/>
        <v>0</v>
      </c>
      <c r="C52" s="80">
        <f t="shared" si="26"/>
        <v>0</v>
      </c>
      <c r="D52" s="81">
        <f t="shared" si="26"/>
        <v>0</v>
      </c>
      <c r="E52" s="82"/>
      <c r="F52" s="83"/>
      <c r="G52" s="82"/>
      <c r="H52" s="83"/>
      <c r="I52" s="82"/>
      <c r="J52" s="84"/>
      <c r="K52" s="82"/>
      <c r="L52" s="84"/>
      <c r="M52" s="82"/>
      <c r="N52" s="84"/>
      <c r="O52" s="85"/>
      <c r="P52" s="84"/>
      <c r="Q52" s="85"/>
      <c r="R52" s="84"/>
      <c r="S52" s="85"/>
      <c r="T52" s="84"/>
      <c r="U52" s="85"/>
      <c r="V52" s="84"/>
      <c r="W52" s="85"/>
      <c r="X52" s="84"/>
      <c r="Y52" s="85"/>
      <c r="Z52" s="84"/>
      <c r="AA52" s="85"/>
      <c r="AB52" s="84"/>
      <c r="AC52" s="85"/>
      <c r="AD52" s="84"/>
      <c r="AE52" s="85"/>
      <c r="AF52" s="84"/>
      <c r="AG52" s="85"/>
      <c r="AH52" s="84"/>
      <c r="AI52" s="85"/>
      <c r="AJ52" s="84"/>
      <c r="AK52" s="85"/>
      <c r="AL52" s="84"/>
      <c r="AM52" s="136"/>
      <c r="AN52" s="136"/>
      <c r="AO52" t="str">
        <f t="shared" ref="AO52:AO56" si="28">BI52&amp;BJ52</f>
        <v/>
      </c>
      <c r="BI52" s="1791" t="str">
        <f t="shared" ref="BI52:BI56" si="29">IF(AND(B52&gt;0,AM52="")," * No olvide digitar la columna Beneficiarios (Digite Cero si no tiene)",IF(AM52&gt;B52," * La variable Beneficiarios no puede ser mayor al Total.",""))</f>
        <v/>
      </c>
      <c r="BJ52" s="1791" t="str">
        <f t="shared" ref="BJ52:BJ56" si="30">IF(AND(B52&gt;0,AN52="")," * No olvide digitar la columna Demanda de Urgencia. ",IF(AN52&lt;B52," *  La variable Demanda de Urgencia debe ser mayor o igual al Total Ambos Sexos.",""))</f>
        <v/>
      </c>
      <c r="BN52" s="1793">
        <f t="shared" ref="BN52:BN56" si="31">IF(AND(B52&gt;0,AM52=""),1,IF(AM52&gt;B52,1,0))</f>
        <v>0</v>
      </c>
      <c r="BO52" s="1793">
        <f t="shared" ref="BO52:BO56" si="32">IF(AND(B52&gt;0,AN52=""),1,IF(AN52&lt;B52,1,0))</f>
        <v>0</v>
      </c>
      <c r="BP52" s="1793"/>
    </row>
    <row r="53" spans="1:68" x14ac:dyDescent="0.25">
      <c r="A53" s="204" t="s">
        <v>276</v>
      </c>
      <c r="B53" s="79">
        <f t="shared" si="25"/>
        <v>0</v>
      </c>
      <c r="C53" s="80">
        <f t="shared" si="26"/>
        <v>0</v>
      </c>
      <c r="D53" s="81">
        <f t="shared" si="26"/>
        <v>0</v>
      </c>
      <c r="E53" s="82"/>
      <c r="F53" s="83"/>
      <c r="G53" s="82"/>
      <c r="H53" s="83"/>
      <c r="I53" s="82"/>
      <c r="J53" s="84"/>
      <c r="K53" s="82"/>
      <c r="L53" s="84"/>
      <c r="M53" s="82"/>
      <c r="N53" s="84"/>
      <c r="O53" s="85"/>
      <c r="P53" s="84"/>
      <c r="Q53" s="85"/>
      <c r="R53" s="84"/>
      <c r="S53" s="85"/>
      <c r="T53" s="84"/>
      <c r="U53" s="85"/>
      <c r="V53" s="84"/>
      <c r="W53" s="85"/>
      <c r="X53" s="84"/>
      <c r="Y53" s="85"/>
      <c r="Z53" s="84"/>
      <c r="AA53" s="85"/>
      <c r="AB53" s="84"/>
      <c r="AC53" s="85"/>
      <c r="AD53" s="84"/>
      <c r="AE53" s="85"/>
      <c r="AF53" s="84"/>
      <c r="AG53" s="85"/>
      <c r="AH53" s="84"/>
      <c r="AI53" s="85"/>
      <c r="AJ53" s="84"/>
      <c r="AK53" s="85"/>
      <c r="AL53" s="84"/>
      <c r="AM53" s="136"/>
      <c r="AN53" s="136"/>
      <c r="AO53" t="str">
        <f t="shared" si="28"/>
        <v/>
      </c>
      <c r="BI53" s="1791" t="str">
        <f t="shared" si="29"/>
        <v/>
      </c>
      <c r="BJ53" s="1791" t="str">
        <f t="shared" si="30"/>
        <v/>
      </c>
      <c r="BN53" s="1793">
        <f t="shared" si="31"/>
        <v>0</v>
      </c>
      <c r="BO53" s="1793">
        <f t="shared" si="32"/>
        <v>0</v>
      </c>
      <c r="BP53" s="1793"/>
    </row>
    <row r="54" spans="1:68" x14ac:dyDescent="0.25">
      <c r="A54" s="204" t="s">
        <v>277</v>
      </c>
      <c r="B54" s="79">
        <f t="shared" si="25"/>
        <v>0</v>
      </c>
      <c r="C54" s="80">
        <f t="shared" si="26"/>
        <v>0</v>
      </c>
      <c r="D54" s="81">
        <f t="shared" si="26"/>
        <v>0</v>
      </c>
      <c r="E54" s="82"/>
      <c r="F54" s="83"/>
      <c r="G54" s="82"/>
      <c r="H54" s="83"/>
      <c r="I54" s="82"/>
      <c r="J54" s="84"/>
      <c r="K54" s="82"/>
      <c r="L54" s="84"/>
      <c r="M54" s="82"/>
      <c r="N54" s="84"/>
      <c r="O54" s="85"/>
      <c r="P54" s="84"/>
      <c r="Q54" s="85"/>
      <c r="R54" s="84"/>
      <c r="S54" s="85"/>
      <c r="T54" s="84"/>
      <c r="U54" s="85"/>
      <c r="V54" s="84"/>
      <c r="W54" s="85"/>
      <c r="X54" s="84"/>
      <c r="Y54" s="85"/>
      <c r="Z54" s="84"/>
      <c r="AA54" s="85"/>
      <c r="AB54" s="84"/>
      <c r="AC54" s="85"/>
      <c r="AD54" s="84"/>
      <c r="AE54" s="85"/>
      <c r="AF54" s="84"/>
      <c r="AG54" s="85"/>
      <c r="AH54" s="84"/>
      <c r="AI54" s="85"/>
      <c r="AJ54" s="84"/>
      <c r="AK54" s="85"/>
      <c r="AL54" s="84"/>
      <c r="AM54" s="136"/>
      <c r="AN54" s="136"/>
      <c r="AO54" t="str">
        <f t="shared" si="28"/>
        <v/>
      </c>
      <c r="BI54" s="1791" t="str">
        <f t="shared" si="29"/>
        <v/>
      </c>
      <c r="BJ54" s="1791" t="str">
        <f t="shared" si="30"/>
        <v/>
      </c>
      <c r="BN54" s="1793">
        <f t="shared" si="31"/>
        <v>0</v>
      </c>
      <c r="BO54" s="1793">
        <f t="shared" si="32"/>
        <v>0</v>
      </c>
      <c r="BP54" s="1793"/>
    </row>
    <row r="55" spans="1:68" x14ac:dyDescent="0.25">
      <c r="A55" s="204" t="s">
        <v>192</v>
      </c>
      <c r="B55" s="79">
        <f t="shared" si="25"/>
        <v>0</v>
      </c>
      <c r="C55" s="80">
        <f t="shared" si="26"/>
        <v>0</v>
      </c>
      <c r="D55" s="81">
        <f t="shared" si="26"/>
        <v>0</v>
      </c>
      <c r="E55" s="82"/>
      <c r="F55" s="83"/>
      <c r="G55" s="82"/>
      <c r="H55" s="83"/>
      <c r="I55" s="82"/>
      <c r="J55" s="84"/>
      <c r="K55" s="82"/>
      <c r="L55" s="84"/>
      <c r="M55" s="82"/>
      <c r="N55" s="84"/>
      <c r="O55" s="85"/>
      <c r="P55" s="84"/>
      <c r="Q55" s="85"/>
      <c r="R55" s="84"/>
      <c r="S55" s="85"/>
      <c r="T55" s="84"/>
      <c r="U55" s="85"/>
      <c r="V55" s="84"/>
      <c r="W55" s="85"/>
      <c r="X55" s="84"/>
      <c r="Y55" s="85"/>
      <c r="Z55" s="84"/>
      <c r="AA55" s="85"/>
      <c r="AB55" s="84"/>
      <c r="AC55" s="85"/>
      <c r="AD55" s="84"/>
      <c r="AE55" s="85"/>
      <c r="AF55" s="84"/>
      <c r="AG55" s="85"/>
      <c r="AH55" s="84"/>
      <c r="AI55" s="85"/>
      <c r="AJ55" s="84"/>
      <c r="AK55" s="85"/>
      <c r="AL55" s="84"/>
      <c r="AM55" s="136"/>
      <c r="AN55" s="136"/>
      <c r="AO55" t="str">
        <f t="shared" si="28"/>
        <v/>
      </c>
      <c r="BI55" s="1791" t="str">
        <f t="shared" si="29"/>
        <v/>
      </c>
      <c r="BJ55" s="1791" t="str">
        <f t="shared" si="30"/>
        <v/>
      </c>
      <c r="BN55" s="1793">
        <f t="shared" si="31"/>
        <v>0</v>
      </c>
      <c r="BO55" s="1793">
        <f t="shared" si="32"/>
        <v>0</v>
      </c>
      <c r="BP55" s="1793"/>
    </row>
    <row r="56" spans="1:68" x14ac:dyDescent="0.25">
      <c r="A56" s="207" t="s">
        <v>123</v>
      </c>
      <c r="B56" s="217">
        <f t="shared" si="25"/>
        <v>0</v>
      </c>
      <c r="C56" s="95">
        <f t="shared" si="26"/>
        <v>0</v>
      </c>
      <c r="D56" s="161">
        <f t="shared" si="26"/>
        <v>0</v>
      </c>
      <c r="E56" s="114"/>
      <c r="F56" s="117"/>
      <c r="G56" s="114"/>
      <c r="H56" s="117"/>
      <c r="I56" s="114"/>
      <c r="J56" s="116"/>
      <c r="K56" s="114"/>
      <c r="L56" s="116"/>
      <c r="M56" s="114"/>
      <c r="N56" s="116"/>
      <c r="O56" s="118"/>
      <c r="P56" s="116"/>
      <c r="Q56" s="118"/>
      <c r="R56" s="116"/>
      <c r="S56" s="118"/>
      <c r="T56" s="116"/>
      <c r="U56" s="118"/>
      <c r="V56" s="116"/>
      <c r="W56" s="118"/>
      <c r="X56" s="116"/>
      <c r="Y56" s="118"/>
      <c r="Z56" s="116"/>
      <c r="AA56" s="118"/>
      <c r="AB56" s="116"/>
      <c r="AC56" s="118"/>
      <c r="AD56" s="116"/>
      <c r="AE56" s="118"/>
      <c r="AF56" s="116"/>
      <c r="AG56" s="118"/>
      <c r="AH56" s="116"/>
      <c r="AI56" s="118"/>
      <c r="AJ56" s="116"/>
      <c r="AK56" s="118"/>
      <c r="AL56" s="116"/>
      <c r="AM56" s="153"/>
      <c r="AN56" s="153"/>
      <c r="AO56" t="str">
        <f t="shared" si="28"/>
        <v/>
      </c>
      <c r="BI56" s="1791" t="str">
        <f t="shared" si="29"/>
        <v/>
      </c>
      <c r="BJ56" s="1791" t="str">
        <f t="shared" si="30"/>
        <v/>
      </c>
      <c r="BN56" s="1793">
        <f t="shared" si="31"/>
        <v>0</v>
      </c>
      <c r="BO56" s="1793">
        <f t="shared" si="32"/>
        <v>0</v>
      </c>
      <c r="BP56" s="1793"/>
    </row>
    <row r="57" spans="1:68" s="17" customFormat="1" ht="18" customHeight="1" x14ac:dyDescent="0.2">
      <c r="A57" s="1803" t="s">
        <v>3942</v>
      </c>
      <c r="B57" s="1803"/>
      <c r="C57" s="1803"/>
      <c r="D57" s="1803"/>
      <c r="E57" s="1803"/>
      <c r="F57" s="1803"/>
      <c r="G57" s="1803"/>
      <c r="H57" s="1803"/>
      <c r="I57" s="1803"/>
      <c r="J57" s="1804"/>
      <c r="K57" s="1804"/>
      <c r="L57" s="1804"/>
      <c r="M57" s="1804"/>
      <c r="N57" s="1804"/>
      <c r="O57" s="1804"/>
      <c r="P57" s="1804"/>
      <c r="Q57" s="1804"/>
      <c r="R57" s="1804"/>
      <c r="S57" s="1804"/>
      <c r="T57" s="1804"/>
      <c r="U57" s="1804"/>
      <c r="V57" s="1804"/>
      <c r="W57" s="1804"/>
      <c r="X57" s="1804"/>
      <c r="Y57" s="1804"/>
      <c r="Z57" s="1804"/>
      <c r="AA57" s="1804"/>
      <c r="AB57" s="1804"/>
      <c r="AC57" s="1804"/>
      <c r="AD57" s="1804"/>
      <c r="AE57" s="1804"/>
      <c r="AF57" s="1804"/>
      <c r="AG57" s="1804"/>
      <c r="AH57" s="1804"/>
      <c r="AI57" s="1804"/>
      <c r="AJ57" s="1804"/>
      <c r="AK57" s="1804"/>
      <c r="AL57" s="1804"/>
      <c r="AM57" s="1804"/>
      <c r="AN57" s="1804"/>
    </row>
    <row r="58" spans="1:68" x14ac:dyDescent="0.25">
      <c r="A58" s="6468" t="s">
        <v>280</v>
      </c>
      <c r="B58" s="7337" t="s">
        <v>24</v>
      </c>
      <c r="C58" s="6603"/>
      <c r="D58" s="7319"/>
      <c r="E58" s="7327" t="s">
        <v>30</v>
      </c>
      <c r="F58" s="7328"/>
      <c r="G58" s="7328"/>
      <c r="H58" s="7328"/>
      <c r="I58" s="7328"/>
      <c r="J58" s="7328"/>
      <c r="K58" s="7328"/>
      <c r="L58" s="7328"/>
      <c r="M58" s="7328"/>
      <c r="N58" s="7328"/>
      <c r="O58" s="7328"/>
      <c r="P58" s="7328"/>
      <c r="Q58" s="7328"/>
      <c r="R58" s="7328"/>
      <c r="S58" s="7328"/>
      <c r="T58" s="7328"/>
      <c r="U58" s="7328"/>
      <c r="V58" s="7328"/>
      <c r="W58" s="7328"/>
      <c r="X58" s="7328"/>
      <c r="Y58" s="7328"/>
      <c r="Z58" s="7328"/>
      <c r="AA58" s="7328"/>
      <c r="AB58" s="7328"/>
      <c r="AC58" s="7328"/>
      <c r="AD58" s="7328"/>
      <c r="AE58" s="7328"/>
      <c r="AF58" s="7328"/>
      <c r="AG58" s="7328"/>
      <c r="AH58" s="7328"/>
      <c r="AI58" s="7328"/>
      <c r="AJ58" s="7328"/>
      <c r="AK58" s="7328"/>
      <c r="AL58" s="7333"/>
      <c r="AM58" s="6468" t="s">
        <v>281</v>
      </c>
      <c r="AN58" s="7323"/>
    </row>
    <row r="59" spans="1:68" x14ac:dyDescent="0.25">
      <c r="A59" s="6471"/>
      <c r="B59" s="7338"/>
      <c r="C59" s="7339"/>
      <c r="D59" s="7321"/>
      <c r="E59" s="7344" t="s">
        <v>36</v>
      </c>
      <c r="F59" s="7345"/>
      <c r="G59" s="7344" t="s">
        <v>37</v>
      </c>
      <c r="H59" s="7345"/>
      <c r="I59" s="7344" t="s">
        <v>38</v>
      </c>
      <c r="J59" s="7345"/>
      <c r="K59" s="7344" t="s">
        <v>4</v>
      </c>
      <c r="L59" s="7345"/>
      <c r="M59" s="7344" t="s">
        <v>5</v>
      </c>
      <c r="N59" s="7345"/>
      <c r="O59" s="7327" t="s">
        <v>6</v>
      </c>
      <c r="P59" s="7333"/>
      <c r="Q59" s="7327" t="s">
        <v>7</v>
      </c>
      <c r="R59" s="7333"/>
      <c r="S59" s="7327" t="s">
        <v>8</v>
      </c>
      <c r="T59" s="7333"/>
      <c r="U59" s="7327" t="s">
        <v>9</v>
      </c>
      <c r="V59" s="7333"/>
      <c r="W59" s="7327" t="s">
        <v>10</v>
      </c>
      <c r="X59" s="7333"/>
      <c r="Y59" s="7327" t="s">
        <v>11</v>
      </c>
      <c r="Z59" s="7333"/>
      <c r="AA59" s="7327" t="s">
        <v>18</v>
      </c>
      <c r="AB59" s="7333"/>
      <c r="AC59" s="7327" t="s">
        <v>19</v>
      </c>
      <c r="AD59" s="7333"/>
      <c r="AE59" s="7327" t="s">
        <v>20</v>
      </c>
      <c r="AF59" s="7333"/>
      <c r="AG59" s="7327" t="s">
        <v>70</v>
      </c>
      <c r="AH59" s="7333"/>
      <c r="AI59" s="7327" t="s">
        <v>71</v>
      </c>
      <c r="AJ59" s="7333"/>
      <c r="AK59" s="6907" t="s">
        <v>32</v>
      </c>
      <c r="AL59" s="6913"/>
      <c r="AM59" s="7325"/>
      <c r="AN59" s="7326"/>
    </row>
    <row r="60" spans="1:68" ht="21" x14ac:dyDescent="0.25">
      <c r="A60" s="7325"/>
      <c r="B60" s="177" t="s">
        <v>26</v>
      </c>
      <c r="C60" s="178" t="s">
        <v>22</v>
      </c>
      <c r="D60" s="175" t="s">
        <v>27</v>
      </c>
      <c r="E60" s="201" t="s">
        <v>22</v>
      </c>
      <c r="F60" s="175" t="s">
        <v>27</v>
      </c>
      <c r="G60" s="201" t="s">
        <v>22</v>
      </c>
      <c r="H60" s="175" t="s">
        <v>27</v>
      </c>
      <c r="I60" s="201" t="s">
        <v>22</v>
      </c>
      <c r="J60" s="175" t="s">
        <v>27</v>
      </c>
      <c r="K60" s="201" t="s">
        <v>22</v>
      </c>
      <c r="L60" s="175" t="s">
        <v>27</v>
      </c>
      <c r="M60" s="201" t="s">
        <v>22</v>
      </c>
      <c r="N60" s="175" t="s">
        <v>27</v>
      </c>
      <c r="O60" s="201" t="s">
        <v>22</v>
      </c>
      <c r="P60" s="175" t="s">
        <v>27</v>
      </c>
      <c r="Q60" s="201" t="s">
        <v>22</v>
      </c>
      <c r="R60" s="175" t="s">
        <v>27</v>
      </c>
      <c r="S60" s="201" t="s">
        <v>22</v>
      </c>
      <c r="T60" s="175" t="s">
        <v>27</v>
      </c>
      <c r="U60" s="201" t="s">
        <v>22</v>
      </c>
      <c r="V60" s="174" t="s">
        <v>27</v>
      </c>
      <c r="W60" s="201" t="s">
        <v>22</v>
      </c>
      <c r="X60" s="175" t="s">
        <v>27</v>
      </c>
      <c r="Y60" s="201" t="s">
        <v>22</v>
      </c>
      <c r="Z60" s="175" t="s">
        <v>27</v>
      </c>
      <c r="AA60" s="201" t="s">
        <v>22</v>
      </c>
      <c r="AB60" s="175" t="s">
        <v>27</v>
      </c>
      <c r="AC60" s="201" t="s">
        <v>22</v>
      </c>
      <c r="AD60" s="175" t="s">
        <v>27</v>
      </c>
      <c r="AE60" s="201" t="s">
        <v>22</v>
      </c>
      <c r="AF60" s="175" t="s">
        <v>27</v>
      </c>
      <c r="AG60" s="201" t="s">
        <v>22</v>
      </c>
      <c r="AH60" s="175" t="s">
        <v>27</v>
      </c>
      <c r="AI60" s="201" t="s">
        <v>22</v>
      </c>
      <c r="AJ60" s="175" t="s">
        <v>27</v>
      </c>
      <c r="AK60" s="201" t="s">
        <v>22</v>
      </c>
      <c r="AL60" s="175" t="s">
        <v>27</v>
      </c>
      <c r="AM60" s="219" t="s">
        <v>282</v>
      </c>
      <c r="AN60" s="175" t="s">
        <v>283</v>
      </c>
    </row>
    <row r="61" spans="1:68" x14ac:dyDescent="0.25">
      <c r="A61" s="220" t="s">
        <v>284</v>
      </c>
      <c r="B61" s="212">
        <f t="shared" ref="B61:B66" si="33">SUM(C61+D61)</f>
        <v>0</v>
      </c>
      <c r="C61" s="213">
        <f>SUM(E61+G61+I61+K61+M61+O61+Q61+S61+U61+W61+Y61+AA61+AC61+AE61+AG61+AI61+AK61)</f>
        <v>0</v>
      </c>
      <c r="D61" s="214">
        <f>SUM(F61+H61+J61+L61+N61+P61+R61+T61+V61+X61+Z61+AB61+AD61+AF61+AH61+AJ61+AL61)</f>
        <v>0</v>
      </c>
      <c r="E61" s="186"/>
      <c r="F61" s="187"/>
      <c r="G61" s="186"/>
      <c r="H61" s="185"/>
      <c r="I61" s="186"/>
      <c r="J61" s="185"/>
      <c r="K61" s="186"/>
      <c r="L61" s="185"/>
      <c r="M61" s="186"/>
      <c r="N61" s="185"/>
      <c r="O61" s="186"/>
      <c r="P61" s="185"/>
      <c r="Q61" s="186"/>
      <c r="R61" s="185"/>
      <c r="S61" s="186"/>
      <c r="T61" s="185"/>
      <c r="U61" s="186"/>
      <c r="V61" s="221"/>
      <c r="W61" s="186"/>
      <c r="X61" s="185"/>
      <c r="Y61" s="186"/>
      <c r="Z61" s="185"/>
      <c r="AA61" s="186"/>
      <c r="AB61" s="185"/>
      <c r="AC61" s="186"/>
      <c r="AD61" s="185"/>
      <c r="AE61" s="186"/>
      <c r="AF61" s="185"/>
      <c r="AG61" s="186"/>
      <c r="AH61" s="185"/>
      <c r="AI61" s="186"/>
      <c r="AJ61" s="185"/>
      <c r="AK61" s="215"/>
      <c r="AL61" s="185"/>
      <c r="AM61" s="215"/>
      <c r="AN61" s="185"/>
      <c r="AO61" t="str">
        <f>BI61</f>
        <v/>
      </c>
      <c r="BI61" s="1791" t="str">
        <f>IF((AM61+AN61)&lt;&gt;B61,"* La suma de las Herramientas de categorización debe ser igual al Total","")</f>
        <v/>
      </c>
      <c r="BJ61" s="1791"/>
      <c r="BN61" s="1793">
        <f>IF((AM61+AN61)&lt;&gt;B61,1,0)</f>
        <v>0</v>
      </c>
      <c r="BO61" s="1793"/>
      <c r="BP61" s="1793"/>
    </row>
    <row r="62" spans="1:68" x14ac:dyDescent="0.25">
      <c r="A62" s="222" t="s">
        <v>285</v>
      </c>
      <c r="B62" s="79">
        <f t="shared" si="33"/>
        <v>0</v>
      </c>
      <c r="C62" s="80">
        <f t="shared" ref="C62:D66" si="34">SUM(E62+G62+I62+K62+M62+O62+Q62+S62+U62+W62+Y62+AA62+AC62+AE62+AG62+AI62+AK62)</f>
        <v>0</v>
      </c>
      <c r="D62" s="81">
        <f t="shared" si="34"/>
        <v>0</v>
      </c>
      <c r="E62" s="82"/>
      <c r="F62" s="83"/>
      <c r="G62" s="82"/>
      <c r="H62" s="84"/>
      <c r="I62" s="82"/>
      <c r="J62" s="84"/>
      <c r="K62" s="82"/>
      <c r="L62" s="84"/>
      <c r="M62" s="82"/>
      <c r="N62" s="84"/>
      <c r="O62" s="82"/>
      <c r="P62" s="84"/>
      <c r="Q62" s="82"/>
      <c r="R62" s="84"/>
      <c r="S62" s="82"/>
      <c r="T62" s="84"/>
      <c r="U62" s="82"/>
      <c r="V62" s="130"/>
      <c r="W62" s="82"/>
      <c r="X62" s="84"/>
      <c r="Y62" s="82"/>
      <c r="Z62" s="84"/>
      <c r="AA62" s="82"/>
      <c r="AB62" s="84"/>
      <c r="AC62" s="82"/>
      <c r="AD62" s="84"/>
      <c r="AE62" s="82"/>
      <c r="AF62" s="84"/>
      <c r="AG62" s="82"/>
      <c r="AH62" s="84"/>
      <c r="AI62" s="82"/>
      <c r="AJ62" s="84"/>
      <c r="AK62" s="85"/>
      <c r="AL62" s="84"/>
      <c r="AM62" s="85"/>
      <c r="AN62" s="84"/>
      <c r="AO62" t="str">
        <f t="shared" ref="AO62:AO65" si="35">BI62</f>
        <v/>
      </c>
      <c r="BI62" s="1791" t="str">
        <f t="shared" ref="BI62:BI65" si="36">IF((AM62+AN62)&lt;&gt;B62,"* La suma de las Herramientas de categorización debe ser igual al Total","")</f>
        <v/>
      </c>
      <c r="BJ62" s="1791"/>
      <c r="BN62" s="1793">
        <f t="shared" ref="BN62:BN65" si="37">IF((AM62+AN62)&lt;&gt;B62,1,0)</f>
        <v>0</v>
      </c>
      <c r="BO62" s="1793"/>
      <c r="BP62" s="1793"/>
    </row>
    <row r="63" spans="1:68" x14ac:dyDescent="0.25">
      <c r="A63" s="222" t="s">
        <v>286</v>
      </c>
      <c r="B63" s="79">
        <f t="shared" si="33"/>
        <v>0</v>
      </c>
      <c r="C63" s="80">
        <f t="shared" si="34"/>
        <v>0</v>
      </c>
      <c r="D63" s="81">
        <f t="shared" si="34"/>
        <v>0</v>
      </c>
      <c r="E63" s="82"/>
      <c r="F63" s="83"/>
      <c r="G63" s="82"/>
      <c r="H63" s="84"/>
      <c r="I63" s="82"/>
      <c r="J63" s="84"/>
      <c r="K63" s="82"/>
      <c r="L63" s="84"/>
      <c r="M63" s="82"/>
      <c r="N63" s="84"/>
      <c r="O63" s="82"/>
      <c r="P63" s="84"/>
      <c r="Q63" s="82"/>
      <c r="R63" s="84"/>
      <c r="S63" s="82"/>
      <c r="T63" s="84"/>
      <c r="U63" s="82"/>
      <c r="V63" s="130"/>
      <c r="W63" s="82"/>
      <c r="X63" s="84"/>
      <c r="Y63" s="82"/>
      <c r="Z63" s="84"/>
      <c r="AA63" s="82"/>
      <c r="AB63" s="84"/>
      <c r="AC63" s="82"/>
      <c r="AD63" s="84"/>
      <c r="AE63" s="82"/>
      <c r="AF63" s="84"/>
      <c r="AG63" s="82"/>
      <c r="AH63" s="84"/>
      <c r="AI63" s="82"/>
      <c r="AJ63" s="84"/>
      <c r="AK63" s="85"/>
      <c r="AL63" s="84"/>
      <c r="AM63" s="85"/>
      <c r="AN63" s="84"/>
      <c r="AO63" t="str">
        <f t="shared" si="35"/>
        <v/>
      </c>
      <c r="BI63" s="1791" t="str">
        <f t="shared" si="36"/>
        <v/>
      </c>
      <c r="BJ63" s="1791"/>
      <c r="BN63" s="1793">
        <f t="shared" si="37"/>
        <v>0</v>
      </c>
      <c r="BO63" s="1793"/>
      <c r="BP63" s="1793"/>
    </row>
    <row r="64" spans="1:68" x14ac:dyDescent="0.25">
      <c r="A64" s="222" t="s">
        <v>287</v>
      </c>
      <c r="B64" s="79">
        <f t="shared" si="33"/>
        <v>0</v>
      </c>
      <c r="C64" s="80">
        <f t="shared" si="34"/>
        <v>0</v>
      </c>
      <c r="D64" s="81">
        <f t="shared" si="34"/>
        <v>0</v>
      </c>
      <c r="E64" s="82"/>
      <c r="F64" s="83"/>
      <c r="G64" s="82"/>
      <c r="H64" s="84"/>
      <c r="I64" s="82"/>
      <c r="J64" s="84"/>
      <c r="K64" s="82"/>
      <c r="L64" s="84"/>
      <c r="M64" s="82"/>
      <c r="N64" s="84"/>
      <c r="O64" s="82"/>
      <c r="P64" s="84"/>
      <c r="Q64" s="82"/>
      <c r="R64" s="84"/>
      <c r="S64" s="82"/>
      <c r="T64" s="84"/>
      <c r="U64" s="82"/>
      <c r="V64" s="130"/>
      <c r="W64" s="82"/>
      <c r="X64" s="84"/>
      <c r="Y64" s="82"/>
      <c r="Z64" s="84"/>
      <c r="AA64" s="82"/>
      <c r="AB64" s="84"/>
      <c r="AC64" s="82"/>
      <c r="AD64" s="84"/>
      <c r="AE64" s="82"/>
      <c r="AF64" s="84"/>
      <c r="AG64" s="82"/>
      <c r="AH64" s="84"/>
      <c r="AI64" s="82"/>
      <c r="AJ64" s="84"/>
      <c r="AK64" s="85"/>
      <c r="AL64" s="84"/>
      <c r="AM64" s="85"/>
      <c r="AN64" s="84"/>
      <c r="AO64" t="str">
        <f t="shared" si="35"/>
        <v/>
      </c>
      <c r="BI64" s="1791" t="str">
        <f t="shared" si="36"/>
        <v/>
      </c>
      <c r="BJ64" s="1791"/>
      <c r="BN64" s="1793">
        <f t="shared" si="37"/>
        <v>0</v>
      </c>
      <c r="BO64" s="1793"/>
      <c r="BP64" s="1793"/>
    </row>
    <row r="65" spans="1:68" x14ac:dyDescent="0.25">
      <c r="A65" s="223" t="s">
        <v>288</v>
      </c>
      <c r="B65" s="87">
        <f t="shared" si="33"/>
        <v>0</v>
      </c>
      <c r="C65" s="88">
        <f t="shared" si="34"/>
        <v>0</v>
      </c>
      <c r="D65" s="89">
        <f t="shared" si="34"/>
        <v>0</v>
      </c>
      <c r="E65" s="90"/>
      <c r="F65" s="91"/>
      <c r="G65" s="90"/>
      <c r="H65" s="92"/>
      <c r="I65" s="90"/>
      <c r="J65" s="92"/>
      <c r="K65" s="90"/>
      <c r="L65" s="92"/>
      <c r="M65" s="90"/>
      <c r="N65" s="92"/>
      <c r="O65" s="90"/>
      <c r="P65" s="92"/>
      <c r="Q65" s="90"/>
      <c r="R65" s="92"/>
      <c r="S65" s="90"/>
      <c r="T65" s="92"/>
      <c r="U65" s="90"/>
      <c r="V65" s="128"/>
      <c r="W65" s="90"/>
      <c r="X65" s="92"/>
      <c r="Y65" s="90"/>
      <c r="Z65" s="92"/>
      <c r="AA65" s="90"/>
      <c r="AB65" s="92"/>
      <c r="AC65" s="90"/>
      <c r="AD65" s="92"/>
      <c r="AE65" s="90"/>
      <c r="AF65" s="92"/>
      <c r="AG65" s="90"/>
      <c r="AH65" s="92"/>
      <c r="AI65" s="90"/>
      <c r="AJ65" s="92"/>
      <c r="AK65" s="93"/>
      <c r="AL65" s="92"/>
      <c r="AM65" s="93"/>
      <c r="AN65" s="92"/>
      <c r="AO65" t="str">
        <f t="shared" si="35"/>
        <v/>
      </c>
      <c r="BI65" s="1791" t="str">
        <f t="shared" si="36"/>
        <v/>
      </c>
      <c r="BJ65" s="1791"/>
      <c r="BN65" s="1793">
        <f t="shared" si="37"/>
        <v>0</v>
      </c>
      <c r="BO65" s="1793"/>
      <c r="BP65" s="1793"/>
    </row>
    <row r="66" spans="1:68" x14ac:dyDescent="0.25">
      <c r="A66" s="224" t="s">
        <v>289</v>
      </c>
      <c r="B66" s="217">
        <f t="shared" si="33"/>
        <v>0</v>
      </c>
      <c r="C66" s="95">
        <f t="shared" si="34"/>
        <v>0</v>
      </c>
      <c r="D66" s="161">
        <f t="shared" si="34"/>
        <v>0</v>
      </c>
      <c r="E66" s="114"/>
      <c r="F66" s="117"/>
      <c r="G66" s="114"/>
      <c r="H66" s="116"/>
      <c r="I66" s="114"/>
      <c r="J66" s="116"/>
      <c r="K66" s="114"/>
      <c r="L66" s="116"/>
      <c r="M66" s="114"/>
      <c r="N66" s="116"/>
      <c r="O66" s="114"/>
      <c r="P66" s="116"/>
      <c r="Q66" s="114"/>
      <c r="R66" s="116"/>
      <c r="S66" s="114"/>
      <c r="T66" s="116"/>
      <c r="U66" s="114"/>
      <c r="V66" s="137"/>
      <c r="W66" s="114"/>
      <c r="X66" s="116"/>
      <c r="Y66" s="114"/>
      <c r="Z66" s="116"/>
      <c r="AA66" s="114"/>
      <c r="AB66" s="116"/>
      <c r="AC66" s="114"/>
      <c r="AD66" s="116"/>
      <c r="AE66" s="114"/>
      <c r="AF66" s="116"/>
      <c r="AG66" s="114"/>
      <c r="AH66" s="116"/>
      <c r="AI66" s="114"/>
      <c r="AJ66" s="116"/>
      <c r="AK66" s="118"/>
      <c r="AL66" s="116"/>
      <c r="AM66" s="225"/>
      <c r="AN66" s="225"/>
    </row>
    <row r="67" spans="1:68" x14ac:dyDescent="0.25">
      <c r="A67" s="173" t="s">
        <v>24</v>
      </c>
      <c r="B67" s="1805">
        <f t="shared" ref="B67:AL67" si="38">SUM(B61:B66)</f>
        <v>0</v>
      </c>
      <c r="C67" s="1806">
        <f t="shared" si="38"/>
        <v>0</v>
      </c>
      <c r="D67" s="226">
        <f t="shared" si="38"/>
        <v>0</v>
      </c>
      <c r="E67" s="1807">
        <f t="shared" si="38"/>
        <v>0</v>
      </c>
      <c r="F67" s="1808">
        <f t="shared" si="38"/>
        <v>0</v>
      </c>
      <c r="G67" s="1807">
        <f t="shared" si="38"/>
        <v>0</v>
      </c>
      <c r="H67" s="1809">
        <f t="shared" si="38"/>
        <v>0</v>
      </c>
      <c r="I67" s="1807">
        <f t="shared" si="38"/>
        <v>0</v>
      </c>
      <c r="J67" s="1809">
        <f t="shared" si="38"/>
        <v>0</v>
      </c>
      <c r="K67" s="1807">
        <f t="shared" si="38"/>
        <v>0</v>
      </c>
      <c r="L67" s="1809">
        <f t="shared" si="38"/>
        <v>0</v>
      </c>
      <c r="M67" s="1807">
        <f t="shared" si="38"/>
        <v>0</v>
      </c>
      <c r="N67" s="1809">
        <f t="shared" si="38"/>
        <v>0</v>
      </c>
      <c r="O67" s="1807">
        <f t="shared" si="38"/>
        <v>0</v>
      </c>
      <c r="P67" s="1809">
        <f t="shared" si="38"/>
        <v>0</v>
      </c>
      <c r="Q67" s="1807">
        <f t="shared" si="38"/>
        <v>0</v>
      </c>
      <c r="R67" s="1809">
        <f t="shared" si="38"/>
        <v>0</v>
      </c>
      <c r="S67" s="1807">
        <f t="shared" si="38"/>
        <v>0</v>
      </c>
      <c r="T67" s="1809">
        <f t="shared" si="38"/>
        <v>0</v>
      </c>
      <c r="U67" s="1810">
        <f t="shared" si="38"/>
        <v>0</v>
      </c>
      <c r="V67" s="1811">
        <f t="shared" si="38"/>
        <v>0</v>
      </c>
      <c r="W67" s="1807">
        <f t="shared" si="38"/>
        <v>0</v>
      </c>
      <c r="X67" s="1809">
        <f t="shared" si="38"/>
        <v>0</v>
      </c>
      <c r="Y67" s="1807">
        <f t="shared" si="38"/>
        <v>0</v>
      </c>
      <c r="Z67" s="1809">
        <f t="shared" si="38"/>
        <v>0</v>
      </c>
      <c r="AA67" s="1807">
        <f t="shared" si="38"/>
        <v>0</v>
      </c>
      <c r="AB67" s="1809">
        <f t="shared" si="38"/>
        <v>0</v>
      </c>
      <c r="AC67" s="1807">
        <f t="shared" si="38"/>
        <v>0</v>
      </c>
      <c r="AD67" s="1809">
        <f t="shared" si="38"/>
        <v>0</v>
      </c>
      <c r="AE67" s="1807">
        <f t="shared" si="38"/>
        <v>0</v>
      </c>
      <c r="AF67" s="1809">
        <f t="shared" si="38"/>
        <v>0</v>
      </c>
      <c r="AG67" s="1807">
        <f t="shared" si="38"/>
        <v>0</v>
      </c>
      <c r="AH67" s="1809">
        <f t="shared" si="38"/>
        <v>0</v>
      </c>
      <c r="AI67" s="1807">
        <f t="shared" si="38"/>
        <v>0</v>
      </c>
      <c r="AJ67" s="1809">
        <f t="shared" si="38"/>
        <v>0</v>
      </c>
      <c r="AK67" s="1812">
        <f t="shared" si="38"/>
        <v>0</v>
      </c>
      <c r="AL67" s="1809">
        <f t="shared" si="38"/>
        <v>0</v>
      </c>
      <c r="AM67" s="1812">
        <f>SUM(AM61:AM65)</f>
        <v>0</v>
      </c>
      <c r="AN67" s="1809">
        <f>SUM(AN61:AN65)</f>
        <v>0</v>
      </c>
    </row>
    <row r="68" spans="1:68" s="17" customFormat="1" ht="18" customHeight="1" x14ac:dyDescent="0.2">
      <c r="A68" s="1803" t="s">
        <v>290</v>
      </c>
      <c r="B68" s="1803"/>
      <c r="C68" s="1803"/>
      <c r="D68" s="1803"/>
      <c r="E68" s="1803"/>
      <c r="F68" s="1803"/>
      <c r="G68" s="1803"/>
      <c r="H68" s="1803"/>
    </row>
    <row r="69" spans="1:68" ht="27" customHeight="1" x14ac:dyDescent="0.25">
      <c r="A69" s="1775" t="s">
        <v>291</v>
      </c>
      <c r="B69" s="227" t="s">
        <v>63</v>
      </c>
      <c r="C69" s="227" t="s">
        <v>3883</v>
      </c>
      <c r="D69" s="227" t="s">
        <v>3884</v>
      </c>
      <c r="E69" s="227" t="s">
        <v>28</v>
      </c>
    </row>
    <row r="70" spans="1:68" x14ac:dyDescent="0.25">
      <c r="A70" s="228" t="s">
        <v>225</v>
      </c>
      <c r="B70" s="229">
        <f>SUM(C70:E70)</f>
        <v>0</v>
      </c>
      <c r="C70" s="188"/>
      <c r="D70" s="188"/>
      <c r="E70" s="188"/>
      <c r="BI70" s="1791"/>
      <c r="BJ70" s="1791"/>
      <c r="BK70" s="1791"/>
      <c r="BL70" s="1791"/>
      <c r="BN70" s="1793"/>
      <c r="BO70" s="1793"/>
      <c r="BP70" s="1793"/>
    </row>
    <row r="71" spans="1:68" x14ac:dyDescent="0.25">
      <c r="A71" s="78" t="s">
        <v>292</v>
      </c>
      <c r="B71" s="230">
        <f t="shared" ref="B71:B87" si="39">SUM(C71:E71)</f>
        <v>0</v>
      </c>
      <c r="C71" s="136"/>
      <c r="D71" s="136"/>
      <c r="E71" s="136"/>
      <c r="BI71" s="1791"/>
      <c r="BJ71" s="1791"/>
      <c r="BK71" s="1791"/>
      <c r="BL71" s="1791"/>
      <c r="BN71" s="1793"/>
      <c r="BO71" s="1793"/>
      <c r="BP71" s="1793"/>
    </row>
    <row r="72" spans="1:68" x14ac:dyDescent="0.25">
      <c r="A72" s="78" t="s">
        <v>230</v>
      </c>
      <c r="B72" s="230">
        <f t="shared" si="39"/>
        <v>0</v>
      </c>
      <c r="C72" s="136"/>
      <c r="D72" s="136"/>
      <c r="E72" s="136"/>
      <c r="BI72" s="1791"/>
      <c r="BJ72" s="1791"/>
      <c r="BK72" s="1791"/>
      <c r="BL72" s="1791"/>
      <c r="BN72" s="1793"/>
      <c r="BO72" s="1793"/>
      <c r="BP72" s="1793"/>
    </row>
    <row r="73" spans="1:68" x14ac:dyDescent="0.25">
      <c r="A73" s="78" t="s">
        <v>293</v>
      </c>
      <c r="B73" s="230">
        <f t="shared" si="39"/>
        <v>0</v>
      </c>
      <c r="C73" s="136"/>
      <c r="D73" s="136"/>
      <c r="E73" s="136"/>
      <c r="BI73" s="1791"/>
      <c r="BJ73" s="1791"/>
      <c r="BK73" s="1791"/>
      <c r="BL73" s="1791"/>
      <c r="BN73" s="1793"/>
      <c r="BO73" s="1793"/>
      <c r="BP73" s="1793"/>
    </row>
    <row r="74" spans="1:68" x14ac:dyDescent="0.25">
      <c r="A74" s="78" t="s">
        <v>238</v>
      </c>
      <c r="B74" s="230">
        <f t="shared" si="39"/>
        <v>0</v>
      </c>
      <c r="C74" s="136"/>
      <c r="D74" s="136"/>
      <c r="E74" s="136"/>
      <c r="BI74" s="1791"/>
      <c r="BJ74" s="1791"/>
      <c r="BK74" s="1791"/>
      <c r="BL74" s="1791"/>
      <c r="BN74" s="1793"/>
      <c r="BO74" s="1793"/>
      <c r="BP74" s="1793"/>
    </row>
    <row r="75" spans="1:68" x14ac:dyDescent="0.25">
      <c r="A75" s="78" t="s">
        <v>239</v>
      </c>
      <c r="B75" s="230">
        <f t="shared" si="39"/>
        <v>0</v>
      </c>
      <c r="C75" s="136"/>
      <c r="D75" s="136"/>
      <c r="E75" s="136"/>
      <c r="BI75" s="1791"/>
      <c r="BJ75" s="1791"/>
      <c r="BK75" s="1791"/>
      <c r="BL75" s="1791"/>
      <c r="BN75" s="1793"/>
      <c r="BO75" s="1793"/>
      <c r="BP75" s="1793"/>
    </row>
    <row r="76" spans="1:68" x14ac:dyDescent="0.25">
      <c r="A76" s="78" t="s">
        <v>224</v>
      </c>
      <c r="B76" s="230">
        <f t="shared" si="39"/>
        <v>0</v>
      </c>
      <c r="C76" s="136"/>
      <c r="D76" s="136"/>
      <c r="E76" s="136"/>
      <c r="BI76" s="1791"/>
      <c r="BJ76" s="1791"/>
      <c r="BK76" s="1791"/>
      <c r="BL76" s="1791"/>
      <c r="BN76" s="1793"/>
      <c r="BO76" s="1793"/>
      <c r="BP76" s="1793"/>
    </row>
    <row r="77" spans="1:68" x14ac:dyDescent="0.25">
      <c r="A77" s="78" t="s">
        <v>294</v>
      </c>
      <c r="B77" s="230">
        <f t="shared" si="39"/>
        <v>0</v>
      </c>
      <c r="C77" s="136"/>
      <c r="D77" s="136"/>
      <c r="E77" s="136"/>
      <c r="BI77" s="1791"/>
      <c r="BJ77" s="1791"/>
      <c r="BK77" s="1791"/>
      <c r="BL77" s="1791"/>
      <c r="BN77" s="1793"/>
      <c r="BO77" s="1793"/>
      <c r="BP77" s="1793"/>
    </row>
    <row r="78" spans="1:68" x14ac:dyDescent="0.25">
      <c r="A78" s="78" t="s">
        <v>234</v>
      </c>
      <c r="B78" s="230">
        <f t="shared" si="39"/>
        <v>0</v>
      </c>
      <c r="C78" s="136"/>
      <c r="D78" s="136"/>
      <c r="E78" s="136"/>
      <c r="BI78" s="1791"/>
      <c r="BJ78" s="1791"/>
      <c r="BK78" s="1791"/>
      <c r="BL78" s="1791"/>
      <c r="BN78" s="1793"/>
      <c r="BO78" s="1793"/>
      <c r="BP78" s="1793"/>
    </row>
    <row r="79" spans="1:68" x14ac:dyDescent="0.25">
      <c r="A79" s="78" t="s">
        <v>295</v>
      </c>
      <c r="B79" s="230">
        <f t="shared" si="39"/>
        <v>0</v>
      </c>
      <c r="C79" s="136"/>
      <c r="D79" s="136"/>
      <c r="E79" s="136"/>
      <c r="BI79" s="1791"/>
      <c r="BJ79" s="1791"/>
      <c r="BK79" s="1791"/>
      <c r="BL79" s="1791"/>
      <c r="BN79" s="1793"/>
      <c r="BO79" s="1793"/>
      <c r="BP79" s="1793"/>
    </row>
    <row r="80" spans="1:68" x14ac:dyDescent="0.25">
      <c r="A80" s="78" t="s">
        <v>296</v>
      </c>
      <c r="B80" s="230">
        <f t="shared" si="39"/>
        <v>0</v>
      </c>
      <c r="C80" s="136"/>
      <c r="D80" s="136"/>
      <c r="E80" s="136"/>
      <c r="BI80" s="1791"/>
      <c r="BJ80" s="1791"/>
      <c r="BK80" s="1791"/>
      <c r="BL80" s="1791"/>
      <c r="BN80" s="1793"/>
      <c r="BO80" s="1793"/>
      <c r="BP80" s="1793"/>
    </row>
    <row r="81" spans="1:69" x14ac:dyDescent="0.25">
      <c r="A81" s="231" t="s">
        <v>297</v>
      </c>
      <c r="B81" s="230">
        <f t="shared" si="39"/>
        <v>0</v>
      </c>
      <c r="C81" s="136"/>
      <c r="D81" s="136"/>
      <c r="E81" s="136"/>
      <c r="BI81" s="1791"/>
      <c r="BJ81" s="1791"/>
      <c r="BK81" s="1791"/>
      <c r="BL81" s="1791"/>
      <c r="BN81" s="1793"/>
      <c r="BO81" s="1793"/>
      <c r="BP81" s="1793"/>
    </row>
    <row r="82" spans="1:69" x14ac:dyDescent="0.25">
      <c r="A82" s="78" t="s">
        <v>298</v>
      </c>
      <c r="B82" s="230">
        <f t="shared" si="39"/>
        <v>0</v>
      </c>
      <c r="C82" s="136"/>
      <c r="D82" s="136"/>
      <c r="E82" s="136"/>
      <c r="BI82" s="1791"/>
      <c r="BJ82" s="1791"/>
      <c r="BK82" s="1791"/>
      <c r="BL82" s="1791"/>
      <c r="BN82" s="1793"/>
      <c r="BO82" s="1793"/>
      <c r="BP82" s="1793"/>
    </row>
    <row r="83" spans="1:69" x14ac:dyDescent="0.25">
      <c r="A83" s="78" t="s">
        <v>233</v>
      </c>
      <c r="B83" s="230">
        <f t="shared" si="39"/>
        <v>0</v>
      </c>
      <c r="C83" s="136"/>
      <c r="D83" s="136"/>
      <c r="E83" s="136"/>
      <c r="BI83" s="1791"/>
      <c r="BJ83" s="1791"/>
      <c r="BK83" s="1791"/>
      <c r="BL83" s="1791"/>
      <c r="BN83" s="1793"/>
      <c r="BO83" s="1793"/>
      <c r="BP83" s="1793"/>
    </row>
    <row r="84" spans="1:69" x14ac:dyDescent="0.25">
      <c r="A84" s="78" t="s">
        <v>299</v>
      </c>
      <c r="B84" s="230">
        <f t="shared" si="39"/>
        <v>0</v>
      </c>
      <c r="C84" s="136"/>
      <c r="D84" s="136"/>
      <c r="E84" s="136"/>
      <c r="BI84" s="1791"/>
      <c r="BJ84" s="1791"/>
      <c r="BK84" s="1791"/>
      <c r="BL84" s="1791"/>
      <c r="BN84" s="1793"/>
      <c r="BO84" s="1793"/>
      <c r="BP84" s="1793"/>
    </row>
    <row r="85" spans="1:69" x14ac:dyDescent="0.25">
      <c r="A85" s="78" t="s">
        <v>231</v>
      </c>
      <c r="B85" s="230">
        <f t="shared" si="39"/>
        <v>0</v>
      </c>
      <c r="C85" s="136"/>
      <c r="D85" s="136"/>
      <c r="E85" s="136"/>
      <c r="BI85" s="1791"/>
      <c r="BJ85" s="1791"/>
      <c r="BK85" s="1791"/>
      <c r="BL85" s="1791"/>
      <c r="BN85" s="1793"/>
      <c r="BO85" s="1793"/>
      <c r="BP85" s="1793"/>
    </row>
    <row r="86" spans="1:69" x14ac:dyDescent="0.25">
      <c r="A86" s="78" t="s">
        <v>300</v>
      </c>
      <c r="B86" s="230">
        <f t="shared" si="39"/>
        <v>0</v>
      </c>
      <c r="C86" s="136"/>
      <c r="D86" s="136"/>
      <c r="E86" s="136"/>
      <c r="BI86" s="1791"/>
      <c r="BJ86" s="1791"/>
      <c r="BK86" s="1791"/>
      <c r="BL86" s="1791"/>
      <c r="BN86" s="1793"/>
      <c r="BO86" s="1793"/>
      <c r="BP86" s="1793"/>
    </row>
    <row r="87" spans="1:69" x14ac:dyDescent="0.25">
      <c r="A87" s="78" t="s">
        <v>236</v>
      </c>
      <c r="B87" s="230">
        <f t="shared" si="39"/>
        <v>0</v>
      </c>
      <c r="C87" s="136"/>
      <c r="D87" s="136"/>
      <c r="E87" s="136"/>
      <c r="BI87" s="1791"/>
      <c r="BJ87" s="1791"/>
      <c r="BK87" s="1791"/>
      <c r="BL87" s="1791"/>
      <c r="BN87" s="1793"/>
      <c r="BO87" s="1793"/>
      <c r="BP87" s="1793"/>
    </row>
    <row r="88" spans="1:69" x14ac:dyDescent="0.25">
      <c r="A88" s="78" t="s">
        <v>251</v>
      </c>
      <c r="B88" s="230">
        <f>SUM(C88:E88)</f>
        <v>0</v>
      </c>
      <c r="C88" s="136"/>
      <c r="D88" s="136"/>
      <c r="E88" s="136"/>
      <c r="BI88" s="1791"/>
      <c r="BJ88" s="1791"/>
      <c r="BK88" s="1791"/>
      <c r="BL88" s="1791"/>
      <c r="BN88" s="1793"/>
      <c r="BO88" s="1793"/>
      <c r="BP88" s="1793"/>
    </row>
    <row r="89" spans="1:69" x14ac:dyDescent="0.25">
      <c r="A89" s="78" t="s">
        <v>301</v>
      </c>
      <c r="B89" s="230">
        <f>SUM(C89:E89)</f>
        <v>0</v>
      </c>
      <c r="C89" s="136"/>
      <c r="D89" s="136"/>
      <c r="E89" s="136"/>
      <c r="BI89" s="1791"/>
      <c r="BJ89" s="1791"/>
      <c r="BK89" s="1791"/>
      <c r="BL89" s="1791"/>
      <c r="BN89" s="1793"/>
      <c r="BO89" s="1793"/>
      <c r="BP89" s="1793"/>
    </row>
    <row r="90" spans="1:69" x14ac:dyDescent="0.25">
      <c r="A90" s="173" t="s">
        <v>24</v>
      </c>
      <c r="B90" s="232">
        <f>SUM(B70:B89)</f>
        <v>0</v>
      </c>
      <c r="C90" s="232">
        <f>SUM(C70:C89)</f>
        <v>0</v>
      </c>
      <c r="D90" s="232">
        <f t="shared" ref="D90:E90" si="40">SUM(D70:D89)</f>
        <v>0</v>
      </c>
      <c r="E90" s="232">
        <f t="shared" si="40"/>
        <v>0</v>
      </c>
      <c r="BI90" s="1791"/>
      <c r="BJ90" s="1791"/>
      <c r="BK90" s="1791"/>
      <c r="BL90" s="1791"/>
      <c r="BN90" s="1793"/>
      <c r="BO90" s="1793"/>
      <c r="BP90" s="1793"/>
    </row>
    <row r="91" spans="1:69" s="17" customFormat="1" ht="18" customHeight="1" x14ac:dyDescent="0.2">
      <c r="A91" s="123" t="s">
        <v>302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BI91" s="1790"/>
      <c r="BJ91" s="1790"/>
      <c r="BK91" s="1790"/>
      <c r="BL91" s="1790"/>
      <c r="BN91" s="1792"/>
      <c r="BO91" s="1792"/>
      <c r="BP91" s="1792"/>
    </row>
    <row r="92" spans="1:69" x14ac:dyDescent="0.25">
      <c r="A92" s="7322" t="s">
        <v>303</v>
      </c>
      <c r="B92" s="7323"/>
      <c r="C92" s="7322" t="s">
        <v>63</v>
      </c>
      <c r="D92" s="6468"/>
      <c r="E92" s="7323"/>
      <c r="F92" s="7344" t="s">
        <v>30</v>
      </c>
      <c r="G92" s="7380"/>
      <c r="H92" s="7380"/>
      <c r="I92" s="7380"/>
      <c r="J92" s="7380"/>
      <c r="K92" s="7380"/>
      <c r="L92" s="7380"/>
      <c r="M92" s="7380"/>
      <c r="N92" s="7380"/>
      <c r="O92" s="7380"/>
      <c r="P92" s="7380"/>
      <c r="Q92" s="7380"/>
      <c r="R92" s="7380"/>
      <c r="S92" s="7380"/>
      <c r="T92" s="7380"/>
      <c r="U92" s="7380"/>
      <c r="V92" s="7380"/>
      <c r="W92" s="7380"/>
      <c r="X92" s="7380"/>
      <c r="Y92" s="7380"/>
      <c r="Z92" s="7380"/>
      <c r="AA92" s="7380"/>
      <c r="AB92" s="7380"/>
      <c r="AC92" s="7380"/>
      <c r="AD92" s="7380"/>
      <c r="AE92" s="7380"/>
      <c r="AF92" s="7380"/>
      <c r="AG92" s="7380"/>
      <c r="AH92" s="7380"/>
      <c r="AI92" s="7380"/>
      <c r="AJ92" s="7380"/>
      <c r="AK92" s="7380"/>
      <c r="AL92" s="7380"/>
      <c r="AM92" s="7345"/>
      <c r="AN92" s="7354" t="s">
        <v>67</v>
      </c>
      <c r="AO92" s="7354" t="s">
        <v>304</v>
      </c>
    </row>
    <row r="93" spans="1:69" x14ac:dyDescent="0.25">
      <c r="A93" s="7406"/>
      <c r="B93" s="7332"/>
      <c r="C93" s="7324"/>
      <c r="D93" s="7325"/>
      <c r="E93" s="7326"/>
      <c r="F93" s="7344" t="s">
        <v>36</v>
      </c>
      <c r="G93" s="7345"/>
      <c r="H93" s="7344" t="s">
        <v>37</v>
      </c>
      <c r="I93" s="7345"/>
      <c r="J93" s="7344" t="s">
        <v>38</v>
      </c>
      <c r="K93" s="7345"/>
      <c r="L93" s="7344" t="s">
        <v>4</v>
      </c>
      <c r="M93" s="7345"/>
      <c r="N93" s="7344" t="s">
        <v>5</v>
      </c>
      <c r="O93" s="7345"/>
      <c r="P93" s="7327" t="s">
        <v>6</v>
      </c>
      <c r="Q93" s="7333"/>
      <c r="R93" s="7327" t="s">
        <v>7</v>
      </c>
      <c r="S93" s="7333"/>
      <c r="T93" s="7327" t="s">
        <v>8</v>
      </c>
      <c r="U93" s="7333"/>
      <c r="V93" s="7327" t="s">
        <v>9</v>
      </c>
      <c r="W93" s="7333"/>
      <c r="X93" s="7327" t="s">
        <v>10</v>
      </c>
      <c r="Y93" s="7333"/>
      <c r="Z93" s="7327" t="s">
        <v>11</v>
      </c>
      <c r="AA93" s="7333"/>
      <c r="AB93" s="7327" t="s">
        <v>18</v>
      </c>
      <c r="AC93" s="7333"/>
      <c r="AD93" s="7327" t="s">
        <v>19</v>
      </c>
      <c r="AE93" s="7333"/>
      <c r="AF93" s="7327" t="s">
        <v>20</v>
      </c>
      <c r="AG93" s="7333"/>
      <c r="AH93" s="7327" t="s">
        <v>70</v>
      </c>
      <c r="AI93" s="7333"/>
      <c r="AJ93" s="7327" t="s">
        <v>71</v>
      </c>
      <c r="AK93" s="7333"/>
      <c r="AL93" s="7327" t="s">
        <v>32</v>
      </c>
      <c r="AM93" s="7333"/>
      <c r="AN93" s="7332"/>
      <c r="AO93" s="7355"/>
    </row>
    <row r="94" spans="1:69" x14ac:dyDescent="0.25">
      <c r="A94" s="7324"/>
      <c r="B94" s="7325"/>
      <c r="C94" s="201" t="s">
        <v>26</v>
      </c>
      <c r="D94" s="1813" t="s">
        <v>51</v>
      </c>
      <c r="E94" s="175" t="s">
        <v>27</v>
      </c>
      <c r="F94" s="5791" t="s">
        <v>51</v>
      </c>
      <c r="G94" s="175" t="s">
        <v>27</v>
      </c>
      <c r="H94" s="5791" t="s">
        <v>51</v>
      </c>
      <c r="I94" s="175" t="s">
        <v>27</v>
      </c>
      <c r="J94" s="5791" t="s">
        <v>51</v>
      </c>
      <c r="K94" s="175" t="s">
        <v>27</v>
      </c>
      <c r="L94" s="5791" t="s">
        <v>51</v>
      </c>
      <c r="M94" s="175" t="s">
        <v>27</v>
      </c>
      <c r="N94" s="5791" t="s">
        <v>51</v>
      </c>
      <c r="O94" s="175" t="s">
        <v>27</v>
      </c>
      <c r="P94" s="5791" t="s">
        <v>51</v>
      </c>
      <c r="Q94" s="175" t="s">
        <v>27</v>
      </c>
      <c r="R94" s="5791" t="s">
        <v>51</v>
      </c>
      <c r="S94" s="175" t="s">
        <v>27</v>
      </c>
      <c r="T94" s="5791" t="s">
        <v>51</v>
      </c>
      <c r="U94" s="175" t="s">
        <v>27</v>
      </c>
      <c r="V94" s="5791" t="s">
        <v>51</v>
      </c>
      <c r="W94" s="175" t="s">
        <v>27</v>
      </c>
      <c r="X94" s="5791" t="s">
        <v>51</v>
      </c>
      <c r="Y94" s="175" t="s">
        <v>27</v>
      </c>
      <c r="Z94" s="5791" t="s">
        <v>51</v>
      </c>
      <c r="AA94" s="175" t="s">
        <v>27</v>
      </c>
      <c r="AB94" s="5791" t="s">
        <v>51</v>
      </c>
      <c r="AC94" s="175" t="s">
        <v>27</v>
      </c>
      <c r="AD94" s="5791" t="s">
        <v>51</v>
      </c>
      <c r="AE94" s="175" t="s">
        <v>27</v>
      </c>
      <c r="AF94" s="5791" t="s">
        <v>51</v>
      </c>
      <c r="AG94" s="175" t="s">
        <v>27</v>
      </c>
      <c r="AH94" s="5791" t="s">
        <v>51</v>
      </c>
      <c r="AI94" s="175" t="s">
        <v>27</v>
      </c>
      <c r="AJ94" s="5791" t="s">
        <v>51</v>
      </c>
      <c r="AK94" s="175" t="s">
        <v>27</v>
      </c>
      <c r="AL94" s="5791" t="s">
        <v>51</v>
      </c>
      <c r="AM94" s="175" t="s">
        <v>27</v>
      </c>
      <c r="AN94" s="7356"/>
      <c r="AO94" s="7356"/>
    </row>
    <row r="95" spans="1:69" ht="15" customHeight="1" x14ac:dyDescent="0.25">
      <c r="A95" s="7398" t="s">
        <v>305</v>
      </c>
      <c r="B95" s="7399"/>
      <c r="C95" s="212">
        <f>SUM(C96:C102)</f>
        <v>0</v>
      </c>
      <c r="D95" s="182">
        <f>SUM(D96:D102)</f>
        <v>0</v>
      </c>
      <c r="E95" s="214">
        <f>SUM(E96:E102)</f>
        <v>0</v>
      </c>
      <c r="F95" s="5943">
        <f t="shared" ref="F95:AN95" si="41">SUM(F96:F102)</f>
        <v>0</v>
      </c>
      <c r="G95" s="1814">
        <f t="shared" si="41"/>
        <v>0</v>
      </c>
      <c r="H95" s="5943">
        <f t="shared" si="41"/>
        <v>0</v>
      </c>
      <c r="I95" s="1814">
        <f t="shared" si="41"/>
        <v>0</v>
      </c>
      <c r="J95" s="5943">
        <f t="shared" si="41"/>
        <v>0</v>
      </c>
      <c r="K95" s="1814">
        <f t="shared" si="41"/>
        <v>0</v>
      </c>
      <c r="L95" s="5943">
        <f t="shared" si="41"/>
        <v>0</v>
      </c>
      <c r="M95" s="1814">
        <f t="shared" si="41"/>
        <v>0</v>
      </c>
      <c r="N95" s="5943">
        <f t="shared" si="41"/>
        <v>0</v>
      </c>
      <c r="O95" s="1814">
        <f t="shared" si="41"/>
        <v>0</v>
      </c>
      <c r="P95" s="5943">
        <f t="shared" si="41"/>
        <v>0</v>
      </c>
      <c r="Q95" s="1814">
        <f t="shared" si="41"/>
        <v>0</v>
      </c>
      <c r="R95" s="5943">
        <f t="shared" si="41"/>
        <v>0</v>
      </c>
      <c r="S95" s="1814">
        <f t="shared" si="41"/>
        <v>0</v>
      </c>
      <c r="T95" s="5943">
        <f t="shared" si="41"/>
        <v>0</v>
      </c>
      <c r="U95" s="1814">
        <f t="shared" si="41"/>
        <v>0</v>
      </c>
      <c r="V95" s="5943">
        <f t="shared" si="41"/>
        <v>0</v>
      </c>
      <c r="W95" s="1814">
        <f t="shared" si="41"/>
        <v>0</v>
      </c>
      <c r="X95" s="5943">
        <f t="shared" si="41"/>
        <v>0</v>
      </c>
      <c r="Y95" s="1814">
        <f t="shared" si="41"/>
        <v>0</v>
      </c>
      <c r="Z95" s="5943">
        <f t="shared" si="41"/>
        <v>0</v>
      </c>
      <c r="AA95" s="1814">
        <f t="shared" si="41"/>
        <v>0</v>
      </c>
      <c r="AB95" s="5943">
        <f t="shared" si="41"/>
        <v>0</v>
      </c>
      <c r="AC95" s="1814">
        <f t="shared" si="41"/>
        <v>0</v>
      </c>
      <c r="AD95" s="5943">
        <f t="shared" si="41"/>
        <v>0</v>
      </c>
      <c r="AE95" s="1814">
        <f t="shared" si="41"/>
        <v>0</v>
      </c>
      <c r="AF95" s="5943">
        <f t="shared" si="41"/>
        <v>0</v>
      </c>
      <c r="AG95" s="1814">
        <f t="shared" si="41"/>
        <v>0</v>
      </c>
      <c r="AH95" s="5943">
        <f t="shared" si="41"/>
        <v>0</v>
      </c>
      <c r="AI95" s="1814">
        <f t="shared" si="41"/>
        <v>0</v>
      </c>
      <c r="AJ95" s="5943">
        <f t="shared" si="41"/>
        <v>0</v>
      </c>
      <c r="AK95" s="1814">
        <f t="shared" si="41"/>
        <v>0</v>
      </c>
      <c r="AL95" s="5943">
        <f t="shared" si="41"/>
        <v>0</v>
      </c>
      <c r="AM95" s="1814">
        <f t="shared" si="41"/>
        <v>0</v>
      </c>
      <c r="AN95" s="1815">
        <f t="shared" si="41"/>
        <v>0</v>
      </c>
      <c r="AO95" s="1815">
        <f>SUM(AO96:AO98)</f>
        <v>0</v>
      </c>
    </row>
    <row r="96" spans="1:69" ht="15" customHeight="1" x14ac:dyDescent="0.25">
      <c r="A96" s="7400" t="s">
        <v>306</v>
      </c>
      <c r="B96" s="5605" t="s">
        <v>3753</v>
      </c>
      <c r="C96" s="5428">
        <f t="shared" ref="C96:C102" si="42">SUM(D96+E96)</f>
        <v>0</v>
      </c>
      <c r="D96" s="5680">
        <f t="shared" ref="D96:E102" si="43">SUM(F96+H96+J96+L96+N96+P96+R96+T96+V96+X96+Z96+AB96+AD96+AF96+AH96+AJ96+AL96)</f>
        <v>0</v>
      </c>
      <c r="E96" s="5332">
        <f t="shared" si="43"/>
        <v>0</v>
      </c>
      <c r="F96" s="5358"/>
      <c r="G96" s="5392"/>
      <c r="H96" s="5681"/>
      <c r="I96" s="5361"/>
      <c r="J96" s="5681"/>
      <c r="K96" s="5361"/>
      <c r="L96" s="5358"/>
      <c r="M96" s="5392"/>
      <c r="N96" s="5681"/>
      <c r="O96" s="5361"/>
      <c r="P96" s="5681"/>
      <c r="Q96" s="5361"/>
      <c r="R96" s="5681"/>
      <c r="S96" s="5361"/>
      <c r="T96" s="5681"/>
      <c r="U96" s="5361"/>
      <c r="V96" s="5681"/>
      <c r="W96" s="5361"/>
      <c r="X96" s="5681"/>
      <c r="Y96" s="5361"/>
      <c r="Z96" s="5681"/>
      <c r="AA96" s="5361"/>
      <c r="AB96" s="5681"/>
      <c r="AC96" s="5361"/>
      <c r="AD96" s="5681"/>
      <c r="AE96" s="5361"/>
      <c r="AF96" s="5681"/>
      <c r="AG96" s="5361"/>
      <c r="AH96" s="5681"/>
      <c r="AI96" s="5361"/>
      <c r="AJ96" s="5681"/>
      <c r="AK96" s="5361"/>
      <c r="AL96" s="5681"/>
      <c r="AM96" s="5361"/>
      <c r="AN96" s="5682"/>
      <c r="AO96" s="5682"/>
      <c r="AP96" t="str">
        <f>BI96&amp;BJ96&amp;BK96&amp;BL96</f>
        <v xml:space="preserve">  </v>
      </c>
      <c r="BI96" s="1791" t="str">
        <f>IF(AND(C96&gt;0,OR(AN96=""))," * No olvide digitar la columna "&amp;AN$92&amp;""&amp;" . ""Digite CERO si no tiene datos"""," ")</f>
        <v xml:space="preserve"> </v>
      </c>
      <c r="BJ96" s="1791" t="str">
        <f>IF(AN96&gt;C96," * Los Beneficiarios no pueden ser mayor al Total.","")</f>
        <v/>
      </c>
      <c r="BK96" s="1791" t="str">
        <f>IF(AND(C96&gt;0,OR(AO96=""))," * No olvide digitar las columnas "&amp;AO$92&amp;""&amp;" . ""Digite CERO si no tiene datos"""," ")</f>
        <v xml:space="preserve"> </v>
      </c>
      <c r="BL96" s="1791" t="str">
        <f>IF(AO96&gt;C96," * La columna Hospitalización Domiciliaria no pueden ser mayor al Total.","")</f>
        <v/>
      </c>
      <c r="BN96" s="1793">
        <f t="shared" ref="BN96:BN102" si="44">IF(AND(C96&gt;0,AN96=""),1,0)</f>
        <v>0</v>
      </c>
      <c r="BO96" s="1793">
        <f>IF(AN96&gt;C96,1,0)</f>
        <v>0</v>
      </c>
      <c r="BP96" s="1793">
        <f>IF(AND(C96&gt;0,OR(AO96="")),1,0)</f>
        <v>0</v>
      </c>
      <c r="BQ96" s="1793">
        <f>IF(AO96&gt;C96,1,0)</f>
        <v>0</v>
      </c>
    </row>
    <row r="97" spans="1:69" ht="15" customHeight="1" x14ac:dyDescent="0.25">
      <c r="A97" s="6579"/>
      <c r="B97" s="5683" t="s">
        <v>3754</v>
      </c>
      <c r="C97" s="87">
        <f t="shared" si="42"/>
        <v>0</v>
      </c>
      <c r="D97" s="5684">
        <f t="shared" si="43"/>
        <v>0</v>
      </c>
      <c r="E97" s="4458">
        <f t="shared" si="43"/>
        <v>0</v>
      </c>
      <c r="F97" s="5387"/>
      <c r="G97" s="3613"/>
      <c r="H97" s="5685"/>
      <c r="I97" s="5686"/>
      <c r="J97" s="5387"/>
      <c r="K97" s="5687"/>
      <c r="L97" s="5685"/>
      <c r="M97" s="5688"/>
      <c r="N97" s="5387"/>
      <c r="O97" s="5687"/>
      <c r="P97" s="5686"/>
      <c r="Q97" s="5688"/>
      <c r="R97" s="5689"/>
      <c r="S97" s="5687"/>
      <c r="T97" s="5686"/>
      <c r="U97" s="5688"/>
      <c r="V97" s="5689"/>
      <c r="W97" s="5687"/>
      <c r="X97" s="5686"/>
      <c r="Y97" s="5687"/>
      <c r="Z97" s="5689"/>
      <c r="AA97" s="5688"/>
      <c r="AB97" s="5689"/>
      <c r="AC97" s="5687"/>
      <c r="AD97" s="5686"/>
      <c r="AE97" s="5688"/>
      <c r="AF97" s="5689"/>
      <c r="AG97" s="5687"/>
      <c r="AH97" s="5686"/>
      <c r="AI97" s="5688"/>
      <c r="AJ97" s="5689"/>
      <c r="AK97" s="5687"/>
      <c r="AL97" s="5686"/>
      <c r="AM97" s="5687"/>
      <c r="AN97" s="4435"/>
      <c r="AO97" s="4435"/>
      <c r="AP97" t="str">
        <f>BI97&amp;BJ97&amp;BK97&amp;BL97</f>
        <v xml:space="preserve">  </v>
      </c>
      <c r="BI97" s="1791" t="str">
        <f t="shared" ref="BI97:BI102" si="45">IF(AND(C97&gt;0,OR(AN97=""))," * No olvide digitar la columna "&amp;AN$92&amp;""&amp;" . ""Digite CERO si no tiene datos"""," ")</f>
        <v xml:space="preserve"> </v>
      </c>
      <c r="BJ97" s="1791" t="str">
        <f t="shared" ref="BJ97:BJ102" si="46">IF(AN97&gt;C97," * Los Beneficiarios no pueden ser mayor al Total.","")</f>
        <v/>
      </c>
      <c r="BK97" s="1791" t="str">
        <f>IF(AND(C97&gt;0,OR(AO97=""))," * No olvide digitar las columnas "&amp;AO$92&amp;""&amp;" . ""Digite CERO si no tiene datos"""," ")</f>
        <v xml:space="preserve"> </v>
      </c>
      <c r="BL97" s="1791" t="str">
        <f t="shared" ref="BL97:BL98" si="47">IF(AO97&gt;C97," * La columna Hospitalización Domiciliaria no pueden ser mayor al Total.","")</f>
        <v/>
      </c>
      <c r="BN97" s="1793">
        <f t="shared" si="44"/>
        <v>0</v>
      </c>
      <c r="BO97" s="1793">
        <f t="shared" ref="BO97:BO102" si="48">IF(AN97&gt;C97,1,0)</f>
        <v>0</v>
      </c>
      <c r="BP97" s="1793">
        <f t="shared" ref="BP97:BP98" si="49">IF(AND(C97&gt;0,OR(AO97="")),1,0)</f>
        <v>0</v>
      </c>
      <c r="BQ97" s="1793">
        <f t="shared" ref="BQ97:BQ98" si="50">IF(AO97&gt;C97,1,0)</f>
        <v>0</v>
      </c>
    </row>
    <row r="98" spans="1:69" ht="15" customHeight="1" x14ac:dyDescent="0.25">
      <c r="A98" s="7401"/>
      <c r="B98" s="5690" t="s">
        <v>307</v>
      </c>
      <c r="C98" s="3306">
        <f t="shared" si="42"/>
        <v>0</v>
      </c>
      <c r="D98" s="3332">
        <f t="shared" si="43"/>
        <v>0</v>
      </c>
      <c r="E98" s="208">
        <f t="shared" si="43"/>
        <v>0</v>
      </c>
      <c r="F98" s="5691"/>
      <c r="G98" s="5692"/>
      <c r="H98" s="5693"/>
      <c r="I98" s="5694"/>
      <c r="J98" s="5691"/>
      <c r="K98" s="5695"/>
      <c r="L98" s="5693"/>
      <c r="M98" s="5696"/>
      <c r="N98" s="5691"/>
      <c r="O98" s="5695"/>
      <c r="P98" s="5694"/>
      <c r="Q98" s="5696"/>
      <c r="R98" s="5697"/>
      <c r="S98" s="5695"/>
      <c r="T98" s="5694"/>
      <c r="U98" s="5696"/>
      <c r="V98" s="5697"/>
      <c r="W98" s="5695"/>
      <c r="X98" s="5694"/>
      <c r="Y98" s="5695"/>
      <c r="Z98" s="5697"/>
      <c r="AA98" s="5696"/>
      <c r="AB98" s="5697"/>
      <c r="AC98" s="5695"/>
      <c r="AD98" s="5694"/>
      <c r="AE98" s="5696"/>
      <c r="AF98" s="5697"/>
      <c r="AG98" s="5695"/>
      <c r="AH98" s="5694"/>
      <c r="AI98" s="5696"/>
      <c r="AJ98" s="5697"/>
      <c r="AK98" s="5695"/>
      <c r="AL98" s="5694"/>
      <c r="AM98" s="5695"/>
      <c r="AN98" s="5698"/>
      <c r="AO98" s="5698"/>
      <c r="AP98" t="str">
        <f>BI98&amp;BJ98&amp;BK98&amp;BL98</f>
        <v xml:space="preserve">  </v>
      </c>
      <c r="BI98" s="1791" t="str">
        <f t="shared" si="45"/>
        <v xml:space="preserve"> </v>
      </c>
      <c r="BJ98" s="1791" t="str">
        <f t="shared" si="46"/>
        <v/>
      </c>
      <c r="BK98" s="1791" t="str">
        <f t="shared" ref="BK98" si="51">IF(AND(C98&gt;0,OR(AO98=""))," * No olvide digitar las columnas "&amp;AO$92&amp;""&amp;" . ""Digite CERO si no tiene datos"""," ")</f>
        <v xml:space="preserve"> </v>
      </c>
      <c r="BL98" s="1791" t="str">
        <f t="shared" si="47"/>
        <v/>
      </c>
      <c r="BN98" s="1793">
        <f t="shared" si="44"/>
        <v>0</v>
      </c>
      <c r="BO98" s="1793">
        <f t="shared" si="48"/>
        <v>0</v>
      </c>
      <c r="BP98" s="1793">
        <f t="shared" si="49"/>
        <v>0</v>
      </c>
      <c r="BQ98" s="1793">
        <f t="shared" si="50"/>
        <v>0</v>
      </c>
    </row>
    <row r="99" spans="1:69" ht="15" customHeight="1" x14ac:dyDescent="0.25">
      <c r="A99" s="7402" t="s">
        <v>308</v>
      </c>
      <c r="B99" s="7403"/>
      <c r="C99" s="5671">
        <f t="shared" si="42"/>
        <v>0</v>
      </c>
      <c r="D99" s="5221">
        <f t="shared" si="43"/>
        <v>0</v>
      </c>
      <c r="E99" s="4658">
        <f t="shared" si="43"/>
        <v>0</v>
      </c>
      <c r="F99" s="246"/>
      <c r="G99" s="5672"/>
      <c r="H99" s="5673"/>
      <c r="I99" s="5674"/>
      <c r="J99" s="5675"/>
      <c r="K99" s="5672"/>
      <c r="L99" s="5673"/>
      <c r="M99" s="5676"/>
      <c r="N99" s="5675"/>
      <c r="O99" s="5672"/>
      <c r="P99" s="5674"/>
      <c r="Q99" s="5676"/>
      <c r="R99" s="5677"/>
      <c r="S99" s="5672"/>
      <c r="T99" s="5674"/>
      <c r="U99" s="5676"/>
      <c r="V99" s="5677"/>
      <c r="W99" s="5672"/>
      <c r="X99" s="5674"/>
      <c r="Y99" s="5672"/>
      <c r="Z99" s="5677"/>
      <c r="AA99" s="5676"/>
      <c r="AB99" s="5677"/>
      <c r="AC99" s="5672"/>
      <c r="AD99" s="5674"/>
      <c r="AE99" s="5676"/>
      <c r="AF99" s="5677"/>
      <c r="AG99" s="5672"/>
      <c r="AH99" s="5674"/>
      <c r="AI99" s="5676"/>
      <c r="AJ99" s="5677"/>
      <c r="AK99" s="5672"/>
      <c r="AL99" s="5674"/>
      <c r="AM99" s="5672"/>
      <c r="AN99" s="5678"/>
      <c r="AO99" s="5679"/>
      <c r="AP99" t="str">
        <f t="shared" ref="AP99:AP102" si="52">BI99&amp;BJ99</f>
        <v xml:space="preserve"> </v>
      </c>
      <c r="BI99" s="1791" t="str">
        <f t="shared" si="45"/>
        <v xml:space="preserve"> </v>
      </c>
      <c r="BJ99" s="1791" t="str">
        <f t="shared" si="46"/>
        <v/>
      </c>
      <c r="BK99" s="1793"/>
      <c r="BL99" s="1793"/>
      <c r="BN99" s="1793">
        <f t="shared" si="44"/>
        <v>0</v>
      </c>
      <c r="BO99" s="1793">
        <f t="shared" si="48"/>
        <v>0</v>
      </c>
      <c r="BP99" s="1791"/>
      <c r="BQ99" s="1791"/>
    </row>
    <row r="100" spans="1:69" ht="15" customHeight="1" x14ac:dyDescent="0.25">
      <c r="A100" s="7404" t="s">
        <v>309</v>
      </c>
      <c r="B100" s="7405"/>
      <c r="C100" s="189">
        <f t="shared" si="42"/>
        <v>0</v>
      </c>
      <c r="D100" s="80">
        <f t="shared" si="43"/>
        <v>0</v>
      </c>
      <c r="E100" s="247">
        <f t="shared" si="43"/>
        <v>0</v>
      </c>
      <c r="F100" s="248"/>
      <c r="G100" s="249"/>
      <c r="H100" s="250"/>
      <c r="I100" s="251"/>
      <c r="J100" s="246"/>
      <c r="K100" s="252"/>
      <c r="L100" s="250"/>
      <c r="M100" s="253"/>
      <c r="N100" s="246"/>
      <c r="O100" s="252"/>
      <c r="P100" s="251"/>
      <c r="Q100" s="253"/>
      <c r="R100" s="254"/>
      <c r="S100" s="252"/>
      <c r="T100" s="251"/>
      <c r="U100" s="253"/>
      <c r="V100" s="254"/>
      <c r="W100" s="252"/>
      <c r="X100" s="251"/>
      <c r="Y100" s="252"/>
      <c r="Z100" s="254"/>
      <c r="AA100" s="253"/>
      <c r="AB100" s="254"/>
      <c r="AC100" s="252"/>
      <c r="AD100" s="251"/>
      <c r="AE100" s="253"/>
      <c r="AF100" s="254"/>
      <c r="AG100" s="252"/>
      <c r="AH100" s="251"/>
      <c r="AI100" s="253"/>
      <c r="AJ100" s="254"/>
      <c r="AK100" s="252"/>
      <c r="AL100" s="251"/>
      <c r="AM100" s="252"/>
      <c r="AN100" s="255"/>
      <c r="AO100" s="256"/>
      <c r="AP100" t="str">
        <f t="shared" si="52"/>
        <v xml:space="preserve"> </v>
      </c>
      <c r="BI100" s="1791" t="str">
        <f t="shared" si="45"/>
        <v xml:space="preserve"> </v>
      </c>
      <c r="BJ100" s="1791" t="str">
        <f t="shared" si="46"/>
        <v/>
      </c>
      <c r="BK100" s="1793"/>
      <c r="BL100" s="1793"/>
      <c r="BN100" s="1793">
        <f t="shared" si="44"/>
        <v>0</v>
      </c>
      <c r="BO100" s="1793">
        <f t="shared" si="48"/>
        <v>0</v>
      </c>
      <c r="BP100" s="1791"/>
      <c r="BQ100" s="1791"/>
    </row>
    <row r="101" spans="1:69" ht="15" customHeight="1" x14ac:dyDescent="0.25">
      <c r="A101" s="7404" t="s">
        <v>310</v>
      </c>
      <c r="B101" s="7405"/>
      <c r="C101" s="87">
        <f t="shared" si="42"/>
        <v>0</v>
      </c>
      <c r="D101" s="190">
        <f t="shared" si="43"/>
        <v>0</v>
      </c>
      <c r="E101" s="257">
        <f t="shared" si="43"/>
        <v>0</v>
      </c>
      <c r="F101" s="237"/>
      <c r="G101" s="238"/>
      <c r="H101" s="239"/>
      <c r="I101" s="240"/>
      <c r="J101" s="237"/>
      <c r="K101" s="241"/>
      <c r="L101" s="239"/>
      <c r="M101" s="242"/>
      <c r="N101" s="237"/>
      <c r="O101" s="241"/>
      <c r="P101" s="240"/>
      <c r="Q101" s="242"/>
      <c r="R101" s="243"/>
      <c r="S101" s="241"/>
      <c r="T101" s="240"/>
      <c r="U101" s="242"/>
      <c r="V101" s="243"/>
      <c r="W101" s="241"/>
      <c r="X101" s="240"/>
      <c r="Y101" s="241"/>
      <c r="Z101" s="243"/>
      <c r="AA101" s="242"/>
      <c r="AB101" s="243"/>
      <c r="AC101" s="241"/>
      <c r="AD101" s="240"/>
      <c r="AE101" s="242"/>
      <c r="AF101" s="243"/>
      <c r="AG101" s="241"/>
      <c r="AH101" s="240"/>
      <c r="AI101" s="242"/>
      <c r="AJ101" s="243"/>
      <c r="AK101" s="241"/>
      <c r="AL101" s="240"/>
      <c r="AM101" s="241"/>
      <c r="AN101" s="244"/>
      <c r="AO101" s="258"/>
      <c r="AP101" t="str">
        <f t="shared" si="52"/>
        <v xml:space="preserve"> </v>
      </c>
      <c r="BI101" s="1791" t="str">
        <f t="shared" si="45"/>
        <v xml:space="preserve"> </v>
      </c>
      <c r="BJ101" s="1791" t="str">
        <f t="shared" si="46"/>
        <v/>
      </c>
      <c r="BK101" s="1793"/>
      <c r="BL101" s="1793"/>
      <c r="BN101" s="1793">
        <f t="shared" si="44"/>
        <v>0</v>
      </c>
      <c r="BO101" s="1793">
        <f t="shared" si="48"/>
        <v>0</v>
      </c>
      <c r="BP101" s="1791"/>
      <c r="BQ101" s="1791"/>
    </row>
    <row r="102" spans="1:69" ht="15" customHeight="1" x14ac:dyDescent="0.25">
      <c r="A102" s="7300" t="s">
        <v>311</v>
      </c>
      <c r="B102" s="7301"/>
      <c r="C102" s="217">
        <f t="shared" si="42"/>
        <v>0</v>
      </c>
      <c r="D102" s="95">
        <f t="shared" si="43"/>
        <v>0</v>
      </c>
      <c r="E102" s="259">
        <f t="shared" si="43"/>
        <v>0</v>
      </c>
      <c r="F102" s="260"/>
      <c r="G102" s="261"/>
      <c r="H102" s="262"/>
      <c r="I102" s="263"/>
      <c r="J102" s="260"/>
      <c r="K102" s="264"/>
      <c r="L102" s="262"/>
      <c r="M102" s="265"/>
      <c r="N102" s="260"/>
      <c r="O102" s="264"/>
      <c r="P102" s="263"/>
      <c r="Q102" s="265"/>
      <c r="R102" s="266"/>
      <c r="S102" s="264"/>
      <c r="T102" s="263"/>
      <c r="U102" s="265"/>
      <c r="V102" s="266"/>
      <c r="W102" s="264"/>
      <c r="X102" s="263"/>
      <c r="Y102" s="264"/>
      <c r="Z102" s="266"/>
      <c r="AA102" s="265"/>
      <c r="AB102" s="266"/>
      <c r="AC102" s="264"/>
      <c r="AD102" s="263"/>
      <c r="AE102" s="265"/>
      <c r="AF102" s="266"/>
      <c r="AG102" s="264"/>
      <c r="AH102" s="263"/>
      <c r="AI102" s="265"/>
      <c r="AJ102" s="266"/>
      <c r="AK102" s="264"/>
      <c r="AL102" s="263"/>
      <c r="AM102" s="264"/>
      <c r="AN102" s="267"/>
      <c r="AO102" s="268"/>
      <c r="AP102" t="str">
        <f t="shared" si="52"/>
        <v xml:space="preserve"> </v>
      </c>
      <c r="BI102" s="1791" t="str">
        <f t="shared" si="45"/>
        <v xml:space="preserve"> </v>
      </c>
      <c r="BJ102" s="1791" t="str">
        <f t="shared" si="46"/>
        <v/>
      </c>
      <c r="BK102" s="1793"/>
      <c r="BL102" s="1793"/>
      <c r="BN102" s="1793">
        <f t="shared" si="44"/>
        <v>0</v>
      </c>
      <c r="BO102" s="1793">
        <f t="shared" si="48"/>
        <v>0</v>
      </c>
      <c r="BP102" s="1791"/>
      <c r="BQ102" s="1791"/>
    </row>
    <row r="103" spans="1:69" s="17" customFormat="1" ht="18" customHeight="1" x14ac:dyDescent="0.2">
      <c r="A103" s="122" t="s">
        <v>3755</v>
      </c>
      <c r="B103" s="163"/>
      <c r="C103" s="163"/>
      <c r="D103" s="163"/>
    </row>
    <row r="104" spans="1:69" x14ac:dyDescent="0.25">
      <c r="A104" s="7344" t="s">
        <v>312</v>
      </c>
      <c r="B104" s="7380"/>
      <c r="C104" s="7345"/>
      <c r="D104" s="227" t="s">
        <v>24</v>
      </c>
    </row>
    <row r="105" spans="1:69" ht="21" x14ac:dyDescent="0.25">
      <c r="A105" s="7389" t="s">
        <v>313</v>
      </c>
      <c r="B105" s="7390"/>
      <c r="C105" s="271" t="s">
        <v>314</v>
      </c>
      <c r="D105" s="272"/>
    </row>
    <row r="106" spans="1:69" ht="15.75" customHeight="1" x14ac:dyDescent="0.25">
      <c r="A106" s="7391"/>
      <c r="B106" s="7392"/>
      <c r="C106" s="273" t="s">
        <v>3752</v>
      </c>
      <c r="D106" s="244"/>
    </row>
    <row r="107" spans="1:69" ht="15" customHeight="1" x14ac:dyDescent="0.25">
      <c r="A107" s="7393"/>
      <c r="B107" s="7394"/>
      <c r="C107" s="165" t="s">
        <v>315</v>
      </c>
      <c r="D107" s="274"/>
    </row>
    <row r="108" spans="1:69" s="17" customFormat="1" ht="18" customHeight="1" x14ac:dyDescent="0.2">
      <c r="A108" s="7395" t="s">
        <v>316</v>
      </c>
      <c r="B108" s="7395"/>
      <c r="C108" s="7395"/>
      <c r="D108" s="7395"/>
      <c r="E108" s="7395"/>
      <c r="F108" s="7395"/>
      <c r="G108" s="7395"/>
      <c r="H108" s="7395"/>
      <c r="I108" s="7395"/>
      <c r="J108" s="7395"/>
      <c r="K108" s="7396"/>
      <c r="L108" s="291"/>
      <c r="M108" s="292"/>
      <c r="N108" s="292"/>
      <c r="O108" s="293"/>
      <c r="P108" s="163"/>
      <c r="Q108" s="292"/>
      <c r="R108" s="293"/>
      <c r="S108" s="163"/>
      <c r="T108" s="292"/>
      <c r="U108" s="163"/>
      <c r="V108" s="163"/>
      <c r="W108" s="293"/>
      <c r="X108" s="293"/>
      <c r="Y108" s="293"/>
      <c r="Z108" s="294"/>
      <c r="AA108" s="163"/>
      <c r="AB108" s="293"/>
      <c r="AC108" s="293"/>
      <c r="AD108" s="293"/>
      <c r="AE108" s="293"/>
      <c r="AF108" s="294"/>
      <c r="AG108" s="163"/>
      <c r="AH108" s="293"/>
      <c r="AI108" s="293"/>
      <c r="AJ108" s="293"/>
      <c r="AK108" s="163"/>
      <c r="AL108" s="292"/>
      <c r="AM108" s="293"/>
      <c r="AN108" s="292"/>
    </row>
    <row r="109" spans="1:69" x14ac:dyDescent="0.25">
      <c r="A109" s="7337" t="s">
        <v>303</v>
      </c>
      <c r="B109" s="7319"/>
      <c r="C109" s="7322" t="s">
        <v>63</v>
      </c>
      <c r="D109" s="6468"/>
      <c r="E109" s="7323"/>
      <c r="F109" s="7341" t="s">
        <v>30</v>
      </c>
      <c r="G109" s="7342"/>
      <c r="H109" s="7342"/>
      <c r="I109" s="7342"/>
      <c r="J109" s="7342"/>
      <c r="K109" s="7342"/>
      <c r="L109" s="7342"/>
      <c r="M109" s="7342"/>
      <c r="N109" s="7342"/>
      <c r="O109" s="7342"/>
      <c r="P109" s="7342"/>
      <c r="Q109" s="7342"/>
      <c r="R109" s="7342"/>
      <c r="S109" s="7342"/>
      <c r="T109" s="7342"/>
      <c r="U109" s="7342"/>
      <c r="V109" s="7342"/>
      <c r="W109" s="7342"/>
      <c r="X109" s="7342"/>
      <c r="Y109" s="7342"/>
      <c r="Z109" s="7342"/>
      <c r="AA109" s="7342"/>
      <c r="AB109" s="7342"/>
      <c r="AC109" s="7342"/>
      <c r="AD109" s="7342"/>
      <c r="AE109" s="7342"/>
      <c r="AF109" s="7342"/>
      <c r="AG109" s="7342"/>
      <c r="AH109" s="7342"/>
      <c r="AI109" s="7342"/>
      <c r="AJ109" s="7342"/>
      <c r="AK109" s="7342"/>
      <c r="AL109" s="7342"/>
      <c r="AM109" s="7397"/>
      <c r="AN109" s="7354" t="s">
        <v>67</v>
      </c>
    </row>
    <row r="110" spans="1:69" x14ac:dyDescent="0.25">
      <c r="A110" s="7359"/>
      <c r="B110" s="7320"/>
      <c r="C110" s="7324"/>
      <c r="D110" s="7325"/>
      <c r="E110" s="7349"/>
      <c r="F110" s="7344" t="s">
        <v>36</v>
      </c>
      <c r="G110" s="7345"/>
      <c r="H110" s="7344" t="s">
        <v>37</v>
      </c>
      <c r="I110" s="7345"/>
      <c r="J110" s="7344" t="s">
        <v>38</v>
      </c>
      <c r="K110" s="7345"/>
      <c r="L110" s="7344" t="s">
        <v>4</v>
      </c>
      <c r="M110" s="7345"/>
      <c r="N110" s="7344" t="s">
        <v>5</v>
      </c>
      <c r="O110" s="7345"/>
      <c r="P110" s="7327" t="s">
        <v>6</v>
      </c>
      <c r="Q110" s="7333"/>
      <c r="R110" s="7327" t="s">
        <v>7</v>
      </c>
      <c r="S110" s="7333"/>
      <c r="T110" s="7327" t="s">
        <v>8</v>
      </c>
      <c r="U110" s="7333"/>
      <c r="V110" s="7327" t="s">
        <v>9</v>
      </c>
      <c r="W110" s="7333"/>
      <c r="X110" s="7327" t="s">
        <v>10</v>
      </c>
      <c r="Y110" s="7333"/>
      <c r="Z110" s="7327" t="s">
        <v>11</v>
      </c>
      <c r="AA110" s="7333"/>
      <c r="AB110" s="7327" t="s">
        <v>18</v>
      </c>
      <c r="AC110" s="7333"/>
      <c r="AD110" s="7327" t="s">
        <v>19</v>
      </c>
      <c r="AE110" s="7333"/>
      <c r="AF110" s="7327" t="s">
        <v>20</v>
      </c>
      <c r="AG110" s="7333"/>
      <c r="AH110" s="7327" t="s">
        <v>70</v>
      </c>
      <c r="AI110" s="7333"/>
      <c r="AJ110" s="7327" t="s">
        <v>71</v>
      </c>
      <c r="AK110" s="7333"/>
      <c r="AL110" s="6907" t="s">
        <v>32</v>
      </c>
      <c r="AM110" s="6913"/>
      <c r="AN110" s="6472"/>
    </row>
    <row r="111" spans="1:69" x14ac:dyDescent="0.25">
      <c r="A111" s="7338"/>
      <c r="B111" s="7340"/>
      <c r="C111" s="199" t="s">
        <v>26</v>
      </c>
      <c r="D111" s="200" t="s">
        <v>51</v>
      </c>
      <c r="E111" s="175" t="s">
        <v>27</v>
      </c>
      <c r="F111" s="201" t="s">
        <v>51</v>
      </c>
      <c r="G111" s="295" t="s">
        <v>27</v>
      </c>
      <c r="H111" s="201" t="s">
        <v>51</v>
      </c>
      <c r="I111" s="295" t="s">
        <v>27</v>
      </c>
      <c r="J111" s="201" t="s">
        <v>51</v>
      </c>
      <c r="K111" s="295" t="s">
        <v>27</v>
      </c>
      <c r="L111" s="201" t="s">
        <v>51</v>
      </c>
      <c r="M111" s="295" t="s">
        <v>27</v>
      </c>
      <c r="N111" s="201" t="s">
        <v>51</v>
      </c>
      <c r="O111" s="295" t="s">
        <v>27</v>
      </c>
      <c r="P111" s="201" t="s">
        <v>51</v>
      </c>
      <c r="Q111" s="295" t="s">
        <v>27</v>
      </c>
      <c r="R111" s="201" t="s">
        <v>51</v>
      </c>
      <c r="S111" s="295" t="s">
        <v>27</v>
      </c>
      <c r="T111" s="201" t="s">
        <v>51</v>
      </c>
      <c r="U111" s="295" t="s">
        <v>27</v>
      </c>
      <c r="V111" s="201" t="s">
        <v>51</v>
      </c>
      <c r="W111" s="295" t="s">
        <v>27</v>
      </c>
      <c r="X111" s="201" t="s">
        <v>51</v>
      </c>
      <c r="Y111" s="295" t="s">
        <v>27</v>
      </c>
      <c r="Z111" s="201" t="s">
        <v>51</v>
      </c>
      <c r="AA111" s="295" t="s">
        <v>27</v>
      </c>
      <c r="AB111" s="201" t="s">
        <v>51</v>
      </c>
      <c r="AC111" s="295" t="s">
        <v>27</v>
      </c>
      <c r="AD111" s="201" t="s">
        <v>51</v>
      </c>
      <c r="AE111" s="295" t="s">
        <v>27</v>
      </c>
      <c r="AF111" s="201" t="s">
        <v>51</v>
      </c>
      <c r="AG111" s="295" t="s">
        <v>27</v>
      </c>
      <c r="AH111" s="201" t="s">
        <v>51</v>
      </c>
      <c r="AI111" s="295" t="s">
        <v>27</v>
      </c>
      <c r="AJ111" s="201" t="s">
        <v>51</v>
      </c>
      <c r="AK111" s="295" t="s">
        <v>27</v>
      </c>
      <c r="AL111" s="201" t="s">
        <v>51</v>
      </c>
      <c r="AM111" s="295" t="s">
        <v>27</v>
      </c>
      <c r="AN111" s="7356"/>
    </row>
    <row r="112" spans="1:69" ht="15" customHeight="1" x14ac:dyDescent="0.25">
      <c r="A112" s="7381" t="s">
        <v>317</v>
      </c>
      <c r="B112" s="7382"/>
      <c r="C112" s="145">
        <f>SUM(D112+E112)</f>
        <v>0</v>
      </c>
      <c r="D112" s="275">
        <f t="shared" ref="D112:E114" si="53">SUM(F112+H112+J112+L112+N112+P112+R112+T112+V112+X112+Z112+AB112+AD112+AF112+AH112+AJ112+AL112)</f>
        <v>0</v>
      </c>
      <c r="E112" s="154">
        <f t="shared" si="53"/>
        <v>0</v>
      </c>
      <c r="F112" s="276"/>
      <c r="G112" s="277"/>
      <c r="H112" s="276"/>
      <c r="I112" s="277"/>
      <c r="J112" s="276"/>
      <c r="K112" s="277"/>
      <c r="L112" s="276"/>
      <c r="M112" s="277"/>
      <c r="N112" s="276"/>
      <c r="O112" s="277"/>
      <c r="P112" s="276"/>
      <c r="Q112" s="277"/>
      <c r="R112" s="276"/>
      <c r="S112" s="277"/>
      <c r="T112" s="276"/>
      <c r="U112" s="277"/>
      <c r="V112" s="276"/>
      <c r="W112" s="277"/>
      <c r="X112" s="276"/>
      <c r="Y112" s="277"/>
      <c r="Z112" s="276"/>
      <c r="AA112" s="277"/>
      <c r="AB112" s="276"/>
      <c r="AC112" s="277"/>
      <c r="AD112" s="278"/>
      <c r="AE112" s="279"/>
      <c r="AF112" s="276"/>
      <c r="AG112" s="277"/>
      <c r="AH112" s="278"/>
      <c r="AI112" s="279"/>
      <c r="AJ112" s="276"/>
      <c r="AK112" s="277"/>
      <c r="AL112" s="278"/>
      <c r="AM112" s="277"/>
      <c r="AN112" s="280"/>
      <c r="AO112" t="str">
        <f>BI112&amp;BJ112</f>
        <v/>
      </c>
      <c r="BI112" s="1791" t="str">
        <f>IF(AND(C112&gt;0,AN112="")," * No olvide digitar la columna Beneficiarios","")</f>
        <v/>
      </c>
      <c r="BJ112" s="1791" t="str">
        <f>IF(AN112&gt;C112," * Los beneficiairos no pueden ser mayor al Total.","")</f>
        <v/>
      </c>
      <c r="BK112" s="1791"/>
      <c r="BL112" s="1791"/>
      <c r="BN112" s="1793">
        <f>IF(AND(C112&gt;0,AN112=""),1,0)</f>
        <v>0</v>
      </c>
      <c r="BO112" s="1793">
        <f>IF(AN112&gt;C112,1,0)</f>
        <v>0</v>
      </c>
      <c r="BP112" s="1793"/>
    </row>
    <row r="113" spans="1:74" ht="15" customHeight="1" x14ac:dyDescent="0.25">
      <c r="A113" s="7386" t="s">
        <v>318</v>
      </c>
      <c r="B113" s="7387"/>
      <c r="C113" s="79">
        <f>SUM(D113+E113)</f>
        <v>0</v>
      </c>
      <c r="D113" s="80">
        <f t="shared" si="53"/>
        <v>0</v>
      </c>
      <c r="E113" s="81">
        <f t="shared" si="53"/>
        <v>0</v>
      </c>
      <c r="F113" s="281"/>
      <c r="G113" s="282"/>
      <c r="H113" s="281"/>
      <c r="I113" s="282"/>
      <c r="J113" s="281"/>
      <c r="K113" s="282"/>
      <c r="L113" s="281"/>
      <c r="M113" s="282"/>
      <c r="N113" s="281"/>
      <c r="O113" s="282"/>
      <c r="P113" s="281"/>
      <c r="Q113" s="282"/>
      <c r="R113" s="281"/>
      <c r="S113" s="282"/>
      <c r="T113" s="281"/>
      <c r="U113" s="282"/>
      <c r="V113" s="281"/>
      <c r="W113" s="282"/>
      <c r="X113" s="281"/>
      <c r="Y113" s="282"/>
      <c r="Z113" s="281"/>
      <c r="AA113" s="282"/>
      <c r="AB113" s="281"/>
      <c r="AC113" s="282"/>
      <c r="AD113" s="283"/>
      <c r="AE113" s="284"/>
      <c r="AF113" s="281"/>
      <c r="AG113" s="282"/>
      <c r="AH113" s="283"/>
      <c r="AI113" s="284"/>
      <c r="AJ113" s="281"/>
      <c r="AK113" s="282"/>
      <c r="AL113" s="283"/>
      <c r="AM113" s="282"/>
      <c r="AN113" s="285"/>
      <c r="AO113" t="str">
        <f t="shared" ref="AO113:AO114" si="54">BI113&amp;BJ113</f>
        <v/>
      </c>
      <c r="BI113" s="1791" t="str">
        <f t="shared" ref="BI113:BI114" si="55">IF(AND(C113&gt;0,AN113="")," * No olvide digitar la columna Beneficiarios","")</f>
        <v/>
      </c>
      <c r="BJ113" s="1791" t="str">
        <f t="shared" ref="BJ113:BJ114" si="56">IF(AN113&gt;C113," * Los beneficiairos no pueden ser mayor al Total.","")</f>
        <v/>
      </c>
      <c r="BK113" s="1791"/>
      <c r="BL113" s="1791"/>
      <c r="BN113" s="1793">
        <f t="shared" ref="BN113:BN114" si="57">IF(AND(C113&gt;0,AN113=""),1,0)</f>
        <v>0</v>
      </c>
      <c r="BO113" s="1793">
        <f t="shared" ref="BO113:BO114" si="58">IF(AN113&gt;C113,1,0)</f>
        <v>0</v>
      </c>
      <c r="BP113" s="1793"/>
    </row>
    <row r="114" spans="1:74" ht="15" customHeight="1" x14ac:dyDescent="0.25">
      <c r="A114" s="6570" t="s">
        <v>319</v>
      </c>
      <c r="B114" s="6571"/>
      <c r="C114" s="217">
        <f>SUM(D114+E114)</f>
        <v>0</v>
      </c>
      <c r="D114" s="95">
        <f t="shared" si="53"/>
        <v>0</v>
      </c>
      <c r="E114" s="161">
        <f t="shared" si="53"/>
        <v>0</v>
      </c>
      <c r="F114" s="286"/>
      <c r="G114" s="287"/>
      <c r="H114" s="286"/>
      <c r="I114" s="287"/>
      <c r="J114" s="286"/>
      <c r="K114" s="287"/>
      <c r="L114" s="286"/>
      <c r="M114" s="287"/>
      <c r="N114" s="286"/>
      <c r="O114" s="287"/>
      <c r="P114" s="286"/>
      <c r="Q114" s="287"/>
      <c r="R114" s="286"/>
      <c r="S114" s="287"/>
      <c r="T114" s="286"/>
      <c r="U114" s="287"/>
      <c r="V114" s="286"/>
      <c r="W114" s="287"/>
      <c r="X114" s="286"/>
      <c r="Y114" s="287"/>
      <c r="Z114" s="286"/>
      <c r="AA114" s="287"/>
      <c r="AB114" s="286"/>
      <c r="AC114" s="287"/>
      <c r="AD114" s="288"/>
      <c r="AE114" s="289"/>
      <c r="AF114" s="286"/>
      <c r="AG114" s="287"/>
      <c r="AH114" s="288"/>
      <c r="AI114" s="289"/>
      <c r="AJ114" s="286"/>
      <c r="AK114" s="287"/>
      <c r="AL114" s="288"/>
      <c r="AM114" s="287"/>
      <c r="AN114" s="290"/>
      <c r="AO114" t="str">
        <f t="shared" si="54"/>
        <v/>
      </c>
      <c r="BI114" s="1791" t="str">
        <f t="shared" si="55"/>
        <v/>
      </c>
      <c r="BJ114" s="1791" t="str">
        <f t="shared" si="56"/>
        <v/>
      </c>
      <c r="BK114" s="1791"/>
      <c r="BL114" s="1791"/>
      <c r="BN114" s="1793">
        <f t="shared" si="57"/>
        <v>0</v>
      </c>
      <c r="BO114" s="1793">
        <f t="shared" si="58"/>
        <v>0</v>
      </c>
      <c r="BP114" s="1793"/>
    </row>
    <row r="115" spans="1:74" s="17" customFormat="1" ht="18" customHeight="1" x14ac:dyDescent="0.2">
      <c r="A115" s="122" t="s">
        <v>320</v>
      </c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</row>
    <row r="116" spans="1:74" x14ac:dyDescent="0.25">
      <c r="A116" s="7337" t="s">
        <v>23</v>
      </c>
      <c r="B116" s="7319"/>
      <c r="C116" s="7337" t="s">
        <v>24</v>
      </c>
      <c r="D116" s="6603"/>
      <c r="E116" s="7319"/>
      <c r="F116" s="7344" t="s">
        <v>491</v>
      </c>
      <c r="G116" s="7345"/>
      <c r="H116" s="7388" t="s">
        <v>492</v>
      </c>
      <c r="I116" s="7345"/>
      <c r="J116" s="7344" t="s">
        <v>493</v>
      </c>
      <c r="K116" s="7345"/>
      <c r="L116" s="7344" t="s">
        <v>5</v>
      </c>
      <c r="M116" s="7345"/>
      <c r="N116" s="7344" t="s">
        <v>494</v>
      </c>
      <c r="O116" s="7345"/>
      <c r="P116" s="7344" t="s">
        <v>495</v>
      </c>
      <c r="Q116" s="7345"/>
      <c r="R116" s="7327" t="s">
        <v>496</v>
      </c>
      <c r="S116" s="7333"/>
      <c r="T116" s="7327" t="s">
        <v>497</v>
      </c>
      <c r="U116" s="7333"/>
      <c r="V116" s="7327" t="s">
        <v>498</v>
      </c>
      <c r="W116" s="7328"/>
      <c r="X116" s="7327" t="s">
        <v>57</v>
      </c>
      <c r="Y116" s="7333"/>
    </row>
    <row r="117" spans="1:74" x14ac:dyDescent="0.25">
      <c r="A117" s="7338"/>
      <c r="B117" s="7340"/>
      <c r="C117" s="199" t="s">
        <v>26</v>
      </c>
      <c r="D117" s="200" t="s">
        <v>22</v>
      </c>
      <c r="E117" s="176" t="s">
        <v>27</v>
      </c>
      <c r="F117" s="201" t="s">
        <v>51</v>
      </c>
      <c r="G117" s="295" t="s">
        <v>27</v>
      </c>
      <c r="H117" s="201" t="s">
        <v>51</v>
      </c>
      <c r="I117" s="295" t="s">
        <v>27</v>
      </c>
      <c r="J117" s="201" t="s">
        <v>51</v>
      </c>
      <c r="K117" s="295" t="s">
        <v>27</v>
      </c>
      <c r="L117" s="201" t="s">
        <v>51</v>
      </c>
      <c r="M117" s="295" t="s">
        <v>27</v>
      </c>
      <c r="N117" s="201" t="s">
        <v>51</v>
      </c>
      <c r="O117" s="295" t="s">
        <v>27</v>
      </c>
      <c r="P117" s="201" t="s">
        <v>51</v>
      </c>
      <c r="Q117" s="295" t="s">
        <v>27</v>
      </c>
      <c r="R117" s="201" t="s">
        <v>51</v>
      </c>
      <c r="S117" s="295" t="s">
        <v>27</v>
      </c>
      <c r="T117" s="201" t="s">
        <v>51</v>
      </c>
      <c r="U117" s="295" t="s">
        <v>27</v>
      </c>
      <c r="V117" s="201" t="s">
        <v>51</v>
      </c>
      <c r="W117" s="296" t="s">
        <v>27</v>
      </c>
      <c r="X117" s="201" t="s">
        <v>51</v>
      </c>
      <c r="Y117" s="295" t="s">
        <v>27</v>
      </c>
    </row>
    <row r="118" spans="1:74" x14ac:dyDescent="0.25">
      <c r="A118" s="7381" t="s">
        <v>321</v>
      </c>
      <c r="B118" s="7382"/>
      <c r="C118" s="297">
        <f>SUM(D118+E118)</f>
        <v>0</v>
      </c>
      <c r="D118" s="212">
        <f>SUM(F118+H118+J118+L118+N118+P118+R118+T118+V118+X118)</f>
        <v>0</v>
      </c>
      <c r="E118" s="183">
        <f>SUM(G118+I118+K118+M118+O118+Q118+S118+U118+W118+Y118)</f>
        <v>0</v>
      </c>
      <c r="F118" s="234"/>
      <c r="G118" s="298"/>
      <c r="H118" s="233"/>
      <c r="I118" s="235"/>
      <c r="J118" s="233"/>
      <c r="K118" s="235"/>
      <c r="L118" s="234"/>
      <c r="M118" s="298"/>
      <c r="N118" s="233"/>
      <c r="O118" s="235"/>
      <c r="P118" s="234"/>
      <c r="Q118" s="298"/>
      <c r="R118" s="233"/>
      <c r="S118" s="235"/>
      <c r="T118" s="234"/>
      <c r="U118" s="298"/>
      <c r="V118" s="233"/>
      <c r="W118" s="235"/>
      <c r="X118" s="233"/>
      <c r="Y118" s="299"/>
    </row>
    <row r="119" spans="1:74" x14ac:dyDescent="0.25">
      <c r="A119" s="7383" t="s">
        <v>322</v>
      </c>
      <c r="B119" s="7384"/>
      <c r="C119" s="300">
        <f>SUM(D119+E119)</f>
        <v>0</v>
      </c>
      <c r="D119" s="217">
        <f>SUM(F119+H119+J119+L119+N119+P119+R119+T119+V119+X119)</f>
        <v>0</v>
      </c>
      <c r="E119" s="196">
        <f>SUM(G119+I119+K119+M119+O119+Q119+S119+U119+W119+Y119)</f>
        <v>0</v>
      </c>
      <c r="F119" s="301"/>
      <c r="G119" s="302"/>
      <c r="H119" s="303"/>
      <c r="I119" s="304"/>
      <c r="J119" s="303"/>
      <c r="K119" s="304"/>
      <c r="L119" s="301"/>
      <c r="M119" s="302"/>
      <c r="N119" s="303"/>
      <c r="O119" s="304"/>
      <c r="P119" s="301"/>
      <c r="Q119" s="302"/>
      <c r="R119" s="303"/>
      <c r="S119" s="304"/>
      <c r="T119" s="301"/>
      <c r="U119" s="302"/>
      <c r="V119" s="303"/>
      <c r="W119" s="304"/>
      <c r="X119" s="303"/>
      <c r="Y119" s="305"/>
    </row>
    <row r="120" spans="1:74" s="17" customFormat="1" ht="18" customHeight="1" x14ac:dyDescent="0.2">
      <c r="A120" s="122" t="s">
        <v>323</v>
      </c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</row>
    <row r="121" spans="1:74" x14ac:dyDescent="0.25">
      <c r="A121" s="7334" t="s">
        <v>23</v>
      </c>
      <c r="B121" s="7328" t="s">
        <v>324</v>
      </c>
      <c r="C121" s="7328"/>
      <c r="D121" s="7328"/>
      <c r="E121" s="7333"/>
      <c r="F121" s="7357" t="s">
        <v>24</v>
      </c>
      <c r="G121" s="7358"/>
      <c r="H121" s="7385" t="s">
        <v>942</v>
      </c>
      <c r="I121" s="7328"/>
      <c r="J121" s="7328"/>
      <c r="K121" s="7329"/>
      <c r="L121" s="7323" t="s">
        <v>325</v>
      </c>
      <c r="M121" s="7354" t="s">
        <v>326</v>
      </c>
      <c r="N121" s="7323" t="s">
        <v>327</v>
      </c>
      <c r="O121" s="7354" t="s">
        <v>2</v>
      </c>
      <c r="P121" s="7354" t="s">
        <v>3</v>
      </c>
    </row>
    <row r="122" spans="1:74" x14ac:dyDescent="0.25">
      <c r="A122" s="7336"/>
      <c r="B122" s="1816" t="s">
        <v>328</v>
      </c>
      <c r="C122" s="1816" t="s">
        <v>329</v>
      </c>
      <c r="D122" s="227" t="s">
        <v>330</v>
      </c>
      <c r="E122" s="175" t="s">
        <v>331</v>
      </c>
      <c r="F122" s="1776" t="s">
        <v>250</v>
      </c>
      <c r="G122" s="1817" t="s">
        <v>21</v>
      </c>
      <c r="H122" s="1818" t="s">
        <v>334</v>
      </c>
      <c r="I122" s="227" t="s">
        <v>335</v>
      </c>
      <c r="J122" s="1777" t="s">
        <v>332</v>
      </c>
      <c r="K122" s="1819" t="s">
        <v>333</v>
      </c>
      <c r="L122" s="7349"/>
      <c r="M122" s="7356"/>
      <c r="N122" s="7349"/>
      <c r="O122" s="7356"/>
      <c r="P122" s="7356"/>
    </row>
    <row r="123" spans="1:74" x14ac:dyDescent="0.25">
      <c r="A123" s="306" t="s">
        <v>321</v>
      </c>
      <c r="B123" s="236"/>
      <c r="C123" s="299"/>
      <c r="D123" s="307"/>
      <c r="E123" s="308"/>
      <c r="F123" s="309"/>
      <c r="G123" s="310"/>
      <c r="H123" s="311"/>
      <c r="I123" s="236"/>
      <c r="J123" s="236"/>
      <c r="K123" s="310"/>
      <c r="L123" s="299"/>
      <c r="M123" s="236"/>
      <c r="N123" s="299"/>
      <c r="O123" s="236"/>
      <c r="P123" s="236"/>
      <c r="Q123" t="str">
        <f>BF123&amp;BG123&amp;BH123&amp;BI123&amp;BJ123&amp;BK123&amp;BL123&amp;BM123</f>
        <v/>
      </c>
      <c r="BF123" s="1791" t="str">
        <f>IF(F123+G123&lt;&gt;(B123+C123),"* La sumatoria de AGRESOR/A debe ser igual al Total de Hombres+Mujeres. ","")</f>
        <v/>
      </c>
      <c r="BG123" s="1791"/>
      <c r="BH123" s="1791"/>
      <c r="BI123" s="1791" t="str">
        <f>IF(AND((F123+G123)&gt;0,L123="")," * No olvide digitar la variable Sin lesiones constatables. Digite cero si no tiene.",IF(L123&gt;(F123+G123)," * La variable Sin lesiones constatables no puede ser mayor a la sumatoria Total de Hombres+Mujeres.",""))</f>
        <v/>
      </c>
      <c r="BJ123" s="1791" t="str">
        <f>IF(AND((F123+G123)&gt;0,M123="")," * No olvide digitar la variable Diversidad Sexual. Digite cero si no tiene.",IF(M123&gt;(F123+G123)," * La variable Diversidad Sexual  no puede ser mayor a la sumatoria Total de Hombres+Mujeres.",""))</f>
        <v/>
      </c>
      <c r="BK123" s="1791" t="str">
        <f>IF(AND(G123&gt;0,N123="")," * No olvide digitar la variable Embarazadas. Digite cero si no tiene.",IF((N123&gt;G123)," * La variable Embarazadas  no puede ser mayor a la sumatoria Total Mujer.",""))</f>
        <v/>
      </c>
      <c r="BL123" s="1791" t="str">
        <f>IF(AND((F123+G123)&gt;0,O123="")," * No olvide digitar la variable Pueblos Originarios. Digite cero si no tiene.",IF(O123&gt;(F123+G123)," * La variable Pueblos Originarios  no puede ser mayor a la sumatoria Total de Hombres+Mujeres.",""))</f>
        <v/>
      </c>
      <c r="BM123" s="1791" t="str">
        <f>IF(AND((F123+G123)&gt;0,P123="")," * No olvide digitar la variable Migrantes. Digite cero si no tiene.",IF(P123&gt;(F123+G123)," * La variable Migrantes  no puede ser mayor a la sumatoria Total de Hombres+Mujeres.",""))</f>
        <v/>
      </c>
      <c r="BO123" s="1793">
        <f>IF(F123+G123&lt;&gt;(B123+C123),1,0)</f>
        <v>0</v>
      </c>
      <c r="BP123" s="1793"/>
      <c r="BQ123" s="1793"/>
      <c r="BR123" s="1793">
        <f>IF(AND((F123+G123)&gt;0,L123=""),1,IF(L123&gt;(F123+G123),1,0))</f>
        <v>0</v>
      </c>
      <c r="BS123" s="1793">
        <f>IF(AND((F123+G123)&gt;0,M123=""),1,IF(M123&gt;(F123+G123),1,0))</f>
        <v>0</v>
      </c>
      <c r="BT123" s="1793">
        <f>IF(AND((G123)&gt;0,N123=""),1,IF(N123&gt;(G123),1,0))</f>
        <v>0</v>
      </c>
      <c r="BU123" s="1793">
        <f>IF(AND((F123+G123)&gt;0,O123=""),1,IF(O123&gt;(F123+G123),1,0))</f>
        <v>0</v>
      </c>
      <c r="BV123" s="1793">
        <f>IF(AND((G123+F123)&gt;0,P123=""),1,IF(P123&gt;(F123+G123),1,0))</f>
        <v>0</v>
      </c>
    </row>
    <row r="124" spans="1:74" x14ac:dyDescent="0.25">
      <c r="A124" s="312" t="s">
        <v>322</v>
      </c>
      <c r="B124" s="313"/>
      <c r="C124" s="314"/>
      <c r="D124" s="315"/>
      <c r="E124" s="305"/>
      <c r="F124" s="316"/>
      <c r="G124" s="317"/>
      <c r="H124" s="318"/>
      <c r="I124" s="315"/>
      <c r="J124" s="315"/>
      <c r="K124" s="317"/>
      <c r="L124" s="305"/>
      <c r="M124" s="315"/>
      <c r="N124" s="305"/>
      <c r="O124" s="315"/>
      <c r="P124" s="315"/>
      <c r="Q124" t="str">
        <f>BF124&amp;BG124&amp;BH124&amp;BI124&amp;BJ124&amp;BK124&amp;BL124&amp;BM124</f>
        <v/>
      </c>
      <c r="BF124" s="1791" t="str">
        <f>IF(F124+G124&lt;&gt;(D124+E124),"* La sumatoria de AGRESOR/A debe ser igual al Total de Hombres+Mujeres. ","")</f>
        <v/>
      </c>
      <c r="BG124" s="1791"/>
      <c r="BH124" s="1791"/>
      <c r="BI124" s="1791" t="str">
        <f>IF(AND((F124+G124)&gt;0,L124="")," * No olvide digitar la variable Sin lesiones constatables. Digite cero si no tiene.",IF(L124&gt;(F124+G124)," * La variable Sin lesiones constatables no puede ser mayor a la sumatoria Total de Hombres+Mujeres.",""))</f>
        <v/>
      </c>
      <c r="BJ124" s="1791" t="str">
        <f>IF(AND((F124+G124)&gt;0,M124="")," * No olvide digitar la variable Diversidad Sexual. Digite cero si no tiene.",IF(M124&gt;(F124+G124)," * La variable Diversidad Sexual  no puede ser mayor a la sumatoria Total de Hombres+Mujeres.",""))</f>
        <v/>
      </c>
      <c r="BK124" s="1791" t="str">
        <f>IF(AND(G124&gt;0,N124="")," * No olvide digitar la variable Embarazadas. Digite cero si no tiene.",IF((N124&gt;G124)," * La variable Embarazadas  no puede ser mayor a la sumatoria Total Mujer.",""))</f>
        <v/>
      </c>
      <c r="BL124" s="1791" t="str">
        <f>IF(AND((F124+G124)&gt;0,O124="")," * No olvide digitar la variable Pueblos Originarios. Digite cero si no tiene.",IF(O124&gt;(F124+G124)," * La variable Pueblos Originarios  no puede ser mayor a la sumatoria Total de Hombres+Mujeres.",""))</f>
        <v/>
      </c>
      <c r="BM124" s="1791" t="str">
        <f>IF(AND((F124+G124)&gt;0,P124="")," * No olvide digitar la variable Migrantes. Digite cero si no tiene.",IF(P124&gt;(F124+G124)," * La variable Migrantes  no puede ser mayor a la sumatoria Total de Hombres+Mujeres.",""))</f>
        <v/>
      </c>
      <c r="BO124" s="1793">
        <f>IF(F124+G124&lt;&gt;(D124+E124),1,0)</f>
        <v>0</v>
      </c>
      <c r="BP124" s="1793"/>
      <c r="BQ124" s="1793"/>
      <c r="BR124" s="1793">
        <f>IF(AND((F124+G124)&gt;0,L124=""),1,IF(L124&gt;(F124+G124),1,0))</f>
        <v>0</v>
      </c>
      <c r="BS124" s="1793">
        <f>IF(AND((F124+G124)&gt;0,M124=""),1,IF(M124&gt;(F124+G124),1,0))</f>
        <v>0</v>
      </c>
      <c r="BT124" s="1793">
        <f>IF(AND((G124)&gt;0,N124=""),1,IF(N124&gt;(G124),1,0))</f>
        <v>0</v>
      </c>
      <c r="BU124" s="1793">
        <f>IF(AND((F124+G124)&gt;0,O124=""),1,IF(O124&gt;(F124+G124),1,0))</f>
        <v>0</v>
      </c>
      <c r="BV124" s="1793">
        <f>IF(AND((G124+F124)&gt;0,P124=""),1,IF(P124&gt;(F124+G124),1,0))</f>
        <v>0</v>
      </c>
    </row>
    <row r="125" spans="1:74" s="17" customFormat="1" ht="18" customHeight="1" x14ac:dyDescent="0.2">
      <c r="A125" s="122" t="s">
        <v>336</v>
      </c>
      <c r="B125" s="122"/>
      <c r="C125" s="122"/>
      <c r="D125" s="122"/>
      <c r="E125" s="122"/>
      <c r="F125" s="122"/>
      <c r="G125" s="122"/>
      <c r="H125" s="122"/>
      <c r="I125" s="122"/>
      <c r="J125" s="122"/>
    </row>
    <row r="126" spans="1:74" x14ac:dyDescent="0.25">
      <c r="A126" s="7337" t="s">
        <v>23</v>
      </c>
      <c r="B126" s="7319"/>
      <c r="C126" s="7334" t="s">
        <v>24</v>
      </c>
      <c r="D126" s="7344" t="s">
        <v>12</v>
      </c>
      <c r="E126" s="7380"/>
      <c r="F126" s="7380"/>
      <c r="G126" s="7380"/>
      <c r="H126" s="7380"/>
      <c r="I126" s="7346"/>
      <c r="J126" s="7323" t="s">
        <v>67</v>
      </c>
    </row>
    <row r="127" spans="1:74" x14ac:dyDescent="0.25">
      <c r="A127" s="7338"/>
      <c r="B127" s="7340"/>
      <c r="C127" s="7336"/>
      <c r="D127" s="201" t="s">
        <v>38</v>
      </c>
      <c r="E127" s="1813" t="s">
        <v>4</v>
      </c>
      <c r="F127" s="1813" t="s">
        <v>5</v>
      </c>
      <c r="G127" s="1813" t="s">
        <v>337</v>
      </c>
      <c r="H127" s="1813" t="s">
        <v>338</v>
      </c>
      <c r="I127" s="1821" t="s">
        <v>339</v>
      </c>
      <c r="J127" s="7349"/>
    </row>
    <row r="128" spans="1:74" x14ac:dyDescent="0.25">
      <c r="A128" s="7363" t="s">
        <v>340</v>
      </c>
      <c r="B128" s="319" t="s">
        <v>341</v>
      </c>
      <c r="C128" s="167">
        <f>SUM(D128:I128)</f>
        <v>0</v>
      </c>
      <c r="D128" s="186"/>
      <c r="E128" s="320"/>
      <c r="F128" s="320"/>
      <c r="G128" s="320"/>
      <c r="H128" s="320"/>
      <c r="I128" s="321"/>
      <c r="J128" s="187"/>
      <c r="K128" t="str">
        <f>BI128&amp;BJ128</f>
        <v/>
      </c>
      <c r="BI128" s="1791" t="str">
        <f>IF(AND(C128&gt;0,J128="")," * No olvide digitar la columna Beneficiarios","")</f>
        <v/>
      </c>
      <c r="BJ128" s="1791" t="str">
        <f>IF(J128&gt;C128," * Los beneficiarios no pueden ser mayor que el Total.","")</f>
        <v/>
      </c>
      <c r="BN128" s="1793">
        <f>IF(AND(C128&gt;0,J128=""),1,0)</f>
        <v>0</v>
      </c>
      <c r="BO128" s="1793">
        <f>IF(J128&gt;C128,1,0)</f>
        <v>0</v>
      </c>
    </row>
    <row r="129" spans="1:67" x14ac:dyDescent="0.25">
      <c r="A129" s="7365"/>
      <c r="B129" s="322" t="s">
        <v>342</v>
      </c>
      <c r="C129" s="150">
        <f>SUM(D129:I129)</f>
        <v>0</v>
      </c>
      <c r="D129" s="114"/>
      <c r="E129" s="115"/>
      <c r="F129" s="115"/>
      <c r="G129" s="115"/>
      <c r="H129" s="115"/>
      <c r="I129" s="162"/>
      <c r="J129" s="117"/>
      <c r="K129" t="str">
        <f>BI129&amp;BJ129</f>
        <v/>
      </c>
      <c r="BI129" s="1791" t="str">
        <f>IF(AND(C129&gt;0,J129="")," * No olvide digitar la columna Beneficiarios","")</f>
        <v/>
      </c>
      <c r="BJ129" s="1791" t="str">
        <f>IF(J129&gt;C129," * Los beneficiarios no pueden ser mayor que el Total.","")</f>
        <v/>
      </c>
      <c r="BN129" s="1793">
        <f>IF(AND(C129&gt;0,J129=""),1,0)</f>
        <v>0</v>
      </c>
      <c r="BO129" s="1793">
        <f>IF(J129&gt;C129,1,0)</f>
        <v>0</v>
      </c>
    </row>
    <row r="130" spans="1:67" s="17" customFormat="1" ht="18" customHeight="1" x14ac:dyDescent="0.2">
      <c r="A130" s="122" t="s">
        <v>343</v>
      </c>
      <c r="B130" s="122"/>
      <c r="C130" s="122"/>
      <c r="D130" s="122"/>
      <c r="E130" s="122"/>
      <c r="F130" s="122"/>
      <c r="G130" s="122"/>
      <c r="H130" s="122"/>
      <c r="I130" s="122"/>
      <c r="J130" s="122"/>
    </row>
    <row r="131" spans="1:67" x14ac:dyDescent="0.25">
      <c r="A131" s="1777" t="s">
        <v>13</v>
      </c>
      <c r="B131" s="1777" t="s">
        <v>3885</v>
      </c>
    </row>
    <row r="132" spans="1:67" x14ac:dyDescent="0.25">
      <c r="A132" s="323" t="s">
        <v>345</v>
      </c>
      <c r="B132" s="188"/>
    </row>
    <row r="133" spans="1:67" x14ac:dyDescent="0.25">
      <c r="A133" s="324" t="s">
        <v>346</v>
      </c>
      <c r="B133" s="148"/>
    </row>
    <row r="134" spans="1:67" x14ac:dyDescent="0.25">
      <c r="A134" s="324" t="s">
        <v>15</v>
      </c>
      <c r="B134" s="148"/>
    </row>
    <row r="135" spans="1:67" x14ac:dyDescent="0.25">
      <c r="A135" s="324" t="s">
        <v>16</v>
      </c>
      <c r="B135" s="148"/>
    </row>
    <row r="136" spans="1:67" x14ac:dyDescent="0.25">
      <c r="A136" s="324" t="s">
        <v>344</v>
      </c>
      <c r="B136" s="148"/>
    </row>
    <row r="137" spans="1:67" x14ac:dyDescent="0.25">
      <c r="A137" s="325" t="s">
        <v>347</v>
      </c>
      <c r="B137" s="136"/>
    </row>
    <row r="138" spans="1:67" x14ac:dyDescent="0.25">
      <c r="A138" s="325" t="s">
        <v>348</v>
      </c>
      <c r="B138" s="136"/>
    </row>
    <row r="139" spans="1:67" x14ac:dyDescent="0.25">
      <c r="A139" s="325" t="s">
        <v>349</v>
      </c>
      <c r="B139" s="148"/>
    </row>
    <row r="140" spans="1:67" x14ac:dyDescent="0.25">
      <c r="A140" s="325" t="s">
        <v>350</v>
      </c>
      <c r="B140" s="136"/>
    </row>
    <row r="141" spans="1:67" x14ac:dyDescent="0.25">
      <c r="A141" s="326" t="s">
        <v>351</v>
      </c>
      <c r="B141" s="158"/>
    </row>
    <row r="142" spans="1:67" x14ac:dyDescent="0.25">
      <c r="A142" s="327" t="s">
        <v>352</v>
      </c>
      <c r="B142" s="158"/>
    </row>
    <row r="143" spans="1:67" x14ac:dyDescent="0.25">
      <c r="A143" s="327" t="s">
        <v>353</v>
      </c>
      <c r="B143" s="158"/>
    </row>
    <row r="144" spans="1:67" x14ac:dyDescent="0.25">
      <c r="A144" s="328" t="s">
        <v>24</v>
      </c>
      <c r="B144" s="232">
        <f>SUM(B132:B143)</f>
        <v>0</v>
      </c>
    </row>
    <row r="145" spans="1:68" s="17" customFormat="1" ht="18" customHeight="1" x14ac:dyDescent="0.2">
      <c r="A145" s="122" t="s">
        <v>354</v>
      </c>
      <c r="B145" s="123"/>
      <c r="C145" s="123"/>
      <c r="D145" s="101"/>
    </row>
    <row r="146" spans="1:68" ht="23.25" customHeight="1" x14ac:dyDescent="0.25">
      <c r="A146" s="7344" t="s">
        <v>355</v>
      </c>
      <c r="B146" s="7345"/>
      <c r="C146" s="227" t="s">
        <v>938</v>
      </c>
      <c r="D146" s="227" t="s">
        <v>939</v>
      </c>
    </row>
    <row r="147" spans="1:68" x14ac:dyDescent="0.25">
      <c r="A147" s="594" t="s">
        <v>356</v>
      </c>
      <c r="B147" s="173" t="s">
        <v>357</v>
      </c>
      <c r="C147" s="329"/>
      <c r="D147" s="329"/>
    </row>
    <row r="148" spans="1:68" s="17" customFormat="1" ht="18" customHeight="1" x14ac:dyDescent="0.2">
      <c r="A148" s="122" t="s">
        <v>358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</row>
    <row r="149" spans="1:68" ht="22.5" customHeight="1" x14ac:dyDescent="0.25">
      <c r="A149" s="7337" t="s">
        <v>355</v>
      </c>
      <c r="B149" s="7319"/>
      <c r="C149" s="7327" t="s">
        <v>359</v>
      </c>
      <c r="D149" s="7328"/>
      <c r="E149" s="7333"/>
      <c r="F149" s="7354" t="s">
        <v>67</v>
      </c>
      <c r="G149" s="7380" t="s">
        <v>940</v>
      </c>
      <c r="H149" s="7380"/>
      <c r="I149" s="7345"/>
      <c r="J149" s="7344" t="s">
        <v>941</v>
      </c>
      <c r="K149" s="7380"/>
      <c r="L149" s="7345"/>
    </row>
    <row r="150" spans="1:68" ht="21" x14ac:dyDescent="0.25">
      <c r="A150" s="7338"/>
      <c r="B150" s="7340"/>
      <c r="C150" s="171" t="s">
        <v>24</v>
      </c>
      <c r="D150" s="177" t="s">
        <v>360</v>
      </c>
      <c r="E150" s="172" t="s">
        <v>361</v>
      </c>
      <c r="F150" s="7356"/>
      <c r="G150" s="177" t="s">
        <v>362</v>
      </c>
      <c r="H150" s="179" t="s">
        <v>363</v>
      </c>
      <c r="I150" s="172" t="s">
        <v>364</v>
      </c>
      <c r="J150" s="177" t="s">
        <v>362</v>
      </c>
      <c r="K150" s="179" t="s">
        <v>363</v>
      </c>
      <c r="L150" s="172" t="s">
        <v>364</v>
      </c>
    </row>
    <row r="151" spans="1:68" x14ac:dyDescent="0.25">
      <c r="A151" s="7363" t="s">
        <v>365</v>
      </c>
      <c r="B151" s="330" t="s">
        <v>366</v>
      </c>
      <c r="C151" s="167">
        <f>SUM(D151+E151)</f>
        <v>0</v>
      </c>
      <c r="D151" s="186"/>
      <c r="E151" s="187"/>
      <c r="F151" s="188"/>
      <c r="G151" s="186"/>
      <c r="H151" s="184"/>
      <c r="I151" s="187"/>
      <c r="J151" s="186"/>
      <c r="K151" s="184"/>
      <c r="L151" s="187"/>
      <c r="M151" t="str">
        <f>BI151&amp;BJ151</f>
        <v/>
      </c>
      <c r="BI151" s="1791" t="str">
        <f>IF(AND(C151&gt;0,F151="")," * No olvide registrar la variable Beneficiarios. Digite Cero si no tiene.",IF(F151&gt;C151," * La variable Beneficiarios no puede ser mayor al Total.",""))</f>
        <v/>
      </c>
      <c r="BJ151" s="1791"/>
      <c r="BK151" s="1791"/>
      <c r="BL151" s="1791"/>
      <c r="BN151" s="1793">
        <f>IF(AND(C151&gt;0,F151=""),1,IF(F151&gt;C151,1,0))</f>
        <v>0</v>
      </c>
      <c r="BO151" s="1793"/>
      <c r="BP151" s="1793"/>
    </row>
    <row r="152" spans="1:68" x14ac:dyDescent="0.25">
      <c r="A152" s="7365"/>
      <c r="B152" s="269" t="s">
        <v>367</v>
      </c>
      <c r="C152" s="139">
        <f>SUM(D152+E152)</f>
        <v>0</v>
      </c>
      <c r="D152" s="144"/>
      <c r="E152" s="331"/>
      <c r="F152" s="332"/>
      <c r="G152" s="144"/>
      <c r="H152" s="209"/>
      <c r="I152" s="331"/>
      <c r="J152" s="144"/>
      <c r="K152" s="209"/>
      <c r="L152" s="331"/>
      <c r="M152" t="str">
        <f>BI152&amp;BJ152</f>
        <v/>
      </c>
      <c r="BI152" s="1791" t="str">
        <f>IF(AND(C152&gt;0,F152="")," * No olvide registrar la variable Beneficiarios. Digite Cero si no tiene.",IF(F152&gt;C152," * La variable Beneficiarios no puede ser mayor al Total.",""))</f>
        <v/>
      </c>
      <c r="BJ152" s="1791"/>
      <c r="BK152" s="1791"/>
      <c r="BL152" s="1791"/>
      <c r="BN152" s="1793">
        <f>IF(AND(C152&gt;0,F152=""),1,IF(F152&gt;C152,1,0))</f>
        <v>0</v>
      </c>
      <c r="BO152" s="1793"/>
      <c r="BP152" s="1793"/>
    </row>
    <row r="153" spans="1:68" s="17" customFormat="1" ht="18" customHeight="1" x14ac:dyDescent="0.2">
      <c r="A153" s="122" t="s">
        <v>368</v>
      </c>
      <c r="B153" s="163"/>
      <c r="C153" s="163"/>
      <c r="D153" s="163"/>
      <c r="E153" s="163"/>
      <c r="F153" s="163"/>
      <c r="G153" s="163"/>
    </row>
    <row r="154" spans="1:68" ht="21" x14ac:dyDescent="0.25">
      <c r="A154" s="7327" t="s">
        <v>112</v>
      </c>
      <c r="B154" s="7333"/>
      <c r="C154" s="171" t="s">
        <v>24</v>
      </c>
      <c r="D154" s="201" t="s">
        <v>67</v>
      </c>
      <c r="E154" s="219" t="s">
        <v>369</v>
      </c>
      <c r="F154" s="175" t="s">
        <v>28</v>
      </c>
    </row>
    <row r="155" spans="1:68" x14ac:dyDescent="0.25">
      <c r="A155" s="7363" t="s">
        <v>370</v>
      </c>
      <c r="B155" s="270" t="s">
        <v>374</v>
      </c>
      <c r="C155" s="500"/>
      <c r="D155" s="131"/>
      <c r="E155" s="401"/>
      <c r="F155" s="402"/>
      <c r="G155" t="str">
        <f>BI155&amp;BJ155</f>
        <v/>
      </c>
      <c r="BI155" s="1791" t="str">
        <f>IF(AND(C155&gt;0,D155="")," * No olvide registrar la variable Beneficiarios. Digite Cero si no tiene.",IF(D155&gt;C155," * La variable Beneficiarios no puede ser mayor al Total.",""))</f>
        <v/>
      </c>
      <c r="BJ155" s="1791"/>
      <c r="BK155" s="1791"/>
      <c r="BL155" s="1791"/>
      <c r="BN155" s="1793">
        <f>IF(AND(C155&gt;0,D155=""),1,IF(D155&gt;C155,1,0))</f>
        <v>0</v>
      </c>
      <c r="BO155" s="1793"/>
      <c r="BP155" s="1793"/>
    </row>
    <row r="156" spans="1:68" x14ac:dyDescent="0.25">
      <c r="A156" s="7365"/>
      <c r="B156" s="207" t="s">
        <v>43</v>
      </c>
      <c r="C156" s="153"/>
      <c r="D156" s="114"/>
      <c r="E156" s="225"/>
      <c r="F156" s="111"/>
      <c r="G156" t="str">
        <f t="shared" ref="G156:G160" si="59">BI156&amp;BJ156</f>
        <v/>
      </c>
      <c r="BI156" s="1791" t="str">
        <f t="shared" ref="BI156:BI160" si="60">IF(AND(C156&gt;0,D156="")," * No olvide registrar la variable Beneficiarios. Digite Cero si no tiene.",IF(D156&gt;C156," * La variable Beneficiarios no puede ser mayor al Total.",""))</f>
        <v/>
      </c>
      <c r="BJ156" s="1791"/>
      <c r="BK156" s="1791"/>
      <c r="BL156" s="1791"/>
      <c r="BN156" s="1793">
        <f t="shared" ref="BN156:BN160" si="61">IF(AND(C156&gt;0,D156=""),1,IF(D156&gt;C156,1,0))</f>
        <v>0</v>
      </c>
      <c r="BO156" s="1793"/>
      <c r="BP156" s="1793"/>
    </row>
    <row r="157" spans="1:68" x14ac:dyDescent="0.25">
      <c r="A157" s="168" t="s">
        <v>372</v>
      </c>
      <c r="B157" s="168" t="s">
        <v>374</v>
      </c>
      <c r="C157" s="329"/>
      <c r="D157" s="334"/>
      <c r="E157" s="335"/>
      <c r="F157" s="111"/>
      <c r="G157" t="str">
        <f t="shared" si="59"/>
        <v/>
      </c>
      <c r="BI157" s="1791" t="str">
        <f t="shared" si="60"/>
        <v/>
      </c>
      <c r="BJ157" s="1791"/>
      <c r="BK157" s="1791"/>
      <c r="BL157" s="1791"/>
      <c r="BN157" s="1793">
        <f t="shared" si="61"/>
        <v>0</v>
      </c>
      <c r="BO157" s="1793"/>
      <c r="BP157" s="1793"/>
    </row>
    <row r="158" spans="1:68" x14ac:dyDescent="0.25">
      <c r="A158" s="7363" t="s">
        <v>373</v>
      </c>
      <c r="B158" s="270" t="s">
        <v>375</v>
      </c>
      <c r="C158" s="333"/>
      <c r="D158" s="131"/>
      <c r="E158" s="108"/>
      <c r="F158" s="111"/>
      <c r="G158" t="str">
        <f t="shared" si="59"/>
        <v/>
      </c>
      <c r="BI158" s="1791" t="str">
        <f t="shared" si="60"/>
        <v/>
      </c>
      <c r="BJ158" s="1791"/>
      <c r="BK158" s="1791"/>
      <c r="BL158" s="1791"/>
      <c r="BN158" s="1793">
        <f t="shared" si="61"/>
        <v>0</v>
      </c>
      <c r="BO158" s="1793"/>
      <c r="BP158" s="1793"/>
    </row>
    <row r="159" spans="1:68" x14ac:dyDescent="0.25">
      <c r="A159" s="7364"/>
      <c r="B159" s="204" t="s">
        <v>376</v>
      </c>
      <c r="C159" s="136"/>
      <c r="D159" s="82"/>
      <c r="E159" s="134"/>
      <c r="F159" s="105"/>
      <c r="G159" t="str">
        <f t="shared" si="59"/>
        <v/>
      </c>
      <c r="BI159" s="1791" t="str">
        <f t="shared" si="60"/>
        <v/>
      </c>
      <c r="BJ159" s="1791"/>
      <c r="BK159" s="1791"/>
      <c r="BL159" s="1791"/>
      <c r="BN159" s="1793">
        <f t="shared" si="61"/>
        <v>0</v>
      </c>
      <c r="BO159" s="1793"/>
      <c r="BP159" s="1793"/>
    </row>
    <row r="160" spans="1:68" x14ac:dyDescent="0.25">
      <c r="A160" s="7365"/>
      <c r="B160" s="207" t="s">
        <v>377</v>
      </c>
      <c r="C160" s="153"/>
      <c r="D160" s="114"/>
      <c r="E160" s="121"/>
      <c r="F160" s="117"/>
      <c r="G160" t="str">
        <f t="shared" si="59"/>
        <v/>
      </c>
      <c r="BI160" s="1791" t="str">
        <f t="shared" si="60"/>
        <v/>
      </c>
      <c r="BJ160" s="1791"/>
      <c r="BK160" s="1791"/>
      <c r="BL160" s="1791"/>
      <c r="BN160" s="1793">
        <f t="shared" si="61"/>
        <v>0</v>
      </c>
      <c r="BO160" s="1793"/>
      <c r="BP160" s="1793"/>
    </row>
    <row r="161" spans="1:68" s="17" customFormat="1" ht="18" customHeight="1" x14ac:dyDescent="0.2">
      <c r="A161" s="6101" t="s">
        <v>378</v>
      </c>
      <c r="B161" s="122"/>
      <c r="C161" s="122"/>
      <c r="D161" s="122"/>
      <c r="E161" s="122"/>
      <c r="F161" s="122"/>
      <c r="G161" s="122"/>
      <c r="H161" s="122"/>
    </row>
    <row r="162" spans="1:68" x14ac:dyDescent="0.25">
      <c r="A162" s="7337" t="s">
        <v>355</v>
      </c>
      <c r="B162" s="7319"/>
      <c r="C162" s="7327" t="s">
        <v>379</v>
      </c>
      <c r="D162" s="7328"/>
      <c r="E162" s="7329"/>
      <c r="F162" s="7374" t="s">
        <v>67</v>
      </c>
      <c r="G162" s="7376" t="s">
        <v>369</v>
      </c>
      <c r="H162" s="7378" t="s">
        <v>28</v>
      </c>
    </row>
    <row r="163" spans="1:68" x14ac:dyDescent="0.25">
      <c r="A163" s="7338"/>
      <c r="B163" s="7340"/>
      <c r="C163" s="171" t="s">
        <v>380</v>
      </c>
      <c r="D163" s="201" t="s">
        <v>370</v>
      </c>
      <c r="E163" s="6075" t="s">
        <v>371</v>
      </c>
      <c r="F163" s="7375"/>
      <c r="G163" s="7377"/>
      <c r="H163" s="7379"/>
    </row>
    <row r="164" spans="1:68" x14ac:dyDescent="0.25">
      <c r="A164" s="7361" t="s">
        <v>381</v>
      </c>
      <c r="B164" s="336" t="s">
        <v>377</v>
      </c>
      <c r="C164" s="167">
        <f t="shared" ref="C164:C169" si="62">SUM(D164:E164)</f>
        <v>0</v>
      </c>
      <c r="D164" s="186"/>
      <c r="E164" s="321"/>
      <c r="F164" s="184"/>
      <c r="G164" s="320"/>
      <c r="H164" s="187"/>
      <c r="I164" t="str">
        <f>BI164</f>
        <v/>
      </c>
      <c r="BI164" s="1791" t="str">
        <f>IF(AND(C164&gt;0,F164="")," * No olvide registrar la variable Beneficiarios. Digite Cero si no tiene.",IF(F164&gt;C164," * La variable Beneficiarios no puede ser mayor al Total.",""))</f>
        <v/>
      </c>
      <c r="BJ164" s="1791"/>
      <c r="BK164" s="1791"/>
      <c r="BL164" s="1791"/>
      <c r="BN164" s="1793">
        <f>IF(AND(C164&gt;0,F164=""),1,IF(F164&gt;C164,1,0))</f>
        <v>0</v>
      </c>
      <c r="BO164" s="1793"/>
      <c r="BP164" s="1793"/>
    </row>
    <row r="165" spans="1:68" x14ac:dyDescent="0.25">
      <c r="A165" s="7362"/>
      <c r="B165" s="78" t="s">
        <v>375</v>
      </c>
      <c r="C165" s="141">
        <f t="shared" si="62"/>
        <v>0</v>
      </c>
      <c r="D165" s="82"/>
      <c r="E165" s="86"/>
      <c r="F165" s="110"/>
      <c r="G165" s="109"/>
      <c r="H165" s="83"/>
      <c r="I165" t="str">
        <f t="shared" ref="I165:I169" si="63">BI165</f>
        <v/>
      </c>
      <c r="BI165" s="1791" t="str">
        <f t="shared" ref="BI165:BI169" si="64">IF(AND(C165&gt;0,F165="")," * No olvide registrar la variable Beneficiarios. Digite Cero si no tiene.",IF(F165&gt;C165," * La variable Beneficiarios no puede ser mayor al Total.",""))</f>
        <v/>
      </c>
      <c r="BJ165" s="1791"/>
      <c r="BK165" s="1791"/>
      <c r="BL165" s="1791"/>
      <c r="BN165" s="1793">
        <f t="shared" ref="BN165:BN169" si="65">IF(AND(C165&gt;0,F165=""),1,IF(F165&gt;C165,1,0))</f>
        <v>0</v>
      </c>
      <c r="BO165" s="1793"/>
      <c r="BP165" s="1793"/>
    </row>
    <row r="166" spans="1:68" x14ac:dyDescent="0.25">
      <c r="A166" s="6607"/>
      <c r="B166" s="269" t="s">
        <v>376</v>
      </c>
      <c r="C166" s="150">
        <f t="shared" si="62"/>
        <v>0</v>
      </c>
      <c r="D166" s="114"/>
      <c r="E166" s="162"/>
      <c r="F166" s="121"/>
      <c r="G166" s="115"/>
      <c r="H166" s="117"/>
      <c r="I166" t="str">
        <f t="shared" si="63"/>
        <v/>
      </c>
      <c r="BI166" s="1791" t="str">
        <f t="shared" si="64"/>
        <v/>
      </c>
      <c r="BJ166" s="1791"/>
      <c r="BK166" s="1791"/>
      <c r="BL166" s="1791"/>
      <c r="BN166" s="1793">
        <f t="shared" si="65"/>
        <v>0</v>
      </c>
      <c r="BO166" s="1793"/>
      <c r="BP166" s="1793"/>
    </row>
    <row r="167" spans="1:68" x14ac:dyDescent="0.25">
      <c r="A167" s="7363" t="s">
        <v>382</v>
      </c>
      <c r="B167" s="336" t="s">
        <v>377</v>
      </c>
      <c r="C167" s="167">
        <f t="shared" si="62"/>
        <v>0</v>
      </c>
      <c r="D167" s="186"/>
      <c r="E167" s="321"/>
      <c r="F167" s="184"/>
      <c r="G167" s="320"/>
      <c r="H167" s="187"/>
      <c r="I167" t="str">
        <f t="shared" si="63"/>
        <v/>
      </c>
      <c r="BI167" s="1791" t="str">
        <f t="shared" si="64"/>
        <v/>
      </c>
      <c r="BJ167" s="1791"/>
      <c r="BK167" s="1791"/>
      <c r="BL167" s="1791"/>
      <c r="BN167" s="1793">
        <f t="shared" si="65"/>
        <v>0</v>
      </c>
      <c r="BO167" s="1793"/>
      <c r="BP167" s="1793"/>
    </row>
    <row r="168" spans="1:68" x14ac:dyDescent="0.25">
      <c r="A168" s="7364"/>
      <c r="B168" s="78" t="s">
        <v>375</v>
      </c>
      <c r="C168" s="141">
        <f t="shared" si="62"/>
        <v>0</v>
      </c>
      <c r="D168" s="82"/>
      <c r="E168" s="86"/>
      <c r="F168" s="110"/>
      <c r="G168" s="109"/>
      <c r="H168" s="83"/>
      <c r="I168" t="str">
        <f t="shared" si="63"/>
        <v/>
      </c>
      <c r="BI168" s="1791" t="str">
        <f t="shared" si="64"/>
        <v/>
      </c>
      <c r="BJ168" s="1791"/>
      <c r="BK168" s="1791"/>
      <c r="BL168" s="1791"/>
      <c r="BN168" s="1793">
        <f t="shared" si="65"/>
        <v>0</v>
      </c>
      <c r="BO168" s="1793"/>
      <c r="BP168" s="1793"/>
    </row>
    <row r="169" spans="1:68" x14ac:dyDescent="0.25">
      <c r="A169" s="7365"/>
      <c r="B169" s="269" t="s">
        <v>376</v>
      </c>
      <c r="C169" s="150">
        <f t="shared" si="62"/>
        <v>0</v>
      </c>
      <c r="D169" s="114"/>
      <c r="E169" s="162"/>
      <c r="F169" s="121"/>
      <c r="G169" s="115"/>
      <c r="H169" s="117"/>
      <c r="I169" t="str">
        <f t="shared" si="63"/>
        <v/>
      </c>
      <c r="BI169" s="1791" t="str">
        <f t="shared" si="64"/>
        <v/>
      </c>
      <c r="BJ169" s="1791"/>
      <c r="BK169" s="1791"/>
      <c r="BL169" s="1791"/>
      <c r="BN169" s="1793">
        <f t="shared" si="65"/>
        <v>0</v>
      </c>
      <c r="BO169" s="1793"/>
      <c r="BP169" s="1793"/>
    </row>
    <row r="170" spans="1:68" s="17" customFormat="1" ht="18" customHeight="1" x14ac:dyDescent="0.2">
      <c r="A170" s="6102" t="s">
        <v>383</v>
      </c>
      <c r="B170" s="6102"/>
      <c r="C170" s="6102"/>
      <c r="D170" s="6102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  <c r="AA170" s="163"/>
      <c r="AB170" s="163"/>
      <c r="AC170" s="163"/>
      <c r="AD170" s="163"/>
      <c r="AE170" s="163"/>
      <c r="AF170" s="163"/>
      <c r="AG170" s="163"/>
      <c r="AH170" s="163"/>
      <c r="AI170" s="163"/>
      <c r="AJ170" s="163"/>
      <c r="AK170" s="163"/>
      <c r="AL170" s="163"/>
    </row>
    <row r="171" spans="1:68" x14ac:dyDescent="0.25">
      <c r="A171" s="7354" t="s">
        <v>384</v>
      </c>
      <c r="B171" s="7366" t="s">
        <v>24</v>
      </c>
      <c r="C171" s="7367"/>
      <c r="D171" s="7368"/>
      <c r="E171" s="7357" t="s">
        <v>30</v>
      </c>
      <c r="F171" s="7372"/>
      <c r="G171" s="7372"/>
      <c r="H171" s="7372"/>
      <c r="I171" s="7372"/>
      <c r="J171" s="7372"/>
      <c r="K171" s="7372"/>
      <c r="L171" s="7372"/>
      <c r="M171" s="7372"/>
      <c r="N171" s="7372"/>
      <c r="O171" s="7372"/>
      <c r="P171" s="7372"/>
      <c r="Q171" s="7372"/>
      <c r="R171" s="7372"/>
      <c r="S171" s="7372"/>
      <c r="T171" s="7372"/>
      <c r="U171" s="7372"/>
      <c r="V171" s="7372"/>
      <c r="W171" s="7372"/>
      <c r="X171" s="7372"/>
      <c r="Y171" s="7372"/>
      <c r="Z171" s="7372"/>
      <c r="AA171" s="7372"/>
      <c r="AB171" s="7372"/>
      <c r="AC171" s="7372"/>
      <c r="AD171" s="7372"/>
      <c r="AE171" s="7372"/>
      <c r="AF171" s="7372"/>
      <c r="AG171" s="7372"/>
      <c r="AH171" s="7372"/>
      <c r="AI171" s="7372"/>
      <c r="AJ171" s="7372"/>
      <c r="AK171" s="7372"/>
      <c r="AL171" s="7373"/>
    </row>
    <row r="172" spans="1:68" x14ac:dyDescent="0.25">
      <c r="A172" s="7355"/>
      <c r="B172" s="7369"/>
      <c r="C172" s="7370"/>
      <c r="D172" s="7371"/>
      <c r="E172" s="7344" t="s">
        <v>36</v>
      </c>
      <c r="F172" s="7345"/>
      <c r="G172" s="7344" t="s">
        <v>37</v>
      </c>
      <c r="H172" s="7345"/>
      <c r="I172" s="7344" t="s">
        <v>38</v>
      </c>
      <c r="J172" s="7345"/>
      <c r="K172" s="7344" t="s">
        <v>4</v>
      </c>
      <c r="L172" s="7345"/>
      <c r="M172" s="7344" t="s">
        <v>5</v>
      </c>
      <c r="N172" s="7345"/>
      <c r="O172" s="7327" t="s">
        <v>6</v>
      </c>
      <c r="P172" s="7333"/>
      <c r="Q172" s="7327" t="s">
        <v>7</v>
      </c>
      <c r="R172" s="7333"/>
      <c r="S172" s="7327" t="s">
        <v>8</v>
      </c>
      <c r="T172" s="7333"/>
      <c r="U172" s="7327" t="s">
        <v>9</v>
      </c>
      <c r="V172" s="7333"/>
      <c r="W172" s="7327" t="s">
        <v>10</v>
      </c>
      <c r="X172" s="7333"/>
      <c r="Y172" s="7327" t="s">
        <v>11</v>
      </c>
      <c r="Z172" s="7333"/>
      <c r="AA172" s="7327" t="s">
        <v>18</v>
      </c>
      <c r="AB172" s="7333"/>
      <c r="AC172" s="7327" t="s">
        <v>19</v>
      </c>
      <c r="AD172" s="7333"/>
      <c r="AE172" s="7327" t="s">
        <v>20</v>
      </c>
      <c r="AF172" s="7333"/>
      <c r="AG172" s="7327" t="s">
        <v>70</v>
      </c>
      <c r="AH172" s="7333"/>
      <c r="AI172" s="7327" t="s">
        <v>71</v>
      </c>
      <c r="AJ172" s="7333"/>
      <c r="AK172" s="7327" t="s">
        <v>32</v>
      </c>
      <c r="AL172" s="7333"/>
    </row>
    <row r="173" spans="1:68" x14ac:dyDescent="0.25">
      <c r="A173" s="7356"/>
      <c r="B173" s="227" t="s">
        <v>26</v>
      </c>
      <c r="C173" s="6103" t="s">
        <v>22</v>
      </c>
      <c r="D173" s="6104" t="s">
        <v>27</v>
      </c>
      <c r="E173" s="201" t="s">
        <v>51</v>
      </c>
      <c r="F173" s="175" t="s">
        <v>27</v>
      </c>
      <c r="G173" s="201" t="s">
        <v>51</v>
      </c>
      <c r="H173" s="175" t="s">
        <v>27</v>
      </c>
      <c r="I173" s="201" t="s">
        <v>51</v>
      </c>
      <c r="J173" s="175" t="s">
        <v>27</v>
      </c>
      <c r="K173" s="201" t="s">
        <v>51</v>
      </c>
      <c r="L173" s="174" t="s">
        <v>27</v>
      </c>
      <c r="M173" s="201" t="s">
        <v>51</v>
      </c>
      <c r="N173" s="175" t="s">
        <v>27</v>
      </c>
      <c r="O173" s="201" t="s">
        <v>51</v>
      </c>
      <c r="P173" s="174" t="s">
        <v>27</v>
      </c>
      <c r="Q173" s="201" t="s">
        <v>51</v>
      </c>
      <c r="R173" s="175" t="s">
        <v>27</v>
      </c>
      <c r="S173" s="201" t="s">
        <v>51</v>
      </c>
      <c r="T173" s="174" t="s">
        <v>27</v>
      </c>
      <c r="U173" s="201" t="s">
        <v>51</v>
      </c>
      <c r="V173" s="175" t="s">
        <v>27</v>
      </c>
      <c r="W173" s="201" t="s">
        <v>51</v>
      </c>
      <c r="X173" s="174" t="s">
        <v>27</v>
      </c>
      <c r="Y173" s="201" t="s">
        <v>51</v>
      </c>
      <c r="Z173" s="175" t="s">
        <v>27</v>
      </c>
      <c r="AA173" s="201" t="s">
        <v>51</v>
      </c>
      <c r="AB173" s="175" t="s">
        <v>27</v>
      </c>
      <c r="AC173" s="201" t="s">
        <v>51</v>
      </c>
      <c r="AD173" s="175" t="s">
        <v>27</v>
      </c>
      <c r="AE173" s="201" t="s">
        <v>51</v>
      </c>
      <c r="AF173" s="175" t="s">
        <v>27</v>
      </c>
      <c r="AG173" s="201" t="s">
        <v>51</v>
      </c>
      <c r="AH173" s="175" t="s">
        <v>27</v>
      </c>
      <c r="AI173" s="201" t="s">
        <v>51</v>
      </c>
      <c r="AJ173" s="175" t="s">
        <v>27</v>
      </c>
      <c r="AK173" s="201" t="s">
        <v>51</v>
      </c>
      <c r="AL173" s="175" t="s">
        <v>27</v>
      </c>
    </row>
    <row r="174" spans="1:68" x14ac:dyDescent="0.25">
      <c r="A174" s="337" t="s">
        <v>386</v>
      </c>
      <c r="B174" s="338">
        <f>SUM(C174+D174)</f>
        <v>0</v>
      </c>
      <c r="C174" s="339">
        <f>SUM(O174+Q174+S174+U174+W174+Y174+AA174+AC174+AE174+AG174+AI174+AK174)</f>
        <v>0</v>
      </c>
      <c r="D174" s="340">
        <f>SUM(P174+R174+T174+V174+X174+Z174+AB174+AD174+AF174+AH174+AJ174+AL174)</f>
        <v>0</v>
      </c>
      <c r="E174" s="341"/>
      <c r="F174" s="342"/>
      <c r="G174" s="343"/>
      <c r="H174" s="344"/>
      <c r="I174" s="341"/>
      <c r="J174" s="342"/>
      <c r="K174" s="343"/>
      <c r="L174" s="344"/>
      <c r="M174" s="343"/>
      <c r="N174" s="344"/>
      <c r="O174" s="345"/>
      <c r="P174" s="346"/>
      <c r="Q174" s="347"/>
      <c r="R174" s="348"/>
      <c r="S174" s="345"/>
      <c r="T174" s="346"/>
      <c r="U174" s="347"/>
      <c r="V174" s="348"/>
      <c r="W174" s="345"/>
      <c r="X174" s="346"/>
      <c r="Y174" s="347"/>
      <c r="Z174" s="348"/>
      <c r="AA174" s="347"/>
      <c r="AB174" s="348"/>
      <c r="AC174" s="347"/>
      <c r="AD174" s="348"/>
      <c r="AE174" s="347"/>
      <c r="AF174" s="348"/>
      <c r="AG174" s="347"/>
      <c r="AH174" s="348"/>
      <c r="AI174" s="347"/>
      <c r="AJ174" s="348"/>
      <c r="AK174" s="347"/>
      <c r="AL174" s="348"/>
      <c r="BI174" s="1791"/>
      <c r="BJ174" s="1791"/>
      <c r="BK174" s="1791"/>
      <c r="BL174" s="1791"/>
      <c r="BN174" s="1793"/>
      <c r="BO174" s="1793"/>
      <c r="BP174" s="1793"/>
    </row>
    <row r="175" spans="1:68" x14ac:dyDescent="0.25">
      <c r="A175" s="349" t="s">
        <v>387</v>
      </c>
      <c r="B175" s="350">
        <f>SUM(C175+D175)</f>
        <v>0</v>
      </c>
      <c r="C175" s="351">
        <f t="shared" ref="C175:D177" si="66">SUM(E175+G175+I175+K175+M175+O175+Q175+S175+U175+W175+Y175+AA175+AC175+AE175+AG175+AI175+AK175)</f>
        <v>0</v>
      </c>
      <c r="D175" s="352">
        <f t="shared" si="66"/>
        <v>0</v>
      </c>
      <c r="E175" s="353"/>
      <c r="F175" s="354"/>
      <c r="G175" s="353"/>
      <c r="H175" s="354"/>
      <c r="I175" s="353"/>
      <c r="J175" s="354"/>
      <c r="K175" s="355"/>
      <c r="L175" s="356"/>
      <c r="M175" s="353"/>
      <c r="N175" s="354"/>
      <c r="O175" s="355"/>
      <c r="P175" s="356"/>
      <c r="Q175" s="353"/>
      <c r="R175" s="354"/>
      <c r="S175" s="355"/>
      <c r="T175" s="356"/>
      <c r="U175" s="353"/>
      <c r="V175" s="354"/>
      <c r="W175" s="355"/>
      <c r="X175" s="356"/>
      <c r="Y175" s="353"/>
      <c r="Z175" s="354"/>
      <c r="AA175" s="353"/>
      <c r="AB175" s="354"/>
      <c r="AC175" s="353"/>
      <c r="AD175" s="354"/>
      <c r="AE175" s="353"/>
      <c r="AF175" s="354"/>
      <c r="AG175" s="353"/>
      <c r="AH175" s="354"/>
      <c r="AI175" s="353"/>
      <c r="AJ175" s="354"/>
      <c r="AK175" s="353"/>
      <c r="AL175" s="354"/>
      <c r="BI175" s="1791"/>
      <c r="BJ175" s="1791"/>
      <c r="BK175" s="1791"/>
      <c r="BL175" s="1791"/>
      <c r="BN175" s="1793"/>
      <c r="BO175" s="1793"/>
      <c r="BP175" s="1793"/>
    </row>
    <row r="176" spans="1:68" x14ac:dyDescent="0.25">
      <c r="A176" s="357" t="s">
        <v>388</v>
      </c>
      <c r="B176" s="350">
        <f>SUM(C176+D176)</f>
        <v>0</v>
      </c>
      <c r="C176" s="351">
        <f t="shared" si="66"/>
        <v>0</v>
      </c>
      <c r="D176" s="352">
        <f t="shared" si="66"/>
        <v>0</v>
      </c>
      <c r="E176" s="353"/>
      <c r="F176" s="354"/>
      <c r="G176" s="353"/>
      <c r="H176" s="354"/>
      <c r="I176" s="353"/>
      <c r="J176" s="354"/>
      <c r="K176" s="355"/>
      <c r="L176" s="356"/>
      <c r="M176" s="353"/>
      <c r="N176" s="354"/>
      <c r="O176" s="355"/>
      <c r="P176" s="356"/>
      <c r="Q176" s="353"/>
      <c r="R176" s="354"/>
      <c r="S176" s="355"/>
      <c r="T176" s="356"/>
      <c r="U176" s="353"/>
      <c r="V176" s="354"/>
      <c r="W176" s="355"/>
      <c r="X176" s="356"/>
      <c r="Y176" s="353"/>
      <c r="Z176" s="354"/>
      <c r="AA176" s="353"/>
      <c r="AB176" s="354"/>
      <c r="AC176" s="353"/>
      <c r="AD176" s="354"/>
      <c r="AE176" s="353"/>
      <c r="AF176" s="354"/>
      <c r="AG176" s="353"/>
      <c r="AH176" s="354"/>
      <c r="AI176" s="353"/>
      <c r="AJ176" s="354"/>
      <c r="AK176" s="353"/>
      <c r="AL176" s="354"/>
      <c r="BI176" s="1791"/>
      <c r="BJ176" s="1791"/>
      <c r="BK176" s="1791"/>
      <c r="BL176" s="1791"/>
      <c r="BN176" s="1793"/>
      <c r="BO176" s="1793"/>
      <c r="BP176" s="1793"/>
    </row>
    <row r="177" spans="1:69" x14ac:dyDescent="0.25">
      <c r="A177" s="358" t="s">
        <v>28</v>
      </c>
      <c r="B177" s="359">
        <f>SUM(C177+D177)</f>
        <v>0</v>
      </c>
      <c r="C177" s="360">
        <f t="shared" si="66"/>
        <v>0</v>
      </c>
      <c r="D177" s="361">
        <f t="shared" si="66"/>
        <v>0</v>
      </c>
      <c r="E177" s="362"/>
      <c r="F177" s="363"/>
      <c r="G177" s="362"/>
      <c r="H177" s="363"/>
      <c r="I177" s="362"/>
      <c r="J177" s="363"/>
      <c r="K177" s="364"/>
      <c r="L177" s="365"/>
      <c r="M177" s="362"/>
      <c r="N177" s="363"/>
      <c r="O177" s="364"/>
      <c r="P177" s="365"/>
      <c r="Q177" s="362"/>
      <c r="R177" s="363"/>
      <c r="S177" s="364"/>
      <c r="T177" s="365"/>
      <c r="U177" s="362"/>
      <c r="V177" s="363"/>
      <c r="W177" s="364"/>
      <c r="X177" s="365"/>
      <c r="Y177" s="362"/>
      <c r="Z177" s="363"/>
      <c r="AA177" s="362"/>
      <c r="AB177" s="363"/>
      <c r="AC177" s="362"/>
      <c r="AD177" s="363"/>
      <c r="AE177" s="362"/>
      <c r="AF177" s="363"/>
      <c r="AG177" s="362"/>
      <c r="AH177" s="363"/>
      <c r="AI177" s="362"/>
      <c r="AJ177" s="363"/>
      <c r="AK177" s="362"/>
      <c r="AL177" s="363"/>
      <c r="BI177" s="1791"/>
      <c r="BJ177" s="1791"/>
      <c r="BK177" s="1791"/>
      <c r="BL177" s="1791"/>
      <c r="BN177" s="1793"/>
      <c r="BO177" s="1793"/>
      <c r="BP177" s="1793"/>
    </row>
    <row r="178" spans="1:69" s="17" customFormat="1" ht="18" customHeight="1" x14ac:dyDescent="0.2">
      <c r="A178" s="1822" t="s">
        <v>389</v>
      </c>
      <c r="B178" s="182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  <c r="AA178" s="163"/>
      <c r="AB178" s="163"/>
      <c r="AC178" s="163"/>
      <c r="AD178" s="163"/>
      <c r="AE178" s="163"/>
      <c r="AF178" s="163"/>
      <c r="AG178" s="163"/>
      <c r="AH178" s="163"/>
      <c r="AI178" s="163"/>
      <c r="AJ178" s="163"/>
      <c r="AK178" s="163"/>
    </row>
    <row r="179" spans="1:69" ht="15" customHeight="1" x14ac:dyDescent="0.25">
      <c r="A179" s="7337" t="s">
        <v>23</v>
      </c>
      <c r="B179" s="7319"/>
      <c r="C179" s="7337" t="s">
        <v>24</v>
      </c>
      <c r="D179" s="6603"/>
      <c r="E179" s="7319"/>
      <c r="F179" s="7344" t="s">
        <v>30</v>
      </c>
      <c r="G179" s="7328"/>
      <c r="H179" s="7328"/>
      <c r="I179" s="7328"/>
      <c r="J179" s="7328"/>
      <c r="K179" s="7328"/>
      <c r="L179" s="7328"/>
      <c r="M179" s="7328"/>
      <c r="N179" s="7328"/>
      <c r="O179" s="7328"/>
      <c r="P179" s="7328"/>
      <c r="Q179" s="7328"/>
      <c r="R179" s="7328"/>
      <c r="S179" s="7328"/>
      <c r="T179" s="7328"/>
      <c r="U179" s="7329"/>
      <c r="V179" s="7323" t="s">
        <v>39</v>
      </c>
      <c r="W179" s="7351" t="s">
        <v>390</v>
      </c>
      <c r="X179" s="7351" t="s">
        <v>391</v>
      </c>
      <c r="Y179" s="7351" t="s">
        <v>392</v>
      </c>
      <c r="Z179" s="7351" t="s">
        <v>393</v>
      </c>
      <c r="AA179" s="7345" t="s">
        <v>394</v>
      </c>
      <c r="AB179" s="7350" t="s">
        <v>395</v>
      </c>
      <c r="AC179" s="7350"/>
      <c r="AD179" s="7350"/>
      <c r="AE179" s="7350"/>
      <c r="AF179" s="7357" t="s">
        <v>24</v>
      </c>
      <c r="AG179" s="7358"/>
      <c r="AH179" s="7323" t="s">
        <v>325</v>
      </c>
      <c r="AI179" s="7354" t="s">
        <v>396</v>
      </c>
      <c r="AJ179" s="7354" t="s">
        <v>2</v>
      </c>
      <c r="AK179" s="7354" t="s">
        <v>3</v>
      </c>
    </row>
    <row r="180" spans="1:69" x14ac:dyDescent="0.25">
      <c r="A180" s="7359"/>
      <c r="B180" s="7320"/>
      <c r="C180" s="7359"/>
      <c r="D180" s="7360"/>
      <c r="E180" s="7320"/>
      <c r="F180" s="7351" t="s">
        <v>36</v>
      </c>
      <c r="G180" s="7351"/>
      <c r="H180" s="7351" t="s">
        <v>37</v>
      </c>
      <c r="I180" s="7351"/>
      <c r="J180" s="7351" t="s">
        <v>38</v>
      </c>
      <c r="K180" s="7351"/>
      <c r="L180" s="7351" t="s">
        <v>397</v>
      </c>
      <c r="M180" s="7351"/>
      <c r="N180" s="7351" t="s">
        <v>398</v>
      </c>
      <c r="O180" s="7351"/>
      <c r="P180" s="7350" t="s">
        <v>399</v>
      </c>
      <c r="Q180" s="7350"/>
      <c r="R180" s="7350" t="s">
        <v>400</v>
      </c>
      <c r="S180" s="7350"/>
      <c r="T180" s="7340" t="s">
        <v>401</v>
      </c>
      <c r="U180" s="7352"/>
      <c r="V180" s="7332"/>
      <c r="W180" s="7351"/>
      <c r="X180" s="7351"/>
      <c r="Y180" s="7351"/>
      <c r="Z180" s="7351"/>
      <c r="AA180" s="7345"/>
      <c r="AB180" s="7351" t="s">
        <v>328</v>
      </c>
      <c r="AC180" s="7351" t="s">
        <v>329</v>
      </c>
      <c r="AD180" s="7351" t="s">
        <v>330</v>
      </c>
      <c r="AE180" s="7345" t="s">
        <v>331</v>
      </c>
      <c r="AF180" s="7350" t="s">
        <v>250</v>
      </c>
      <c r="AG180" s="7329" t="s">
        <v>21</v>
      </c>
      <c r="AH180" s="7332"/>
      <c r="AI180" s="7355"/>
      <c r="AJ180" s="7355"/>
      <c r="AK180" s="7355"/>
    </row>
    <row r="181" spans="1:69" x14ac:dyDescent="0.25">
      <c r="A181" s="7338"/>
      <c r="B181" s="7340"/>
      <c r="C181" s="1824" t="s">
        <v>26</v>
      </c>
      <c r="D181" s="1825" t="s">
        <v>51</v>
      </c>
      <c r="E181" s="176" t="s">
        <v>27</v>
      </c>
      <c r="F181" s="1826" t="s">
        <v>51</v>
      </c>
      <c r="G181" s="1827" t="s">
        <v>27</v>
      </c>
      <c r="H181" s="1826" t="s">
        <v>51</v>
      </c>
      <c r="I181" s="1827" t="s">
        <v>27</v>
      </c>
      <c r="J181" s="1826" t="s">
        <v>51</v>
      </c>
      <c r="K181" s="1827" t="s">
        <v>27</v>
      </c>
      <c r="L181" s="1826" t="s">
        <v>51</v>
      </c>
      <c r="M181" s="1827" t="s">
        <v>27</v>
      </c>
      <c r="N181" s="1826" t="s">
        <v>51</v>
      </c>
      <c r="O181" s="1827" t="s">
        <v>27</v>
      </c>
      <c r="P181" s="1826" t="s">
        <v>51</v>
      </c>
      <c r="Q181" s="1827" t="s">
        <v>27</v>
      </c>
      <c r="R181" s="1826" t="s">
        <v>51</v>
      </c>
      <c r="S181" s="1827" t="s">
        <v>27</v>
      </c>
      <c r="T181" s="219" t="s">
        <v>51</v>
      </c>
      <c r="U181" s="1828" t="s">
        <v>27</v>
      </c>
      <c r="V181" s="7349"/>
      <c r="W181" s="7351"/>
      <c r="X181" s="7351"/>
      <c r="Y181" s="7351"/>
      <c r="Z181" s="7351"/>
      <c r="AA181" s="7345"/>
      <c r="AB181" s="7351"/>
      <c r="AC181" s="7351"/>
      <c r="AD181" s="7351"/>
      <c r="AE181" s="7345"/>
      <c r="AF181" s="7350"/>
      <c r="AG181" s="7329"/>
      <c r="AH181" s="7349"/>
      <c r="AI181" s="7356"/>
      <c r="AJ181" s="7356"/>
      <c r="AK181" s="7356"/>
    </row>
    <row r="182" spans="1:69" x14ac:dyDescent="0.25">
      <c r="A182" s="7353" t="s">
        <v>403</v>
      </c>
      <c r="B182" s="368" t="s">
        <v>402</v>
      </c>
      <c r="C182" s="369">
        <f>SUM(D182:E182)</f>
        <v>0</v>
      </c>
      <c r="D182" s="370">
        <f>SUM(F182+H182+J182+L182+N182+P182+R182+T182)</f>
        <v>0</v>
      </c>
      <c r="E182" s="371">
        <f>G182+I182+K182+M182+O182+Q182+S182+U182</f>
        <v>0</v>
      </c>
      <c r="F182" s="372"/>
      <c r="G182" s="373"/>
      <c r="H182" s="372"/>
      <c r="I182" s="373"/>
      <c r="J182" s="372"/>
      <c r="K182" s="373"/>
      <c r="L182" s="372"/>
      <c r="M182" s="373"/>
      <c r="N182" s="372"/>
      <c r="O182" s="373"/>
      <c r="P182" s="372"/>
      <c r="Q182" s="373"/>
      <c r="R182" s="372"/>
      <c r="S182" s="373"/>
      <c r="T182" s="372"/>
      <c r="U182" s="374"/>
      <c r="V182" s="375"/>
      <c r="W182" s="376"/>
      <c r="X182" s="376"/>
      <c r="Y182" s="376"/>
      <c r="Z182" s="376"/>
      <c r="AA182" s="377"/>
      <c r="AB182" s="376"/>
      <c r="AC182" s="376"/>
      <c r="AD182" s="376"/>
      <c r="AE182" s="378"/>
      <c r="AF182" s="376"/>
      <c r="AG182" s="379"/>
      <c r="AH182" s="378"/>
      <c r="AI182" s="376"/>
      <c r="AJ182" s="376"/>
      <c r="AK182" s="376"/>
      <c r="AL182" t="str">
        <f>BI182&amp;BJ182&amp;BK182&amp;BL182</f>
        <v/>
      </c>
      <c r="BI182" s="1791" t="str">
        <f>IF(AND(C182&gt;0,AH182="")," * No olvide digitar la variable Sin lesiones Constatables. Digite Cero si no tiene.",IF(AH182&gt;C182," * La variable Sin lesiones Constatables No puede ser mayor al Total.",""))</f>
        <v/>
      </c>
      <c r="BJ182" s="1791" t="str">
        <f>IF(AND(C182&gt;0,AI182="")," * No olvide digitar la variable Diversidad sexual. Digite Cero si no tiene.",IF(AI182&gt;C182," * La variable Diversidad sexual No puede ser mayor al Total.",""))</f>
        <v/>
      </c>
      <c r="BK182" s="1791" t="str">
        <f>IF(AND(C182&gt;0,AJ182="")," * No olvide digitar la variable Pueblos originarios. Digite Cero si no tiene.",IF(AJ182&gt;C182," * La variable Pueblos originarios No puede ser mayor al Total.",""))</f>
        <v/>
      </c>
      <c r="BL182" s="1791" t="str">
        <f>IF(AND(C182&gt;0,AK182="")," * No olvide digitar la variable Migrantes. Digite Cero si no tiene.",IF(AK182&gt;C182," * La variable Migrantes No puede ser mayor al Total.",""))</f>
        <v/>
      </c>
      <c r="BN182" s="1793">
        <f>IF(AND(C182&gt;0,AH182=""),1,IF(AH182&gt;C182,1,0))</f>
        <v>0</v>
      </c>
      <c r="BO182" s="1793">
        <f>IF(AND(C182&gt;0,AI182=""),1,IF(AI182&gt;C182,1,0))</f>
        <v>0</v>
      </c>
      <c r="BP182" s="1793">
        <f>IF(AND(C182&gt;0,AJ182=""),1,IF(AJ182&gt;C182,1,0))</f>
        <v>0</v>
      </c>
      <c r="BQ182" s="1793">
        <f>IF(AND(C182&gt;0,AK182=""),1,IF(AK182&gt;C182,1,0))</f>
        <v>0</v>
      </c>
    </row>
    <row r="183" spans="1:69" x14ac:dyDescent="0.25">
      <c r="A183" s="7353"/>
      <c r="B183" s="207" t="s">
        <v>3756</v>
      </c>
      <c r="C183" s="97">
        <f>SUM(D183:E183)</f>
        <v>0</v>
      </c>
      <c r="D183" s="160">
        <f>SUM(F183+H183+J183+L183+N183+P183+R183+T183)</f>
        <v>0</v>
      </c>
      <c r="E183" s="380">
        <f>G183+I183+K183+M183+O183+Q183+S183+U183</f>
        <v>0</v>
      </c>
      <c r="F183" s="286"/>
      <c r="G183" s="381"/>
      <c r="H183" s="286"/>
      <c r="I183" s="381"/>
      <c r="J183" s="286"/>
      <c r="K183" s="381"/>
      <c r="L183" s="286"/>
      <c r="M183" s="381"/>
      <c r="N183" s="286"/>
      <c r="O183" s="381"/>
      <c r="P183" s="286"/>
      <c r="Q183" s="381"/>
      <c r="R183" s="286"/>
      <c r="S183" s="381"/>
      <c r="T183" s="286"/>
      <c r="U183" s="382"/>
      <c r="V183" s="383"/>
      <c r="W183" s="384"/>
      <c r="X183" s="384"/>
      <c r="Y183" s="384"/>
      <c r="Z183" s="384"/>
      <c r="AA183" s="288"/>
      <c r="AB183" s="384"/>
      <c r="AC183" s="384"/>
      <c r="AD183" s="384"/>
      <c r="AE183" s="290"/>
      <c r="AF183" s="384"/>
      <c r="AG183" s="385"/>
      <c r="AH183" s="290"/>
      <c r="AI183" s="384"/>
      <c r="AJ183" s="384"/>
      <c r="AK183" s="384"/>
      <c r="AL183" t="str">
        <f>BI183&amp;BJ183&amp;BK183&amp;BL183</f>
        <v/>
      </c>
      <c r="BI183" s="1791" t="str">
        <f>IF(AND(C183&gt;0,AH183="")," * No olvide digitar la variable Sin lesiones Constatables. Digite Cero si no tiene.",IF(AH183&gt;C183," * La variable Sin lesiones Constatables No puede ser mayor al Total.",""))</f>
        <v/>
      </c>
      <c r="BJ183" s="1791" t="str">
        <f>IF(AND(C183&gt;0,AI183="")," * No olvide digitar la variable Diversidad sexual. Digite Cero si no tiene.",IF(AI183&gt;C183," * La variable Diversidad sexual No puede ser mayor al Total.",""))</f>
        <v/>
      </c>
      <c r="BK183" s="1791" t="str">
        <f>IF(AND(C183&gt;0,AJ183="")," * No olvide digitar la variable Pueblos originarios. Digite Cero si no tiene.",IF(AJ183&gt;C183," * La variable Pueblos originarios No puede ser mayor al Total.",""))</f>
        <v/>
      </c>
      <c r="BL183" s="1791" t="str">
        <f>IF(AND(C183&gt;0,AK183="")," * No olvide digitar la variable Migrantes. Digite Cero si no tiene.",IF(AK183&gt;C183," * La variable Migrantes No puede ser mayor al Total.",""))</f>
        <v/>
      </c>
      <c r="BN183" s="1793">
        <f>IF(AND(C183&gt;0,AH183=""),1,IF(AH183&gt;C183,1,0))</f>
        <v>0</v>
      </c>
      <c r="BO183" s="1793">
        <f>IF(AND(C183&gt;0,AI183=""),1,IF(AI183&gt;C183,1,0))</f>
        <v>0</v>
      </c>
      <c r="BP183" s="1793">
        <f>IF(AND(C183&gt;0,AJ183=""),1,IF(AJ183&gt;C183,1,0))</f>
        <v>0</v>
      </c>
      <c r="BQ183" s="1793">
        <f>IF(AND(C183&gt;0,AK183=""),1,IF(AK183&gt;C183,1,0))</f>
        <v>0</v>
      </c>
    </row>
    <row r="184" spans="1:69" s="17" customFormat="1" ht="18" customHeight="1" x14ac:dyDescent="0.2">
      <c r="A184" s="122" t="s">
        <v>404</v>
      </c>
      <c r="B184" s="122"/>
      <c r="C184" s="163"/>
      <c r="D184" s="163"/>
      <c r="E184" s="163"/>
      <c r="F184" s="163"/>
      <c r="G184" s="163"/>
    </row>
    <row r="185" spans="1:69" x14ac:dyDescent="0.25">
      <c r="A185" s="171" t="s">
        <v>254</v>
      </c>
      <c r="B185" s="171" t="s">
        <v>24</v>
      </c>
      <c r="C185" s="1777" t="s">
        <v>936</v>
      </c>
      <c r="D185" s="172" t="s">
        <v>937</v>
      </c>
      <c r="BI185" s="1791"/>
      <c r="BJ185" s="1791"/>
      <c r="BK185" s="1791"/>
      <c r="BL185" s="1791"/>
      <c r="BN185" s="1793"/>
      <c r="BO185" s="1793"/>
      <c r="BP185" s="1793"/>
    </row>
    <row r="186" spans="1:69" x14ac:dyDescent="0.25">
      <c r="A186" s="368" t="s">
        <v>405</v>
      </c>
      <c r="B186" s="387">
        <f>SUM(C186:D186)</f>
        <v>0</v>
      </c>
      <c r="C186" s="376"/>
      <c r="D186" s="389"/>
      <c r="BI186" s="1791"/>
      <c r="BJ186" s="1791"/>
      <c r="BK186" s="1791"/>
      <c r="BL186" s="1791"/>
      <c r="BN186" s="1793"/>
      <c r="BO186" s="1793"/>
      <c r="BP186" s="1793"/>
    </row>
    <row r="187" spans="1:69" x14ac:dyDescent="0.25">
      <c r="A187" s="207" t="s">
        <v>406</v>
      </c>
      <c r="B187" s="388">
        <f>SUM(C187)</f>
        <v>0</v>
      </c>
      <c r="C187" s="384"/>
      <c r="D187" s="390"/>
      <c r="BI187" s="1791"/>
      <c r="BJ187" s="1791"/>
      <c r="BK187" s="1791"/>
      <c r="BL187" s="1791"/>
      <c r="BN187" s="1793"/>
      <c r="BO187" s="1793"/>
      <c r="BP187" s="1793"/>
    </row>
    <row r="188" spans="1:69" s="17" customFormat="1" ht="18" customHeight="1" x14ac:dyDescent="0.2">
      <c r="A188" s="397" t="s">
        <v>407</v>
      </c>
      <c r="B188" s="386"/>
      <c r="C188" s="166"/>
      <c r="D188" s="198"/>
      <c r="E188" s="101"/>
      <c r="F188" s="398"/>
      <c r="G188" s="399"/>
      <c r="H188" s="163"/>
      <c r="I188" s="399"/>
      <c r="J188" s="400"/>
      <c r="K188" s="400"/>
      <c r="L188" s="399"/>
      <c r="M188" s="163"/>
      <c r="N188" s="399"/>
      <c r="O188" s="399"/>
      <c r="P188" s="163"/>
      <c r="Q188" s="399"/>
      <c r="R188" s="399"/>
      <c r="S188" s="163"/>
      <c r="T188" s="399"/>
      <c r="U188" s="399"/>
      <c r="V188" s="400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40"/>
      <c r="AI188" s="140"/>
      <c r="AJ188" s="140"/>
      <c r="AK188" s="140"/>
      <c r="AL188" s="140"/>
      <c r="AM188" s="140"/>
      <c r="AN188" s="140"/>
      <c r="BI188" s="1790"/>
      <c r="BJ188" s="1790"/>
      <c r="BK188" s="1790"/>
      <c r="BL188" s="1790"/>
      <c r="BN188" s="1792"/>
      <c r="BO188" s="1792"/>
      <c r="BP188" s="1792"/>
    </row>
    <row r="189" spans="1:69" x14ac:dyDescent="0.25">
      <c r="A189" s="7334" t="s">
        <v>23</v>
      </c>
      <c r="B189" s="7337" t="s">
        <v>24</v>
      </c>
      <c r="C189" s="6603"/>
      <c r="D189" s="7319"/>
      <c r="E189" s="7341" t="s">
        <v>30</v>
      </c>
      <c r="F189" s="7342"/>
      <c r="G189" s="7342"/>
      <c r="H189" s="7342"/>
      <c r="I189" s="7342"/>
      <c r="J189" s="7342"/>
      <c r="K189" s="7342"/>
      <c r="L189" s="7342"/>
      <c r="M189" s="7342"/>
      <c r="N189" s="7342"/>
      <c r="O189" s="7342"/>
      <c r="P189" s="7342"/>
      <c r="Q189" s="7342"/>
      <c r="R189" s="7342"/>
      <c r="S189" s="7342"/>
      <c r="T189" s="7342"/>
      <c r="U189" s="7342"/>
      <c r="V189" s="7342"/>
      <c r="W189" s="7342"/>
      <c r="X189" s="7342"/>
      <c r="Y189" s="7342"/>
      <c r="Z189" s="7342"/>
      <c r="AA189" s="7342"/>
      <c r="AB189" s="7342"/>
      <c r="AC189" s="7342"/>
      <c r="AD189" s="7342"/>
      <c r="AE189" s="7342"/>
      <c r="AF189" s="7342"/>
      <c r="AG189" s="7342"/>
      <c r="AH189" s="7342"/>
      <c r="AI189" s="7342"/>
      <c r="AJ189" s="7342"/>
      <c r="AK189" s="7342"/>
      <c r="AL189" s="7343"/>
      <c r="AM189" s="7347" t="s">
        <v>528</v>
      </c>
      <c r="AN189" s="7323"/>
    </row>
    <row r="190" spans="1:69" x14ac:dyDescent="0.25">
      <c r="A190" s="7335"/>
      <c r="B190" s="7338"/>
      <c r="C190" s="7339"/>
      <c r="D190" s="7340"/>
      <c r="E190" s="7344" t="s">
        <v>36</v>
      </c>
      <c r="F190" s="7345"/>
      <c r="G190" s="7344" t="s">
        <v>37</v>
      </c>
      <c r="H190" s="7345"/>
      <c r="I190" s="7344" t="s">
        <v>38</v>
      </c>
      <c r="J190" s="7345"/>
      <c r="K190" s="7344" t="s">
        <v>4</v>
      </c>
      <c r="L190" s="7345"/>
      <c r="M190" s="7344" t="s">
        <v>5</v>
      </c>
      <c r="N190" s="7345"/>
      <c r="O190" s="7327" t="s">
        <v>6</v>
      </c>
      <c r="P190" s="7333"/>
      <c r="Q190" s="7327" t="s">
        <v>7</v>
      </c>
      <c r="R190" s="7333"/>
      <c r="S190" s="7327" t="s">
        <v>8</v>
      </c>
      <c r="T190" s="7333"/>
      <c r="U190" s="7327" t="s">
        <v>9</v>
      </c>
      <c r="V190" s="7333"/>
      <c r="W190" s="7327" t="s">
        <v>10</v>
      </c>
      <c r="X190" s="7333"/>
      <c r="Y190" s="7327" t="s">
        <v>11</v>
      </c>
      <c r="Z190" s="7333"/>
      <c r="AA190" s="7327" t="s">
        <v>18</v>
      </c>
      <c r="AB190" s="7333"/>
      <c r="AC190" s="7327" t="s">
        <v>19</v>
      </c>
      <c r="AD190" s="7333"/>
      <c r="AE190" s="7327" t="s">
        <v>20</v>
      </c>
      <c r="AF190" s="7333"/>
      <c r="AG190" s="7327" t="s">
        <v>70</v>
      </c>
      <c r="AH190" s="7333"/>
      <c r="AI190" s="7327" t="s">
        <v>71</v>
      </c>
      <c r="AJ190" s="7333"/>
      <c r="AK190" s="7327" t="s">
        <v>32</v>
      </c>
      <c r="AL190" s="7329"/>
      <c r="AM190" s="7348"/>
      <c r="AN190" s="7349"/>
    </row>
    <row r="191" spans="1:69" x14ac:dyDescent="0.25">
      <c r="A191" s="7336"/>
      <c r="B191" s="1799" t="s">
        <v>26</v>
      </c>
      <c r="C191" s="1800" t="s">
        <v>22</v>
      </c>
      <c r="D191" s="1774" t="s">
        <v>27</v>
      </c>
      <c r="E191" s="1826" t="s">
        <v>51</v>
      </c>
      <c r="F191" s="1827" t="s">
        <v>27</v>
      </c>
      <c r="G191" s="1826" t="s">
        <v>51</v>
      </c>
      <c r="H191" s="1827" t="s">
        <v>27</v>
      </c>
      <c r="I191" s="1826" t="s">
        <v>51</v>
      </c>
      <c r="J191" s="1827" t="s">
        <v>27</v>
      </c>
      <c r="K191" s="1826" t="s">
        <v>51</v>
      </c>
      <c r="L191" s="1827" t="s">
        <v>27</v>
      </c>
      <c r="M191" s="1826" t="s">
        <v>51</v>
      </c>
      <c r="N191" s="1827" t="s">
        <v>27</v>
      </c>
      <c r="O191" s="1826" t="s">
        <v>51</v>
      </c>
      <c r="P191" s="175" t="s">
        <v>27</v>
      </c>
      <c r="Q191" s="1826" t="s">
        <v>51</v>
      </c>
      <c r="R191" s="175" t="s">
        <v>27</v>
      </c>
      <c r="S191" s="1826" t="s">
        <v>51</v>
      </c>
      <c r="T191" s="175" t="s">
        <v>27</v>
      </c>
      <c r="U191" s="1826" t="s">
        <v>51</v>
      </c>
      <c r="V191" s="1827" t="s">
        <v>27</v>
      </c>
      <c r="W191" s="1826" t="s">
        <v>51</v>
      </c>
      <c r="X191" s="1827" t="s">
        <v>27</v>
      </c>
      <c r="Y191" s="219" t="s">
        <v>51</v>
      </c>
      <c r="Z191" s="1827" t="s">
        <v>27</v>
      </c>
      <c r="AA191" s="219" t="s">
        <v>51</v>
      </c>
      <c r="AB191" s="1827" t="s">
        <v>27</v>
      </c>
      <c r="AC191" s="219" t="s">
        <v>51</v>
      </c>
      <c r="AD191" s="1827" t="s">
        <v>27</v>
      </c>
      <c r="AE191" s="219" t="s">
        <v>51</v>
      </c>
      <c r="AF191" s="1827" t="s">
        <v>27</v>
      </c>
      <c r="AG191" s="219" t="s">
        <v>51</v>
      </c>
      <c r="AH191" s="1827" t="s">
        <v>27</v>
      </c>
      <c r="AI191" s="219" t="s">
        <v>51</v>
      </c>
      <c r="AJ191" s="1827" t="s">
        <v>27</v>
      </c>
      <c r="AK191" s="219" t="s">
        <v>51</v>
      </c>
      <c r="AL191" s="1828" t="s">
        <v>27</v>
      </c>
      <c r="AM191" s="1839" t="s">
        <v>41</v>
      </c>
      <c r="AN191" s="1840" t="s">
        <v>42</v>
      </c>
    </row>
    <row r="192" spans="1:69" x14ac:dyDescent="0.25">
      <c r="A192" s="366" t="s">
        <v>408</v>
      </c>
      <c r="B192" s="391">
        <f>SUM(C192+D192)</f>
        <v>0</v>
      </c>
      <c r="C192" s="392">
        <f>+E192+G192+I192+K192+M192+O192+Q192+S192+U192+W192+Y192+AA192+AC192+AE192+AG192+AI192+AK192</f>
        <v>0</v>
      </c>
      <c r="D192" s="226">
        <f>+F192+H192+J192+L192+N192+P192+R192+T192+V192+X192+Z192+AB192+AD192+AF192+AH192+AJ192+AL192</f>
        <v>0</v>
      </c>
      <c r="E192" s="393"/>
      <c r="F192" s="394"/>
      <c r="G192" s="393"/>
      <c r="H192" s="394"/>
      <c r="I192" s="393"/>
      <c r="J192" s="394"/>
      <c r="K192" s="393"/>
      <c r="L192" s="394"/>
      <c r="M192" s="393"/>
      <c r="N192" s="394"/>
      <c r="O192" s="393"/>
      <c r="P192" s="395"/>
      <c r="Q192" s="393"/>
      <c r="R192" s="395"/>
      <c r="S192" s="393"/>
      <c r="T192" s="395"/>
      <c r="U192" s="393"/>
      <c r="V192" s="394"/>
      <c r="W192" s="393"/>
      <c r="X192" s="394"/>
      <c r="Y192" s="393"/>
      <c r="Z192" s="395"/>
      <c r="AA192" s="393"/>
      <c r="AB192" s="395"/>
      <c r="AC192" s="393"/>
      <c r="AD192" s="395"/>
      <c r="AE192" s="393"/>
      <c r="AF192" s="395"/>
      <c r="AG192" s="393"/>
      <c r="AH192" s="395"/>
      <c r="AI192" s="393"/>
      <c r="AJ192" s="395"/>
      <c r="AK192" s="393"/>
      <c r="AL192" s="396"/>
      <c r="AM192" s="395"/>
      <c r="AN192" s="395"/>
      <c r="AO192" t="str">
        <f>BI192&amp;BJ192&amp;BK192&amp;BL192</f>
        <v/>
      </c>
      <c r="BI192" s="1791" t="str">
        <f>IF(AND(D192&gt;0,OR(AM192="")),"* No olvide digitar Trans Masculino  (Digite CERO si no tiene)","")</f>
        <v/>
      </c>
      <c r="BJ192" s="1791" t="str">
        <f>IF(AM192&gt;D192," * Trans masculino no pueden ser mayor al Total Mujeres.","")</f>
        <v/>
      </c>
      <c r="BK192" s="1791" t="str">
        <f>IF(AND(C192&gt;0,OR(AN192="")),"* No olvide digitar Trans Femenino  (Digite CERO si no tiene)","")</f>
        <v/>
      </c>
      <c r="BL192" s="1791" t="str">
        <f>IF(AN192&gt;C192," * Trans Femenino no pueden ser mayor al Total Hombres;","")</f>
        <v/>
      </c>
      <c r="BN192" s="1793">
        <f>IF(AND(D192&gt;0,OR(AM192="")),1,0)</f>
        <v>0</v>
      </c>
      <c r="BO192" s="1793">
        <f>IF(AM192&gt;D192,1,0)</f>
        <v>0</v>
      </c>
      <c r="BP192" s="1793">
        <f>IF(AND(C192&gt;0,OR(AN192="")),1,0)</f>
        <v>0</v>
      </c>
      <c r="BQ192" s="1793">
        <f>IF(AN192&gt;C192,1,0)</f>
        <v>0</v>
      </c>
    </row>
    <row r="193" spans="1:67" s="17" customFormat="1" ht="18" customHeight="1" x14ac:dyDescent="0.2">
      <c r="A193" s="122" t="s">
        <v>409</v>
      </c>
      <c r="B193" s="122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</row>
    <row r="194" spans="1:67" x14ac:dyDescent="0.25">
      <c r="A194" s="7319" t="s">
        <v>410</v>
      </c>
      <c r="B194" s="7322" t="s">
        <v>24</v>
      </c>
      <c r="C194" s="6468"/>
      <c r="D194" s="7323"/>
      <c r="E194" s="7327" t="s">
        <v>30</v>
      </c>
      <c r="F194" s="7328"/>
      <c r="G194" s="7328"/>
      <c r="H194" s="7328"/>
      <c r="I194" s="7328"/>
      <c r="J194" s="7328"/>
      <c r="K194" s="7328"/>
      <c r="L194" s="7329"/>
      <c r="M194" s="6468" t="s">
        <v>413</v>
      </c>
      <c r="N194" s="7330"/>
      <c r="O194" s="7323" t="s">
        <v>414</v>
      </c>
    </row>
    <row r="195" spans="1:67" x14ac:dyDescent="0.25">
      <c r="A195" s="7320"/>
      <c r="B195" s="7324"/>
      <c r="C195" s="7325"/>
      <c r="D195" s="7326"/>
      <c r="E195" s="7344" t="s">
        <v>36</v>
      </c>
      <c r="F195" s="7345"/>
      <c r="G195" s="7344" t="s">
        <v>37</v>
      </c>
      <c r="H195" s="7345"/>
      <c r="I195" s="7344" t="s">
        <v>38</v>
      </c>
      <c r="J195" s="7345"/>
      <c r="K195" s="7344" t="s">
        <v>242</v>
      </c>
      <c r="L195" s="7346"/>
      <c r="M195" s="7325"/>
      <c r="N195" s="7331"/>
      <c r="O195" s="7332"/>
    </row>
    <row r="196" spans="1:67" x14ac:dyDescent="0.25">
      <c r="A196" s="7320"/>
      <c r="B196" s="176" t="s">
        <v>26</v>
      </c>
      <c r="C196" s="366" t="s">
        <v>22</v>
      </c>
      <c r="D196" s="176" t="s">
        <v>27</v>
      </c>
      <c r="E196" s="1826" t="s">
        <v>51</v>
      </c>
      <c r="F196" s="1830" t="s">
        <v>27</v>
      </c>
      <c r="G196" s="1826" t="s">
        <v>51</v>
      </c>
      <c r="H196" s="1830" t="s">
        <v>27</v>
      </c>
      <c r="I196" s="1801" t="s">
        <v>51</v>
      </c>
      <c r="J196" s="1778" t="s">
        <v>27</v>
      </c>
      <c r="K196" s="1826" t="s">
        <v>51</v>
      </c>
      <c r="L196" s="1820" t="s">
        <v>27</v>
      </c>
      <c r="M196" s="1831" t="s">
        <v>411</v>
      </c>
      <c r="N196" s="1829" t="s">
        <v>412</v>
      </c>
      <c r="O196" s="7326"/>
    </row>
    <row r="197" spans="1:67" x14ac:dyDescent="0.25">
      <c r="A197" s="7321"/>
      <c r="B197" s="1832">
        <f t="shared" ref="B197:B202" si="67">+C197+D197</f>
        <v>0</v>
      </c>
      <c r="C197" s="1833">
        <f>+E197+G197+I197+K197</f>
        <v>0</v>
      </c>
      <c r="D197" s="1834">
        <f>+F197+H197+J197+L197</f>
        <v>0</v>
      </c>
      <c r="E197" s="1835">
        <f t="shared" ref="E197:O197" si="68">SUM(E198:E202)</f>
        <v>0</v>
      </c>
      <c r="F197" s="1808">
        <f t="shared" si="68"/>
        <v>0</v>
      </c>
      <c r="G197" s="1835">
        <f t="shared" si="68"/>
        <v>0</v>
      </c>
      <c r="H197" s="1808">
        <f t="shared" si="68"/>
        <v>0</v>
      </c>
      <c r="I197" s="1835">
        <f t="shared" si="68"/>
        <v>0</v>
      </c>
      <c r="J197" s="1836">
        <f t="shared" si="68"/>
        <v>0</v>
      </c>
      <c r="K197" s="391">
        <f t="shared" si="68"/>
        <v>0</v>
      </c>
      <c r="L197" s="1837">
        <f t="shared" si="68"/>
        <v>0</v>
      </c>
      <c r="M197" s="1810">
        <f t="shared" si="68"/>
        <v>0</v>
      </c>
      <c r="N197" s="1808">
        <f t="shared" si="68"/>
        <v>0</v>
      </c>
      <c r="O197" s="1838">
        <f t="shared" si="68"/>
        <v>0</v>
      </c>
    </row>
    <row r="198" spans="1:67" x14ac:dyDescent="0.25">
      <c r="A198" s="368" t="s">
        <v>415</v>
      </c>
      <c r="B198" s="387">
        <f t="shared" si="67"/>
        <v>0</v>
      </c>
      <c r="C198" s="387">
        <f>+E198+G198+I198+K198</f>
        <v>0</v>
      </c>
      <c r="D198" s="403">
        <f>+F198+H198+J198+L198</f>
        <v>0</v>
      </c>
      <c r="E198" s="276"/>
      <c r="F198" s="280"/>
      <c r="G198" s="276"/>
      <c r="H198" s="280"/>
      <c r="I198" s="276"/>
      <c r="J198" s="277"/>
      <c r="K198" s="276"/>
      <c r="L198" s="404"/>
      <c r="M198" s="278"/>
      <c r="N198" s="280"/>
      <c r="O198" s="405"/>
      <c r="P198" t="str">
        <f>BI198&amp;BJ198</f>
        <v/>
      </c>
      <c r="BI198" s="1791" t="str">
        <f>IF(O198&gt;B198,"* La indicación de Vacuna NO DEBE ser mayor al total de ambos sexos","")</f>
        <v/>
      </c>
      <c r="BJ198" s="1791" t="str">
        <f>IF((M198+N198)&gt;B198," * La suma del Tipo de Mordedura NO DEBE ser mayor al total de ambos sexos","")</f>
        <v/>
      </c>
      <c r="BN198" s="1793">
        <f>IF(O198&gt;B198,1,0)</f>
        <v>0</v>
      </c>
      <c r="BO198" s="1793">
        <f>IF((M198+N198)&gt;B198,1,0)</f>
        <v>0</v>
      </c>
    </row>
    <row r="199" spans="1:67" x14ac:dyDescent="0.25">
      <c r="A199" s="204" t="s">
        <v>416</v>
      </c>
      <c r="B199" s="406">
        <f t="shared" si="67"/>
        <v>0</v>
      </c>
      <c r="C199" s="406">
        <f t="shared" ref="C199:D202" si="69">+E199+G199+I199+K199</f>
        <v>0</v>
      </c>
      <c r="D199" s="407">
        <f t="shared" si="69"/>
        <v>0</v>
      </c>
      <c r="E199" s="281"/>
      <c r="F199" s="285"/>
      <c r="G199" s="281"/>
      <c r="H199" s="285"/>
      <c r="I199" s="281"/>
      <c r="J199" s="282"/>
      <c r="K199" s="281"/>
      <c r="L199" s="408"/>
      <c r="M199" s="283"/>
      <c r="N199" s="285"/>
      <c r="O199" s="409"/>
      <c r="P199" t="str">
        <f t="shared" ref="P199:P202" si="70">BI199&amp;BJ199</f>
        <v/>
      </c>
      <c r="BI199" s="1791" t="str">
        <f t="shared" ref="BI199:BI202" si="71">IF(O199&gt;B199,"* La indicación de Vacuna NO DEBE ser mayor al total de ambos sexos","")</f>
        <v/>
      </c>
      <c r="BJ199" s="1791" t="str">
        <f t="shared" ref="BJ199:BJ202" si="72">IF((M199+N199)&gt;B199," * La suma del Tipo de Mordedura NO DEBE ser mayor al total de ambos sexos","")</f>
        <v/>
      </c>
      <c r="BN199" s="1793">
        <f t="shared" ref="BN199:BN202" si="73">IF(O199&gt;B199,1,0)</f>
        <v>0</v>
      </c>
      <c r="BO199" s="1793">
        <f t="shared" ref="BO199:BO202" si="74">IF((M199+N199)&gt;B199,1,0)</f>
        <v>0</v>
      </c>
    </row>
    <row r="200" spans="1:67" x14ac:dyDescent="0.25">
      <c r="A200" s="204" t="s">
        <v>417</v>
      </c>
      <c r="B200" s="406">
        <f t="shared" si="67"/>
        <v>0</v>
      </c>
      <c r="C200" s="406">
        <f t="shared" si="69"/>
        <v>0</v>
      </c>
      <c r="D200" s="407">
        <f t="shared" si="69"/>
        <v>0</v>
      </c>
      <c r="E200" s="281"/>
      <c r="F200" s="285"/>
      <c r="G200" s="281"/>
      <c r="H200" s="285"/>
      <c r="I200" s="281"/>
      <c r="J200" s="282"/>
      <c r="K200" s="281"/>
      <c r="L200" s="408"/>
      <c r="M200" s="283"/>
      <c r="N200" s="285"/>
      <c r="O200" s="409"/>
      <c r="P200" t="str">
        <f t="shared" si="70"/>
        <v/>
      </c>
      <c r="BI200" s="1791" t="str">
        <f t="shared" si="71"/>
        <v/>
      </c>
      <c r="BJ200" s="1791" t="str">
        <f t="shared" si="72"/>
        <v/>
      </c>
      <c r="BN200" s="1793">
        <f t="shared" si="73"/>
        <v>0</v>
      </c>
      <c r="BO200" s="1793">
        <f t="shared" si="74"/>
        <v>0</v>
      </c>
    </row>
    <row r="201" spans="1:67" x14ac:dyDescent="0.25">
      <c r="A201" s="204" t="s">
        <v>418</v>
      </c>
      <c r="B201" s="406">
        <f t="shared" si="67"/>
        <v>0</v>
      </c>
      <c r="C201" s="406">
        <f t="shared" si="69"/>
        <v>0</v>
      </c>
      <c r="D201" s="407">
        <f t="shared" si="69"/>
        <v>0</v>
      </c>
      <c r="E201" s="410"/>
      <c r="F201" s="411"/>
      <c r="G201" s="410"/>
      <c r="H201" s="411"/>
      <c r="I201" s="410"/>
      <c r="J201" s="412"/>
      <c r="K201" s="410"/>
      <c r="L201" s="413"/>
      <c r="M201" s="414"/>
      <c r="N201" s="411"/>
      <c r="O201" s="415"/>
      <c r="P201" t="str">
        <f t="shared" si="70"/>
        <v/>
      </c>
      <c r="BI201" s="1791" t="str">
        <f t="shared" si="71"/>
        <v/>
      </c>
      <c r="BJ201" s="1791" t="str">
        <f t="shared" si="72"/>
        <v/>
      </c>
      <c r="BN201" s="1793">
        <f t="shared" si="73"/>
        <v>0</v>
      </c>
      <c r="BO201" s="1793">
        <f t="shared" si="74"/>
        <v>0</v>
      </c>
    </row>
    <row r="202" spans="1:67" x14ac:dyDescent="0.25">
      <c r="A202" s="169" t="s">
        <v>419</v>
      </c>
      <c r="B202" s="416">
        <f t="shared" si="67"/>
        <v>0</v>
      </c>
      <c r="C202" s="416">
        <f t="shared" si="69"/>
        <v>0</v>
      </c>
      <c r="D202" s="417">
        <f t="shared" si="69"/>
        <v>0</v>
      </c>
      <c r="E202" s="286"/>
      <c r="F202" s="287"/>
      <c r="G202" s="286"/>
      <c r="H202" s="287"/>
      <c r="I202" s="286"/>
      <c r="J202" s="287"/>
      <c r="K202" s="286"/>
      <c r="L202" s="382"/>
      <c r="M202" s="288"/>
      <c r="N202" s="287"/>
      <c r="O202" s="418"/>
      <c r="P202" t="str">
        <f t="shared" si="70"/>
        <v/>
      </c>
      <c r="BI202" s="1791" t="str">
        <f t="shared" si="71"/>
        <v/>
      </c>
      <c r="BJ202" s="1791" t="str">
        <f t="shared" si="72"/>
        <v/>
      </c>
      <c r="BN202" s="1793">
        <f t="shared" si="73"/>
        <v>0</v>
      </c>
      <c r="BO202" s="1793">
        <f t="shared" si="74"/>
        <v>0</v>
      </c>
    </row>
    <row r="248" spans="1:2" hidden="1" x14ac:dyDescent="0.25">
      <c r="A248" s="4600">
        <f>SUM(B13:B16,B21:B26,B31:B36,B41:B46,B51:B56,B61:B67,B70:B90,C95:C102,D105:D107,C112:C114,C118:C119,B123:P124,C128:C129,B144,C147:D147,C151:C152,C155:C160,C164:C169,B174:B177,C182:C183,B186:B187,B192,B197:B202)</f>
        <v>0</v>
      </c>
      <c r="B248" s="4574">
        <f>SUM(BN13:BX202)</f>
        <v>0</v>
      </c>
    </row>
  </sheetData>
  <sheetProtection algorithmName="SHA-512" hashValue="Mm+vtuf3B9YKupm/BzNfDXErnljqg49HjHVOQtLuXP5XGZeaNYVaNFfauYmsO5pIZRQtzIo7rehPeChVMmP7FA==" saltValue="iI3PU366xYGXTJQ1eTv7Hg==" spinCount="100000" sheet="1" objects="1" scenarios="1"/>
  <mergeCells count="321">
    <mergeCell ref="A6:O6"/>
    <mergeCell ref="A10:A12"/>
    <mergeCell ref="B10:D11"/>
    <mergeCell ref="E10:AL10"/>
    <mergeCell ref="AM10:AM12"/>
    <mergeCell ref="AN10:AQ10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O11:AO12"/>
    <mergeCell ref="AP11:AP12"/>
    <mergeCell ref="AQ11:AQ12"/>
    <mergeCell ref="AM18:AM20"/>
    <mergeCell ref="AN18:AN20"/>
    <mergeCell ref="AO18:AO20"/>
    <mergeCell ref="AP18:AP20"/>
    <mergeCell ref="AC11:AD11"/>
    <mergeCell ref="AE11:AF11"/>
    <mergeCell ref="AG11:AH11"/>
    <mergeCell ref="AI11:AJ11"/>
    <mergeCell ref="AK11:AL11"/>
    <mergeCell ref="AN11:AN12"/>
    <mergeCell ref="AC19:AD19"/>
    <mergeCell ref="AE19:AF19"/>
    <mergeCell ref="AG19:AH19"/>
    <mergeCell ref="AI19:AJ19"/>
    <mergeCell ref="AK19:AL19"/>
    <mergeCell ref="A27:H27"/>
    <mergeCell ref="Q19:R19"/>
    <mergeCell ref="S19:T19"/>
    <mergeCell ref="U19:V19"/>
    <mergeCell ref="W19:X19"/>
    <mergeCell ref="Y19:Z19"/>
    <mergeCell ref="AA19:AB19"/>
    <mergeCell ref="E19:F19"/>
    <mergeCell ref="G19:H19"/>
    <mergeCell ref="I19:J19"/>
    <mergeCell ref="K19:L19"/>
    <mergeCell ref="M19:N19"/>
    <mergeCell ref="O19:P19"/>
    <mergeCell ref="A18:A20"/>
    <mergeCell ref="B18:D19"/>
    <mergeCell ref="E18:AL18"/>
    <mergeCell ref="A28:A30"/>
    <mergeCell ref="B28:D29"/>
    <mergeCell ref="E28:AL28"/>
    <mergeCell ref="AM28:AM30"/>
    <mergeCell ref="AN28:AN30"/>
    <mergeCell ref="E29:F29"/>
    <mergeCell ref="G29:H29"/>
    <mergeCell ref="I29:J29"/>
    <mergeCell ref="K29:L29"/>
    <mergeCell ref="M29:N29"/>
    <mergeCell ref="AA29:AB29"/>
    <mergeCell ref="AC29:AD29"/>
    <mergeCell ref="AE29:AF29"/>
    <mergeCell ref="AG29:AH29"/>
    <mergeCell ref="AI29:AJ29"/>
    <mergeCell ref="AK29:AL29"/>
    <mergeCell ref="O29:P29"/>
    <mergeCell ref="Q29:R29"/>
    <mergeCell ref="S29:T29"/>
    <mergeCell ref="U29:V29"/>
    <mergeCell ref="W29:X29"/>
    <mergeCell ref="Y29:Z2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M58:AN59"/>
    <mergeCell ref="E59:F59"/>
    <mergeCell ref="G59:H59"/>
    <mergeCell ref="I59:J59"/>
    <mergeCell ref="K59:L59"/>
    <mergeCell ref="AN92:AN94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K59:AL59"/>
    <mergeCell ref="AO92:AO94"/>
    <mergeCell ref="F93:G93"/>
    <mergeCell ref="H93:I93"/>
    <mergeCell ref="J93:K93"/>
    <mergeCell ref="L93:M93"/>
    <mergeCell ref="N93:O93"/>
    <mergeCell ref="P93:Q93"/>
    <mergeCell ref="R93:S93"/>
    <mergeCell ref="T93:U93"/>
    <mergeCell ref="AL93:AM93"/>
    <mergeCell ref="AH93:AI93"/>
    <mergeCell ref="AJ93:AK93"/>
    <mergeCell ref="F92:AM92"/>
    <mergeCell ref="V93:W93"/>
    <mergeCell ref="X93:Y93"/>
    <mergeCell ref="A95:B95"/>
    <mergeCell ref="A96:A98"/>
    <mergeCell ref="A99:B99"/>
    <mergeCell ref="A100:B100"/>
    <mergeCell ref="A101:B101"/>
    <mergeCell ref="Z93:AA93"/>
    <mergeCell ref="AB93:AC93"/>
    <mergeCell ref="AD93:AE93"/>
    <mergeCell ref="AF93:AG93"/>
    <mergeCell ref="A92:B94"/>
    <mergeCell ref="C92:E93"/>
    <mergeCell ref="A102:B102"/>
    <mergeCell ref="A104:C104"/>
    <mergeCell ref="A105:B107"/>
    <mergeCell ref="A108:K108"/>
    <mergeCell ref="A109:B111"/>
    <mergeCell ref="C109:E110"/>
    <mergeCell ref="F109:AM109"/>
    <mergeCell ref="X110:Y110"/>
    <mergeCell ref="Z110:AA110"/>
    <mergeCell ref="AB110:AC110"/>
    <mergeCell ref="AJ110:AK110"/>
    <mergeCell ref="AL110:AM110"/>
    <mergeCell ref="AN109:AN111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A113:B113"/>
    <mergeCell ref="A114:B114"/>
    <mergeCell ref="A116:B117"/>
    <mergeCell ref="C116:E116"/>
    <mergeCell ref="F116:G116"/>
    <mergeCell ref="H116:I116"/>
    <mergeCell ref="AD110:AE110"/>
    <mergeCell ref="AF110:AG110"/>
    <mergeCell ref="AH110:AI110"/>
    <mergeCell ref="V116:W116"/>
    <mergeCell ref="X116:Y116"/>
    <mergeCell ref="N116:O116"/>
    <mergeCell ref="P116:Q116"/>
    <mergeCell ref="R116:S116"/>
    <mergeCell ref="T116:U116"/>
    <mergeCell ref="A112:B112"/>
    <mergeCell ref="A118:B118"/>
    <mergeCell ref="A119:B119"/>
    <mergeCell ref="A121:A122"/>
    <mergeCell ref="B121:E121"/>
    <mergeCell ref="F121:G121"/>
    <mergeCell ref="H121:K121"/>
    <mergeCell ref="L121:L122"/>
    <mergeCell ref="M121:M122"/>
    <mergeCell ref="J116:K116"/>
    <mergeCell ref="L116:M116"/>
    <mergeCell ref="A128:A129"/>
    <mergeCell ref="A146:B146"/>
    <mergeCell ref="A149:B150"/>
    <mergeCell ref="C149:E149"/>
    <mergeCell ref="N121:N122"/>
    <mergeCell ref="O121:O122"/>
    <mergeCell ref="P121:P122"/>
    <mergeCell ref="A126:B127"/>
    <mergeCell ref="C126:C127"/>
    <mergeCell ref="D126:I126"/>
    <mergeCell ref="J126:J127"/>
    <mergeCell ref="A158:A160"/>
    <mergeCell ref="A162:B163"/>
    <mergeCell ref="C162:E162"/>
    <mergeCell ref="F162:F163"/>
    <mergeCell ref="G162:G163"/>
    <mergeCell ref="H162:H163"/>
    <mergeCell ref="F149:F150"/>
    <mergeCell ref="G149:I149"/>
    <mergeCell ref="J149:L149"/>
    <mergeCell ref="A151:A152"/>
    <mergeCell ref="A154:B154"/>
    <mergeCell ref="A155:A156"/>
    <mergeCell ref="AA172:AB172"/>
    <mergeCell ref="AC172:AD172"/>
    <mergeCell ref="A164:A166"/>
    <mergeCell ref="A167:A169"/>
    <mergeCell ref="A171:A173"/>
    <mergeCell ref="B171:D172"/>
    <mergeCell ref="E171:AL171"/>
    <mergeCell ref="E172:F172"/>
    <mergeCell ref="G172:H172"/>
    <mergeCell ref="I172:J172"/>
    <mergeCell ref="K172:L172"/>
    <mergeCell ref="M172:N172"/>
    <mergeCell ref="AE172:AF172"/>
    <mergeCell ref="AG172:AH172"/>
    <mergeCell ref="AI172:AJ172"/>
    <mergeCell ref="AK172:AL172"/>
    <mergeCell ref="O172:P172"/>
    <mergeCell ref="Q172:R172"/>
    <mergeCell ref="S172:T172"/>
    <mergeCell ref="U172:V172"/>
    <mergeCell ref="W172:X172"/>
    <mergeCell ref="Y172:Z172"/>
    <mergeCell ref="A182:A183"/>
    <mergeCell ref="AI179:AI181"/>
    <mergeCell ref="AJ179:AJ181"/>
    <mergeCell ref="AK179:AK181"/>
    <mergeCell ref="F180:G180"/>
    <mergeCell ref="H180:I180"/>
    <mergeCell ref="J180:K180"/>
    <mergeCell ref="L180:M180"/>
    <mergeCell ref="N180:O180"/>
    <mergeCell ref="P180:Q180"/>
    <mergeCell ref="R180:S180"/>
    <mergeCell ref="Y179:Y181"/>
    <mergeCell ref="Z179:Z181"/>
    <mergeCell ref="AA179:AA181"/>
    <mergeCell ref="AB179:AE179"/>
    <mergeCell ref="AF179:AG179"/>
    <mergeCell ref="AH179:AH181"/>
    <mergeCell ref="AB180:AB181"/>
    <mergeCell ref="AC180:AC181"/>
    <mergeCell ref="AD180:AD181"/>
    <mergeCell ref="A179:B181"/>
    <mergeCell ref="C179:E180"/>
    <mergeCell ref="F179:U179"/>
    <mergeCell ref="V179:V181"/>
    <mergeCell ref="AM189:AN190"/>
    <mergeCell ref="E190:F190"/>
    <mergeCell ref="G190:H190"/>
    <mergeCell ref="I190:J190"/>
    <mergeCell ref="K190:L190"/>
    <mergeCell ref="M190:N190"/>
    <mergeCell ref="O190:P190"/>
    <mergeCell ref="AF180:AF181"/>
    <mergeCell ref="AG180:AG181"/>
    <mergeCell ref="AE180:AE181"/>
    <mergeCell ref="W179:W181"/>
    <mergeCell ref="X179:X181"/>
    <mergeCell ref="T180:U180"/>
    <mergeCell ref="A194:A197"/>
    <mergeCell ref="B194:D195"/>
    <mergeCell ref="E194:L194"/>
    <mergeCell ref="M194:N195"/>
    <mergeCell ref="O194:O196"/>
    <mergeCell ref="Q190:R190"/>
    <mergeCell ref="S190:T190"/>
    <mergeCell ref="U190:V190"/>
    <mergeCell ref="W190:X190"/>
    <mergeCell ref="A189:A191"/>
    <mergeCell ref="B189:D190"/>
    <mergeCell ref="E189:AL189"/>
    <mergeCell ref="E195:F195"/>
    <mergeCell ref="G195:H195"/>
    <mergeCell ref="I195:J195"/>
    <mergeCell ref="K195:L195"/>
    <mergeCell ref="AC190:AD190"/>
    <mergeCell ref="AE190:AF190"/>
    <mergeCell ref="AG190:AH190"/>
    <mergeCell ref="AI190:AJ190"/>
    <mergeCell ref="AK190:AL190"/>
    <mergeCell ref="Y190:Z190"/>
    <mergeCell ref="AA190:AB190"/>
  </mergeCells>
  <dataValidations count="1">
    <dataValidation type="whole" operator="greaterThanOrEqual" allowBlank="1" showInputMessage="1" showErrorMessage="1" errorTitle="Error" error="Favor Ingrese sólo Números." sqref="E13:AS16 E21:AP26 E31:AN36 E41:AN46 E51:AN56 E61:AN66 C70:E89 F96:AO102 D105:D107 F112:AN114 F118:Y119 B123:P124 E198:O202 D128:J129 C147:D147 D151:L152 C155:F160 D164:H169 E174:AL177 F182:AK183 C186:D187 E192:AN192 B132:B143" xr:uid="{00000000-0002-0000-0800-000000000000}">
      <formula1>0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EI392"/>
  <sheetViews>
    <sheetView showGridLines="0" workbookViewId="0"/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51.42578125" customWidth="1"/>
    <col min="4" max="4" width="14.140625" customWidth="1"/>
    <col min="5" max="6" width="13.28515625" customWidth="1"/>
    <col min="7" max="7" width="14.42578125" customWidth="1"/>
    <col min="8" max="9" width="13.2851562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84" width="11.42578125" customWidth="1"/>
    <col min="100" max="100" width="11.42578125" hidden="1" customWidth="1"/>
    <col min="101" max="109" width="11.42578125" style="1791" hidden="1" customWidth="1"/>
    <col min="110" max="110" width="11.42578125" hidden="1" customWidth="1"/>
    <col min="111" max="117" width="11.42578125" style="1793" hidden="1" customWidth="1"/>
    <col min="118" max="120" width="11.42578125" hidden="1" customWidth="1"/>
    <col min="121" max="121" width="11.42578125" customWidth="1"/>
    <col min="130" max="130" width="10.140625" customWidth="1"/>
    <col min="136" max="169" width="11.42578125" customWidth="1"/>
  </cols>
  <sheetData>
    <row r="1" spans="1:139" x14ac:dyDescent="0.25">
      <c r="A1" s="779" t="s">
        <v>3878</v>
      </c>
      <c r="CW1"/>
      <c r="CX1"/>
      <c r="CY1"/>
      <c r="CZ1"/>
      <c r="DA1"/>
      <c r="DB1"/>
      <c r="DC1"/>
      <c r="DD1"/>
      <c r="DE1"/>
      <c r="DG1"/>
      <c r="DH1"/>
      <c r="DI1"/>
      <c r="DJ1"/>
      <c r="DK1"/>
      <c r="DL1"/>
      <c r="DM1"/>
    </row>
    <row r="2" spans="1:139" x14ac:dyDescent="0.25">
      <c r="A2" s="779" t="str">
        <f>CONCATENATE("COMUNA: ",NOMBRE!B2," - ","( ",NOMBRE!C2,NOMBRE!D2,NOMBRE!E2,NOMBRE!F2,NOMBRE!G2," )")</f>
        <v>COMUNA:  - (  )</v>
      </c>
      <c r="CW2"/>
      <c r="CX2"/>
      <c r="CY2"/>
      <c r="CZ2"/>
      <c r="DA2"/>
      <c r="DB2"/>
      <c r="DC2"/>
      <c r="DD2"/>
      <c r="DE2"/>
      <c r="DG2"/>
      <c r="DH2"/>
      <c r="DI2"/>
      <c r="DJ2"/>
      <c r="DK2"/>
      <c r="DL2"/>
      <c r="DM2"/>
    </row>
    <row r="3" spans="1:139" x14ac:dyDescent="0.25">
      <c r="A3" s="779" t="str">
        <f>CONCATENATE("ESTABLECIMIENTO/ESTRATEGIA: ",NOMBRE!B3," - ","( ",NOMBRE!C3,NOMBRE!D3,NOMBRE!E3,NOMBRE!F3,NOMBRE!G3,NOMBRE!H3," )")</f>
        <v>ESTABLECIMIENTO/ESTRATEGIA:  - (  )</v>
      </c>
      <c r="CW3"/>
      <c r="CX3"/>
      <c r="CY3"/>
      <c r="CZ3"/>
      <c r="DA3"/>
      <c r="DB3"/>
      <c r="DC3"/>
      <c r="DD3"/>
      <c r="DE3"/>
      <c r="DG3"/>
      <c r="DH3"/>
      <c r="DI3"/>
      <c r="DJ3"/>
      <c r="DK3"/>
      <c r="DL3"/>
      <c r="DM3"/>
    </row>
    <row r="4" spans="1:139" x14ac:dyDescent="0.25">
      <c r="A4" s="779" t="str">
        <f>CONCATENATE("MES: ",NOMBRE!B6," - ","( ",NOMBRE!C6,NOMBRE!D6," )")</f>
        <v>MES:  - (  )</v>
      </c>
      <c r="CW4"/>
      <c r="CX4"/>
      <c r="CY4"/>
      <c r="CZ4"/>
      <c r="DA4"/>
      <c r="DB4"/>
      <c r="DC4"/>
      <c r="DD4"/>
      <c r="DE4"/>
      <c r="DG4"/>
      <c r="DH4"/>
      <c r="DI4"/>
      <c r="DJ4"/>
      <c r="DK4"/>
      <c r="DL4"/>
      <c r="DM4"/>
    </row>
    <row r="5" spans="1:139" x14ac:dyDescent="0.25">
      <c r="A5" s="779" t="str">
        <f>CONCATENATE("AÑO: ",NOMBRE!B7)</f>
        <v>AÑO: 2024</v>
      </c>
      <c r="CW5"/>
      <c r="CX5"/>
      <c r="CY5"/>
      <c r="CZ5"/>
      <c r="DA5"/>
      <c r="DB5"/>
      <c r="DC5"/>
      <c r="DD5"/>
      <c r="DE5"/>
      <c r="DG5"/>
      <c r="DH5"/>
      <c r="DI5"/>
      <c r="DJ5"/>
      <c r="DK5"/>
      <c r="DL5"/>
      <c r="DM5"/>
    </row>
    <row r="6" spans="1:139" s="782" customFormat="1" ht="18" customHeight="1" x14ac:dyDescent="0.25">
      <c r="A6" s="6914" t="s">
        <v>673</v>
      </c>
      <c r="B6" s="6914"/>
      <c r="C6" s="6914"/>
      <c r="D6" s="6914"/>
      <c r="E6" s="6914"/>
      <c r="F6" s="6914"/>
      <c r="G6" s="6914"/>
      <c r="H6" s="6914"/>
      <c r="I6" s="6914"/>
      <c r="J6" s="6914"/>
      <c r="K6" s="6914"/>
      <c r="L6" s="6914"/>
      <c r="M6" s="6914"/>
      <c r="N6" s="6914"/>
      <c r="O6" s="6914"/>
      <c r="P6" s="6914"/>
      <c r="Q6" s="781"/>
      <c r="R6" s="781"/>
      <c r="S6" s="781"/>
      <c r="T6" s="781"/>
      <c r="U6" s="781"/>
      <c r="V6" s="781"/>
      <c r="W6" s="781"/>
      <c r="X6" s="781"/>
      <c r="Y6" s="781"/>
      <c r="Z6" s="781"/>
      <c r="AA6" s="781"/>
      <c r="AB6" s="781"/>
      <c r="AC6" s="781"/>
      <c r="AD6" s="781"/>
      <c r="AE6" s="781"/>
      <c r="AF6" s="781"/>
      <c r="AG6" s="781"/>
      <c r="AH6" s="781"/>
      <c r="AI6" s="781"/>
      <c r="AJ6" s="781"/>
      <c r="AK6" s="781"/>
      <c r="AL6" s="781"/>
      <c r="AM6" s="781"/>
      <c r="AN6" s="781"/>
      <c r="AO6" s="781"/>
      <c r="AP6" s="781"/>
      <c r="AQ6" s="781"/>
      <c r="AR6" s="781"/>
      <c r="AS6" s="781"/>
      <c r="AT6" s="781"/>
      <c r="AU6" s="781"/>
      <c r="AV6" s="781"/>
      <c r="AW6" s="632"/>
      <c r="AX6" s="632"/>
      <c r="AY6" s="632"/>
      <c r="AZ6" s="632"/>
      <c r="BA6" s="632"/>
      <c r="BB6" s="632"/>
      <c r="BC6" s="632"/>
      <c r="BD6" s="632"/>
      <c r="BE6" s="632"/>
      <c r="BF6" s="632"/>
      <c r="BG6" s="632"/>
      <c r="BH6" s="632"/>
      <c r="BI6" s="632"/>
      <c r="BJ6" s="632"/>
      <c r="BK6" s="632"/>
      <c r="BL6" s="632"/>
      <c r="BM6" s="632"/>
      <c r="BN6" s="632"/>
      <c r="BO6" s="632"/>
      <c r="BP6" s="632"/>
      <c r="BQ6" s="632"/>
      <c r="BR6" s="632"/>
      <c r="BS6" s="632"/>
      <c r="BT6" s="632"/>
      <c r="BU6" s="632"/>
      <c r="BV6" s="632"/>
      <c r="BW6" s="632"/>
      <c r="BX6" s="632"/>
      <c r="BY6" s="632"/>
      <c r="BZ6" s="632"/>
      <c r="CA6" s="632"/>
      <c r="CB6" s="632"/>
      <c r="CC6" s="632"/>
      <c r="CD6" s="632"/>
      <c r="CE6" s="632"/>
      <c r="CF6" s="632"/>
      <c r="CG6" s="632"/>
      <c r="CH6" s="632"/>
      <c r="CI6" s="632"/>
      <c r="CJ6" s="632"/>
      <c r="CK6" s="632"/>
      <c r="CL6" s="632"/>
      <c r="CM6" s="632"/>
      <c r="CN6" s="632"/>
      <c r="CO6" s="632"/>
      <c r="CP6" s="632"/>
      <c r="CQ6" s="632"/>
      <c r="CR6" s="632"/>
      <c r="CS6" s="632"/>
      <c r="CT6" s="632"/>
      <c r="CU6" s="632"/>
      <c r="CV6" s="632"/>
      <c r="CW6" s="632"/>
      <c r="CX6" s="632"/>
      <c r="CY6" s="632"/>
      <c r="CZ6" s="632"/>
      <c r="DA6" s="632"/>
      <c r="DB6" s="632"/>
      <c r="DC6" s="632"/>
      <c r="DD6" s="632"/>
      <c r="DE6" s="632"/>
      <c r="DF6" s="632"/>
      <c r="DG6" s="632"/>
      <c r="DH6" s="632"/>
      <c r="DI6" s="632"/>
      <c r="DJ6" s="632"/>
      <c r="DK6" s="632"/>
      <c r="DL6" s="632"/>
      <c r="DM6" s="632"/>
      <c r="DN6" s="632"/>
      <c r="DO6" s="632"/>
      <c r="DP6" s="632"/>
      <c r="DQ6" s="632"/>
      <c r="DR6" s="7640"/>
      <c r="DS6" s="7640"/>
      <c r="DT6" s="7640"/>
      <c r="DU6" s="7640"/>
      <c r="DV6" s="7640"/>
      <c r="DW6" s="7640"/>
      <c r="DX6" s="7640"/>
      <c r="DY6" s="7640"/>
      <c r="DZ6" s="7640"/>
      <c r="EA6" s="7640"/>
      <c r="EB6" s="7640"/>
      <c r="EC6" s="7640"/>
      <c r="ED6" s="7640"/>
      <c r="EE6" s="7640"/>
      <c r="EF6" s="7640"/>
      <c r="EG6" s="7640"/>
      <c r="EH6" s="7640"/>
      <c r="EI6" s="7640"/>
    </row>
    <row r="7" spans="1:139" x14ac:dyDescent="0.25">
      <c r="CW7"/>
      <c r="CX7"/>
      <c r="CY7"/>
      <c r="CZ7"/>
      <c r="DA7"/>
      <c r="DB7"/>
      <c r="DC7"/>
      <c r="DD7"/>
      <c r="DE7"/>
      <c r="DG7"/>
      <c r="DH7"/>
      <c r="DI7"/>
      <c r="DJ7"/>
      <c r="DK7"/>
      <c r="DL7"/>
      <c r="DM7"/>
    </row>
    <row r="8" spans="1:139" ht="18" customHeight="1" x14ac:dyDescent="0.25">
      <c r="A8" s="783" t="s">
        <v>674</v>
      </c>
      <c r="B8" s="784"/>
      <c r="C8" s="784"/>
      <c r="D8" s="785"/>
      <c r="E8" s="785"/>
      <c r="F8" s="786"/>
      <c r="G8" s="782"/>
      <c r="H8" s="786"/>
      <c r="I8" s="786"/>
      <c r="J8" s="786"/>
      <c r="K8" s="786"/>
      <c r="L8" s="786"/>
      <c r="M8" s="786"/>
      <c r="N8" s="786"/>
      <c r="O8" s="786"/>
      <c r="P8" s="782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780"/>
      <c r="AI8" s="780"/>
      <c r="AJ8" s="780"/>
      <c r="AK8" s="780"/>
      <c r="AL8" s="780"/>
      <c r="AM8" s="780"/>
      <c r="AN8" s="780"/>
      <c r="AO8" s="780"/>
      <c r="AP8" s="780"/>
      <c r="AQ8" s="780"/>
      <c r="AR8" s="780"/>
      <c r="AS8" s="780"/>
      <c r="AT8" s="780"/>
      <c r="AU8" s="780"/>
      <c r="AV8" s="780"/>
      <c r="AW8" s="780"/>
      <c r="AX8" s="103"/>
      <c r="CW8"/>
      <c r="CX8"/>
      <c r="CY8"/>
      <c r="CZ8"/>
      <c r="DA8"/>
      <c r="DB8"/>
      <c r="DC8"/>
      <c r="DD8"/>
      <c r="DE8"/>
      <c r="DG8"/>
      <c r="DH8"/>
      <c r="DI8"/>
      <c r="DJ8"/>
      <c r="DK8"/>
      <c r="DL8"/>
      <c r="DM8"/>
    </row>
    <row r="9" spans="1:139" x14ac:dyDescent="0.25">
      <c r="A9" s="6603" t="s">
        <v>675</v>
      </c>
      <c r="B9" s="6603"/>
      <c r="C9" s="7319"/>
      <c r="D9" s="6468" t="s">
        <v>24</v>
      </c>
      <c r="E9" s="6468"/>
      <c r="F9" s="7323"/>
      <c r="G9" s="7487" t="s">
        <v>30</v>
      </c>
      <c r="H9" s="7503"/>
      <c r="I9" s="7503"/>
      <c r="J9" s="7503"/>
      <c r="K9" s="7503"/>
      <c r="L9" s="7503"/>
      <c r="M9" s="7503"/>
      <c r="N9" s="7503"/>
      <c r="O9" s="7503"/>
      <c r="P9" s="7503"/>
      <c r="Q9" s="7503"/>
      <c r="R9" s="7503"/>
      <c r="S9" s="7503"/>
      <c r="T9" s="7503"/>
      <c r="U9" s="7503"/>
      <c r="V9" s="7503"/>
      <c r="W9" s="7503"/>
      <c r="X9" s="7503"/>
      <c r="Y9" s="7503"/>
      <c r="Z9" s="7503"/>
      <c r="AA9" s="7503"/>
      <c r="AB9" s="7503"/>
      <c r="AC9" s="7503"/>
      <c r="AD9" s="7503"/>
      <c r="AE9" s="7503"/>
      <c r="AF9" s="7503"/>
      <c r="AG9" s="7503"/>
      <c r="AH9" s="7503"/>
      <c r="AI9" s="7503"/>
      <c r="AJ9" s="7503"/>
      <c r="AK9" s="7503"/>
      <c r="AL9" s="7503"/>
      <c r="AM9" s="7503"/>
      <c r="AN9" s="7503"/>
      <c r="AO9" s="7503"/>
      <c r="AP9" s="7505"/>
      <c r="AQ9" s="7323" t="s">
        <v>676</v>
      </c>
      <c r="AR9" s="7599" t="s">
        <v>327</v>
      </c>
      <c r="AS9" s="7599" t="s">
        <v>677</v>
      </c>
      <c r="AT9" s="7599" t="s">
        <v>678</v>
      </c>
      <c r="AU9" s="7599" t="s">
        <v>3</v>
      </c>
      <c r="AV9" s="7574" t="s">
        <v>679</v>
      </c>
      <c r="AW9" s="7599" t="s">
        <v>680</v>
      </c>
      <c r="AX9" s="7599" t="s">
        <v>681</v>
      </c>
      <c r="CW9"/>
      <c r="CX9"/>
      <c r="CY9"/>
      <c r="CZ9"/>
      <c r="DA9"/>
      <c r="DB9"/>
      <c r="DC9"/>
      <c r="DD9"/>
      <c r="DE9"/>
      <c r="DG9"/>
      <c r="DH9"/>
      <c r="DI9"/>
      <c r="DJ9"/>
      <c r="DK9"/>
      <c r="DL9"/>
      <c r="DM9"/>
    </row>
    <row r="10" spans="1:139" x14ac:dyDescent="0.25">
      <c r="A10" s="7360"/>
      <c r="B10" s="7360"/>
      <c r="C10" s="7320"/>
      <c r="D10" s="7533"/>
      <c r="E10" s="7533"/>
      <c r="F10" s="7534"/>
      <c r="G10" s="7501" t="s">
        <v>682</v>
      </c>
      <c r="H10" s="7502"/>
      <c r="I10" s="7487" t="s">
        <v>683</v>
      </c>
      <c r="J10" s="7504"/>
      <c r="K10" s="7503" t="s">
        <v>684</v>
      </c>
      <c r="L10" s="7504"/>
      <c r="M10" s="7487" t="s">
        <v>685</v>
      </c>
      <c r="N10" s="7504"/>
      <c r="O10" s="7487" t="s">
        <v>686</v>
      </c>
      <c r="P10" s="7504"/>
      <c r="Q10" s="7487" t="s">
        <v>687</v>
      </c>
      <c r="R10" s="7504"/>
      <c r="S10" s="7487" t="s">
        <v>688</v>
      </c>
      <c r="T10" s="7504"/>
      <c r="U10" s="7487" t="s">
        <v>689</v>
      </c>
      <c r="V10" s="7504"/>
      <c r="W10" s="7487" t="s">
        <v>690</v>
      </c>
      <c r="X10" s="7504"/>
      <c r="Y10" s="7487" t="s">
        <v>554</v>
      </c>
      <c r="Z10" s="7488"/>
      <c r="AA10" s="7487" t="s">
        <v>568</v>
      </c>
      <c r="AB10" s="7488"/>
      <c r="AC10" s="7487" t="s">
        <v>691</v>
      </c>
      <c r="AD10" s="7488"/>
      <c r="AE10" s="7487" t="s">
        <v>692</v>
      </c>
      <c r="AF10" s="7488"/>
      <c r="AG10" s="7487" t="s">
        <v>693</v>
      </c>
      <c r="AH10" s="7488"/>
      <c r="AI10" s="7487" t="s">
        <v>694</v>
      </c>
      <c r="AJ10" s="7488"/>
      <c r="AK10" s="7487" t="s">
        <v>556</v>
      </c>
      <c r="AL10" s="7488"/>
      <c r="AM10" s="7487" t="s">
        <v>695</v>
      </c>
      <c r="AN10" s="7488"/>
      <c r="AO10" s="7487" t="s">
        <v>57</v>
      </c>
      <c r="AP10" s="7579"/>
      <c r="AQ10" s="7332"/>
      <c r="AR10" s="7355"/>
      <c r="AS10" s="7355"/>
      <c r="AT10" s="7355"/>
      <c r="AU10" s="7355"/>
      <c r="AV10" s="7641"/>
      <c r="AW10" s="7355"/>
      <c r="AX10" s="7355"/>
      <c r="CW10"/>
      <c r="CX10"/>
      <c r="CY10"/>
      <c r="CZ10"/>
      <c r="DA10"/>
      <c r="DB10"/>
      <c r="DC10"/>
      <c r="DD10"/>
      <c r="DE10"/>
      <c r="DG10"/>
      <c r="DH10"/>
      <c r="DI10"/>
      <c r="DJ10"/>
      <c r="DK10"/>
      <c r="DL10"/>
      <c r="DM10"/>
    </row>
    <row r="11" spans="1:139" x14ac:dyDescent="0.25">
      <c r="A11" s="7465"/>
      <c r="B11" s="7465"/>
      <c r="C11" s="7466"/>
      <c r="D11" s="4805" t="s">
        <v>26</v>
      </c>
      <c r="E11" s="4804" t="s">
        <v>22</v>
      </c>
      <c r="F11" s="600" t="s">
        <v>27</v>
      </c>
      <c r="G11" s="606" t="s">
        <v>22</v>
      </c>
      <c r="H11" s="600" t="s">
        <v>27</v>
      </c>
      <c r="I11" s="606" t="s">
        <v>22</v>
      </c>
      <c r="J11" s="600" t="s">
        <v>27</v>
      </c>
      <c r="K11" s="606" t="s">
        <v>22</v>
      </c>
      <c r="L11" s="600" t="s">
        <v>27</v>
      </c>
      <c r="M11" s="606" t="s">
        <v>22</v>
      </c>
      <c r="N11" s="600" t="s">
        <v>27</v>
      </c>
      <c r="O11" s="606" t="s">
        <v>22</v>
      </c>
      <c r="P11" s="600" t="s">
        <v>27</v>
      </c>
      <c r="Q11" s="606" t="s">
        <v>22</v>
      </c>
      <c r="R11" s="600" t="s">
        <v>27</v>
      </c>
      <c r="S11" s="606" t="s">
        <v>22</v>
      </c>
      <c r="T11" s="600" t="s">
        <v>27</v>
      </c>
      <c r="U11" s="606" t="s">
        <v>22</v>
      </c>
      <c r="V11" s="600" t="s">
        <v>27</v>
      </c>
      <c r="W11" s="606" t="s">
        <v>22</v>
      </c>
      <c r="X11" s="600" t="s">
        <v>27</v>
      </c>
      <c r="Y11" s="606" t="s">
        <v>22</v>
      </c>
      <c r="Z11" s="600" t="s">
        <v>27</v>
      </c>
      <c r="AA11" s="606" t="s">
        <v>22</v>
      </c>
      <c r="AB11" s="600" t="s">
        <v>27</v>
      </c>
      <c r="AC11" s="606" t="s">
        <v>22</v>
      </c>
      <c r="AD11" s="600" t="s">
        <v>27</v>
      </c>
      <c r="AE11" s="606" t="s">
        <v>22</v>
      </c>
      <c r="AF11" s="600" t="s">
        <v>27</v>
      </c>
      <c r="AG11" s="606" t="s">
        <v>22</v>
      </c>
      <c r="AH11" s="600" t="s">
        <v>27</v>
      </c>
      <c r="AI11" s="606" t="s">
        <v>22</v>
      </c>
      <c r="AJ11" s="600" t="s">
        <v>27</v>
      </c>
      <c r="AK11" s="606" t="s">
        <v>22</v>
      </c>
      <c r="AL11" s="600" t="s">
        <v>27</v>
      </c>
      <c r="AM11" s="606" t="s">
        <v>22</v>
      </c>
      <c r="AN11" s="600" t="s">
        <v>27</v>
      </c>
      <c r="AO11" s="606" t="s">
        <v>22</v>
      </c>
      <c r="AP11" s="604" t="s">
        <v>27</v>
      </c>
      <c r="AQ11" s="7534"/>
      <c r="AR11" s="7432"/>
      <c r="AS11" s="7432"/>
      <c r="AT11" s="7432"/>
      <c r="AU11" s="7432"/>
      <c r="AV11" s="7472"/>
      <c r="AW11" s="7432"/>
      <c r="AX11" s="7432"/>
      <c r="CW11"/>
      <c r="CX11"/>
      <c r="CY11"/>
      <c r="CZ11"/>
      <c r="DA11"/>
      <c r="DB11"/>
      <c r="DC11"/>
      <c r="DD11"/>
      <c r="DE11"/>
      <c r="DG11"/>
      <c r="DH11"/>
      <c r="DI11"/>
      <c r="DJ11"/>
      <c r="DK11"/>
      <c r="DL11"/>
      <c r="DM11"/>
    </row>
    <row r="12" spans="1:139" ht="15" customHeight="1" x14ac:dyDescent="0.25">
      <c r="A12" s="7629" t="s">
        <v>696</v>
      </c>
      <c r="B12" s="7630"/>
      <c r="C12" s="7631"/>
      <c r="D12" s="4806">
        <f>SUM(E12+F12)</f>
        <v>0</v>
      </c>
      <c r="E12" s="4803">
        <f>SUM(G12+I12+K12+M12+O12+Q12+S12+U12+W12+Y12+AA12+AC12+AE12+AG12+AI12+AK12+AM12+AO12)</f>
        <v>0</v>
      </c>
      <c r="F12" s="788">
        <f t="shared" ref="E12:F15" si="0">SUM(H12+J12+L12+N12+P12+R12+T12+V12+X12+Z12+AB12+AD12+AF12+AH12+AJ12+AL12+AN12+AP12)</f>
        <v>0</v>
      </c>
      <c r="G12" s="589"/>
      <c r="H12" s="105"/>
      <c r="I12" s="484"/>
      <c r="J12" s="105"/>
      <c r="K12" s="484"/>
      <c r="L12" s="105"/>
      <c r="M12" s="589"/>
      <c r="N12" s="105"/>
      <c r="O12" s="589"/>
      <c r="P12" s="105"/>
      <c r="Q12" s="589"/>
      <c r="R12" s="590"/>
      <c r="S12" s="589"/>
      <c r="T12" s="590"/>
      <c r="U12" s="589"/>
      <c r="V12" s="590"/>
      <c r="W12" s="589"/>
      <c r="X12" s="590"/>
      <c r="Y12" s="589"/>
      <c r="Z12" s="590"/>
      <c r="AA12" s="589"/>
      <c r="AB12" s="590"/>
      <c r="AC12" s="589"/>
      <c r="AD12" s="590"/>
      <c r="AE12" s="589"/>
      <c r="AF12" s="590"/>
      <c r="AG12" s="589"/>
      <c r="AH12" s="590"/>
      <c r="AI12" s="589"/>
      <c r="AJ12" s="590"/>
      <c r="AK12" s="589"/>
      <c r="AL12" s="590"/>
      <c r="AM12" s="589"/>
      <c r="AN12" s="590"/>
      <c r="AO12" s="589"/>
      <c r="AP12" s="776"/>
      <c r="AQ12" s="105"/>
      <c r="AR12" s="105"/>
      <c r="AS12" s="789"/>
      <c r="AT12" s="789"/>
      <c r="AU12" s="789"/>
      <c r="AV12" s="789"/>
      <c r="AW12" s="789"/>
      <c r="AX12" s="789"/>
      <c r="AY12" t="str">
        <f>CW12&amp;CX12&amp;CY12&amp;CZ12&amp;DA12&amp;DB12&amp;DC12&amp;DD12&amp;DE12</f>
        <v/>
      </c>
      <c r="CW12" s="1791" t="str">
        <f>IF(AND((Y12+Z12)&gt;0,AQ12="")," * No olvide digitar la variable 12 años. Si no tiene digite Cero.",IF(AQ12&gt;(Y12+Z12),"* Las Consultas de 12 años NO DEBEN ser mayor que el total de Consultas entre 10-14 años",""))</f>
        <v/>
      </c>
      <c r="CX12" s="1791" t="str">
        <f>IF(AND(F12&gt;0,AR12="")," * No olvide digitar la variable Embarazadas. Digite cero si no tiene.","")</f>
        <v/>
      </c>
      <c r="CY12" s="1791" t="str">
        <f>IF(AR12&gt;F12," * Las Embarazadas NO DEBEN ser mayor al Total de mujeres. ","")</f>
        <v/>
      </c>
      <c r="CZ12" s="1791" t="str">
        <f>IF(AND((AK12+AL12)&gt;0,AS12="")," * No olvide digitar la variable 60 años. Si no tiene digite Cero.",IF(AS12&gt;(AK12+AL12)," * Las consultas de 60 años NO DEBEN ser mayor que el Total de consultas del grupo 60-64 años",""))</f>
        <v/>
      </c>
      <c r="DA12" s="1791" t="str">
        <f>IF(AND(D12&gt;0,AT12="")," * No olvide digitar la variable Usuarios con Discapacidad. Digite Cero si no tiene.",IF(AT12&gt;D12," * La variable Usuarios con Discapacidad No puede ser mayor al Total Ambos Sexos.",""))</f>
        <v/>
      </c>
      <c r="DB12" s="1791" t="str">
        <f>IF(AND(D12&gt;0,AU12="")," * No olvide digitar la variable Migrantes. Digite Cero si no tiene.",IF(AU12&gt;D12," * La variable Migrantes No puede ser mayor al Total Ambos Sexos.",""))</f>
        <v/>
      </c>
      <c r="DC12" s="1791" t="str">
        <f>IF(AND(D12&gt;0,AV12="")," * No olvide digitar la variable Pacientes en control PSCV. Digite Cero si no tiene.",IF(AV12&gt;D12," * La variable Pacientes en control PSCV No puede ser mayor al Total Ambos Sexos.",""))</f>
        <v/>
      </c>
      <c r="DD12" s="1791" t="str">
        <f>IF(AND(D12&gt;0,AW12="")," * No olvide digitar la variable Niños, niñas, adolescentes y jóvenes SENAME. Digite Cero si no tiene.",IF(AW12&gt;D12," * La variable Niños, niñas, adolescentes y jóvenes SENAME No puede ser mayor al Total.",""))</f>
        <v/>
      </c>
      <c r="DE12" s="1791" t="str">
        <f t="shared" ref="DE12:DE14" si="1">IF(AND(D12&gt;0,AX12="")," * No olvide digitar la variable Niños, niñas, adolescentes y jóvenes Mejor Niñez. Digite Cero si no tiene.",IF(AX12&gt;D12," * La variable Niños, niñas, adolescentes y jóvenes Mejor Niñez no puede ser mayor al Total.",""))</f>
        <v/>
      </c>
      <c r="DG12" s="1793">
        <f>IF(AND((Y12+Z12)&gt;0,AQ12=""),1,IF(AQ12&gt;(Y12+Z12),1,0))</f>
        <v>0</v>
      </c>
      <c r="DH12" s="1793">
        <f>IF(AND(F12&gt;0,AR12=""),1,0)</f>
        <v>0</v>
      </c>
      <c r="DI12" s="1793">
        <f>IF(AR12&gt;F12,1,0)</f>
        <v>0</v>
      </c>
      <c r="DJ12" s="1793">
        <f>IF(AND((AK12+AL12)&gt;0,AS12=""),1,IF(AS12&gt;(AK12+AL12),1,0))</f>
        <v>0</v>
      </c>
      <c r="DK12" s="1793">
        <f>IF(AND(D12&gt;0,AT12=""),1,IF(AT12&gt;D12,1,0))</f>
        <v>0</v>
      </c>
      <c r="DL12" s="1793">
        <f>IF(AND(D12&gt;0,AU12=""),1,IF(AU12&gt;D12,1,0))</f>
        <v>0</v>
      </c>
      <c r="DM12" s="1793">
        <f>IF(AND(D12&gt;0,AV12=""),1,IF(AV12&gt;D12,1,0))</f>
        <v>0</v>
      </c>
      <c r="DN12" s="1793">
        <f>IF(AND(D12&gt;0,AW12=""),1,IF(AW12&gt;D12,1,0))</f>
        <v>0</v>
      </c>
      <c r="DO12" s="1793">
        <f>IF(AND(D12&gt;0,AX12=""),1,IF(AX12&gt;D12,1,0))</f>
        <v>0</v>
      </c>
    </row>
    <row r="13" spans="1:139" ht="15" customHeight="1" x14ac:dyDescent="0.25">
      <c r="A13" s="7632" t="s">
        <v>697</v>
      </c>
      <c r="B13" s="7633"/>
      <c r="C13" s="7634"/>
      <c r="D13" s="1131">
        <f>SUM(E13+F13)</f>
        <v>0</v>
      </c>
      <c r="E13" s="4289">
        <f t="shared" si="0"/>
        <v>0</v>
      </c>
      <c r="F13" s="791">
        <f>SUM(H13+J13+L13+N13+P13+R13+T13+V13+X13+Z13+AB13+AD13+AF13+AH13+AJ13+AL13+AN13+AP13)</f>
        <v>0</v>
      </c>
      <c r="G13" s="620"/>
      <c r="H13" s="83"/>
      <c r="I13" s="620"/>
      <c r="J13" s="83"/>
      <c r="K13" s="620"/>
      <c r="L13" s="83"/>
      <c r="M13" s="620"/>
      <c r="N13" s="83"/>
      <c r="O13" s="620"/>
      <c r="P13" s="83"/>
      <c r="Q13" s="620"/>
      <c r="R13" s="630"/>
      <c r="S13" s="620"/>
      <c r="T13" s="630"/>
      <c r="U13" s="620"/>
      <c r="V13" s="630"/>
      <c r="W13" s="620"/>
      <c r="X13" s="630"/>
      <c r="Y13" s="620"/>
      <c r="Z13" s="630"/>
      <c r="AA13" s="620"/>
      <c r="AB13" s="630"/>
      <c r="AC13" s="620"/>
      <c r="AD13" s="630"/>
      <c r="AE13" s="620"/>
      <c r="AF13" s="630"/>
      <c r="AG13" s="620"/>
      <c r="AH13" s="630"/>
      <c r="AI13" s="620"/>
      <c r="AJ13" s="630"/>
      <c r="AK13" s="620"/>
      <c r="AL13" s="630"/>
      <c r="AM13" s="620"/>
      <c r="AN13" s="630"/>
      <c r="AO13" s="620"/>
      <c r="AP13" s="628"/>
      <c r="AQ13" s="83"/>
      <c r="AR13" s="83"/>
      <c r="AS13" s="648"/>
      <c r="AT13" s="648"/>
      <c r="AU13" s="648"/>
      <c r="AV13" s="648"/>
      <c r="AW13" s="648"/>
      <c r="AX13" s="648"/>
      <c r="AY13" t="str">
        <f t="shared" ref="AY13:AY15" si="2">CW13&amp;CX13&amp;CY13&amp;CZ13&amp;DA13&amp;DB13&amp;DC13&amp;DD13&amp;DE13</f>
        <v/>
      </c>
      <c r="CW13" s="1791" t="str">
        <f t="shared" ref="CW13:CW15" si="3">IF(AND((Y13+Z13)&gt;0,AQ13="")," * No olvide digitar la variable 12 años. Si no tiene digite Cero.",IF(AQ13&gt;(Y13+Z13),"* Las Consultas de 12 años NO DEBEN ser mayor que el total de Consultas entre 10-14 años",""))</f>
        <v/>
      </c>
      <c r="CX13" s="1791" t="str">
        <f t="shared" ref="CX13:CX15" si="4">IF(AND(F13&gt;0,AR13="")," * No olvide digitar la variable Embarazadas. Digite cero si no tiene.","")</f>
        <v/>
      </c>
      <c r="CY13" s="1791" t="str">
        <f t="shared" ref="CY13:CY15" si="5">IF(AR13&gt;F13," * Las Embarazadas NO DEBEN ser mayor al Total de mujeres. ","")</f>
        <v/>
      </c>
      <c r="CZ13" s="1791" t="str">
        <f t="shared" ref="CZ13:CZ15" si="6">IF(AND((AK13+AL13)&gt;0,AS13="")," * No olvide digitar la variable 60 años. Si no tiene digite Cero.",IF(AS13&gt;(AK13+AL13)," * Las consultas de 60 años NO DEBEN ser mayor que el Total de consultas del grupo 60-64 años",""))</f>
        <v/>
      </c>
      <c r="DA13" s="1791" t="str">
        <f t="shared" ref="DA13:DA15" si="7">IF(AND(D13&gt;0,AT13="")," * No olvide digitar la variable Usuarios con Discapacidad. Digite Cero si no tiene.",IF(AT13&gt;D13," * La variable Usuarios con Discapacidad No puede ser mayor al Total Ambos Sexos.",""))</f>
        <v/>
      </c>
      <c r="DB13" s="1791" t="str">
        <f t="shared" ref="DB13:DB15" si="8">IF(AND(D13&gt;0,AU13="")," * No olvide digitar la variable Migrantes. Digite Cero si no tiene.",IF(AU13&gt;D13," * La variable Migrantes No puede ser mayor al Total Ambos Sexos.",""))</f>
        <v/>
      </c>
      <c r="DC13" s="1791" t="str">
        <f t="shared" ref="DC13:DC15" si="9">IF(AND(D13&gt;0,AV13="")," * No olvide digitar la variable Pacientes en control PSCV. Digite Cero si no tiene.",IF(AV13&gt;D13," * La variable Pacientes en control PSCV No puede ser mayor al Total Ambos Sexos.",""))</f>
        <v/>
      </c>
      <c r="DD13" s="1791" t="str">
        <f t="shared" ref="DD13:DD15" si="10">IF(AND(D13&gt;0,AW13="")," * No olvide digitar la variable Niños, niñas, adolescentes y jóvenes SENAME. Digite Cero si no tiene.",IF(AW13&gt;D13," * La variable Niños, niñas, adolescentes y jóvenes SENAME No puede ser mayor al Total.",""))</f>
        <v/>
      </c>
      <c r="DE13" s="1791" t="str">
        <f t="shared" si="1"/>
        <v/>
      </c>
      <c r="DG13" s="1793">
        <f t="shared" ref="DG13:DG15" si="11">IF(AND((Y13+Z13)&gt;0,AQ13=""),1,IF(AQ13&gt;(Y13+Z13),1,0))</f>
        <v>0</v>
      </c>
      <c r="DH13" s="1793">
        <f t="shared" ref="DH13:DH15" si="12">IF(AND(F13&gt;0,AR13=""),1,0)</f>
        <v>0</v>
      </c>
      <c r="DI13" s="1793">
        <f t="shared" ref="DI13:DI15" si="13">IF(AR13&gt;F13,1,0)</f>
        <v>0</v>
      </c>
      <c r="DJ13" s="1793">
        <f t="shared" ref="DJ13:DJ15" si="14">IF(AND((AK13+AL13)&gt;0,AS13=""),1,IF(AS13&gt;(AK13+AL13),1,0))</f>
        <v>0</v>
      </c>
      <c r="DK13" s="1793">
        <f t="shared" ref="DK13:DK15" si="15">IF(AND(D13&gt;0,AT13=""),1,IF(AT13&gt;D13,1,0))</f>
        <v>0</v>
      </c>
      <c r="DL13" s="1793">
        <f t="shared" ref="DL13:DL15" si="16">IF(AND(D13&gt;0,AU13=""),1,IF(AU13&gt;D13,1,0))</f>
        <v>0</v>
      </c>
      <c r="DM13" s="1793">
        <f t="shared" ref="DM13:DM15" si="17">IF(AND(D13&gt;0,AV13=""),1,IF(AV13&gt;D13,1,0))</f>
        <v>0</v>
      </c>
      <c r="DN13" s="1793">
        <f t="shared" ref="DN13:DN15" si="18">IF(AND(D13&gt;0,AW13=""),1,IF(AW13&gt;D13,1,0))</f>
        <v>0</v>
      </c>
      <c r="DO13" s="1793">
        <f t="shared" ref="DO13:DO15" si="19">IF(AND(D13&gt;0,AX13=""),1,IF(AX13&gt;D13,1,0))</f>
        <v>0</v>
      </c>
    </row>
    <row r="14" spans="1:139" ht="15" customHeight="1" x14ac:dyDescent="0.25">
      <c r="A14" s="7632" t="s">
        <v>698</v>
      </c>
      <c r="B14" s="7633"/>
      <c r="C14" s="7634"/>
      <c r="D14" s="1131">
        <f>SUM(E14+F14)</f>
        <v>0</v>
      </c>
      <c r="E14" s="4289">
        <f t="shared" si="0"/>
        <v>0</v>
      </c>
      <c r="F14" s="791">
        <f t="shared" si="0"/>
        <v>0</v>
      </c>
      <c r="G14" s="620"/>
      <c r="H14" s="83"/>
      <c r="I14" s="620"/>
      <c r="J14" s="83"/>
      <c r="K14" s="620"/>
      <c r="L14" s="83"/>
      <c r="M14" s="620"/>
      <c r="N14" s="630"/>
      <c r="O14" s="620"/>
      <c r="P14" s="630"/>
      <c r="Q14" s="620"/>
      <c r="R14" s="630"/>
      <c r="S14" s="620"/>
      <c r="T14" s="630"/>
      <c r="U14" s="620"/>
      <c r="V14" s="630"/>
      <c r="W14" s="620"/>
      <c r="X14" s="630"/>
      <c r="Y14" s="620"/>
      <c r="Z14" s="630"/>
      <c r="AA14" s="620"/>
      <c r="AB14" s="630"/>
      <c r="AC14" s="620"/>
      <c r="AD14" s="630"/>
      <c r="AE14" s="620"/>
      <c r="AF14" s="630"/>
      <c r="AG14" s="620"/>
      <c r="AH14" s="630"/>
      <c r="AI14" s="620"/>
      <c r="AJ14" s="630"/>
      <c r="AK14" s="620"/>
      <c r="AL14" s="630"/>
      <c r="AM14" s="620"/>
      <c r="AN14" s="630"/>
      <c r="AO14" s="620"/>
      <c r="AP14" s="628"/>
      <c r="AQ14" s="83"/>
      <c r="AR14" s="83"/>
      <c r="AS14" s="648"/>
      <c r="AT14" s="648"/>
      <c r="AU14" s="648"/>
      <c r="AV14" s="648"/>
      <c r="AW14" s="648"/>
      <c r="AX14" s="648"/>
      <c r="AY14" t="str">
        <f t="shared" si="2"/>
        <v/>
      </c>
      <c r="CW14" s="1791" t="str">
        <f t="shared" si="3"/>
        <v/>
      </c>
      <c r="CX14" s="1791" t="str">
        <f t="shared" si="4"/>
        <v/>
      </c>
      <c r="CY14" s="1791" t="str">
        <f t="shared" si="5"/>
        <v/>
      </c>
      <c r="CZ14" s="1791" t="str">
        <f t="shared" si="6"/>
        <v/>
      </c>
      <c r="DA14" s="1791" t="str">
        <f t="shared" si="7"/>
        <v/>
      </c>
      <c r="DB14" s="1791" t="str">
        <f t="shared" si="8"/>
        <v/>
      </c>
      <c r="DC14" s="1791" t="str">
        <f t="shared" si="9"/>
        <v/>
      </c>
      <c r="DD14" s="1791" t="str">
        <f t="shared" si="10"/>
        <v/>
      </c>
      <c r="DE14" s="1791" t="str">
        <f t="shared" si="1"/>
        <v/>
      </c>
      <c r="DG14" s="1793">
        <f t="shared" si="11"/>
        <v>0</v>
      </c>
      <c r="DH14" s="1793">
        <f t="shared" si="12"/>
        <v>0</v>
      </c>
      <c r="DI14" s="1793">
        <f t="shared" si="13"/>
        <v>0</v>
      </c>
      <c r="DJ14" s="1793">
        <f t="shared" si="14"/>
        <v>0</v>
      </c>
      <c r="DK14" s="1793">
        <f t="shared" si="15"/>
        <v>0</v>
      </c>
      <c r="DL14" s="1793">
        <f t="shared" si="16"/>
        <v>0</v>
      </c>
      <c r="DM14" s="1793">
        <f t="shared" si="17"/>
        <v>0</v>
      </c>
      <c r="DN14" s="1793">
        <f t="shared" si="18"/>
        <v>0</v>
      </c>
      <c r="DO14" s="1793">
        <f t="shared" si="19"/>
        <v>0</v>
      </c>
    </row>
    <row r="15" spans="1:139" ht="15" customHeight="1" x14ac:dyDescent="0.25">
      <c r="A15" s="7635" t="s">
        <v>699</v>
      </c>
      <c r="B15" s="7636"/>
      <c r="C15" s="7637"/>
      <c r="D15" s="3281">
        <f>SUM(E15+F15)</f>
        <v>0</v>
      </c>
      <c r="E15" s="586">
        <f>SUM(G15+I15+K15+M15+O15+Q15+S15+U15+W15+Y15+AA15+AC15+AE15+AG15+AI15+AK15+AM15+AO15)</f>
        <v>0</v>
      </c>
      <c r="F15" s="380">
        <f t="shared" si="0"/>
        <v>0</v>
      </c>
      <c r="G15" s="114"/>
      <c r="H15" s="117"/>
      <c r="I15" s="114"/>
      <c r="J15" s="117"/>
      <c r="K15" s="114"/>
      <c r="L15" s="117"/>
      <c r="M15" s="114"/>
      <c r="N15" s="116"/>
      <c r="O15" s="114"/>
      <c r="P15" s="116"/>
      <c r="Q15" s="114"/>
      <c r="R15" s="116"/>
      <c r="S15" s="114"/>
      <c r="T15" s="116"/>
      <c r="U15" s="114"/>
      <c r="V15" s="116"/>
      <c r="W15" s="114"/>
      <c r="X15" s="116"/>
      <c r="Y15" s="114"/>
      <c r="Z15" s="116"/>
      <c r="AA15" s="114"/>
      <c r="AB15" s="116"/>
      <c r="AC15" s="114"/>
      <c r="AD15" s="116"/>
      <c r="AE15" s="114"/>
      <c r="AF15" s="116"/>
      <c r="AG15" s="114"/>
      <c r="AH15" s="116"/>
      <c r="AI15" s="114"/>
      <c r="AJ15" s="116"/>
      <c r="AK15" s="114"/>
      <c r="AL15" s="116"/>
      <c r="AM15" s="114"/>
      <c r="AN15" s="116"/>
      <c r="AO15" s="114"/>
      <c r="AP15" s="162"/>
      <c r="AQ15" s="117"/>
      <c r="AR15" s="117"/>
      <c r="AS15" s="153"/>
      <c r="AT15" s="153"/>
      <c r="AU15" s="153"/>
      <c r="AV15" s="153"/>
      <c r="AW15" s="153"/>
      <c r="AX15" s="153"/>
      <c r="AY15" t="str">
        <f t="shared" si="2"/>
        <v/>
      </c>
      <c r="CW15" s="1791" t="str">
        <f t="shared" si="3"/>
        <v/>
      </c>
      <c r="CX15" s="1791" t="str">
        <f t="shared" si="4"/>
        <v/>
      </c>
      <c r="CY15" s="1791" t="str">
        <f t="shared" si="5"/>
        <v/>
      </c>
      <c r="CZ15" s="1791" t="str">
        <f t="shared" si="6"/>
        <v/>
      </c>
      <c r="DA15" s="1791" t="str">
        <f t="shared" si="7"/>
        <v/>
      </c>
      <c r="DB15" s="1791" t="str">
        <f t="shared" si="8"/>
        <v/>
      </c>
      <c r="DC15" s="1791" t="str">
        <f t="shared" si="9"/>
        <v/>
      </c>
      <c r="DD15" s="1791" t="str">
        <f t="shared" si="10"/>
        <v/>
      </c>
      <c r="DE15" s="1791" t="str">
        <f>IF(AND(D15&gt;0,AX15="")," * No olvide digitar la variable Niños, niñas, adolescentes y jóvenes Mejor Niñez. Digite Cero si no tiene.",IF(AX15&gt;D15," * La variable Niños, niñas, adolescentes y jóvenes Mejor Niñez no puede ser mayor al Total.",""))</f>
        <v/>
      </c>
      <c r="DG15" s="1793">
        <f t="shared" si="11"/>
        <v>0</v>
      </c>
      <c r="DH15" s="1793">
        <f t="shared" si="12"/>
        <v>0</v>
      </c>
      <c r="DI15" s="1793">
        <f t="shared" si="13"/>
        <v>0</v>
      </c>
      <c r="DJ15" s="1793">
        <f t="shared" si="14"/>
        <v>0</v>
      </c>
      <c r="DK15" s="1793">
        <f t="shared" si="15"/>
        <v>0</v>
      </c>
      <c r="DL15" s="1793">
        <f t="shared" si="16"/>
        <v>0</v>
      </c>
      <c r="DM15" s="1793">
        <f t="shared" si="17"/>
        <v>0</v>
      </c>
      <c r="DN15" s="1793">
        <f t="shared" si="18"/>
        <v>0</v>
      </c>
      <c r="DO15" s="1793">
        <f t="shared" si="19"/>
        <v>0</v>
      </c>
    </row>
    <row r="16" spans="1:139" ht="18" customHeight="1" x14ac:dyDescent="0.25">
      <c r="A16" s="122" t="s">
        <v>700</v>
      </c>
      <c r="B16" s="792"/>
      <c r="C16" s="792"/>
      <c r="D16" s="786"/>
      <c r="E16" s="786"/>
      <c r="F16" s="786"/>
      <c r="G16" s="793"/>
      <c r="H16" s="793"/>
      <c r="I16" s="786"/>
      <c r="J16" s="786"/>
      <c r="K16" s="786"/>
      <c r="L16" s="786"/>
      <c r="M16" s="786"/>
      <c r="N16" s="786"/>
      <c r="O16" s="786"/>
      <c r="P16" s="163"/>
      <c r="Q16" s="786"/>
      <c r="R16" s="786"/>
      <c r="S16" s="786"/>
      <c r="T16" s="786"/>
      <c r="U16" s="786"/>
      <c r="V16" s="786"/>
      <c r="W16" s="786"/>
      <c r="X16" s="786"/>
      <c r="Y16" s="786"/>
      <c r="Z16" s="786"/>
      <c r="AA16" s="786"/>
      <c r="AB16" s="786"/>
      <c r="AC16" s="786"/>
      <c r="AD16" s="786"/>
      <c r="AE16" s="786"/>
      <c r="AF16" s="786"/>
      <c r="AG16" s="786"/>
      <c r="AH16" s="780"/>
      <c r="AI16" s="780"/>
      <c r="AJ16" s="780"/>
      <c r="AK16" s="780"/>
      <c r="AL16" s="780"/>
      <c r="AM16" s="780"/>
      <c r="AN16" s="780"/>
      <c r="AO16" s="780"/>
      <c r="AP16" s="780"/>
      <c r="AQ16" s="780"/>
      <c r="AR16" s="780"/>
      <c r="AS16" s="780"/>
      <c r="AT16" s="780"/>
      <c r="AU16" s="780"/>
      <c r="AV16" s="780"/>
      <c r="AW16" s="780"/>
      <c r="AX16" s="780"/>
      <c r="CW16"/>
      <c r="CX16"/>
      <c r="CY16"/>
      <c r="CZ16"/>
      <c r="DA16"/>
      <c r="DB16"/>
      <c r="DC16"/>
      <c r="DD16"/>
      <c r="DE16"/>
      <c r="DG16"/>
      <c r="DH16"/>
      <c r="DI16"/>
      <c r="DJ16"/>
      <c r="DK16"/>
      <c r="DL16"/>
      <c r="DM16"/>
    </row>
    <row r="17" spans="1:119" x14ac:dyDescent="0.25">
      <c r="A17" s="7337" t="s">
        <v>701</v>
      </c>
      <c r="B17" s="6603"/>
      <c r="C17" s="7319"/>
      <c r="D17" s="7487" t="s">
        <v>47</v>
      </c>
      <c r="E17" s="7503"/>
      <c r="F17" s="7504"/>
      <c r="G17" s="7638" t="s">
        <v>682</v>
      </c>
      <c r="H17" s="7639"/>
      <c r="I17" s="7504" t="s">
        <v>683</v>
      </c>
      <c r="J17" s="7586"/>
      <c r="K17" s="7487" t="s">
        <v>684</v>
      </c>
      <c r="L17" s="7504"/>
      <c r="M17" s="7504" t="s">
        <v>685</v>
      </c>
      <c r="N17" s="7586"/>
      <c r="O17" s="7487" t="s">
        <v>686</v>
      </c>
      <c r="P17" s="7504"/>
      <c r="Q17" s="7487" t="s">
        <v>687</v>
      </c>
      <c r="R17" s="7504"/>
      <c r="S17" s="7487" t="s">
        <v>688</v>
      </c>
      <c r="T17" s="7504"/>
      <c r="U17" s="7487" t="s">
        <v>689</v>
      </c>
      <c r="V17" s="7504"/>
      <c r="W17" s="7503" t="s">
        <v>690</v>
      </c>
      <c r="X17" s="7503"/>
      <c r="Y17" s="7487" t="s">
        <v>554</v>
      </c>
      <c r="Z17" s="7488"/>
      <c r="AA17" s="7503" t="s">
        <v>568</v>
      </c>
      <c r="AB17" s="7603"/>
      <c r="AC17" s="7503" t="s">
        <v>691</v>
      </c>
      <c r="AD17" s="7603"/>
      <c r="AE17" s="7503" t="s">
        <v>692</v>
      </c>
      <c r="AF17" s="7603"/>
      <c r="AG17" s="7503" t="s">
        <v>693</v>
      </c>
      <c r="AH17" s="7603"/>
      <c r="AI17" s="7503" t="s">
        <v>694</v>
      </c>
      <c r="AJ17" s="7603"/>
      <c r="AK17" s="7503" t="s">
        <v>556</v>
      </c>
      <c r="AL17" s="7603"/>
      <c r="AM17" s="7503" t="s">
        <v>695</v>
      </c>
      <c r="AN17" s="7488"/>
      <c r="AO17" s="7503" t="s">
        <v>57</v>
      </c>
      <c r="AP17" s="7579"/>
      <c r="AQ17" s="7323" t="s">
        <v>676</v>
      </c>
      <c r="AR17" s="7323" t="s">
        <v>327</v>
      </c>
      <c r="AS17" s="7599" t="s">
        <v>677</v>
      </c>
      <c r="AT17" s="7599" t="s">
        <v>702</v>
      </c>
      <c r="AU17" s="7323" t="s">
        <v>678</v>
      </c>
      <c r="AV17" s="7625" t="s">
        <v>3</v>
      </c>
      <c r="AW17" s="7625" t="s">
        <v>680</v>
      </c>
      <c r="AX17" s="7625" t="s">
        <v>681</v>
      </c>
      <c r="CW17"/>
      <c r="CX17"/>
      <c r="CY17"/>
      <c r="CZ17"/>
      <c r="DA17"/>
      <c r="DB17"/>
      <c r="DC17"/>
      <c r="DD17"/>
      <c r="DE17"/>
      <c r="DG17"/>
      <c r="DH17"/>
      <c r="DI17"/>
      <c r="DJ17"/>
      <c r="DK17"/>
      <c r="DL17"/>
      <c r="DM17"/>
    </row>
    <row r="18" spans="1:119" ht="26.25" customHeight="1" x14ac:dyDescent="0.25">
      <c r="A18" s="7464"/>
      <c r="B18" s="7465"/>
      <c r="C18" s="7466"/>
      <c r="D18" s="4811" t="s">
        <v>26</v>
      </c>
      <c r="E18" s="4867" t="s">
        <v>22</v>
      </c>
      <c r="F18" s="76" t="s">
        <v>27</v>
      </c>
      <c r="G18" s="606" t="s">
        <v>22</v>
      </c>
      <c r="H18" s="600" t="s">
        <v>27</v>
      </c>
      <c r="I18" s="177" t="s">
        <v>22</v>
      </c>
      <c r="J18" s="76" t="s">
        <v>27</v>
      </c>
      <c r="K18" s="177" t="s">
        <v>22</v>
      </c>
      <c r="L18" s="172" t="s">
        <v>27</v>
      </c>
      <c r="M18" s="177" t="s">
        <v>22</v>
      </c>
      <c r="N18" s="76" t="s">
        <v>27</v>
      </c>
      <c r="O18" s="177" t="s">
        <v>22</v>
      </c>
      <c r="P18" s="76" t="s">
        <v>27</v>
      </c>
      <c r="Q18" s="177" t="s">
        <v>22</v>
      </c>
      <c r="R18" s="76" t="s">
        <v>27</v>
      </c>
      <c r="S18" s="177" t="s">
        <v>22</v>
      </c>
      <c r="T18" s="76" t="s">
        <v>27</v>
      </c>
      <c r="U18" s="606" t="s">
        <v>22</v>
      </c>
      <c r="V18" s="600" t="s">
        <v>27</v>
      </c>
      <c r="W18" s="607" t="s">
        <v>22</v>
      </c>
      <c r="X18" s="599" t="s">
        <v>27</v>
      </c>
      <c r="Y18" s="606" t="s">
        <v>22</v>
      </c>
      <c r="Z18" s="600" t="s">
        <v>27</v>
      </c>
      <c r="AA18" s="607" t="s">
        <v>22</v>
      </c>
      <c r="AB18" s="599" t="s">
        <v>27</v>
      </c>
      <c r="AC18" s="606" t="s">
        <v>22</v>
      </c>
      <c r="AD18" s="600" t="s">
        <v>27</v>
      </c>
      <c r="AE18" s="607" t="s">
        <v>22</v>
      </c>
      <c r="AF18" s="599" t="s">
        <v>27</v>
      </c>
      <c r="AG18" s="606" t="s">
        <v>22</v>
      </c>
      <c r="AH18" s="600" t="s">
        <v>27</v>
      </c>
      <c r="AI18" s="607" t="s">
        <v>22</v>
      </c>
      <c r="AJ18" s="599" t="s">
        <v>27</v>
      </c>
      <c r="AK18" s="606" t="s">
        <v>22</v>
      </c>
      <c r="AL18" s="600" t="s">
        <v>27</v>
      </c>
      <c r="AM18" s="607" t="s">
        <v>22</v>
      </c>
      <c r="AN18" s="600" t="s">
        <v>27</v>
      </c>
      <c r="AO18" s="607" t="s">
        <v>22</v>
      </c>
      <c r="AP18" s="604" t="s">
        <v>27</v>
      </c>
      <c r="AQ18" s="7332"/>
      <c r="AR18" s="7628"/>
      <c r="AS18" s="7432"/>
      <c r="AT18" s="7432"/>
      <c r="AU18" s="7534"/>
      <c r="AV18" s="7626"/>
      <c r="AW18" s="7626"/>
      <c r="AX18" s="7626"/>
      <c r="CW18"/>
      <c r="CX18"/>
      <c r="CY18"/>
      <c r="CZ18"/>
      <c r="DA18"/>
      <c r="DB18"/>
      <c r="DC18"/>
      <c r="DD18"/>
      <c r="DE18"/>
      <c r="DG18"/>
      <c r="DH18"/>
      <c r="DI18"/>
      <c r="DJ18"/>
      <c r="DK18"/>
      <c r="DL18"/>
      <c r="DM18"/>
    </row>
    <row r="19" spans="1:119" ht="15" customHeight="1" x14ac:dyDescent="0.25">
      <c r="A19" s="7516" t="s">
        <v>3943</v>
      </c>
      <c r="B19" s="7517"/>
      <c r="C19" s="7627"/>
      <c r="D19" s="4806">
        <f>SUM(E19+F19)</f>
        <v>0</v>
      </c>
      <c r="E19" s="4803">
        <f>SUM(G19+I19+K19+M19+O19+Q19+S19+U19+W19+Y19+AA19+AC19+AE19+AG19+AI19+AK19+AM19+AO19)</f>
        <v>0</v>
      </c>
      <c r="F19" s="788">
        <f>SUM(H19+J19+L19+N19+P19+R19+T19+V19+X19+Z19+AB19+AD19+AF19+AH19+AJ19+AL19+AN19+AP19)</f>
        <v>0</v>
      </c>
      <c r="G19" s="484"/>
      <c r="H19" s="185"/>
      <c r="I19" s="484"/>
      <c r="J19" s="501"/>
      <c r="K19" s="484"/>
      <c r="L19" s="185"/>
      <c r="M19" s="484"/>
      <c r="N19" s="501"/>
      <c r="O19" s="484"/>
      <c r="P19" s="185"/>
      <c r="Q19" s="484"/>
      <c r="R19" s="185"/>
      <c r="S19" s="484"/>
      <c r="T19" s="185"/>
      <c r="U19" s="484"/>
      <c r="V19" s="185"/>
      <c r="W19" s="485"/>
      <c r="X19" s="580"/>
      <c r="Y19" s="484"/>
      <c r="Z19" s="185"/>
      <c r="AA19" s="485"/>
      <c r="AB19" s="580"/>
      <c r="AC19" s="484"/>
      <c r="AD19" s="185"/>
      <c r="AE19" s="485"/>
      <c r="AF19" s="580"/>
      <c r="AG19" s="484"/>
      <c r="AH19" s="185"/>
      <c r="AI19" s="485"/>
      <c r="AJ19" s="580"/>
      <c r="AK19" s="484"/>
      <c r="AL19" s="185"/>
      <c r="AM19" s="485"/>
      <c r="AN19" s="185"/>
      <c r="AO19" s="485"/>
      <c r="AP19" s="321"/>
      <c r="AQ19" s="501"/>
      <c r="AR19" s="501"/>
      <c r="AS19" s="500"/>
      <c r="AT19" s="500"/>
      <c r="AU19" s="500"/>
      <c r="AV19" s="500"/>
      <c r="AW19" s="500"/>
      <c r="AX19" s="500"/>
      <c r="AY19" t="str">
        <f>CW19&amp;CX19&amp;CY19&amp;CZ19&amp;DA19&amp;DB19&amp;DC19&amp;DD19&amp;DE19</f>
        <v/>
      </c>
      <c r="CW19" s="1791" t="str">
        <f t="shared" ref="CW19:CW35" si="20">IF(AND((Y19+Z19)&gt;0,AQ19="")," * No olvide digitar la variable 12 años. Si no tiene digite Cero.",IF(AQ19&gt;(Y19+Z19),"* Las Consultas de 12 años NO DEBEN ser mayor que el total de Consultas entre 10-14 años",""))</f>
        <v/>
      </c>
      <c r="CX19" s="1791" t="str">
        <f>IF(AND(F19&gt;0,AR19="")," * No olvide digitar la variable Embarazadas. Digite cero si no tiene.","")</f>
        <v/>
      </c>
      <c r="CY19" s="1791" t="str">
        <f>IF(AR19&gt;F19," * Las Embarazadas NO DEBEN ser mayor al total de mujeres. ","")</f>
        <v/>
      </c>
      <c r="CZ19" s="1791" t="str">
        <f t="shared" ref="CZ19:CZ35" si="21">IF(AND((AK19+AL19)&gt;0,AS19="")," * No olvide digitar la variable 60 años. Si no tiene digite Cero.",IF(AS19&gt;(AK19+AL19)," * Las consultas de 60 años NO DEBEN ser mayor que el Total de consultas del grupo 60-64 años",""))</f>
        <v/>
      </c>
      <c r="DA19"/>
      <c r="DB19" s="1791" t="str">
        <f>IF(AND(D19&gt;0,AU19="")," * No olvide digitar la variable Usuarios con Discapacidad. Digite Cero si no tiene.",IF(AU19&gt;D19," * La variable Usuarios con Discapacidad No puede ser mayor al Total Ambos Sexos.",""))</f>
        <v/>
      </c>
      <c r="DC19" s="1791" t="str">
        <f>IF(AND(D19&gt;0,AV19="")," * No olvide digitar la variable Migrantes. Digite Cero si no tiene.",IF(AV19&gt;D19," * La variable Migrantes No puede ser mayor al Total Ambos Sexos.",""))</f>
        <v/>
      </c>
      <c r="DD19" s="1791" t="str">
        <f>IF(AND(D19&gt;0,AW19="")," * No olvide digitar la variable Niños, niñas, adolescentes y jóvenes SENAME. Digite Cero si no tiene.",IF(AW19&gt;D19," * La variable Niños, niñas, adolescentes y jóvenes SENAME No puede ser mayor al Total.",""))</f>
        <v/>
      </c>
      <c r="DE19" s="1791" t="str">
        <f>IF(AND(D19&gt;0,AX19="")," * No olvide digitar la variable Niños, niñas, adolescentes y jóvenes Mejor Niñez. Digite Cero si no tiene.",IF(AX19&gt;D19," * La variable Niños, niñas, adolescentes y jóvenes Mejor Niñez. No puede ser mayor al Total.",""))</f>
        <v/>
      </c>
      <c r="DG19" s="1793">
        <f t="shared" ref="DG19:DG35" si="22">IF(AND((Y19+Z19)&gt;0,AQ19=""),1,IF(AQ19&gt;(Y19+Z19),1,0))</f>
        <v>0</v>
      </c>
      <c r="DH19" s="1793">
        <f>IF(AND(F19&gt;0,AR19=""),1,0)</f>
        <v>0</v>
      </c>
      <c r="DI19" s="1793">
        <f>IF(AR19&gt;F19,1,0)</f>
        <v>0</v>
      </c>
      <c r="DJ19" s="1793">
        <f t="shared" ref="DJ19:DJ35" si="23">IF(AND((AK19+AL19)&gt;0,AS19=""),1,IF(AS19&gt;(AK19+AL19),1,0))</f>
        <v>0</v>
      </c>
      <c r="DK19"/>
      <c r="DL19" s="1793">
        <f>IF(AND(D19&gt;0,AU19=""),1,IF(AU19&gt;D19,1,0))</f>
        <v>0</v>
      </c>
      <c r="DM19" s="1793">
        <f t="shared" ref="DM19:DM35" si="24">IF(AND(D19&gt;0,AV19=""),1,IF(AV19&gt;D19,1,0))</f>
        <v>0</v>
      </c>
      <c r="DN19" s="1793">
        <f t="shared" ref="DN19:DN35" si="25">IF(AND(D19&gt;0,AW19=""),1,IF(AW19&gt;D19,1,0))</f>
        <v>0</v>
      </c>
      <c r="DO19" s="1793">
        <f t="shared" ref="DO19:DO35" si="26">IF(AND(D19&gt;0,AX19=""),1,IF(AX19&gt;D19,1,0))</f>
        <v>0</v>
      </c>
    </row>
    <row r="20" spans="1:119" ht="15" customHeight="1" x14ac:dyDescent="0.25">
      <c r="A20" s="7520" t="s">
        <v>703</v>
      </c>
      <c r="B20" s="7521"/>
      <c r="C20" s="7522"/>
      <c r="D20" s="1131">
        <f t="shared" ref="D20:D35" si="27">SUM(E20+F20)</f>
        <v>0</v>
      </c>
      <c r="E20" s="4289">
        <f>SUM(U20+W20+Y20+AA20+AC20+AE20+AG20+AI20+AK20+AM20+AO20)</f>
        <v>0</v>
      </c>
      <c r="F20" s="791">
        <f>SUM(V20+X20+Z20+AB20+AD20+AF20+AH20+AJ20+AL20+AN20+AP20)</f>
        <v>0</v>
      </c>
      <c r="G20" s="794"/>
      <c r="H20" s="795"/>
      <c r="I20" s="794"/>
      <c r="J20" s="194"/>
      <c r="K20" s="794"/>
      <c r="L20" s="795"/>
      <c r="M20" s="794"/>
      <c r="N20" s="194"/>
      <c r="O20" s="794"/>
      <c r="P20" s="795"/>
      <c r="Q20" s="794"/>
      <c r="R20" s="795"/>
      <c r="S20" s="794"/>
      <c r="T20" s="795"/>
      <c r="U20" s="620"/>
      <c r="V20" s="630"/>
      <c r="W20" s="627"/>
      <c r="X20" s="796"/>
      <c r="Y20" s="620"/>
      <c r="Z20" s="630"/>
      <c r="AA20" s="627"/>
      <c r="AB20" s="796"/>
      <c r="AC20" s="620"/>
      <c r="AD20" s="630"/>
      <c r="AE20" s="627"/>
      <c r="AF20" s="796"/>
      <c r="AG20" s="620"/>
      <c r="AH20" s="630"/>
      <c r="AI20" s="627"/>
      <c r="AJ20" s="796"/>
      <c r="AK20" s="620"/>
      <c r="AL20" s="630"/>
      <c r="AM20" s="627"/>
      <c r="AN20" s="630"/>
      <c r="AO20" s="627"/>
      <c r="AP20" s="628"/>
      <c r="AQ20" s="83"/>
      <c r="AR20" s="83"/>
      <c r="AS20" s="648"/>
      <c r="AT20" s="648"/>
      <c r="AU20" s="648"/>
      <c r="AV20" s="648"/>
      <c r="AW20" s="648"/>
      <c r="AX20" s="648"/>
      <c r="AY20" t="str">
        <f t="shared" ref="AY20:AY35" si="28">CW20&amp;CX20&amp;CY20&amp;CZ20&amp;DA20&amp;DB20&amp;DC20&amp;DD20&amp;DE20</f>
        <v/>
      </c>
      <c r="CW20" s="1791" t="str">
        <f t="shared" si="20"/>
        <v/>
      </c>
      <c r="CX20" s="1791" t="str">
        <f t="shared" ref="CX20:CX35" si="29">IF(AND(F20&gt;0,AR20="")," * No olvide digitar la variable Embarazadas. Digite cero si no tiene.","")</f>
        <v/>
      </c>
      <c r="CY20" s="1791" t="str">
        <f t="shared" ref="CY20:CY35" si="30">IF(AR20&gt;F20," * Las Embarazadas NO DEBEN ser mayor al total de mujeres. ","")</f>
        <v/>
      </c>
      <c r="CZ20" s="1791" t="str">
        <f t="shared" si="21"/>
        <v/>
      </c>
      <c r="DA20"/>
      <c r="DB20" s="1791" t="str">
        <f t="shared" ref="DB20:DB35" si="31">IF(AND(D20&gt;0,AU20="")," * No olvide digitar la variable Usuarios con Discapacidad. Digite Cero si no tiene.",IF(AU20&gt;D20," * La variable Usuarios con Discapacidad No puede ser mayor al Total Ambos Sexos.",""))</f>
        <v/>
      </c>
      <c r="DC20" s="1791" t="str">
        <f t="shared" ref="DC20:DC35" si="32">IF(AND(D20&gt;0,AV20="")," * No olvide digitar la variable Migrantes. Digite Cero si no tiene.",IF(AV20&gt;D20," * La variable Migrantes No puede ser mayor al Total Ambos Sexos.",""))</f>
        <v/>
      </c>
      <c r="DD20" s="1791" t="str">
        <f t="shared" ref="DD20:DD35" si="33">IF(AND(D20&gt;0,AW20="")," * No olvide digitar la variable Niños, niñas, adolescentes y jóvenes SENAME. Digite Cero si no tiene.",IF(AW20&gt;D20," * La variable Niños, niñas, adolescentes y jóvenes SENAME No puede ser mayor al Total.",""))</f>
        <v/>
      </c>
      <c r="DE20" s="1791" t="str">
        <f t="shared" ref="DE20:DE35" si="34">IF(AND(D20&gt;0,AX20="")," * No olvide digitar la variable Niños, niñas, adolescentes y jóvenes Mejor Niñez. Digite Cero si no tiene.",IF(AX20&gt;D20," * La variable Niños, niñas, adolescentes y jóvenes Mejor Niñez. No puede ser mayor al Total.",""))</f>
        <v/>
      </c>
      <c r="DG20" s="1793">
        <f t="shared" si="22"/>
        <v>0</v>
      </c>
      <c r="DH20" s="1793">
        <f t="shared" ref="DH20:DH35" si="35">IF(AND(F20&gt;0,AR20=""),1,0)</f>
        <v>0</v>
      </c>
      <c r="DI20" s="1793">
        <f t="shared" ref="DI20:DI35" si="36">IF(AR20&gt;F20,1,0)</f>
        <v>0</v>
      </c>
      <c r="DJ20" s="1793">
        <f t="shared" si="23"/>
        <v>0</v>
      </c>
      <c r="DK20"/>
      <c r="DL20" s="1793">
        <f t="shared" ref="DL20:DL35" si="37">IF(AND(D20&gt;0,AU20=""),1,IF(AU20&gt;D20,1,0))</f>
        <v>0</v>
      </c>
      <c r="DM20" s="1793">
        <f t="shared" si="24"/>
        <v>0</v>
      </c>
      <c r="DN20" s="1793">
        <f t="shared" si="25"/>
        <v>0</v>
      </c>
      <c r="DO20" s="1793">
        <f t="shared" si="26"/>
        <v>0</v>
      </c>
    </row>
    <row r="21" spans="1:119" ht="15" customHeight="1" x14ac:dyDescent="0.25">
      <c r="A21" s="7519" t="s">
        <v>704</v>
      </c>
      <c r="B21" s="7455"/>
      <c r="C21" s="7387"/>
      <c r="D21" s="1131">
        <f t="shared" si="27"/>
        <v>0</v>
      </c>
      <c r="E21" s="4289">
        <f t="shared" ref="E21:F31" si="38">SUM(G21+I21+K21+M21+O21+Q21+S21+U21+W21+Y21+AA21+AC21+AE21+AG21+AI21+AK21+AM21+AO21)</f>
        <v>0</v>
      </c>
      <c r="F21" s="791">
        <f t="shared" si="38"/>
        <v>0</v>
      </c>
      <c r="G21" s="620"/>
      <c r="H21" s="630"/>
      <c r="I21" s="620"/>
      <c r="J21" s="83"/>
      <c r="K21" s="620"/>
      <c r="L21" s="630"/>
      <c r="M21" s="620"/>
      <c r="N21" s="83"/>
      <c r="O21" s="620"/>
      <c r="P21" s="630"/>
      <c r="Q21" s="620"/>
      <c r="R21" s="630"/>
      <c r="S21" s="620"/>
      <c r="T21" s="630"/>
      <c r="U21" s="620"/>
      <c r="V21" s="630"/>
      <c r="W21" s="627"/>
      <c r="X21" s="796"/>
      <c r="Y21" s="620"/>
      <c r="Z21" s="630"/>
      <c r="AA21" s="627"/>
      <c r="AB21" s="796"/>
      <c r="AC21" s="620"/>
      <c r="AD21" s="630"/>
      <c r="AE21" s="627"/>
      <c r="AF21" s="796"/>
      <c r="AG21" s="620"/>
      <c r="AH21" s="630"/>
      <c r="AI21" s="627"/>
      <c r="AJ21" s="796"/>
      <c r="AK21" s="620"/>
      <c r="AL21" s="630"/>
      <c r="AM21" s="627"/>
      <c r="AN21" s="630"/>
      <c r="AO21" s="627"/>
      <c r="AP21" s="628"/>
      <c r="AQ21" s="83"/>
      <c r="AR21" s="83"/>
      <c r="AS21" s="648"/>
      <c r="AT21" s="648"/>
      <c r="AU21" s="648"/>
      <c r="AV21" s="648"/>
      <c r="AW21" s="648"/>
      <c r="AX21" s="648"/>
      <c r="AY21" t="str">
        <f t="shared" si="28"/>
        <v/>
      </c>
      <c r="CW21" s="1791" t="str">
        <f t="shared" si="20"/>
        <v/>
      </c>
      <c r="CX21" s="1791" t="str">
        <f t="shared" si="29"/>
        <v/>
      </c>
      <c r="CY21" s="1791" t="str">
        <f t="shared" si="30"/>
        <v/>
      </c>
      <c r="CZ21" s="1791" t="str">
        <f t="shared" si="21"/>
        <v/>
      </c>
      <c r="DA21"/>
      <c r="DB21" s="1791" t="str">
        <f t="shared" si="31"/>
        <v/>
      </c>
      <c r="DC21" s="1791" t="str">
        <f t="shared" si="32"/>
        <v/>
      </c>
      <c r="DD21" s="1791" t="str">
        <f t="shared" si="33"/>
        <v/>
      </c>
      <c r="DE21" s="1791" t="str">
        <f t="shared" si="34"/>
        <v/>
      </c>
      <c r="DG21" s="1793">
        <f t="shared" si="22"/>
        <v>0</v>
      </c>
      <c r="DH21" s="1793">
        <f t="shared" si="35"/>
        <v>0</v>
      </c>
      <c r="DI21" s="1793">
        <f t="shared" si="36"/>
        <v>0</v>
      </c>
      <c r="DJ21" s="1793">
        <f t="shared" si="23"/>
        <v>0</v>
      </c>
      <c r="DK21"/>
      <c r="DL21" s="1793">
        <f t="shared" si="37"/>
        <v>0</v>
      </c>
      <c r="DM21" s="1793">
        <f t="shared" si="24"/>
        <v>0</v>
      </c>
      <c r="DN21" s="1793">
        <f t="shared" si="25"/>
        <v>0</v>
      </c>
      <c r="DO21" s="1793">
        <f t="shared" si="26"/>
        <v>0</v>
      </c>
    </row>
    <row r="22" spans="1:119" ht="15" customHeight="1" x14ac:dyDescent="0.25">
      <c r="A22" s="7519" t="s">
        <v>705</v>
      </c>
      <c r="B22" s="7455"/>
      <c r="C22" s="7387"/>
      <c r="D22" s="1131">
        <f t="shared" si="27"/>
        <v>0</v>
      </c>
      <c r="E22" s="4289">
        <f t="shared" si="38"/>
        <v>0</v>
      </c>
      <c r="F22" s="791">
        <f t="shared" si="38"/>
        <v>0</v>
      </c>
      <c r="G22" s="620"/>
      <c r="H22" s="630"/>
      <c r="I22" s="620"/>
      <c r="J22" s="83"/>
      <c r="K22" s="620"/>
      <c r="L22" s="630"/>
      <c r="M22" s="620"/>
      <c r="N22" s="83"/>
      <c r="O22" s="620"/>
      <c r="P22" s="630"/>
      <c r="Q22" s="620"/>
      <c r="R22" s="630"/>
      <c r="S22" s="620"/>
      <c r="T22" s="630"/>
      <c r="U22" s="620"/>
      <c r="V22" s="630"/>
      <c r="W22" s="627"/>
      <c r="X22" s="796"/>
      <c r="Y22" s="620"/>
      <c r="Z22" s="630"/>
      <c r="AA22" s="627"/>
      <c r="AB22" s="796"/>
      <c r="AC22" s="620"/>
      <c r="AD22" s="630"/>
      <c r="AE22" s="627"/>
      <c r="AF22" s="796"/>
      <c r="AG22" s="620"/>
      <c r="AH22" s="630"/>
      <c r="AI22" s="627"/>
      <c r="AJ22" s="796"/>
      <c r="AK22" s="620"/>
      <c r="AL22" s="630"/>
      <c r="AM22" s="627"/>
      <c r="AN22" s="630"/>
      <c r="AO22" s="627"/>
      <c r="AP22" s="628"/>
      <c r="AQ22" s="83"/>
      <c r="AR22" s="83"/>
      <c r="AS22" s="648"/>
      <c r="AT22" s="648"/>
      <c r="AU22" s="648"/>
      <c r="AV22" s="648"/>
      <c r="AW22" s="648"/>
      <c r="AX22" s="648"/>
      <c r="AY22" t="str">
        <f t="shared" si="28"/>
        <v/>
      </c>
      <c r="CW22" s="1791" t="str">
        <f t="shared" si="20"/>
        <v/>
      </c>
      <c r="CX22" s="1791" t="str">
        <f t="shared" si="29"/>
        <v/>
      </c>
      <c r="CY22" s="1791" t="str">
        <f t="shared" si="30"/>
        <v/>
      </c>
      <c r="CZ22" s="1791" t="str">
        <f t="shared" si="21"/>
        <v/>
      </c>
      <c r="DA22"/>
      <c r="DB22" s="1791" t="str">
        <f t="shared" si="31"/>
        <v/>
      </c>
      <c r="DC22" s="1791" t="str">
        <f t="shared" si="32"/>
        <v/>
      </c>
      <c r="DD22" s="1791" t="str">
        <f t="shared" si="33"/>
        <v/>
      </c>
      <c r="DE22" s="1791" t="str">
        <f t="shared" si="34"/>
        <v/>
      </c>
      <c r="DG22" s="1793">
        <f t="shared" si="22"/>
        <v>0</v>
      </c>
      <c r="DH22" s="1793">
        <f t="shared" si="35"/>
        <v>0</v>
      </c>
      <c r="DI22" s="1793">
        <f t="shared" si="36"/>
        <v>0</v>
      </c>
      <c r="DJ22" s="1793">
        <f t="shared" si="23"/>
        <v>0</v>
      </c>
      <c r="DK22"/>
      <c r="DL22" s="1793">
        <f t="shared" si="37"/>
        <v>0</v>
      </c>
      <c r="DM22" s="1793">
        <f t="shared" si="24"/>
        <v>0</v>
      </c>
      <c r="DN22" s="1793">
        <f t="shared" si="25"/>
        <v>0</v>
      </c>
      <c r="DO22" s="1793">
        <f t="shared" si="26"/>
        <v>0</v>
      </c>
    </row>
    <row r="23" spans="1:119" ht="15" customHeight="1" x14ac:dyDescent="0.25">
      <c r="A23" s="7519" t="s">
        <v>706</v>
      </c>
      <c r="B23" s="7455"/>
      <c r="C23" s="7387"/>
      <c r="D23" s="1131">
        <f t="shared" si="27"/>
        <v>0</v>
      </c>
      <c r="E23" s="4289">
        <f t="shared" si="38"/>
        <v>0</v>
      </c>
      <c r="F23" s="791">
        <f t="shared" si="38"/>
        <v>0</v>
      </c>
      <c r="G23" s="620"/>
      <c r="H23" s="630"/>
      <c r="I23" s="620"/>
      <c r="J23" s="83"/>
      <c r="K23" s="620"/>
      <c r="L23" s="630"/>
      <c r="M23" s="620"/>
      <c r="N23" s="83"/>
      <c r="O23" s="620"/>
      <c r="P23" s="630"/>
      <c r="Q23" s="620"/>
      <c r="R23" s="630"/>
      <c r="S23" s="620"/>
      <c r="T23" s="630"/>
      <c r="U23" s="620"/>
      <c r="V23" s="630"/>
      <c r="W23" s="627"/>
      <c r="X23" s="796"/>
      <c r="Y23" s="620"/>
      <c r="Z23" s="630"/>
      <c r="AA23" s="627"/>
      <c r="AB23" s="796"/>
      <c r="AC23" s="620"/>
      <c r="AD23" s="630"/>
      <c r="AE23" s="627"/>
      <c r="AF23" s="796"/>
      <c r="AG23" s="620"/>
      <c r="AH23" s="630"/>
      <c r="AI23" s="627"/>
      <c r="AJ23" s="796"/>
      <c r="AK23" s="620"/>
      <c r="AL23" s="630"/>
      <c r="AM23" s="627"/>
      <c r="AN23" s="630"/>
      <c r="AO23" s="627"/>
      <c r="AP23" s="628"/>
      <c r="AQ23" s="83"/>
      <c r="AR23" s="83"/>
      <c r="AS23" s="648"/>
      <c r="AT23" s="648"/>
      <c r="AU23" s="648"/>
      <c r="AV23" s="648"/>
      <c r="AW23" s="648"/>
      <c r="AX23" s="648"/>
      <c r="AY23" t="str">
        <f t="shared" si="28"/>
        <v/>
      </c>
      <c r="CW23" s="1791" t="str">
        <f t="shared" si="20"/>
        <v/>
      </c>
      <c r="CX23" s="1791" t="str">
        <f t="shared" si="29"/>
        <v/>
      </c>
      <c r="CY23" s="1791" t="str">
        <f t="shared" si="30"/>
        <v/>
      </c>
      <c r="CZ23" s="1791" t="str">
        <f t="shared" si="21"/>
        <v/>
      </c>
      <c r="DA23"/>
      <c r="DB23" s="1791" t="str">
        <f t="shared" si="31"/>
        <v/>
      </c>
      <c r="DC23" s="1791" t="str">
        <f t="shared" si="32"/>
        <v/>
      </c>
      <c r="DD23" s="1791" t="str">
        <f t="shared" si="33"/>
        <v/>
      </c>
      <c r="DE23" s="1791" t="str">
        <f t="shared" si="34"/>
        <v/>
      </c>
      <c r="DG23" s="1793">
        <f t="shared" si="22"/>
        <v>0</v>
      </c>
      <c r="DH23" s="1793">
        <f t="shared" si="35"/>
        <v>0</v>
      </c>
      <c r="DI23" s="1793">
        <f t="shared" si="36"/>
        <v>0</v>
      </c>
      <c r="DJ23" s="1793">
        <f t="shared" si="23"/>
        <v>0</v>
      </c>
      <c r="DK23"/>
      <c r="DL23" s="1793">
        <f t="shared" si="37"/>
        <v>0</v>
      </c>
      <c r="DM23" s="1793">
        <f t="shared" si="24"/>
        <v>0</v>
      </c>
      <c r="DN23" s="1793">
        <f t="shared" si="25"/>
        <v>0</v>
      </c>
      <c r="DO23" s="1793">
        <f t="shared" si="26"/>
        <v>0</v>
      </c>
    </row>
    <row r="24" spans="1:119" ht="15" customHeight="1" x14ac:dyDescent="0.25">
      <c r="A24" s="7519" t="s">
        <v>707</v>
      </c>
      <c r="B24" s="7455"/>
      <c r="C24" s="7387"/>
      <c r="D24" s="1131">
        <f t="shared" si="27"/>
        <v>0</v>
      </c>
      <c r="E24" s="4289">
        <f t="shared" si="38"/>
        <v>0</v>
      </c>
      <c r="F24" s="791">
        <f t="shared" si="38"/>
        <v>0</v>
      </c>
      <c r="G24" s="620"/>
      <c r="H24" s="630"/>
      <c r="I24" s="620"/>
      <c r="J24" s="83"/>
      <c r="K24" s="620"/>
      <c r="L24" s="630"/>
      <c r="M24" s="620"/>
      <c r="N24" s="83"/>
      <c r="O24" s="620"/>
      <c r="P24" s="630"/>
      <c r="Q24" s="620"/>
      <c r="R24" s="630"/>
      <c r="S24" s="620"/>
      <c r="T24" s="630"/>
      <c r="U24" s="620"/>
      <c r="V24" s="630"/>
      <c r="W24" s="627"/>
      <c r="X24" s="796"/>
      <c r="Y24" s="620"/>
      <c r="Z24" s="630"/>
      <c r="AA24" s="627"/>
      <c r="AB24" s="796"/>
      <c r="AC24" s="620"/>
      <c r="AD24" s="630"/>
      <c r="AE24" s="627"/>
      <c r="AF24" s="796"/>
      <c r="AG24" s="620"/>
      <c r="AH24" s="630"/>
      <c r="AI24" s="627"/>
      <c r="AJ24" s="796"/>
      <c r="AK24" s="620"/>
      <c r="AL24" s="630"/>
      <c r="AM24" s="627"/>
      <c r="AN24" s="630"/>
      <c r="AO24" s="627"/>
      <c r="AP24" s="628"/>
      <c r="AQ24" s="83"/>
      <c r="AR24" s="83"/>
      <c r="AS24" s="648"/>
      <c r="AT24" s="648"/>
      <c r="AU24" s="648"/>
      <c r="AV24" s="648"/>
      <c r="AW24" s="648"/>
      <c r="AX24" s="648"/>
      <c r="AY24" t="str">
        <f t="shared" si="28"/>
        <v/>
      </c>
      <c r="CW24" s="1791" t="str">
        <f t="shared" si="20"/>
        <v/>
      </c>
      <c r="CX24" s="1791" t="str">
        <f t="shared" si="29"/>
        <v/>
      </c>
      <c r="CY24" s="1791" t="str">
        <f t="shared" si="30"/>
        <v/>
      </c>
      <c r="CZ24" s="1791" t="str">
        <f t="shared" si="21"/>
        <v/>
      </c>
      <c r="DA24"/>
      <c r="DB24" s="1791" t="str">
        <f t="shared" si="31"/>
        <v/>
      </c>
      <c r="DC24" s="1791" t="str">
        <f t="shared" si="32"/>
        <v/>
      </c>
      <c r="DD24" s="1791" t="str">
        <f t="shared" si="33"/>
        <v/>
      </c>
      <c r="DE24" s="1791" t="str">
        <f t="shared" si="34"/>
        <v/>
      </c>
      <c r="DG24" s="1793">
        <f t="shared" si="22"/>
        <v>0</v>
      </c>
      <c r="DH24" s="1793">
        <f t="shared" si="35"/>
        <v>0</v>
      </c>
      <c r="DI24" s="1793">
        <f t="shared" si="36"/>
        <v>0</v>
      </c>
      <c r="DJ24" s="1793">
        <f t="shared" si="23"/>
        <v>0</v>
      </c>
      <c r="DK24"/>
      <c r="DL24" s="1793">
        <f t="shared" si="37"/>
        <v>0</v>
      </c>
      <c r="DM24" s="1793">
        <f t="shared" si="24"/>
        <v>0</v>
      </c>
      <c r="DN24" s="1793">
        <f t="shared" si="25"/>
        <v>0</v>
      </c>
      <c r="DO24" s="1793">
        <f t="shared" si="26"/>
        <v>0</v>
      </c>
    </row>
    <row r="25" spans="1:119" ht="15" customHeight="1" x14ac:dyDescent="0.25">
      <c r="A25" s="7519" t="s">
        <v>708</v>
      </c>
      <c r="B25" s="7455"/>
      <c r="C25" s="7387"/>
      <c r="D25" s="1131">
        <f t="shared" si="27"/>
        <v>0</v>
      </c>
      <c r="E25" s="4289">
        <f t="shared" si="38"/>
        <v>0</v>
      </c>
      <c r="F25" s="791">
        <f t="shared" si="38"/>
        <v>0</v>
      </c>
      <c r="G25" s="620"/>
      <c r="H25" s="630"/>
      <c r="I25" s="620"/>
      <c r="J25" s="83"/>
      <c r="K25" s="620"/>
      <c r="L25" s="630"/>
      <c r="M25" s="620"/>
      <c r="N25" s="83"/>
      <c r="O25" s="620"/>
      <c r="P25" s="630"/>
      <c r="Q25" s="620"/>
      <c r="R25" s="630"/>
      <c r="S25" s="620"/>
      <c r="T25" s="630"/>
      <c r="U25" s="620"/>
      <c r="V25" s="630"/>
      <c r="W25" s="627"/>
      <c r="X25" s="796"/>
      <c r="Y25" s="620"/>
      <c r="Z25" s="630"/>
      <c r="AA25" s="627"/>
      <c r="AB25" s="796"/>
      <c r="AC25" s="620"/>
      <c r="AD25" s="630"/>
      <c r="AE25" s="627"/>
      <c r="AF25" s="796"/>
      <c r="AG25" s="620"/>
      <c r="AH25" s="630"/>
      <c r="AI25" s="627"/>
      <c r="AJ25" s="796"/>
      <c r="AK25" s="620"/>
      <c r="AL25" s="630"/>
      <c r="AM25" s="627"/>
      <c r="AN25" s="630"/>
      <c r="AO25" s="627"/>
      <c r="AP25" s="628"/>
      <c r="AQ25" s="83"/>
      <c r="AR25" s="83"/>
      <c r="AS25" s="648"/>
      <c r="AT25" s="648"/>
      <c r="AU25" s="648"/>
      <c r="AV25" s="648"/>
      <c r="AW25" s="648"/>
      <c r="AX25" s="648"/>
      <c r="AY25" t="str">
        <f t="shared" si="28"/>
        <v/>
      </c>
      <c r="CW25" s="1791" t="str">
        <f t="shared" si="20"/>
        <v/>
      </c>
      <c r="CX25" s="1791" t="str">
        <f t="shared" si="29"/>
        <v/>
      </c>
      <c r="CY25" s="1791" t="str">
        <f t="shared" si="30"/>
        <v/>
      </c>
      <c r="CZ25" s="1791" t="str">
        <f t="shared" si="21"/>
        <v/>
      </c>
      <c r="DA25"/>
      <c r="DB25" s="1791" t="str">
        <f t="shared" si="31"/>
        <v/>
      </c>
      <c r="DC25" s="1791" t="str">
        <f t="shared" si="32"/>
        <v/>
      </c>
      <c r="DD25" s="1791" t="str">
        <f t="shared" si="33"/>
        <v/>
      </c>
      <c r="DE25" s="1791" t="str">
        <f t="shared" si="34"/>
        <v/>
      </c>
      <c r="DG25" s="1793">
        <f t="shared" si="22"/>
        <v>0</v>
      </c>
      <c r="DH25" s="1793">
        <f t="shared" si="35"/>
        <v>0</v>
      </c>
      <c r="DI25" s="1793">
        <f t="shared" si="36"/>
        <v>0</v>
      </c>
      <c r="DJ25" s="1793">
        <f t="shared" si="23"/>
        <v>0</v>
      </c>
      <c r="DK25"/>
      <c r="DL25" s="1793">
        <f t="shared" si="37"/>
        <v>0</v>
      </c>
      <c r="DM25" s="1793">
        <f t="shared" si="24"/>
        <v>0</v>
      </c>
      <c r="DN25" s="1793">
        <f t="shared" si="25"/>
        <v>0</v>
      </c>
      <c r="DO25" s="1793">
        <f t="shared" si="26"/>
        <v>0</v>
      </c>
    </row>
    <row r="26" spans="1:119" ht="15" customHeight="1" x14ac:dyDescent="0.25">
      <c r="A26" s="7519" t="s">
        <v>709</v>
      </c>
      <c r="B26" s="7455"/>
      <c r="C26" s="7387"/>
      <c r="D26" s="4877">
        <f t="shared" si="27"/>
        <v>0</v>
      </c>
      <c r="E26" s="4289">
        <f t="shared" si="38"/>
        <v>0</v>
      </c>
      <c r="F26" s="791">
        <f t="shared" si="38"/>
        <v>0</v>
      </c>
      <c r="G26" s="620"/>
      <c r="H26" s="630"/>
      <c r="I26" s="620"/>
      <c r="J26" s="83"/>
      <c r="K26" s="620"/>
      <c r="L26" s="630"/>
      <c r="M26" s="620"/>
      <c r="N26" s="83"/>
      <c r="O26" s="620"/>
      <c r="P26" s="630"/>
      <c r="Q26" s="620"/>
      <c r="R26" s="630"/>
      <c r="S26" s="620"/>
      <c r="T26" s="630"/>
      <c r="U26" s="620"/>
      <c r="V26" s="630"/>
      <c r="W26" s="627"/>
      <c r="X26" s="796"/>
      <c r="Y26" s="620"/>
      <c r="Z26" s="630"/>
      <c r="AA26" s="627"/>
      <c r="AB26" s="796"/>
      <c r="AC26" s="620"/>
      <c r="AD26" s="630"/>
      <c r="AE26" s="627"/>
      <c r="AF26" s="796"/>
      <c r="AG26" s="620"/>
      <c r="AH26" s="630"/>
      <c r="AI26" s="627"/>
      <c r="AJ26" s="796"/>
      <c r="AK26" s="620"/>
      <c r="AL26" s="630"/>
      <c r="AM26" s="627"/>
      <c r="AN26" s="630"/>
      <c r="AO26" s="627"/>
      <c r="AP26" s="628"/>
      <c r="AQ26" s="83"/>
      <c r="AR26" s="83"/>
      <c r="AS26" s="83"/>
      <c r="AT26" s="83"/>
      <c r="AU26" s="83"/>
      <c r="AV26" s="83"/>
      <c r="AW26" s="83"/>
      <c r="AX26" s="83"/>
      <c r="AY26" t="str">
        <f t="shared" si="28"/>
        <v/>
      </c>
      <c r="CW26" s="1791" t="str">
        <f t="shared" si="20"/>
        <v/>
      </c>
      <c r="CX26" s="1791" t="str">
        <f t="shared" si="29"/>
        <v/>
      </c>
      <c r="CY26" s="1791" t="str">
        <f t="shared" si="30"/>
        <v/>
      </c>
      <c r="CZ26" s="1791" t="str">
        <f t="shared" si="21"/>
        <v/>
      </c>
      <c r="DA26"/>
      <c r="DB26" s="1791" t="str">
        <f t="shared" si="31"/>
        <v/>
      </c>
      <c r="DC26" s="1791" t="str">
        <f t="shared" si="32"/>
        <v/>
      </c>
      <c r="DD26" s="1791" t="str">
        <f t="shared" si="33"/>
        <v/>
      </c>
      <c r="DE26" s="1791" t="str">
        <f t="shared" si="34"/>
        <v/>
      </c>
      <c r="DG26" s="1793">
        <f t="shared" si="22"/>
        <v>0</v>
      </c>
      <c r="DH26" s="1793">
        <f t="shared" si="35"/>
        <v>0</v>
      </c>
      <c r="DI26" s="1793">
        <f t="shared" si="36"/>
        <v>0</v>
      </c>
      <c r="DJ26" s="1793">
        <f t="shared" si="23"/>
        <v>0</v>
      </c>
      <c r="DK26"/>
      <c r="DL26" s="1793">
        <f t="shared" si="37"/>
        <v>0</v>
      </c>
      <c r="DM26" s="1793">
        <f t="shared" si="24"/>
        <v>0</v>
      </c>
      <c r="DN26" s="1793">
        <f t="shared" si="25"/>
        <v>0</v>
      </c>
      <c r="DO26" s="1793">
        <f t="shared" si="26"/>
        <v>0</v>
      </c>
    </row>
    <row r="27" spans="1:119" ht="15" customHeight="1" x14ac:dyDescent="0.25">
      <c r="A27" s="7519" t="s">
        <v>710</v>
      </c>
      <c r="B27" s="7455"/>
      <c r="C27" s="7387"/>
      <c r="D27" s="4877">
        <f t="shared" si="27"/>
        <v>0</v>
      </c>
      <c r="E27" s="4289">
        <f t="shared" si="38"/>
        <v>0</v>
      </c>
      <c r="F27" s="791">
        <f t="shared" si="38"/>
        <v>0</v>
      </c>
      <c r="G27" s="620"/>
      <c r="H27" s="630"/>
      <c r="I27" s="620"/>
      <c r="J27" s="83"/>
      <c r="K27" s="620"/>
      <c r="L27" s="630"/>
      <c r="M27" s="620"/>
      <c r="N27" s="83"/>
      <c r="O27" s="620"/>
      <c r="P27" s="630"/>
      <c r="Q27" s="620"/>
      <c r="R27" s="630"/>
      <c r="S27" s="620"/>
      <c r="T27" s="630"/>
      <c r="U27" s="620"/>
      <c r="V27" s="630"/>
      <c r="W27" s="627"/>
      <c r="X27" s="796"/>
      <c r="Y27" s="620"/>
      <c r="Z27" s="630"/>
      <c r="AA27" s="627"/>
      <c r="AB27" s="796"/>
      <c r="AC27" s="620"/>
      <c r="AD27" s="630"/>
      <c r="AE27" s="627"/>
      <c r="AF27" s="796"/>
      <c r="AG27" s="620"/>
      <c r="AH27" s="630"/>
      <c r="AI27" s="627"/>
      <c r="AJ27" s="796"/>
      <c r="AK27" s="620"/>
      <c r="AL27" s="630"/>
      <c r="AM27" s="627"/>
      <c r="AN27" s="630"/>
      <c r="AO27" s="627"/>
      <c r="AP27" s="628"/>
      <c r="AQ27" s="83"/>
      <c r="AR27" s="83"/>
      <c r="AS27" s="648"/>
      <c r="AT27" s="648"/>
      <c r="AU27" s="648"/>
      <c r="AV27" s="648"/>
      <c r="AW27" s="648"/>
      <c r="AX27" s="648"/>
      <c r="AY27" t="str">
        <f t="shared" si="28"/>
        <v/>
      </c>
      <c r="CW27" s="1791" t="str">
        <f t="shared" si="20"/>
        <v/>
      </c>
      <c r="CX27" s="1791" t="str">
        <f t="shared" si="29"/>
        <v/>
      </c>
      <c r="CY27" s="1791" t="str">
        <f t="shared" si="30"/>
        <v/>
      </c>
      <c r="CZ27" s="1791" t="str">
        <f t="shared" si="21"/>
        <v/>
      </c>
      <c r="DA27"/>
      <c r="DB27" s="1791" t="str">
        <f t="shared" si="31"/>
        <v/>
      </c>
      <c r="DC27" s="1791" t="str">
        <f t="shared" si="32"/>
        <v/>
      </c>
      <c r="DD27" s="1791" t="str">
        <f t="shared" si="33"/>
        <v/>
      </c>
      <c r="DE27" s="1791" t="str">
        <f t="shared" si="34"/>
        <v/>
      </c>
      <c r="DG27" s="1793">
        <f t="shared" si="22"/>
        <v>0</v>
      </c>
      <c r="DH27" s="1793">
        <f t="shared" si="35"/>
        <v>0</v>
      </c>
      <c r="DI27" s="1793">
        <f t="shared" si="36"/>
        <v>0</v>
      </c>
      <c r="DJ27" s="1793">
        <f t="shared" si="23"/>
        <v>0</v>
      </c>
      <c r="DK27"/>
      <c r="DL27" s="1793">
        <f t="shared" si="37"/>
        <v>0</v>
      </c>
      <c r="DM27" s="1793">
        <f t="shared" si="24"/>
        <v>0</v>
      </c>
      <c r="DN27" s="1793">
        <f t="shared" si="25"/>
        <v>0</v>
      </c>
      <c r="DO27" s="1793">
        <f t="shared" si="26"/>
        <v>0</v>
      </c>
    </row>
    <row r="28" spans="1:119" ht="15" customHeight="1" x14ac:dyDescent="0.25">
      <c r="A28" s="7519" t="s">
        <v>711</v>
      </c>
      <c r="B28" s="7455"/>
      <c r="C28" s="7387"/>
      <c r="D28" s="1131">
        <f>SUM(E28+F28)</f>
        <v>0</v>
      </c>
      <c r="E28" s="4289">
        <f t="shared" si="38"/>
        <v>0</v>
      </c>
      <c r="F28" s="791">
        <f t="shared" si="38"/>
        <v>0</v>
      </c>
      <c r="G28" s="620"/>
      <c r="H28" s="630"/>
      <c r="I28" s="620"/>
      <c r="J28" s="83"/>
      <c r="K28" s="620"/>
      <c r="L28" s="630"/>
      <c r="M28" s="620"/>
      <c r="N28" s="83"/>
      <c r="O28" s="620"/>
      <c r="P28" s="630"/>
      <c r="Q28" s="620"/>
      <c r="R28" s="630"/>
      <c r="S28" s="620"/>
      <c r="T28" s="630"/>
      <c r="U28" s="620"/>
      <c r="V28" s="630"/>
      <c r="W28" s="627"/>
      <c r="X28" s="796"/>
      <c r="Y28" s="620"/>
      <c r="Z28" s="630"/>
      <c r="AA28" s="627"/>
      <c r="AB28" s="796"/>
      <c r="AC28" s="620"/>
      <c r="AD28" s="630"/>
      <c r="AE28" s="627"/>
      <c r="AF28" s="796"/>
      <c r="AG28" s="620"/>
      <c r="AH28" s="630"/>
      <c r="AI28" s="627"/>
      <c r="AJ28" s="796"/>
      <c r="AK28" s="620"/>
      <c r="AL28" s="630"/>
      <c r="AM28" s="627"/>
      <c r="AN28" s="630"/>
      <c r="AO28" s="627"/>
      <c r="AP28" s="628"/>
      <c r="AQ28" s="83"/>
      <c r="AR28" s="83"/>
      <c r="AS28" s="83"/>
      <c r="AT28" s="83"/>
      <c r="AU28" s="83"/>
      <c r="AV28" s="83"/>
      <c r="AW28" s="83"/>
      <c r="AX28" s="83"/>
      <c r="AY28" t="str">
        <f t="shared" si="28"/>
        <v/>
      </c>
      <c r="CW28" s="1791" t="str">
        <f t="shared" si="20"/>
        <v/>
      </c>
      <c r="CX28" s="1791" t="str">
        <f t="shared" si="29"/>
        <v/>
      </c>
      <c r="CY28" s="1791" t="str">
        <f t="shared" si="30"/>
        <v/>
      </c>
      <c r="CZ28" s="1791" t="str">
        <f t="shared" si="21"/>
        <v/>
      </c>
      <c r="DA28"/>
      <c r="DB28" s="1791" t="str">
        <f t="shared" si="31"/>
        <v/>
      </c>
      <c r="DC28" s="1791" t="str">
        <f t="shared" si="32"/>
        <v/>
      </c>
      <c r="DD28" s="1791" t="str">
        <f t="shared" si="33"/>
        <v/>
      </c>
      <c r="DE28" s="1791" t="str">
        <f t="shared" si="34"/>
        <v/>
      </c>
      <c r="DG28" s="1793">
        <f t="shared" si="22"/>
        <v>0</v>
      </c>
      <c r="DH28" s="1793">
        <f t="shared" si="35"/>
        <v>0</v>
      </c>
      <c r="DI28" s="1793">
        <f t="shared" si="36"/>
        <v>0</v>
      </c>
      <c r="DJ28" s="1793">
        <f t="shared" si="23"/>
        <v>0</v>
      </c>
      <c r="DK28"/>
      <c r="DL28" s="1793">
        <f t="shared" si="37"/>
        <v>0</v>
      </c>
      <c r="DM28" s="1793">
        <f t="shared" si="24"/>
        <v>0</v>
      </c>
      <c r="DN28" s="1793">
        <f t="shared" si="25"/>
        <v>0</v>
      </c>
      <c r="DO28" s="1793">
        <f t="shared" si="26"/>
        <v>0</v>
      </c>
    </row>
    <row r="29" spans="1:119" ht="15" customHeight="1" x14ac:dyDescent="0.25">
      <c r="A29" s="7519" t="s">
        <v>712</v>
      </c>
      <c r="B29" s="7455"/>
      <c r="C29" s="7387"/>
      <c r="D29" s="1131">
        <f t="shared" si="27"/>
        <v>0</v>
      </c>
      <c r="E29" s="4289">
        <f t="shared" si="38"/>
        <v>0</v>
      </c>
      <c r="F29" s="791">
        <f t="shared" si="38"/>
        <v>0</v>
      </c>
      <c r="G29" s="620"/>
      <c r="H29" s="630"/>
      <c r="I29" s="620"/>
      <c r="J29" s="83"/>
      <c r="K29" s="620"/>
      <c r="L29" s="630"/>
      <c r="M29" s="620"/>
      <c r="N29" s="83"/>
      <c r="O29" s="620"/>
      <c r="P29" s="630"/>
      <c r="Q29" s="620"/>
      <c r="R29" s="630"/>
      <c r="S29" s="620"/>
      <c r="T29" s="630"/>
      <c r="U29" s="620"/>
      <c r="V29" s="630"/>
      <c r="W29" s="627"/>
      <c r="X29" s="796"/>
      <c r="Y29" s="620"/>
      <c r="Z29" s="630"/>
      <c r="AA29" s="627"/>
      <c r="AB29" s="796"/>
      <c r="AC29" s="620"/>
      <c r="AD29" s="630"/>
      <c r="AE29" s="627"/>
      <c r="AF29" s="796"/>
      <c r="AG29" s="620"/>
      <c r="AH29" s="630"/>
      <c r="AI29" s="627"/>
      <c r="AJ29" s="796"/>
      <c r="AK29" s="620"/>
      <c r="AL29" s="630"/>
      <c r="AM29" s="627"/>
      <c r="AN29" s="630"/>
      <c r="AO29" s="627"/>
      <c r="AP29" s="628"/>
      <c r="AQ29" s="83"/>
      <c r="AR29" s="83"/>
      <c r="AS29" s="83"/>
      <c r="AT29" s="83"/>
      <c r="AU29" s="83"/>
      <c r="AV29" s="83"/>
      <c r="AW29" s="83"/>
      <c r="AX29" s="83"/>
      <c r="AY29" t="str">
        <f t="shared" si="28"/>
        <v/>
      </c>
      <c r="CW29" s="1791" t="str">
        <f t="shared" si="20"/>
        <v/>
      </c>
      <c r="CX29" s="1791" t="str">
        <f t="shared" si="29"/>
        <v/>
      </c>
      <c r="CY29" s="1791" t="str">
        <f t="shared" si="30"/>
        <v/>
      </c>
      <c r="CZ29" s="1791" t="str">
        <f t="shared" si="21"/>
        <v/>
      </c>
      <c r="DA29"/>
      <c r="DB29" s="1791" t="str">
        <f t="shared" si="31"/>
        <v/>
      </c>
      <c r="DC29" s="1791" t="str">
        <f t="shared" si="32"/>
        <v/>
      </c>
      <c r="DD29" s="1791" t="str">
        <f t="shared" si="33"/>
        <v/>
      </c>
      <c r="DE29" s="1791" t="str">
        <f t="shared" si="34"/>
        <v/>
      </c>
      <c r="DG29" s="1793">
        <f t="shared" si="22"/>
        <v>0</v>
      </c>
      <c r="DH29" s="1793">
        <f t="shared" si="35"/>
        <v>0</v>
      </c>
      <c r="DI29" s="1793">
        <f t="shared" si="36"/>
        <v>0</v>
      </c>
      <c r="DJ29" s="1793">
        <f t="shared" si="23"/>
        <v>0</v>
      </c>
      <c r="DK29"/>
      <c r="DL29" s="1793">
        <f t="shared" si="37"/>
        <v>0</v>
      </c>
      <c r="DM29" s="1793">
        <f t="shared" si="24"/>
        <v>0</v>
      </c>
      <c r="DN29" s="1793">
        <f t="shared" si="25"/>
        <v>0</v>
      </c>
      <c r="DO29" s="1793">
        <f t="shared" si="26"/>
        <v>0</v>
      </c>
    </row>
    <row r="30" spans="1:119" ht="15" customHeight="1" x14ac:dyDescent="0.25">
      <c r="A30" s="7519" t="s">
        <v>713</v>
      </c>
      <c r="B30" s="7455"/>
      <c r="C30" s="7387"/>
      <c r="D30" s="1131">
        <f t="shared" si="27"/>
        <v>0</v>
      </c>
      <c r="E30" s="4289">
        <f t="shared" si="38"/>
        <v>0</v>
      </c>
      <c r="F30" s="791">
        <f t="shared" si="38"/>
        <v>0</v>
      </c>
      <c r="G30" s="620"/>
      <c r="H30" s="630"/>
      <c r="I30" s="620"/>
      <c r="J30" s="83"/>
      <c r="K30" s="620"/>
      <c r="L30" s="630"/>
      <c r="M30" s="620"/>
      <c r="N30" s="83"/>
      <c r="O30" s="620"/>
      <c r="P30" s="630"/>
      <c r="Q30" s="620"/>
      <c r="R30" s="630"/>
      <c r="S30" s="620"/>
      <c r="T30" s="630"/>
      <c r="U30" s="620"/>
      <c r="V30" s="630"/>
      <c r="W30" s="627"/>
      <c r="X30" s="796"/>
      <c r="Y30" s="620"/>
      <c r="Z30" s="630"/>
      <c r="AA30" s="627"/>
      <c r="AB30" s="796"/>
      <c r="AC30" s="620"/>
      <c r="AD30" s="630"/>
      <c r="AE30" s="627"/>
      <c r="AF30" s="796"/>
      <c r="AG30" s="620"/>
      <c r="AH30" s="630"/>
      <c r="AI30" s="627"/>
      <c r="AJ30" s="796"/>
      <c r="AK30" s="620"/>
      <c r="AL30" s="630"/>
      <c r="AM30" s="627"/>
      <c r="AN30" s="630"/>
      <c r="AO30" s="627"/>
      <c r="AP30" s="628"/>
      <c r="AQ30" s="83"/>
      <c r="AR30" s="83"/>
      <c r="AS30" s="83"/>
      <c r="AT30" s="83"/>
      <c r="AU30" s="83"/>
      <c r="AV30" s="83"/>
      <c r="AW30" s="83"/>
      <c r="AX30" s="83"/>
      <c r="AY30" t="str">
        <f t="shared" si="28"/>
        <v/>
      </c>
      <c r="CW30" s="1791" t="str">
        <f t="shared" si="20"/>
        <v/>
      </c>
      <c r="CX30" s="1791" t="str">
        <f t="shared" si="29"/>
        <v/>
      </c>
      <c r="CY30" s="1791" t="str">
        <f t="shared" si="30"/>
        <v/>
      </c>
      <c r="CZ30" s="1791" t="str">
        <f t="shared" si="21"/>
        <v/>
      </c>
      <c r="DA30"/>
      <c r="DB30" s="1791" t="str">
        <f t="shared" si="31"/>
        <v/>
      </c>
      <c r="DC30" s="1791" t="str">
        <f t="shared" si="32"/>
        <v/>
      </c>
      <c r="DD30" s="1791" t="str">
        <f t="shared" si="33"/>
        <v/>
      </c>
      <c r="DE30" s="1791" t="str">
        <f t="shared" si="34"/>
        <v/>
      </c>
      <c r="DG30" s="1793">
        <f t="shared" si="22"/>
        <v>0</v>
      </c>
      <c r="DH30" s="1793">
        <f t="shared" si="35"/>
        <v>0</v>
      </c>
      <c r="DI30" s="1793">
        <f t="shared" si="36"/>
        <v>0</v>
      </c>
      <c r="DJ30" s="1793">
        <f t="shared" si="23"/>
        <v>0</v>
      </c>
      <c r="DK30"/>
      <c r="DL30" s="1793">
        <f t="shared" si="37"/>
        <v>0</v>
      </c>
      <c r="DM30" s="1793">
        <f t="shared" si="24"/>
        <v>0</v>
      </c>
      <c r="DN30" s="1793">
        <f t="shared" si="25"/>
        <v>0</v>
      </c>
      <c r="DO30" s="1793">
        <f t="shared" si="26"/>
        <v>0</v>
      </c>
    </row>
    <row r="31" spans="1:119" ht="15" customHeight="1" x14ac:dyDescent="0.25">
      <c r="A31" s="7519" t="s">
        <v>714</v>
      </c>
      <c r="B31" s="7455"/>
      <c r="C31" s="7387"/>
      <c r="D31" s="1131">
        <f t="shared" si="27"/>
        <v>0</v>
      </c>
      <c r="E31" s="4289">
        <f t="shared" si="38"/>
        <v>0</v>
      </c>
      <c r="F31" s="791">
        <f t="shared" si="38"/>
        <v>0</v>
      </c>
      <c r="G31" s="620"/>
      <c r="H31" s="630"/>
      <c r="I31" s="620"/>
      <c r="J31" s="83"/>
      <c r="K31" s="620"/>
      <c r="L31" s="630"/>
      <c r="M31" s="620"/>
      <c r="N31" s="83"/>
      <c r="O31" s="620"/>
      <c r="P31" s="630"/>
      <c r="Q31" s="620"/>
      <c r="R31" s="630"/>
      <c r="S31" s="620"/>
      <c r="T31" s="630"/>
      <c r="U31" s="620"/>
      <c r="V31" s="630"/>
      <c r="W31" s="627"/>
      <c r="X31" s="796"/>
      <c r="Y31" s="620"/>
      <c r="Z31" s="630"/>
      <c r="AA31" s="627"/>
      <c r="AB31" s="796"/>
      <c r="AC31" s="620"/>
      <c r="AD31" s="630"/>
      <c r="AE31" s="627"/>
      <c r="AF31" s="796"/>
      <c r="AG31" s="620"/>
      <c r="AH31" s="630"/>
      <c r="AI31" s="627"/>
      <c r="AJ31" s="796"/>
      <c r="AK31" s="620"/>
      <c r="AL31" s="630"/>
      <c r="AM31" s="627"/>
      <c r="AN31" s="630"/>
      <c r="AO31" s="627"/>
      <c r="AP31" s="628"/>
      <c r="AQ31" s="83"/>
      <c r="AR31" s="83"/>
      <c r="AS31" s="83"/>
      <c r="AT31" s="83"/>
      <c r="AU31" s="83"/>
      <c r="AV31" s="83"/>
      <c r="AW31" s="83"/>
      <c r="AX31" s="83"/>
      <c r="AY31" t="str">
        <f t="shared" si="28"/>
        <v/>
      </c>
      <c r="CW31" s="1791" t="str">
        <f t="shared" si="20"/>
        <v/>
      </c>
      <c r="CX31" s="1791" t="str">
        <f t="shared" si="29"/>
        <v/>
      </c>
      <c r="CY31" s="1791" t="str">
        <f t="shared" si="30"/>
        <v/>
      </c>
      <c r="CZ31" s="1791" t="str">
        <f t="shared" si="21"/>
        <v/>
      </c>
      <c r="DA31"/>
      <c r="DB31" s="1791" t="str">
        <f t="shared" si="31"/>
        <v/>
      </c>
      <c r="DC31" s="1791" t="str">
        <f t="shared" si="32"/>
        <v/>
      </c>
      <c r="DD31" s="1791" t="str">
        <f t="shared" si="33"/>
        <v/>
      </c>
      <c r="DE31" s="1791" t="str">
        <f t="shared" si="34"/>
        <v/>
      </c>
      <c r="DG31" s="1793">
        <f t="shared" si="22"/>
        <v>0</v>
      </c>
      <c r="DH31" s="1793">
        <f t="shared" si="35"/>
        <v>0</v>
      </c>
      <c r="DI31" s="1793">
        <f t="shared" si="36"/>
        <v>0</v>
      </c>
      <c r="DJ31" s="1793">
        <f t="shared" si="23"/>
        <v>0</v>
      </c>
      <c r="DK31"/>
      <c r="DL31" s="1793">
        <f t="shared" si="37"/>
        <v>0</v>
      </c>
      <c r="DM31" s="1793">
        <f t="shared" si="24"/>
        <v>0</v>
      </c>
      <c r="DN31" s="1793">
        <f t="shared" si="25"/>
        <v>0</v>
      </c>
      <c r="DO31" s="1793">
        <f t="shared" si="26"/>
        <v>0</v>
      </c>
    </row>
    <row r="32" spans="1:119" ht="15" customHeight="1" x14ac:dyDescent="0.25">
      <c r="A32" s="7519" t="s">
        <v>715</v>
      </c>
      <c r="B32" s="7455"/>
      <c r="C32" s="7387"/>
      <c r="D32" s="1131">
        <f>SUM(E32+F32)</f>
        <v>0</v>
      </c>
      <c r="E32" s="4289">
        <f>SUM(U32+W32+Y32+AA32+AC32+AE32+AG32+AI32+AK32+AM32+AO32)</f>
        <v>0</v>
      </c>
      <c r="F32" s="791">
        <f>SUM(V32+X32+Z32+AB32+AD32+AF32+AH32+AJ32+AL32+AN32+AP32)</f>
        <v>0</v>
      </c>
      <c r="G32" s="794"/>
      <c r="H32" s="795"/>
      <c r="I32" s="794"/>
      <c r="J32" s="194"/>
      <c r="K32" s="794"/>
      <c r="L32" s="795"/>
      <c r="M32" s="794"/>
      <c r="N32" s="194"/>
      <c r="O32" s="794"/>
      <c r="P32" s="795"/>
      <c r="Q32" s="794"/>
      <c r="R32" s="795"/>
      <c r="S32" s="794"/>
      <c r="T32" s="795"/>
      <c r="U32" s="620"/>
      <c r="V32" s="630"/>
      <c r="W32" s="627"/>
      <c r="X32" s="796"/>
      <c r="Y32" s="620"/>
      <c r="Z32" s="630"/>
      <c r="AA32" s="627"/>
      <c r="AB32" s="796"/>
      <c r="AC32" s="620"/>
      <c r="AD32" s="630"/>
      <c r="AE32" s="627"/>
      <c r="AF32" s="796"/>
      <c r="AG32" s="620"/>
      <c r="AH32" s="630"/>
      <c r="AI32" s="627"/>
      <c r="AJ32" s="796"/>
      <c r="AK32" s="620"/>
      <c r="AL32" s="630"/>
      <c r="AM32" s="627"/>
      <c r="AN32" s="630"/>
      <c r="AO32" s="627"/>
      <c r="AP32" s="628"/>
      <c r="AQ32" s="83"/>
      <c r="AR32" s="83"/>
      <c r="AS32" s="83"/>
      <c r="AT32" s="83"/>
      <c r="AU32" s="83"/>
      <c r="AV32" s="83"/>
      <c r="AW32" s="83"/>
      <c r="AX32" s="83"/>
      <c r="AY32" t="str">
        <f t="shared" si="28"/>
        <v/>
      </c>
      <c r="CW32" s="1791" t="str">
        <f t="shared" si="20"/>
        <v/>
      </c>
      <c r="CX32" s="1791" t="str">
        <f t="shared" si="29"/>
        <v/>
      </c>
      <c r="CY32" s="1791" t="str">
        <f t="shared" si="30"/>
        <v/>
      </c>
      <c r="CZ32" s="1791" t="str">
        <f t="shared" si="21"/>
        <v/>
      </c>
      <c r="DA32"/>
      <c r="DB32" s="1791" t="str">
        <f t="shared" si="31"/>
        <v/>
      </c>
      <c r="DC32" s="1791" t="str">
        <f t="shared" si="32"/>
        <v/>
      </c>
      <c r="DD32" s="1791" t="str">
        <f t="shared" si="33"/>
        <v/>
      </c>
      <c r="DE32" s="1791" t="str">
        <f t="shared" si="34"/>
        <v/>
      </c>
      <c r="DG32" s="1793">
        <f t="shared" si="22"/>
        <v>0</v>
      </c>
      <c r="DH32" s="1793">
        <f t="shared" si="35"/>
        <v>0</v>
      </c>
      <c r="DI32" s="1793">
        <f t="shared" si="36"/>
        <v>0</v>
      </c>
      <c r="DJ32" s="1793">
        <f t="shared" si="23"/>
        <v>0</v>
      </c>
      <c r="DK32"/>
      <c r="DL32" s="1793">
        <f t="shared" si="37"/>
        <v>0</v>
      </c>
      <c r="DM32" s="1793">
        <f t="shared" si="24"/>
        <v>0</v>
      </c>
      <c r="DN32" s="1793">
        <f t="shared" si="25"/>
        <v>0</v>
      </c>
      <c r="DO32" s="1793">
        <f t="shared" si="26"/>
        <v>0</v>
      </c>
    </row>
    <row r="33" spans="1:119" ht="15" customHeight="1" x14ac:dyDescent="0.25">
      <c r="A33" s="7519" t="s">
        <v>716</v>
      </c>
      <c r="B33" s="7455"/>
      <c r="C33" s="7387"/>
      <c r="D33" s="1131">
        <f>SUM(E33+F33)</f>
        <v>0</v>
      </c>
      <c r="E33" s="4289">
        <f t="shared" ref="E33:F35" si="39">SUM(G33+I33+K33+M33+O33+Q33+S33+U33+W33+Y33+AA33+AC33+AE33+AG33+AI33+AK33+AM33+AO33)</f>
        <v>0</v>
      </c>
      <c r="F33" s="791">
        <f t="shared" si="39"/>
        <v>0</v>
      </c>
      <c r="G33" s="620"/>
      <c r="H33" s="630"/>
      <c r="I33" s="620"/>
      <c r="J33" s="83"/>
      <c r="K33" s="620"/>
      <c r="L33" s="630"/>
      <c r="M33" s="620"/>
      <c r="N33" s="83"/>
      <c r="O33" s="620"/>
      <c r="P33" s="630"/>
      <c r="Q33" s="620"/>
      <c r="R33" s="630"/>
      <c r="S33" s="620"/>
      <c r="T33" s="630"/>
      <c r="U33" s="620"/>
      <c r="V33" s="630"/>
      <c r="W33" s="627"/>
      <c r="X33" s="796"/>
      <c r="Y33" s="620"/>
      <c r="Z33" s="630"/>
      <c r="AA33" s="627"/>
      <c r="AB33" s="796"/>
      <c r="AC33" s="620"/>
      <c r="AD33" s="630"/>
      <c r="AE33" s="627"/>
      <c r="AF33" s="796"/>
      <c r="AG33" s="620"/>
      <c r="AH33" s="630"/>
      <c r="AI33" s="627"/>
      <c r="AJ33" s="796"/>
      <c r="AK33" s="620"/>
      <c r="AL33" s="630"/>
      <c r="AM33" s="627"/>
      <c r="AN33" s="630"/>
      <c r="AO33" s="627"/>
      <c r="AP33" s="628"/>
      <c r="AQ33" s="83"/>
      <c r="AR33" s="83"/>
      <c r="AS33" s="83"/>
      <c r="AT33" s="83"/>
      <c r="AU33" s="83"/>
      <c r="AV33" s="83"/>
      <c r="AW33" s="83"/>
      <c r="AX33" s="83"/>
      <c r="AY33" t="str">
        <f t="shared" si="28"/>
        <v/>
      </c>
      <c r="CW33" s="1791" t="str">
        <f t="shared" si="20"/>
        <v/>
      </c>
      <c r="CX33" s="1791" t="str">
        <f t="shared" si="29"/>
        <v/>
      </c>
      <c r="CY33" s="1791" t="str">
        <f t="shared" si="30"/>
        <v/>
      </c>
      <c r="CZ33" s="1791" t="str">
        <f t="shared" si="21"/>
        <v/>
      </c>
      <c r="DA33"/>
      <c r="DB33" s="1791" t="str">
        <f t="shared" si="31"/>
        <v/>
      </c>
      <c r="DC33" s="1791" t="str">
        <f t="shared" si="32"/>
        <v/>
      </c>
      <c r="DD33" s="1791" t="str">
        <f t="shared" si="33"/>
        <v/>
      </c>
      <c r="DE33" s="1791" t="str">
        <f t="shared" si="34"/>
        <v/>
      </c>
      <c r="DG33" s="1793">
        <f t="shared" si="22"/>
        <v>0</v>
      </c>
      <c r="DH33" s="1793">
        <f t="shared" si="35"/>
        <v>0</v>
      </c>
      <c r="DI33" s="1793">
        <f t="shared" si="36"/>
        <v>0</v>
      </c>
      <c r="DJ33" s="1793">
        <f t="shared" si="23"/>
        <v>0</v>
      </c>
      <c r="DK33"/>
      <c r="DL33" s="1793">
        <f t="shared" si="37"/>
        <v>0</v>
      </c>
      <c r="DM33" s="1793">
        <f t="shared" si="24"/>
        <v>0</v>
      </c>
      <c r="DN33" s="1793">
        <f t="shared" si="25"/>
        <v>0</v>
      </c>
      <c r="DO33" s="1793">
        <f t="shared" si="26"/>
        <v>0</v>
      </c>
    </row>
    <row r="34" spans="1:119" ht="15" customHeight="1" x14ac:dyDescent="0.25">
      <c r="A34" s="7519" t="s">
        <v>717</v>
      </c>
      <c r="B34" s="7455"/>
      <c r="C34" s="7387"/>
      <c r="D34" s="1131">
        <f t="shared" si="27"/>
        <v>0</v>
      </c>
      <c r="E34" s="4289">
        <f t="shared" si="39"/>
        <v>0</v>
      </c>
      <c r="F34" s="791">
        <f t="shared" si="39"/>
        <v>0</v>
      </c>
      <c r="G34" s="620"/>
      <c r="H34" s="630"/>
      <c r="I34" s="620"/>
      <c r="J34" s="83"/>
      <c r="K34" s="620"/>
      <c r="L34" s="630"/>
      <c r="M34" s="620"/>
      <c r="N34" s="83"/>
      <c r="O34" s="620"/>
      <c r="P34" s="630"/>
      <c r="Q34" s="620"/>
      <c r="R34" s="630"/>
      <c r="S34" s="620"/>
      <c r="T34" s="630"/>
      <c r="U34" s="620"/>
      <c r="V34" s="630"/>
      <c r="W34" s="627"/>
      <c r="X34" s="796"/>
      <c r="Y34" s="620"/>
      <c r="Z34" s="630"/>
      <c r="AA34" s="627"/>
      <c r="AB34" s="796"/>
      <c r="AC34" s="620"/>
      <c r="AD34" s="630"/>
      <c r="AE34" s="627"/>
      <c r="AF34" s="796"/>
      <c r="AG34" s="620"/>
      <c r="AH34" s="630"/>
      <c r="AI34" s="627"/>
      <c r="AJ34" s="796"/>
      <c r="AK34" s="620"/>
      <c r="AL34" s="630"/>
      <c r="AM34" s="627"/>
      <c r="AN34" s="630"/>
      <c r="AO34" s="627"/>
      <c r="AP34" s="628"/>
      <c r="AQ34" s="83"/>
      <c r="AR34" s="83"/>
      <c r="AS34" s="83"/>
      <c r="AT34" s="83"/>
      <c r="AU34" s="83"/>
      <c r="AV34" s="83"/>
      <c r="AW34" s="83"/>
      <c r="AX34" s="83"/>
      <c r="AY34" t="str">
        <f t="shared" si="28"/>
        <v/>
      </c>
      <c r="CW34" s="1791" t="str">
        <f t="shared" si="20"/>
        <v/>
      </c>
      <c r="CX34" s="1791" t="str">
        <f t="shared" si="29"/>
        <v/>
      </c>
      <c r="CY34" s="1791" t="str">
        <f t="shared" si="30"/>
        <v/>
      </c>
      <c r="CZ34" s="1791" t="str">
        <f t="shared" si="21"/>
        <v/>
      </c>
      <c r="DA34"/>
      <c r="DB34" s="1791" t="str">
        <f t="shared" si="31"/>
        <v/>
      </c>
      <c r="DC34" s="1791" t="str">
        <f t="shared" si="32"/>
        <v/>
      </c>
      <c r="DD34" s="1791" t="str">
        <f t="shared" si="33"/>
        <v/>
      </c>
      <c r="DE34" s="1791" t="str">
        <f t="shared" si="34"/>
        <v/>
      </c>
      <c r="DG34" s="1793">
        <f t="shared" si="22"/>
        <v>0</v>
      </c>
      <c r="DH34" s="1793">
        <f t="shared" si="35"/>
        <v>0</v>
      </c>
      <c r="DI34" s="1793">
        <f t="shared" si="36"/>
        <v>0</v>
      </c>
      <c r="DJ34" s="1793">
        <f t="shared" si="23"/>
        <v>0</v>
      </c>
      <c r="DK34"/>
      <c r="DL34" s="1793">
        <f t="shared" si="37"/>
        <v>0</v>
      </c>
      <c r="DM34" s="1793">
        <f t="shared" si="24"/>
        <v>0</v>
      </c>
      <c r="DN34" s="1793">
        <f t="shared" si="25"/>
        <v>0</v>
      </c>
      <c r="DO34" s="1793">
        <f t="shared" si="26"/>
        <v>0</v>
      </c>
    </row>
    <row r="35" spans="1:119" ht="15" customHeight="1" x14ac:dyDescent="0.25">
      <c r="A35" s="7566" t="s">
        <v>718</v>
      </c>
      <c r="B35" s="7549"/>
      <c r="C35" s="7567"/>
      <c r="D35" s="3281">
        <f t="shared" si="27"/>
        <v>0</v>
      </c>
      <c r="E35" s="586">
        <f t="shared" si="39"/>
        <v>0</v>
      </c>
      <c r="F35" s="380">
        <f t="shared" si="39"/>
        <v>0</v>
      </c>
      <c r="G35" s="114"/>
      <c r="H35" s="116"/>
      <c r="I35" s="114"/>
      <c r="J35" s="117"/>
      <c r="K35" s="114"/>
      <c r="L35" s="116"/>
      <c r="M35" s="114"/>
      <c r="N35" s="117"/>
      <c r="O35" s="114"/>
      <c r="P35" s="116"/>
      <c r="Q35" s="114"/>
      <c r="R35" s="116"/>
      <c r="S35" s="114"/>
      <c r="T35" s="116"/>
      <c r="U35" s="114"/>
      <c r="V35" s="116"/>
      <c r="W35" s="121"/>
      <c r="X35" s="137"/>
      <c r="Y35" s="114"/>
      <c r="Z35" s="116"/>
      <c r="AA35" s="121"/>
      <c r="AB35" s="137"/>
      <c r="AC35" s="114"/>
      <c r="AD35" s="116"/>
      <c r="AE35" s="121"/>
      <c r="AF35" s="137"/>
      <c r="AG35" s="114"/>
      <c r="AH35" s="116"/>
      <c r="AI35" s="121"/>
      <c r="AJ35" s="137"/>
      <c r="AK35" s="114"/>
      <c r="AL35" s="116"/>
      <c r="AM35" s="121"/>
      <c r="AN35" s="116"/>
      <c r="AO35" s="121"/>
      <c r="AP35" s="162"/>
      <c r="AQ35" s="797"/>
      <c r="AR35" s="797"/>
      <c r="AS35" s="797"/>
      <c r="AT35" s="797"/>
      <c r="AU35" s="797"/>
      <c r="AV35" s="797"/>
      <c r="AW35" s="797"/>
      <c r="AX35" s="797"/>
      <c r="AY35" t="str">
        <f t="shared" si="28"/>
        <v/>
      </c>
      <c r="CW35" s="1791" t="str">
        <f t="shared" si="20"/>
        <v/>
      </c>
      <c r="CX35" s="1791" t="str">
        <f t="shared" si="29"/>
        <v/>
      </c>
      <c r="CY35" s="1791" t="str">
        <f t="shared" si="30"/>
        <v/>
      </c>
      <c r="CZ35" s="1791" t="str">
        <f t="shared" si="21"/>
        <v/>
      </c>
      <c r="DA35"/>
      <c r="DB35" s="1791" t="str">
        <f t="shared" si="31"/>
        <v/>
      </c>
      <c r="DC35" s="1791" t="str">
        <f t="shared" si="32"/>
        <v/>
      </c>
      <c r="DD35" s="1791" t="str">
        <f t="shared" si="33"/>
        <v/>
      </c>
      <c r="DE35" s="1791" t="str">
        <f t="shared" si="34"/>
        <v/>
      </c>
      <c r="DG35" s="1793">
        <f t="shared" si="22"/>
        <v>0</v>
      </c>
      <c r="DH35" s="1793">
        <f t="shared" si="35"/>
        <v>0</v>
      </c>
      <c r="DI35" s="1793">
        <f t="shared" si="36"/>
        <v>0</v>
      </c>
      <c r="DJ35" s="1793">
        <f t="shared" si="23"/>
        <v>0</v>
      </c>
      <c r="DK35"/>
      <c r="DL35" s="1793">
        <f t="shared" si="37"/>
        <v>0</v>
      </c>
      <c r="DM35" s="1793">
        <f t="shared" si="24"/>
        <v>0</v>
      </c>
      <c r="DN35" s="1793">
        <f t="shared" si="25"/>
        <v>0</v>
      </c>
      <c r="DO35" s="1793">
        <f t="shared" si="26"/>
        <v>0</v>
      </c>
    </row>
    <row r="36" spans="1:119" x14ac:dyDescent="0.25">
      <c r="A36" s="7586" t="s">
        <v>567</v>
      </c>
      <c r="B36" s="7586"/>
      <c r="C36" s="7586"/>
      <c r="D36" s="4878">
        <f t="shared" ref="D36:AV36" si="40">SUM(D19:D35)</f>
        <v>0</v>
      </c>
      <c r="E36" s="4868">
        <f t="shared" si="40"/>
        <v>0</v>
      </c>
      <c r="F36" s="577">
        <f t="shared" si="40"/>
        <v>0</v>
      </c>
      <c r="G36" s="576">
        <f t="shared" si="40"/>
        <v>0</v>
      </c>
      <c r="H36" s="577">
        <f t="shared" si="40"/>
        <v>0</v>
      </c>
      <c r="I36" s="576">
        <f t="shared" si="40"/>
        <v>0</v>
      </c>
      <c r="J36" s="577">
        <f t="shared" si="40"/>
        <v>0</v>
      </c>
      <c r="K36" s="576">
        <f t="shared" si="40"/>
        <v>0</v>
      </c>
      <c r="L36" s="577">
        <f t="shared" si="40"/>
        <v>0</v>
      </c>
      <c r="M36" s="576">
        <f t="shared" si="40"/>
        <v>0</v>
      </c>
      <c r="N36" s="577">
        <f t="shared" si="40"/>
        <v>0</v>
      </c>
      <c r="O36" s="576">
        <f t="shared" si="40"/>
        <v>0</v>
      </c>
      <c r="P36" s="577">
        <f t="shared" si="40"/>
        <v>0</v>
      </c>
      <c r="Q36" s="576">
        <f t="shared" si="40"/>
        <v>0</v>
      </c>
      <c r="R36" s="577">
        <f t="shared" si="40"/>
        <v>0</v>
      </c>
      <c r="S36" s="576">
        <f t="shared" si="40"/>
        <v>0</v>
      </c>
      <c r="T36" s="577">
        <f t="shared" si="40"/>
        <v>0</v>
      </c>
      <c r="U36" s="576">
        <f t="shared" si="40"/>
        <v>0</v>
      </c>
      <c r="V36" s="577">
        <f t="shared" si="40"/>
        <v>0</v>
      </c>
      <c r="W36" s="578">
        <f t="shared" si="40"/>
        <v>0</v>
      </c>
      <c r="X36" s="2519">
        <f t="shared" si="40"/>
        <v>0</v>
      </c>
      <c r="Y36" s="576">
        <f t="shared" si="40"/>
        <v>0</v>
      </c>
      <c r="Z36" s="577">
        <f t="shared" si="40"/>
        <v>0</v>
      </c>
      <c r="AA36" s="578">
        <f t="shared" si="40"/>
        <v>0</v>
      </c>
      <c r="AB36" s="2519">
        <f t="shared" si="40"/>
        <v>0</v>
      </c>
      <c r="AC36" s="576">
        <f t="shared" si="40"/>
        <v>0</v>
      </c>
      <c r="AD36" s="577">
        <f t="shared" si="40"/>
        <v>0</v>
      </c>
      <c r="AE36" s="576">
        <f t="shared" si="40"/>
        <v>0</v>
      </c>
      <c r="AF36" s="2519">
        <f t="shared" si="40"/>
        <v>0</v>
      </c>
      <c r="AG36" s="576">
        <f t="shared" si="40"/>
        <v>0</v>
      </c>
      <c r="AH36" s="577">
        <f t="shared" si="40"/>
        <v>0</v>
      </c>
      <c r="AI36" s="576">
        <f t="shared" si="40"/>
        <v>0</v>
      </c>
      <c r="AJ36" s="2519">
        <f t="shared" si="40"/>
        <v>0</v>
      </c>
      <c r="AK36" s="576">
        <f t="shared" si="40"/>
        <v>0</v>
      </c>
      <c r="AL36" s="577">
        <f t="shared" si="40"/>
        <v>0</v>
      </c>
      <c r="AM36" s="576">
        <f t="shared" si="40"/>
        <v>0</v>
      </c>
      <c r="AN36" s="577">
        <f t="shared" si="40"/>
        <v>0</v>
      </c>
      <c r="AO36" s="576">
        <f t="shared" si="40"/>
        <v>0</v>
      </c>
      <c r="AP36" s="768">
        <f t="shared" si="40"/>
        <v>0</v>
      </c>
      <c r="AQ36" s="577">
        <f t="shared" si="40"/>
        <v>0</v>
      </c>
      <c r="AR36" s="577">
        <f t="shared" si="40"/>
        <v>0</v>
      </c>
      <c r="AS36" s="588">
        <f t="shared" si="40"/>
        <v>0</v>
      </c>
      <c r="AT36" s="588">
        <f t="shared" si="40"/>
        <v>0</v>
      </c>
      <c r="AU36" s="588">
        <f t="shared" si="40"/>
        <v>0</v>
      </c>
      <c r="AV36" s="588">
        <f t="shared" si="40"/>
        <v>0</v>
      </c>
      <c r="AW36" s="588">
        <f>SUM(AW19:AW35)</f>
        <v>0</v>
      </c>
      <c r="AX36" s="588">
        <f>SUM(AX19:AX35)</f>
        <v>0</v>
      </c>
      <c r="CW36"/>
      <c r="CX36"/>
      <c r="CY36"/>
      <c r="CZ36"/>
      <c r="DA36"/>
      <c r="DB36"/>
      <c r="DC36"/>
      <c r="DD36"/>
      <c r="DE36"/>
      <c r="DG36"/>
      <c r="DH36"/>
      <c r="DI36"/>
      <c r="DJ36"/>
      <c r="DK36"/>
      <c r="DL36"/>
      <c r="DM36"/>
    </row>
    <row r="37" spans="1:119" ht="18" customHeight="1" x14ac:dyDescent="0.25">
      <c r="A37" s="122" t="s">
        <v>719</v>
      </c>
      <c r="B37" s="2520"/>
      <c r="C37" s="2520"/>
      <c r="D37" s="163"/>
      <c r="E37" s="782"/>
      <c r="F37" s="782"/>
      <c r="G37" s="782"/>
      <c r="H37" s="782"/>
      <c r="I37" s="782"/>
      <c r="J37" s="782"/>
      <c r="K37" s="782"/>
      <c r="L37" s="782"/>
      <c r="M37" s="782"/>
      <c r="N37" s="782"/>
      <c r="O37" s="782"/>
      <c r="P37" s="782"/>
      <c r="Q37" s="782"/>
      <c r="R37" s="782"/>
      <c r="S37" s="782"/>
      <c r="T37" s="782"/>
      <c r="U37" s="782"/>
      <c r="V37" s="782"/>
      <c r="W37" s="782"/>
      <c r="X37" s="782"/>
      <c r="Y37" s="782"/>
      <c r="Z37" s="782"/>
      <c r="AA37" s="782"/>
      <c r="AB37" s="782"/>
      <c r="AC37" s="782"/>
      <c r="AD37" s="782"/>
      <c r="AE37" s="782"/>
      <c r="AF37" s="782"/>
      <c r="AG37" s="782"/>
      <c r="AH37" s="782"/>
      <c r="AI37" s="782"/>
      <c r="AJ37" s="782"/>
      <c r="AK37" s="782"/>
      <c r="AL37" s="782"/>
      <c r="AM37" s="782"/>
      <c r="AN37" s="782"/>
      <c r="AO37" s="782"/>
      <c r="AP37" s="782"/>
      <c r="AQ37" s="782"/>
      <c r="AR37" s="2521"/>
      <c r="AS37" s="2521"/>
      <c r="AT37" s="2521"/>
      <c r="AU37" s="782"/>
      <c r="AV37" s="782"/>
      <c r="AW37" s="782"/>
      <c r="AX37" s="782"/>
      <c r="CW37"/>
      <c r="CX37"/>
      <c r="CY37"/>
      <c r="CZ37"/>
      <c r="DA37"/>
      <c r="DB37"/>
      <c r="DC37"/>
      <c r="DD37"/>
      <c r="DE37"/>
      <c r="DG37"/>
      <c r="DH37"/>
      <c r="DI37"/>
      <c r="DJ37"/>
      <c r="DK37"/>
      <c r="DL37"/>
      <c r="DM37"/>
    </row>
    <row r="38" spans="1:119" x14ac:dyDescent="0.25">
      <c r="A38" s="7322" t="s">
        <v>720</v>
      </c>
      <c r="B38" s="6468"/>
      <c r="C38" s="6468"/>
      <c r="D38" s="7322" t="s">
        <v>35</v>
      </c>
      <c r="E38" s="6468"/>
      <c r="F38" s="7323"/>
      <c r="G38" s="7487" t="s">
        <v>30</v>
      </c>
      <c r="H38" s="7503"/>
      <c r="I38" s="7503"/>
      <c r="J38" s="7503"/>
      <c r="K38" s="7503"/>
      <c r="L38" s="7503"/>
      <c r="M38" s="7503"/>
      <c r="N38" s="7503"/>
      <c r="O38" s="7503"/>
      <c r="P38" s="7503"/>
      <c r="Q38" s="7503"/>
      <c r="R38" s="7503"/>
      <c r="S38" s="7503"/>
      <c r="T38" s="7503"/>
      <c r="U38" s="7503"/>
      <c r="V38" s="7503"/>
      <c r="W38" s="7503"/>
      <c r="X38" s="7503"/>
      <c r="Y38" s="7503"/>
      <c r="Z38" s="7503"/>
      <c r="AA38" s="7503"/>
      <c r="AB38" s="7503"/>
      <c r="AC38" s="7503"/>
      <c r="AD38" s="7503"/>
      <c r="AE38" s="7503"/>
      <c r="AF38" s="7503"/>
      <c r="AG38" s="7503"/>
      <c r="AH38" s="7503"/>
      <c r="AI38" s="7503"/>
      <c r="AJ38" s="7503"/>
      <c r="AK38" s="7503"/>
      <c r="AL38" s="7503"/>
      <c r="AM38" s="7503"/>
      <c r="AN38" s="7503"/>
      <c r="AO38" s="7503"/>
      <c r="AP38" s="7505"/>
      <c r="AQ38" s="7576" t="s">
        <v>676</v>
      </c>
      <c r="AR38" s="7323" t="s">
        <v>327</v>
      </c>
      <c r="AS38" s="7323" t="s">
        <v>677</v>
      </c>
      <c r="AT38" s="7323" t="s">
        <v>678</v>
      </c>
      <c r="AU38" s="7599" t="s">
        <v>721</v>
      </c>
      <c r="AV38" s="7599" t="s">
        <v>681</v>
      </c>
      <c r="AW38" s="7599" t="s">
        <v>3</v>
      </c>
      <c r="AX38" s="6450" t="s">
        <v>722</v>
      </c>
      <c r="CW38"/>
      <c r="CX38"/>
      <c r="CY38"/>
      <c r="CZ38"/>
      <c r="DA38"/>
      <c r="DB38"/>
      <c r="DC38"/>
      <c r="DD38"/>
      <c r="DE38"/>
      <c r="DG38"/>
      <c r="DH38"/>
      <c r="DI38"/>
      <c r="DJ38"/>
      <c r="DK38"/>
      <c r="DL38"/>
      <c r="DM38"/>
    </row>
    <row r="39" spans="1:119" ht="21.75" customHeight="1" x14ac:dyDescent="0.25">
      <c r="A39" s="7406"/>
      <c r="B39" s="6471"/>
      <c r="C39" s="7624"/>
      <c r="D39" s="7622"/>
      <c r="E39" s="7623"/>
      <c r="F39" s="7534"/>
      <c r="G39" s="7537" t="s">
        <v>682</v>
      </c>
      <c r="H39" s="7488"/>
      <c r="I39" s="7487" t="s">
        <v>683</v>
      </c>
      <c r="J39" s="7504"/>
      <c r="K39" s="7503" t="s">
        <v>684</v>
      </c>
      <c r="L39" s="7504"/>
      <c r="M39" s="7487" t="s">
        <v>685</v>
      </c>
      <c r="N39" s="7504"/>
      <c r="O39" s="7487" t="s">
        <v>686</v>
      </c>
      <c r="P39" s="7504"/>
      <c r="Q39" s="7487" t="s">
        <v>687</v>
      </c>
      <c r="R39" s="7504"/>
      <c r="S39" s="7487" t="s">
        <v>688</v>
      </c>
      <c r="T39" s="7504"/>
      <c r="U39" s="7487" t="s">
        <v>689</v>
      </c>
      <c r="V39" s="7504"/>
      <c r="W39" s="7487" t="s">
        <v>690</v>
      </c>
      <c r="X39" s="7504"/>
      <c r="Y39" s="7487" t="s">
        <v>554</v>
      </c>
      <c r="Z39" s="7488"/>
      <c r="AA39" s="7487" t="s">
        <v>568</v>
      </c>
      <c r="AB39" s="7488"/>
      <c r="AC39" s="7487" t="s">
        <v>691</v>
      </c>
      <c r="AD39" s="7488"/>
      <c r="AE39" s="7487" t="s">
        <v>692</v>
      </c>
      <c r="AF39" s="7488"/>
      <c r="AG39" s="7487" t="s">
        <v>693</v>
      </c>
      <c r="AH39" s="7488"/>
      <c r="AI39" s="7487" t="s">
        <v>694</v>
      </c>
      <c r="AJ39" s="7488"/>
      <c r="AK39" s="7487" t="s">
        <v>556</v>
      </c>
      <c r="AL39" s="7488"/>
      <c r="AM39" s="7487" t="s">
        <v>695</v>
      </c>
      <c r="AN39" s="7488"/>
      <c r="AO39" s="7487" t="s">
        <v>57</v>
      </c>
      <c r="AP39" s="7579"/>
      <c r="AQ39" s="6539"/>
      <c r="AR39" s="7332"/>
      <c r="AS39" s="7332"/>
      <c r="AT39" s="7332"/>
      <c r="AU39" s="7355"/>
      <c r="AV39" s="7355"/>
      <c r="AW39" s="7355"/>
      <c r="AX39" s="6485"/>
      <c r="CW39"/>
      <c r="CX39"/>
      <c r="CY39"/>
      <c r="CZ39"/>
      <c r="DA39"/>
      <c r="DB39"/>
      <c r="DC39"/>
      <c r="DD39"/>
      <c r="DE39"/>
      <c r="DG39"/>
      <c r="DH39"/>
      <c r="DI39"/>
      <c r="DJ39"/>
      <c r="DK39"/>
      <c r="DL39"/>
      <c r="DM39"/>
    </row>
    <row r="40" spans="1:119" ht="21" customHeight="1" x14ac:dyDescent="0.25">
      <c r="A40" s="7624"/>
      <c r="B40" s="7624"/>
      <c r="C40" s="7332"/>
      <c r="D40" s="571" t="s">
        <v>26</v>
      </c>
      <c r="E40" s="557" t="s">
        <v>22</v>
      </c>
      <c r="F40" s="570" t="s">
        <v>27</v>
      </c>
      <c r="G40" s="571" t="s">
        <v>22</v>
      </c>
      <c r="H40" s="570" t="s">
        <v>27</v>
      </c>
      <c r="I40" s="571" t="s">
        <v>22</v>
      </c>
      <c r="J40" s="570" t="s">
        <v>27</v>
      </c>
      <c r="K40" s="575" t="s">
        <v>22</v>
      </c>
      <c r="L40" s="570" t="s">
        <v>27</v>
      </c>
      <c r="M40" s="557" t="s">
        <v>22</v>
      </c>
      <c r="N40" s="570" t="s">
        <v>27</v>
      </c>
      <c r="O40" s="557" t="s">
        <v>22</v>
      </c>
      <c r="P40" s="570" t="s">
        <v>27</v>
      </c>
      <c r="Q40" s="557" t="s">
        <v>22</v>
      </c>
      <c r="R40" s="570" t="s">
        <v>27</v>
      </c>
      <c r="S40" s="557" t="s">
        <v>22</v>
      </c>
      <c r="T40" s="570" t="s">
        <v>27</v>
      </c>
      <c r="U40" s="598" t="s">
        <v>22</v>
      </c>
      <c r="V40" s="600" t="s">
        <v>27</v>
      </c>
      <c r="W40" s="598" t="s">
        <v>22</v>
      </c>
      <c r="X40" s="600" t="s">
        <v>27</v>
      </c>
      <c r="Y40" s="598" t="s">
        <v>22</v>
      </c>
      <c r="Z40" s="600" t="s">
        <v>27</v>
      </c>
      <c r="AA40" s="598" t="s">
        <v>22</v>
      </c>
      <c r="AB40" s="600" t="s">
        <v>27</v>
      </c>
      <c r="AC40" s="598" t="s">
        <v>22</v>
      </c>
      <c r="AD40" s="600" t="s">
        <v>27</v>
      </c>
      <c r="AE40" s="598" t="s">
        <v>22</v>
      </c>
      <c r="AF40" s="600" t="s">
        <v>27</v>
      </c>
      <c r="AG40" s="598" t="s">
        <v>22</v>
      </c>
      <c r="AH40" s="600" t="s">
        <v>27</v>
      </c>
      <c r="AI40" s="598" t="s">
        <v>22</v>
      </c>
      <c r="AJ40" s="600" t="s">
        <v>27</v>
      </c>
      <c r="AK40" s="598" t="s">
        <v>22</v>
      </c>
      <c r="AL40" s="600" t="s">
        <v>27</v>
      </c>
      <c r="AM40" s="598" t="s">
        <v>22</v>
      </c>
      <c r="AN40" s="600" t="s">
        <v>27</v>
      </c>
      <c r="AO40" s="598" t="s">
        <v>22</v>
      </c>
      <c r="AP40" s="604" t="s">
        <v>27</v>
      </c>
      <c r="AQ40" s="7413"/>
      <c r="AR40" s="7534"/>
      <c r="AS40" s="7534"/>
      <c r="AT40" s="7534"/>
      <c r="AU40" s="7432"/>
      <c r="AV40" s="7432"/>
      <c r="AW40" s="7432"/>
      <c r="AX40" s="6451"/>
      <c r="CW40"/>
      <c r="CX40"/>
      <c r="CY40"/>
      <c r="CZ40"/>
      <c r="DA40"/>
      <c r="DB40"/>
      <c r="DC40"/>
      <c r="DD40"/>
      <c r="DE40"/>
      <c r="DG40"/>
      <c r="DH40"/>
      <c r="DI40"/>
      <c r="DJ40"/>
      <c r="DK40"/>
      <c r="DL40"/>
      <c r="DM40"/>
    </row>
    <row r="41" spans="1:119" ht="15" customHeight="1" x14ac:dyDescent="0.25">
      <c r="A41" s="7538" t="s">
        <v>723</v>
      </c>
      <c r="B41" s="7539"/>
      <c r="C41" s="7540"/>
      <c r="D41" s="629">
        <f>SUM(E41+F41)</f>
        <v>0</v>
      </c>
      <c r="E41" s="800">
        <f>+S41+Y41+AA41+AC41+AE41+AG41+AI41+AK41+AM41+AO41</f>
        <v>0</v>
      </c>
      <c r="F41" s="801">
        <f>+T41+Z41+AB41+AD41+AF41+AH41+AJ41+AL41+AN41+AP41</f>
        <v>0</v>
      </c>
      <c r="G41" s="3570"/>
      <c r="H41" s="6328"/>
      <c r="I41" s="3570"/>
      <c r="J41" s="6328"/>
      <c r="K41" s="3570"/>
      <c r="L41" s="6328"/>
      <c r="M41" s="3570"/>
      <c r="N41" s="6328"/>
      <c r="O41" s="3570"/>
      <c r="P41" s="6328"/>
      <c r="Q41" s="3570"/>
      <c r="R41" s="6328"/>
      <c r="S41" s="6329"/>
      <c r="T41" s="6330"/>
      <c r="U41" s="3570"/>
      <c r="V41" s="6328"/>
      <c r="W41" s="3570"/>
      <c r="X41" s="6328"/>
      <c r="Y41" s="6329"/>
      <c r="Z41" s="6330"/>
      <c r="AA41" s="6331"/>
      <c r="AB41" s="6330"/>
      <c r="AC41" s="6332"/>
      <c r="AD41" s="6330"/>
      <c r="AE41" s="6331"/>
      <c r="AF41" s="6330"/>
      <c r="AG41" s="6329"/>
      <c r="AH41" s="6330"/>
      <c r="AI41" s="6329"/>
      <c r="AJ41" s="6330"/>
      <c r="AK41" s="6331"/>
      <c r="AL41" s="6330"/>
      <c r="AM41" s="6332"/>
      <c r="AN41" s="6330"/>
      <c r="AO41" s="6333"/>
      <c r="AP41" s="6334"/>
      <c r="AQ41" s="6335"/>
      <c r="AR41" s="6336"/>
      <c r="AS41" s="6336"/>
      <c r="AT41" s="6336"/>
      <c r="AU41" s="6336"/>
      <c r="AV41" s="6336"/>
      <c r="AW41" s="6336"/>
      <c r="AX41" s="6337"/>
      <c r="AY41" t="str">
        <f>CW41&amp;CX41&amp;CY41&amp;CZ41&amp;DA41&amp;DB41&amp;DC41&amp;DD41&amp;DE41</f>
        <v/>
      </c>
      <c r="CW41" s="1791" t="str">
        <f t="shared" ref="CW41:CW42" si="41">IF(AND((Y41+Z41)&gt;0,AQ41="")," * No olvide digitar la variable 12 años. Si no tiene digite Cero.",IF(AQ41&gt;(Y41+Z41),"* Las Consultas de 12 años NO DEBEN ser mayor que el total de Consultas entre 10-14 años",""))</f>
        <v/>
      </c>
      <c r="CX41" s="1791" t="str">
        <f>IF(AND(F41&gt;0,AR41="")," * No olvide digitar la variable Embarazadas. Digite cero si no tiene.","")</f>
        <v/>
      </c>
      <c r="CY41" s="1791" t="str">
        <f>IF(AR41&gt;F41," * Las Embarazadas NO DEBEN ser mayor al total de mujeres. ","")</f>
        <v/>
      </c>
      <c r="CZ41" s="1791" t="str">
        <f t="shared" ref="CZ41" si="42">IF(AND((AK41+AL41)&gt;0,AS41="")," * No olvide digitar la variable 60 años. Si no tiene digite Cero.",IF(AS41&gt;(AK41+AL41)," * Las consultas de 60 años NO DEBEN ser mayor que el Total de consultas del grupo 60-64 años",""))</f>
        <v/>
      </c>
      <c r="DA41" s="1791" t="str">
        <f>IF(AND(D41&gt;0,AT41="")," * No olvide digitar la variable Usuarios con Discapacidad. Digite Cero si no tiene.",IF(AT41&gt;D41," * La variable Usuarios con Discapacidad No puede ser mayor al Total Ambos Sexos.",""))</f>
        <v/>
      </c>
      <c r="DB41" s="1791" t="str">
        <f>IF(AND(D41&gt;0,AU41="")," * No olvide digitar la variable Niños, niñas, adolescentes y jóvenes población SENAME. Digite Cero si no tiene.",IF(AU41&gt;D41," * La variable Niños, niñas, adolescentes y jóvenes población SENAME No puede ser mayor al Total Ambos Sexos.",""))</f>
        <v/>
      </c>
      <c r="DC41" s="1791" t="str">
        <f>IF(AND(D41&gt;0,AV41="")," * No olvide digitar la variable Niños, niñas, adolescentes y jóvenes Mejor Niñez. Digite Cero si no tiene.",IF(AV41&gt;D41," * La variable Niños, niñas, adolescentes y jóvenes Mejor Niñez No puede ser mayor al Total Ambos Sexos.",""))</f>
        <v/>
      </c>
      <c r="DD41" s="1791" t="str">
        <f>IF(AND(D41&gt;0,AW41="")," * No olvide digitar la variable Migrantes. Digite Cero si no tiene.",IF(AW41&gt;D41," * La variable Migrantes No puede ser mayor al Total.",""))</f>
        <v/>
      </c>
      <c r="DE41" s="1791" t="str">
        <f>IF(AND(D41&gt;0,AX41="")," * No olvide digitar la variable  Pacientes en control PSCV. Digite Cero si no tiene.",IF(AX41&gt;D41," * La variable  Pacientes en control PSCV No puede ser mayor al Total.",""))</f>
        <v/>
      </c>
      <c r="DG41" s="1793">
        <f t="shared" ref="DG41:DG42" si="43">IF(AND((Y41+Z41)&gt;0,AQ41=""),1,IF(AQ41&gt;(Y41+Z41),1,0))</f>
        <v>0</v>
      </c>
      <c r="DH41" s="1793">
        <f>IF(AND(F41&gt;0,AR41=""),1,0)</f>
        <v>0</v>
      </c>
      <c r="DI41" s="1793">
        <f>IF(AR41&gt;F41,1,0)</f>
        <v>0</v>
      </c>
      <c r="DJ41" s="1793">
        <f t="shared" ref="DJ41" si="44">IF(AND((AK41+AL41)&gt;0,AS41=""),1,IF(AS41&gt;(AK41+AL41),1,0))</f>
        <v>0</v>
      </c>
      <c r="DK41" s="1793">
        <f>IF(AND(D41&gt;0,AT41=""),1,IF(AT41&gt;D41,1,0))</f>
        <v>0</v>
      </c>
      <c r="DL41" s="1793">
        <f>IF(AND(D41&gt;0,AU41=""),1,IF(AU41&gt;D41,1,0))</f>
        <v>0</v>
      </c>
      <c r="DM41" s="1793">
        <f>IF(AND(D41&gt;0,AV41=""),1,IF(AV41&gt;D41,1,0))</f>
        <v>0</v>
      </c>
      <c r="DN41" s="1793">
        <f>IF(AND(D41&gt;0,AW41=""),1,IF(AW41&gt;D41,1,0))</f>
        <v>0</v>
      </c>
      <c r="DO41" s="1793">
        <f>IF(AND(D41&gt;0,AX41=""),1,IF(AX41&gt;D41,1,0))</f>
        <v>0</v>
      </c>
    </row>
    <row r="42" spans="1:119" ht="15" customHeight="1" x14ac:dyDescent="0.25">
      <c r="A42" s="7519" t="s">
        <v>724</v>
      </c>
      <c r="B42" s="7455"/>
      <c r="C42" s="7387"/>
      <c r="D42" s="802">
        <f>SUM(E42+F42)</f>
        <v>0</v>
      </c>
      <c r="E42" s="803">
        <f>+G42+I42+K42+M42+O42+Q42+S42+U42+W42+Y42+AA42</f>
        <v>0</v>
      </c>
      <c r="F42" s="804">
        <f>+H42+J42+L42+N42+P42+R42+T42+V42+X42+Z42+AB42</f>
        <v>0</v>
      </c>
      <c r="G42" s="6338"/>
      <c r="H42" s="1936"/>
      <c r="I42" s="6338"/>
      <c r="J42" s="6339"/>
      <c r="K42" s="6338"/>
      <c r="L42" s="1936"/>
      <c r="M42" s="6338"/>
      <c r="N42" s="1936"/>
      <c r="O42" s="6338"/>
      <c r="P42" s="1936"/>
      <c r="Q42" s="6338"/>
      <c r="R42" s="6340"/>
      <c r="S42" s="6338"/>
      <c r="T42" s="6340"/>
      <c r="U42" s="6338"/>
      <c r="V42" s="1936"/>
      <c r="W42" s="6338"/>
      <c r="X42" s="6340"/>
      <c r="Y42" s="6338"/>
      <c r="Z42" s="6340"/>
      <c r="AA42" s="6338"/>
      <c r="AB42" s="1936"/>
      <c r="AC42" s="3570"/>
      <c r="AD42" s="3571"/>
      <c r="AE42" s="6341"/>
      <c r="AF42" s="3571"/>
      <c r="AG42" s="3570"/>
      <c r="AH42" s="6328"/>
      <c r="AI42" s="3570"/>
      <c r="AJ42" s="6328"/>
      <c r="AK42" s="6341"/>
      <c r="AL42" s="6342"/>
      <c r="AM42" s="3570"/>
      <c r="AN42" s="3571"/>
      <c r="AO42" s="6341"/>
      <c r="AP42" s="3583"/>
      <c r="AQ42" s="6343"/>
      <c r="AR42" s="1960"/>
      <c r="AS42" s="6328"/>
      <c r="AT42" s="1936"/>
      <c r="AU42" s="1936"/>
      <c r="AV42" s="1936"/>
      <c r="AW42" s="1936"/>
      <c r="AX42" s="6344"/>
      <c r="AY42" t="str">
        <f t="shared" ref="AY42:AY63" si="45">CW42&amp;CX42&amp;CY42&amp;CZ42&amp;DA42&amp;DB42&amp;DC42&amp;DD42&amp;DE42</f>
        <v/>
      </c>
      <c r="CW42" s="1791" t="str">
        <f t="shared" si="41"/>
        <v/>
      </c>
      <c r="CX42" s="1791" t="str">
        <f t="shared" ref="CX42:CX45" si="46">IF(AND(F42&gt;0,AR42="")," * No olvide digitar la variable Embarazadas. Digite cero si no tiene.","")</f>
        <v/>
      </c>
      <c r="CY42" s="1791" t="str">
        <f>IF(AR42&gt;F42," * Las Embarazadas NO DEBEN ser mayor al total de mujeres. ","")</f>
        <v/>
      </c>
      <c r="CZ42"/>
      <c r="DA42" s="1791" t="str">
        <f t="shared" ref="DA42:DA45" si="47">IF(AND(D42&gt;0,AT42="")," * No olvide digitar la variable Usuarios con Discapacidad. Digite Cero si no tiene.",IF(AT42&gt;D42," * La variable Usuarios con Discapacidad No puede ser mayor al Total Ambos Sexos.",""))</f>
        <v/>
      </c>
      <c r="DB42" s="1791" t="str">
        <f t="shared" ref="DB42:DB45" si="48">IF(AND(D42&gt;0,AU42="")," * No olvide digitar la variable Niños, niñas, adolescentes y jóvenes población SENAME. Digite Cero si no tiene.",IF(AU42&gt;D42," * La variable Niños, niñas, adolescentes y jóvenes población SENAME No puede ser mayor al Total Ambos Sexos.",""))</f>
        <v/>
      </c>
      <c r="DC42" s="1791" t="str">
        <f t="shared" ref="DC42:DC45" si="49">IF(AND(D42&gt;0,AV42="")," * No olvide digitar la variable Niños, niñas, adolescentes y jóvenes Mejor Niñez. Digite Cero si no tiene.",IF(AV42&gt;D42," * La variable Niños, niñas, adolescentes y jóvenes Mejor Niñez No puede ser mayor al Total Ambos Sexos.",""))</f>
        <v/>
      </c>
      <c r="DD42" s="1791" t="str">
        <f t="shared" ref="DD42:DD45" si="50">IF(AND(D42&gt;0,AW42="")," * No olvide digitar la variable Migrantes. Digite Cero si no tiene.",IF(AW42&gt;D42," * La variable Migrantes No puede ser mayor al Total.",""))</f>
        <v/>
      </c>
      <c r="DE42" s="1791" t="str">
        <f t="shared" ref="DE42:DE63" si="51">IF(AND(D42&gt;0,AX42="")," * No olvide digitar la variable  Pacientes en control PSCV. Digite Cero si no tiene.",IF(AX42&gt;D42," * La variable  Pacientes en control PSCV No puede ser mayor al Total.",""))</f>
        <v/>
      </c>
      <c r="DG42" s="1793">
        <f t="shared" si="43"/>
        <v>0</v>
      </c>
      <c r="DH42" s="1793">
        <f t="shared" ref="DH42:DH45" si="52">IF(AND(F42&gt;0,AR42=""),1,0)</f>
        <v>0</v>
      </c>
      <c r="DI42" s="1793">
        <f t="shared" ref="DI42:DI45" si="53">IF(AR42&gt;F42,1,0)</f>
        <v>0</v>
      </c>
      <c r="DJ42"/>
      <c r="DK42" s="1793">
        <f t="shared" ref="DK42:DK45" si="54">IF(AND(D42&gt;0,AT42=""),1,IF(AT42&gt;D42,1,0))</f>
        <v>0</v>
      </c>
      <c r="DL42" s="1793">
        <f t="shared" ref="DL42:DL45" si="55">IF(AND(D42&gt;0,AU42=""),1,IF(AU42&gt;D42,1,0))</f>
        <v>0</v>
      </c>
      <c r="DM42" s="1793">
        <f t="shared" ref="DM42:DM45" si="56">IF(AND(D42&gt;0,AV42=""),1,IF(AV42&gt;D42,1,0))</f>
        <v>0</v>
      </c>
      <c r="DN42" s="1793">
        <f t="shared" ref="DN42:DN45" si="57">IF(AND(D42&gt;0,AW42=""),1,IF(AW42&gt;D42,1,0))</f>
        <v>0</v>
      </c>
      <c r="DO42" s="1793">
        <f t="shared" ref="DO42:DO45" si="58">IF(AND(D42&gt;0,AX42=""),1,IF(AX42&gt;D42,1,0))</f>
        <v>0</v>
      </c>
    </row>
    <row r="43" spans="1:119" ht="15" customHeight="1" x14ac:dyDescent="0.25">
      <c r="A43" s="7519" t="s">
        <v>725</v>
      </c>
      <c r="B43" s="7455"/>
      <c r="C43" s="7387"/>
      <c r="D43" s="802">
        <f>SUM(E43+F43)</f>
        <v>0</v>
      </c>
      <c r="E43" s="803">
        <f>+G43+I43+K43+M43+O43+Q43+S43+U43+W43+Y43+AA43</f>
        <v>0</v>
      </c>
      <c r="F43" s="804">
        <f>+H43+J43+L43+N43+P43+R43+T43+V43+X43+Z43+AB43</f>
        <v>0</v>
      </c>
      <c r="G43" s="6338"/>
      <c r="H43" s="1936"/>
      <c r="I43" s="6338"/>
      <c r="J43" s="6339"/>
      <c r="K43" s="6338"/>
      <c r="L43" s="1936"/>
      <c r="M43" s="6338"/>
      <c r="N43" s="1936"/>
      <c r="O43" s="6338"/>
      <c r="P43" s="1936"/>
      <c r="Q43" s="6338"/>
      <c r="R43" s="6340"/>
      <c r="S43" s="6338"/>
      <c r="T43" s="6340"/>
      <c r="U43" s="6338"/>
      <c r="V43" s="1936"/>
      <c r="W43" s="6338"/>
      <c r="X43" s="6340"/>
      <c r="Y43" s="6338"/>
      <c r="Z43" s="6340"/>
      <c r="AA43" s="6338"/>
      <c r="AB43" s="1936"/>
      <c r="AC43" s="3570"/>
      <c r="AD43" s="3571"/>
      <c r="AE43" s="6341"/>
      <c r="AF43" s="3571"/>
      <c r="AG43" s="3570"/>
      <c r="AH43" s="6328"/>
      <c r="AI43" s="3570"/>
      <c r="AJ43" s="6328"/>
      <c r="AK43" s="6341"/>
      <c r="AL43" s="6342"/>
      <c r="AM43" s="3570"/>
      <c r="AN43" s="3571"/>
      <c r="AO43" s="6341"/>
      <c r="AP43" s="3583"/>
      <c r="AQ43" s="6345"/>
      <c r="AR43" s="6402"/>
      <c r="AS43" s="6328"/>
      <c r="AT43" s="1936"/>
      <c r="AU43" s="1936"/>
      <c r="AV43" s="1936"/>
      <c r="AW43" s="1936"/>
      <c r="AX43" s="6344"/>
      <c r="AY43" t="str">
        <f t="shared" si="45"/>
        <v/>
      </c>
      <c r="CW43"/>
      <c r="CX43" s="1791" t="str">
        <f t="shared" si="46"/>
        <v/>
      </c>
      <c r="CY43" s="1791" t="str">
        <f t="shared" ref="CY43:CY44" si="59">IF(AR43&gt;F43," * Las Embarazadas NO DEBEN ser mayor al total de mujeres. ","")</f>
        <v/>
      </c>
      <c r="CZ43"/>
      <c r="DA43" s="1791" t="str">
        <f t="shared" si="47"/>
        <v/>
      </c>
      <c r="DB43" s="1791" t="str">
        <f t="shared" si="48"/>
        <v/>
      </c>
      <c r="DC43" s="1791" t="str">
        <f t="shared" si="49"/>
        <v/>
      </c>
      <c r="DD43" s="1791" t="str">
        <f t="shared" si="50"/>
        <v/>
      </c>
      <c r="DE43" s="1791" t="str">
        <f t="shared" si="51"/>
        <v/>
      </c>
      <c r="DG43"/>
      <c r="DH43" s="1793">
        <f t="shared" si="52"/>
        <v>0</v>
      </c>
      <c r="DI43" s="1793">
        <f t="shared" si="53"/>
        <v>0</v>
      </c>
      <c r="DJ43"/>
      <c r="DK43" s="1793">
        <f t="shared" si="54"/>
        <v>0</v>
      </c>
      <c r="DL43" s="1793">
        <f t="shared" si="55"/>
        <v>0</v>
      </c>
      <c r="DM43" s="1793">
        <f t="shared" si="56"/>
        <v>0</v>
      </c>
      <c r="DN43" s="1793">
        <f t="shared" si="57"/>
        <v>0</v>
      </c>
      <c r="DO43" s="1793">
        <f t="shared" si="58"/>
        <v>0</v>
      </c>
    </row>
    <row r="44" spans="1:119" ht="15" customHeight="1" x14ac:dyDescent="0.25">
      <c r="A44" s="7519" t="s">
        <v>726</v>
      </c>
      <c r="B44" s="7455"/>
      <c r="C44" s="7387"/>
      <c r="D44" s="807">
        <f>SUM(E44+F44)</f>
        <v>0</v>
      </c>
      <c r="E44" s="808">
        <f>+S44+U44+W44+Y44+AA44+AC44+AE44+AG44+AI44+AK44+AM44+AO44</f>
        <v>0</v>
      </c>
      <c r="F44" s="809">
        <f>+T44+V44+X44+Z44+AB44+AD44+AF44+AH44+AJ44+AL44+AN44+AP44</f>
        <v>0</v>
      </c>
      <c r="G44" s="3570"/>
      <c r="H44" s="6328"/>
      <c r="I44" s="3570"/>
      <c r="J44" s="6328"/>
      <c r="K44" s="3570"/>
      <c r="L44" s="6328"/>
      <c r="M44" s="3570"/>
      <c r="N44" s="6328"/>
      <c r="O44" s="3570"/>
      <c r="P44" s="6328"/>
      <c r="Q44" s="3570"/>
      <c r="R44" s="6328"/>
      <c r="S44" s="6338"/>
      <c r="T44" s="6340"/>
      <c r="U44" s="6338"/>
      <c r="V44" s="6340"/>
      <c r="W44" s="6338"/>
      <c r="X44" s="6340"/>
      <c r="Y44" s="6346"/>
      <c r="Z44" s="6347"/>
      <c r="AA44" s="6348"/>
      <c r="AB44" s="6349"/>
      <c r="AC44" s="6346"/>
      <c r="AD44" s="6347"/>
      <c r="AE44" s="6348"/>
      <c r="AF44" s="6347"/>
      <c r="AG44" s="6346"/>
      <c r="AH44" s="6347"/>
      <c r="AI44" s="6346"/>
      <c r="AJ44" s="6347"/>
      <c r="AK44" s="6348"/>
      <c r="AL44" s="6349"/>
      <c r="AM44" s="6346"/>
      <c r="AN44" s="6347"/>
      <c r="AO44" s="6348"/>
      <c r="AP44" s="6350"/>
      <c r="AQ44" s="6343"/>
      <c r="AR44" s="6401"/>
      <c r="AS44" s="1960"/>
      <c r="AT44" s="1960"/>
      <c r="AU44" s="1960"/>
      <c r="AV44" s="1960"/>
      <c r="AW44" s="1960"/>
      <c r="AX44" s="1961"/>
      <c r="AY44" t="str">
        <f t="shared" si="45"/>
        <v/>
      </c>
      <c r="CW44" s="1791" t="str">
        <f t="shared" ref="CW44:CW45" si="60">IF(AND((Y44+Z44)&gt;0,AQ44="")," * No olvide digitar la variable 12 años. Si no tiene digite Cero.",IF(AQ44&gt;(Y44+Z44),"* Las Consultas de 12 años NO DEBEN ser mayor que el total de Consultas entre 10-14 años",""))</f>
        <v/>
      </c>
      <c r="CX44" s="1791" t="str">
        <f t="shared" si="46"/>
        <v/>
      </c>
      <c r="CY44" s="1791" t="str">
        <f t="shared" si="59"/>
        <v/>
      </c>
      <c r="CZ44" s="1791" t="str">
        <f t="shared" ref="CZ44" si="61">IF(AND((AK44+AL44)&gt;0,AS44="")," * No olvide digitar la variable 60 años. Si no tiene digite Cero.",IF(AS44&gt;(AK44+AL44)," * Las consultas de 60 años NO DEBEN ser mayor que el Total de consultas del grupo 60-64 años",""))</f>
        <v/>
      </c>
      <c r="DA44" s="1791" t="str">
        <f t="shared" si="47"/>
        <v/>
      </c>
      <c r="DB44" s="1791" t="str">
        <f t="shared" si="48"/>
        <v/>
      </c>
      <c r="DC44" s="1791" t="str">
        <f t="shared" si="49"/>
        <v/>
      </c>
      <c r="DD44" s="1791" t="str">
        <f t="shared" si="50"/>
        <v/>
      </c>
      <c r="DE44" s="1791" t="str">
        <f t="shared" si="51"/>
        <v/>
      </c>
      <c r="DG44" s="1793">
        <f t="shared" ref="DG44:DG45" si="62">IF(AND((Y44+Z44)&gt;0,AQ44=""),1,IF(AQ44&gt;(Y44+Z44),1,0))</f>
        <v>0</v>
      </c>
      <c r="DH44" s="1793">
        <f t="shared" si="52"/>
        <v>0</v>
      </c>
      <c r="DI44" s="1793">
        <f t="shared" si="53"/>
        <v>0</v>
      </c>
      <c r="DJ44" s="1793">
        <f t="shared" ref="DJ44" si="63">IF(AND((AK44+AL44)&gt;0,AS44=""),1,IF(AS44&gt;(AK44+AL44),1,0))</f>
        <v>0</v>
      </c>
      <c r="DK44" s="1793">
        <f t="shared" si="54"/>
        <v>0</v>
      </c>
      <c r="DL44" s="1793">
        <f t="shared" si="55"/>
        <v>0</v>
      </c>
      <c r="DM44" s="1793">
        <f t="shared" si="56"/>
        <v>0</v>
      </c>
      <c r="DN44" s="1793">
        <f t="shared" si="57"/>
        <v>0</v>
      </c>
      <c r="DO44" s="1793">
        <f t="shared" si="58"/>
        <v>0</v>
      </c>
    </row>
    <row r="45" spans="1:119" ht="15" customHeight="1" x14ac:dyDescent="0.25">
      <c r="A45" s="7519" t="s">
        <v>727</v>
      </c>
      <c r="B45" s="7455"/>
      <c r="C45" s="7387"/>
      <c r="D45" s="810">
        <f>SUM(E45+F45)</f>
        <v>0</v>
      </c>
      <c r="E45" s="811">
        <f>S45+U45+W45+Y45+AA45+AC45+AE45+AG45+AI45+AK45+AM45+AO45</f>
        <v>0</v>
      </c>
      <c r="F45" s="812">
        <f>T45+V45+X45+Z45+AB45+AD45+AF45+AH45+AJ45+AL45+AN45+AP45</f>
        <v>0</v>
      </c>
      <c r="G45" s="3721"/>
      <c r="H45" s="3722"/>
      <c r="I45" s="3721"/>
      <c r="J45" s="3722"/>
      <c r="K45" s="3721"/>
      <c r="L45" s="3722"/>
      <c r="M45" s="3721"/>
      <c r="N45" s="3722"/>
      <c r="O45" s="3721"/>
      <c r="P45" s="3722"/>
      <c r="Q45" s="3721"/>
      <c r="R45" s="3722"/>
      <c r="S45" s="6338"/>
      <c r="T45" s="6340"/>
      <c r="U45" s="6338"/>
      <c r="V45" s="6340"/>
      <c r="W45" s="6338"/>
      <c r="X45" s="6340"/>
      <c r="Y45" s="1934"/>
      <c r="Z45" s="6351"/>
      <c r="AA45" s="6352"/>
      <c r="AB45" s="6353"/>
      <c r="AC45" s="1934"/>
      <c r="AD45" s="6351"/>
      <c r="AE45" s="6354"/>
      <c r="AF45" s="6351"/>
      <c r="AG45" s="1934"/>
      <c r="AH45" s="6351"/>
      <c r="AI45" s="1934"/>
      <c r="AJ45" s="6351"/>
      <c r="AK45" s="6352"/>
      <c r="AL45" s="6353"/>
      <c r="AM45" s="1934"/>
      <c r="AN45" s="6351"/>
      <c r="AO45" s="6354"/>
      <c r="AP45" s="6355"/>
      <c r="AQ45" s="6356"/>
      <c r="AR45" s="1932"/>
      <c r="AS45" s="3729"/>
      <c r="AT45" s="1932"/>
      <c r="AU45" s="1932"/>
      <c r="AV45" s="1932"/>
      <c r="AW45" s="1932"/>
      <c r="AX45" s="6357"/>
      <c r="AY45" t="str">
        <f t="shared" si="45"/>
        <v/>
      </c>
      <c r="CW45" s="1791" t="str">
        <f t="shared" si="60"/>
        <v/>
      </c>
      <c r="CX45" s="1791" t="str">
        <f t="shared" si="46"/>
        <v/>
      </c>
      <c r="CY45" s="1791" t="str">
        <f>IF(AR45&gt;F45," * Las Embarazadas NO DEBEN ser mayor al total de mujeres. ","")</f>
        <v/>
      </c>
      <c r="CZ45"/>
      <c r="DA45" s="1791" t="str">
        <f t="shared" si="47"/>
        <v/>
      </c>
      <c r="DB45" s="1791" t="str">
        <f t="shared" si="48"/>
        <v/>
      </c>
      <c r="DC45" s="1791" t="str">
        <f t="shared" si="49"/>
        <v/>
      </c>
      <c r="DD45" s="1791" t="str">
        <f t="shared" si="50"/>
        <v/>
      </c>
      <c r="DE45" s="1791" t="str">
        <f t="shared" si="51"/>
        <v/>
      </c>
      <c r="DG45" s="1793">
        <f t="shared" si="62"/>
        <v>0</v>
      </c>
      <c r="DH45" s="1793">
        <f t="shared" si="52"/>
        <v>0</v>
      </c>
      <c r="DI45" s="1793">
        <f t="shared" si="53"/>
        <v>0</v>
      </c>
      <c r="DJ45"/>
      <c r="DK45" s="1793">
        <f t="shared" si="54"/>
        <v>0</v>
      </c>
      <c r="DL45" s="1793">
        <f t="shared" si="55"/>
        <v>0</v>
      </c>
      <c r="DM45" s="1793">
        <f t="shared" si="56"/>
        <v>0</v>
      </c>
      <c r="DN45" s="1793">
        <f t="shared" si="57"/>
        <v>0</v>
      </c>
      <c r="DO45" s="1793">
        <f t="shared" si="58"/>
        <v>0</v>
      </c>
    </row>
    <row r="46" spans="1:119" ht="15" customHeight="1" x14ac:dyDescent="0.25">
      <c r="A46" s="7487" t="s">
        <v>728</v>
      </c>
      <c r="B46" s="7503"/>
      <c r="C46" s="7504"/>
      <c r="D46" s="815">
        <f t="shared" ref="D46:D59" si="64">SUM(E46+F46)</f>
        <v>0</v>
      </c>
      <c r="E46" s="816">
        <f>S46+U46+W46+Y46+AA46+AC46+AE46+AG46+AI46+AK46+AM46+AO46</f>
        <v>0</v>
      </c>
      <c r="F46" s="817">
        <f>T46+V46+X46+Z46+AB46+AD46+AF46+AH46+AJ46+AL46+AN46+AP46</f>
        <v>0</v>
      </c>
      <c r="G46" s="7414"/>
      <c r="H46" s="7415"/>
      <c r="I46" s="7415"/>
      <c r="J46" s="7415"/>
      <c r="K46" s="7415"/>
      <c r="L46" s="7415"/>
      <c r="M46" s="7415"/>
      <c r="N46" s="7415"/>
      <c r="O46" s="7415"/>
      <c r="P46" s="7415"/>
      <c r="Q46" s="7415"/>
      <c r="R46" s="7416"/>
      <c r="S46" s="815">
        <f t="shared" ref="S46:AB46" si="65">SUM(S44:S45)</f>
        <v>0</v>
      </c>
      <c r="T46" s="817">
        <f t="shared" si="65"/>
        <v>0</v>
      </c>
      <c r="U46" s="815">
        <f t="shared" si="65"/>
        <v>0</v>
      </c>
      <c r="V46" s="817">
        <f t="shared" si="65"/>
        <v>0</v>
      </c>
      <c r="W46" s="2522">
        <f t="shared" si="65"/>
        <v>0</v>
      </c>
      <c r="X46" s="2522">
        <f t="shared" si="65"/>
        <v>0</v>
      </c>
      <c r="Y46" s="815">
        <f t="shared" si="65"/>
        <v>0</v>
      </c>
      <c r="Z46" s="2522">
        <f t="shared" si="65"/>
        <v>0</v>
      </c>
      <c r="AA46" s="815">
        <f t="shared" si="65"/>
        <v>0</v>
      </c>
      <c r="AB46" s="2522">
        <f t="shared" si="65"/>
        <v>0</v>
      </c>
      <c r="AC46" s="815">
        <f>SUM(AC44:AC45)</f>
        <v>0</v>
      </c>
      <c r="AD46" s="817">
        <f>SUM(AD44:AD45)</f>
        <v>0</v>
      </c>
      <c r="AE46" s="2522">
        <f>SUM(AE44:AE45)</f>
        <v>0</v>
      </c>
      <c r="AF46" s="2522">
        <f t="shared" ref="AF46:AN46" si="66">SUM(AF44:AF45)</f>
        <v>0</v>
      </c>
      <c r="AG46" s="815">
        <f t="shared" si="66"/>
        <v>0</v>
      </c>
      <c r="AH46" s="2522">
        <f t="shared" si="66"/>
        <v>0</v>
      </c>
      <c r="AI46" s="815">
        <f t="shared" si="66"/>
        <v>0</v>
      </c>
      <c r="AJ46" s="2522">
        <f t="shared" si="66"/>
        <v>0</v>
      </c>
      <c r="AK46" s="815">
        <f t="shared" si="66"/>
        <v>0</v>
      </c>
      <c r="AL46" s="2522">
        <f t="shared" si="66"/>
        <v>0</v>
      </c>
      <c r="AM46" s="815">
        <f t="shared" si="66"/>
        <v>0</v>
      </c>
      <c r="AN46" s="817">
        <f t="shared" si="66"/>
        <v>0</v>
      </c>
      <c r="AO46" s="2522">
        <f>SUM(AO44:AO45)</f>
        <v>0</v>
      </c>
      <c r="AP46" s="2523">
        <f>SUM(AP44:AP45)</f>
        <v>0</v>
      </c>
      <c r="AQ46" s="2522">
        <f>SUM(AQ44:AQ45)</f>
        <v>0</v>
      </c>
      <c r="AR46" s="2524">
        <f>SUM(AR44:AR45)</f>
        <v>0</v>
      </c>
      <c r="AS46" s="817">
        <f>SUM(AS44)</f>
        <v>0</v>
      </c>
      <c r="AT46" s="817">
        <f>SUM(AT44:AT45)</f>
        <v>0</v>
      </c>
      <c r="AU46" s="817">
        <f>SUM(AU44:AU45)</f>
        <v>0</v>
      </c>
      <c r="AV46" s="817">
        <f>SUM(AV44:AV45)</f>
        <v>0</v>
      </c>
      <c r="AW46" s="817">
        <f>SUM(AW44:AW45)</f>
        <v>0</v>
      </c>
      <c r="AX46" s="2529">
        <f>SUM(AX44:AX45)</f>
        <v>0</v>
      </c>
      <c r="CW46"/>
      <c r="CX46"/>
      <c r="CY46"/>
      <c r="CZ46"/>
      <c r="DA46"/>
      <c r="DB46"/>
      <c r="DC46"/>
      <c r="DD46"/>
      <c r="DE46"/>
      <c r="DG46"/>
      <c r="DH46"/>
      <c r="DI46"/>
      <c r="DJ46"/>
      <c r="DK46"/>
      <c r="DL46"/>
      <c r="DM46"/>
    </row>
    <row r="47" spans="1:119" ht="15" customHeight="1" x14ac:dyDescent="0.25">
      <c r="A47" s="7614" t="s">
        <v>729</v>
      </c>
      <c r="B47" s="7615"/>
      <c r="C47" s="7616"/>
      <c r="D47" s="815">
        <f t="shared" si="64"/>
        <v>0</v>
      </c>
      <c r="E47" s="816">
        <f>+G47+I47+K47+M47+O47+Q47+S47+U47+W47+Y47+AA47+AC47+AE47+AG47+AI47+AK47+AM47+AO47</f>
        <v>0</v>
      </c>
      <c r="F47" s="817">
        <f>+H47+J47+L47+N47+P47+R47+T47+V47+X47+Z47+AB47+AD47+AF47+AH47+AJ47+AL47+AN47+AP47</f>
        <v>0</v>
      </c>
      <c r="G47" s="6358"/>
      <c r="H47" s="6359"/>
      <c r="I47" s="6358"/>
      <c r="J47" s="6360"/>
      <c r="K47" s="6358"/>
      <c r="L47" s="6359"/>
      <c r="M47" s="6358"/>
      <c r="N47" s="6359"/>
      <c r="O47" s="6358"/>
      <c r="P47" s="6359"/>
      <c r="Q47" s="6358"/>
      <c r="R47" s="6361"/>
      <c r="S47" s="6358"/>
      <c r="T47" s="6361"/>
      <c r="U47" s="6358"/>
      <c r="V47" s="6361"/>
      <c r="W47" s="6358"/>
      <c r="X47" s="6361"/>
      <c r="Y47" s="6358"/>
      <c r="Z47" s="6361"/>
      <c r="AA47" s="6358"/>
      <c r="AB47" s="6361"/>
      <c r="AC47" s="6362"/>
      <c r="AD47" s="6361"/>
      <c r="AE47" s="6363"/>
      <c r="AF47" s="6361"/>
      <c r="AG47" s="6358"/>
      <c r="AH47" s="6361"/>
      <c r="AI47" s="6358"/>
      <c r="AJ47" s="6361"/>
      <c r="AK47" s="6358"/>
      <c r="AL47" s="6361"/>
      <c r="AM47" s="6362"/>
      <c r="AN47" s="6361"/>
      <c r="AO47" s="6360"/>
      <c r="AP47" s="6364"/>
      <c r="AQ47" s="6365"/>
      <c r="AR47" s="6359"/>
      <c r="AS47" s="6359"/>
      <c r="AT47" s="6359"/>
      <c r="AU47" s="6359"/>
      <c r="AV47" s="6359"/>
      <c r="AW47" s="6359"/>
      <c r="AX47" s="6366"/>
      <c r="AY47" t="str">
        <f t="shared" si="45"/>
        <v/>
      </c>
      <c r="CW47" s="1791" t="str">
        <f t="shared" ref="CW47:CW53" si="67">IF(AND((Y47+Z47)&gt;0,AQ47="")," * No olvide digitar la variable 12 años. Si no tiene digite Cero.",IF(AQ47&gt;(Y47+Z47),"* Las Consultas de 12 años NO DEBEN ser mayor que el total de Consultas entre 10-14 años",""))</f>
        <v/>
      </c>
      <c r="CX47" s="1791" t="str">
        <f t="shared" ref="CX47:CX53" si="68">IF(AND(F47&gt;0,AR47="")," * No olvide digitar la variable Embarazadas. Digite cero si no tiene.","")</f>
        <v/>
      </c>
      <c r="CY47" s="1791" t="str">
        <f t="shared" ref="CY47:CY53" si="69">IF(AR47&gt;F47," * Las Embarazadas NO DEBEN ser mayor al total de mujeres. ","")</f>
        <v/>
      </c>
      <c r="CZ47" s="1791" t="str">
        <f t="shared" ref="CZ47:CZ53" si="70">IF(AND((AK47+AL47)&gt;0,AS47="")," * No olvide digitar la variable 60 años. Si no tiene digite Cero.",IF(AS47&gt;(AK47+AL47)," * Las consultas de 60 años NO DEBEN ser mayor que el Total de consultas del grupo 60-64 años",""))</f>
        <v/>
      </c>
      <c r="DA47" s="1791" t="str">
        <f t="shared" ref="DA47:DA53" si="71">IF(AND(D47&gt;0,AT47="")," * No olvide digitar la variable Usuarios con Discapacidad. Digite Cero si no tiene.",IF(AT47&gt;D47," * La variable Usuarios con Discapacidad No puede ser mayor al Total Ambos Sexos.",""))</f>
        <v/>
      </c>
      <c r="DB47" s="1791" t="str">
        <f t="shared" ref="DB47:DB53" si="72">IF(AND(D47&gt;0,AU47="")," * No olvide digitar la variable Niños, niñas, adolescentes y jóvenes población SENAME. Digite Cero si no tiene.",IF(AU47&gt;D47," * La variable Niños, niñas, adolescentes y jóvenes población SENAME No puede ser mayor al Total Ambos Sexos.",""))</f>
        <v/>
      </c>
      <c r="DC47" s="1791" t="str">
        <f t="shared" ref="DC47:DC53" si="73">IF(AND(D47&gt;0,AV47="")," * No olvide digitar la variable Niños, niñas, adolescentes y jóvenes Mejor Niñez. Digite Cero si no tiene.",IF(AV47&gt;D47," * La variable Niños, niñas, adolescentes y jóvenes Mejor Niñez No puede ser mayor al Total Ambos Sexos.",""))</f>
        <v/>
      </c>
      <c r="DD47" s="1791" t="str">
        <f t="shared" ref="DD47:DD53" si="74">IF(AND(D47&gt;0,AW47="")," * No olvide digitar la variable Migrantes. Digite Cero si no tiene.",IF(AW47&gt;D47," * La variable Migrantes No puede ser mayor al Total.",""))</f>
        <v/>
      </c>
      <c r="DE47" s="1791" t="str">
        <f t="shared" si="51"/>
        <v/>
      </c>
      <c r="DG47" s="1793">
        <f t="shared" ref="DG47:DG53" si="75">IF(AND((Y47+Z47)&gt;0,AQ47=""),1,IF(AQ47&gt;(Y47+Z47),1,0))</f>
        <v>0</v>
      </c>
      <c r="DH47" s="1793">
        <f t="shared" ref="DH47:DH53" si="76">IF(AND(F47&gt;0,AR47=""),1,0)</f>
        <v>0</v>
      </c>
      <c r="DI47" s="1793">
        <f t="shared" ref="DI47:DI53" si="77">IF(AR47&gt;F47,1,0)</f>
        <v>0</v>
      </c>
      <c r="DJ47" s="1793">
        <f t="shared" ref="DJ47:DJ53" si="78">IF(AND((AK47+AL47)&gt;0,AS47=""),1,IF(AS47&gt;(AK47+AL47),1,0))</f>
        <v>0</v>
      </c>
      <c r="DK47" s="1793">
        <f t="shared" ref="DK47:DK53" si="79">IF(AND(D47&gt;0,AT47=""),1,IF(AT47&gt;D47,1,0))</f>
        <v>0</v>
      </c>
      <c r="DL47" s="1793">
        <f t="shared" ref="DL47:DL53" si="80">IF(AND(D47&gt;0,AU47=""),1,IF(AU47&gt;D47,1,0))</f>
        <v>0</v>
      </c>
      <c r="DM47" s="1793">
        <f t="shared" ref="DM47:DM53" si="81">IF(AND(D47&gt;0,AV47=""),1,IF(AV47&gt;D47,1,0))</f>
        <v>0</v>
      </c>
      <c r="DN47" s="1793">
        <f t="shared" ref="DN47:DN53" si="82">IF(AND(D47&gt;0,AW47=""),1,IF(AW47&gt;D47,1,0))</f>
        <v>0</v>
      </c>
      <c r="DO47" s="1793">
        <f t="shared" ref="DO47:DO53" si="83">IF(AND(D47&gt;0,AX47=""),1,IF(AX47&gt;D47,1,0))</f>
        <v>0</v>
      </c>
    </row>
    <row r="48" spans="1:119" ht="15" customHeight="1" x14ac:dyDescent="0.25">
      <c r="A48" s="7523" t="s">
        <v>730</v>
      </c>
      <c r="B48" s="7525"/>
      <c r="C48" s="818">
        <v>0</v>
      </c>
      <c r="D48" s="819">
        <f t="shared" si="64"/>
        <v>0</v>
      </c>
      <c r="E48" s="820">
        <f>SUM(G48+I48+K48+M48+O48+Q48+S48+U48+W48+Y48+AA48+AC48+AE48+AG48+AI48+AK48+AM48+AO48)</f>
        <v>0</v>
      </c>
      <c r="F48" s="804">
        <f>SUM(H48+J48+L48+N48+P48+R48+T48+V48+X48+Z48+AB48+AD48+AF48+AH48+AJ48+AL48+AN48+AP48)</f>
        <v>0</v>
      </c>
      <c r="G48" s="6338"/>
      <c r="H48" s="1936"/>
      <c r="I48" s="6338"/>
      <c r="J48" s="6339"/>
      <c r="K48" s="6338"/>
      <c r="L48" s="1936"/>
      <c r="M48" s="6338"/>
      <c r="N48" s="1936"/>
      <c r="O48" s="6338"/>
      <c r="P48" s="1936"/>
      <c r="Q48" s="6338"/>
      <c r="R48" s="6340"/>
      <c r="S48" s="6338"/>
      <c r="T48" s="6340"/>
      <c r="U48" s="6338"/>
      <c r="V48" s="6340"/>
      <c r="W48" s="6338"/>
      <c r="X48" s="6340"/>
      <c r="Y48" s="6338"/>
      <c r="Z48" s="6340"/>
      <c r="AA48" s="6338"/>
      <c r="AB48" s="6340"/>
      <c r="AC48" s="6367"/>
      <c r="AD48" s="6340"/>
      <c r="AE48" s="6368"/>
      <c r="AF48" s="6340"/>
      <c r="AG48" s="6338"/>
      <c r="AH48" s="6340"/>
      <c r="AI48" s="6338"/>
      <c r="AJ48" s="6340"/>
      <c r="AK48" s="6338"/>
      <c r="AL48" s="6340"/>
      <c r="AM48" s="6367"/>
      <c r="AN48" s="6340"/>
      <c r="AO48" s="6339"/>
      <c r="AP48" s="6369"/>
      <c r="AQ48" s="6370"/>
      <c r="AR48" s="1936"/>
      <c r="AS48" s="1936"/>
      <c r="AT48" s="1936"/>
      <c r="AU48" s="1936"/>
      <c r="AV48" s="1936"/>
      <c r="AW48" s="1936"/>
      <c r="AX48" s="6344"/>
      <c r="AY48" t="str">
        <f t="shared" si="45"/>
        <v/>
      </c>
      <c r="CW48" s="1791" t="str">
        <f t="shared" si="67"/>
        <v/>
      </c>
      <c r="CX48" s="1791" t="str">
        <f t="shared" si="68"/>
        <v/>
      </c>
      <c r="CY48" s="1791" t="str">
        <f t="shared" si="69"/>
        <v/>
      </c>
      <c r="CZ48" s="1791" t="str">
        <f t="shared" si="70"/>
        <v/>
      </c>
      <c r="DA48" s="1791" t="str">
        <f t="shared" si="71"/>
        <v/>
      </c>
      <c r="DB48" s="1791" t="str">
        <f t="shared" si="72"/>
        <v/>
      </c>
      <c r="DC48" s="1791" t="str">
        <f t="shared" si="73"/>
        <v/>
      </c>
      <c r="DD48" s="1791" t="str">
        <f t="shared" si="74"/>
        <v/>
      </c>
      <c r="DE48" s="1791" t="str">
        <f t="shared" si="51"/>
        <v/>
      </c>
      <c r="DG48" s="1793">
        <f t="shared" si="75"/>
        <v>0</v>
      </c>
      <c r="DH48" s="1793">
        <f t="shared" si="76"/>
        <v>0</v>
      </c>
      <c r="DI48" s="1793">
        <f t="shared" si="77"/>
        <v>0</v>
      </c>
      <c r="DJ48" s="1793">
        <f t="shared" si="78"/>
        <v>0</v>
      </c>
      <c r="DK48" s="1793">
        <f t="shared" si="79"/>
        <v>0</v>
      </c>
      <c r="DL48" s="1793">
        <f t="shared" si="80"/>
        <v>0</v>
      </c>
      <c r="DM48" s="1793">
        <f t="shared" si="81"/>
        <v>0</v>
      </c>
      <c r="DN48" s="1793">
        <f t="shared" si="82"/>
        <v>0</v>
      </c>
      <c r="DO48" s="1793">
        <f t="shared" si="83"/>
        <v>0</v>
      </c>
    </row>
    <row r="49" spans="1:119" ht="15" customHeight="1" x14ac:dyDescent="0.25">
      <c r="A49" s="7526"/>
      <c r="B49" s="7528"/>
      <c r="C49" s="821" t="s">
        <v>731</v>
      </c>
      <c r="D49" s="807">
        <f t="shared" si="64"/>
        <v>0</v>
      </c>
      <c r="E49" s="820">
        <f t="shared" ref="E49:F58" si="84">SUM(G49+I49+K49+M49+O49+Q49+S49+U49+W49+Y49+AA49+AC49+AE49+AG49+AI49+AK49+AM49+AO49)</f>
        <v>0</v>
      </c>
      <c r="F49" s="804">
        <f t="shared" si="84"/>
        <v>0</v>
      </c>
      <c r="G49" s="6346"/>
      <c r="H49" s="1960"/>
      <c r="I49" s="6346"/>
      <c r="J49" s="6371"/>
      <c r="K49" s="6346"/>
      <c r="L49" s="1960"/>
      <c r="M49" s="6346"/>
      <c r="N49" s="1960"/>
      <c r="O49" s="6346"/>
      <c r="P49" s="1960"/>
      <c r="Q49" s="6346"/>
      <c r="R49" s="6347"/>
      <c r="S49" s="6346"/>
      <c r="T49" s="6347"/>
      <c r="U49" s="6346"/>
      <c r="V49" s="6347"/>
      <c r="W49" s="6346"/>
      <c r="X49" s="6347"/>
      <c r="Y49" s="6346"/>
      <c r="Z49" s="6347"/>
      <c r="AA49" s="6346"/>
      <c r="AB49" s="6347"/>
      <c r="AC49" s="6372"/>
      <c r="AD49" s="6347"/>
      <c r="AE49" s="6348"/>
      <c r="AF49" s="6347"/>
      <c r="AG49" s="6346"/>
      <c r="AH49" s="6347"/>
      <c r="AI49" s="6346"/>
      <c r="AJ49" s="6347"/>
      <c r="AK49" s="6346"/>
      <c r="AL49" s="6347"/>
      <c r="AM49" s="6372"/>
      <c r="AN49" s="6347"/>
      <c r="AO49" s="6371"/>
      <c r="AP49" s="6350"/>
      <c r="AQ49" s="6343"/>
      <c r="AR49" s="1960"/>
      <c r="AS49" s="1960"/>
      <c r="AT49" s="1960"/>
      <c r="AU49" s="1960"/>
      <c r="AV49" s="1960"/>
      <c r="AW49" s="1960"/>
      <c r="AX49" s="1961"/>
      <c r="AY49" t="str">
        <f t="shared" si="45"/>
        <v/>
      </c>
      <c r="CW49" s="1791" t="str">
        <f t="shared" si="67"/>
        <v/>
      </c>
      <c r="CX49" s="1791" t="str">
        <f t="shared" si="68"/>
        <v/>
      </c>
      <c r="CY49" s="1791" t="str">
        <f t="shared" si="69"/>
        <v/>
      </c>
      <c r="CZ49" s="1791" t="str">
        <f t="shared" si="70"/>
        <v/>
      </c>
      <c r="DA49" s="1791" t="str">
        <f t="shared" si="71"/>
        <v/>
      </c>
      <c r="DB49" s="1791" t="str">
        <f t="shared" si="72"/>
        <v/>
      </c>
      <c r="DC49" s="1791" t="str">
        <f t="shared" si="73"/>
        <v/>
      </c>
      <c r="DD49" s="1791" t="str">
        <f t="shared" si="74"/>
        <v/>
      </c>
      <c r="DE49" s="1791" t="str">
        <f t="shared" si="51"/>
        <v/>
      </c>
      <c r="DG49" s="1793">
        <f t="shared" si="75"/>
        <v>0</v>
      </c>
      <c r="DH49" s="1793">
        <f t="shared" si="76"/>
        <v>0</v>
      </c>
      <c r="DI49" s="1793">
        <f t="shared" si="77"/>
        <v>0</v>
      </c>
      <c r="DJ49" s="1793">
        <f t="shared" si="78"/>
        <v>0</v>
      </c>
      <c r="DK49" s="1793">
        <f t="shared" si="79"/>
        <v>0</v>
      </c>
      <c r="DL49" s="1793">
        <f t="shared" si="80"/>
        <v>0</v>
      </c>
      <c r="DM49" s="1793">
        <f t="shared" si="81"/>
        <v>0</v>
      </c>
      <c r="DN49" s="1793">
        <f t="shared" si="82"/>
        <v>0</v>
      </c>
      <c r="DO49" s="1793">
        <f t="shared" si="83"/>
        <v>0</v>
      </c>
    </row>
    <row r="50" spans="1:119" ht="15" customHeight="1" x14ac:dyDescent="0.25">
      <c r="A50" s="7526"/>
      <c r="B50" s="7528"/>
      <c r="C50" s="821" t="s">
        <v>732</v>
      </c>
      <c r="D50" s="807">
        <f t="shared" si="64"/>
        <v>0</v>
      </c>
      <c r="E50" s="820">
        <f t="shared" si="84"/>
        <v>0</v>
      </c>
      <c r="F50" s="804">
        <f t="shared" si="84"/>
        <v>0</v>
      </c>
      <c r="G50" s="6346"/>
      <c r="H50" s="1960"/>
      <c r="I50" s="6346"/>
      <c r="J50" s="6371"/>
      <c r="K50" s="6346"/>
      <c r="L50" s="1960"/>
      <c r="M50" s="6346"/>
      <c r="N50" s="1960"/>
      <c r="O50" s="6346"/>
      <c r="P50" s="1960"/>
      <c r="Q50" s="6346"/>
      <c r="R50" s="6347"/>
      <c r="S50" s="6346"/>
      <c r="T50" s="6347"/>
      <c r="U50" s="6346"/>
      <c r="V50" s="6347"/>
      <c r="W50" s="6346"/>
      <c r="X50" s="6347"/>
      <c r="Y50" s="6346"/>
      <c r="Z50" s="6347"/>
      <c r="AA50" s="6346"/>
      <c r="AB50" s="6347"/>
      <c r="AC50" s="6372"/>
      <c r="AD50" s="6347"/>
      <c r="AE50" s="6348"/>
      <c r="AF50" s="6347"/>
      <c r="AG50" s="6346"/>
      <c r="AH50" s="6347"/>
      <c r="AI50" s="6346"/>
      <c r="AJ50" s="6347"/>
      <c r="AK50" s="6346"/>
      <c r="AL50" s="6347"/>
      <c r="AM50" s="6372"/>
      <c r="AN50" s="6347"/>
      <c r="AO50" s="6371"/>
      <c r="AP50" s="6350"/>
      <c r="AQ50" s="6343"/>
      <c r="AR50" s="1960"/>
      <c r="AS50" s="1960"/>
      <c r="AT50" s="1960"/>
      <c r="AU50" s="1960"/>
      <c r="AV50" s="1960"/>
      <c r="AW50" s="1960"/>
      <c r="AX50" s="1961"/>
      <c r="AY50" t="str">
        <f t="shared" si="45"/>
        <v/>
      </c>
      <c r="CW50" s="1791" t="str">
        <f t="shared" si="67"/>
        <v/>
      </c>
      <c r="CX50" s="1791" t="str">
        <f t="shared" si="68"/>
        <v/>
      </c>
      <c r="CY50" s="1791" t="str">
        <f t="shared" si="69"/>
        <v/>
      </c>
      <c r="CZ50" s="1791" t="str">
        <f t="shared" si="70"/>
        <v/>
      </c>
      <c r="DA50" s="1791" t="str">
        <f t="shared" si="71"/>
        <v/>
      </c>
      <c r="DB50" s="1791" t="str">
        <f t="shared" si="72"/>
        <v/>
      </c>
      <c r="DC50" s="1791" t="str">
        <f t="shared" si="73"/>
        <v/>
      </c>
      <c r="DD50" s="1791" t="str">
        <f t="shared" si="74"/>
        <v/>
      </c>
      <c r="DE50" s="1791" t="str">
        <f t="shared" si="51"/>
        <v/>
      </c>
      <c r="DG50" s="1793">
        <f t="shared" si="75"/>
        <v>0</v>
      </c>
      <c r="DH50" s="1793">
        <f t="shared" si="76"/>
        <v>0</v>
      </c>
      <c r="DI50" s="1793">
        <f t="shared" si="77"/>
        <v>0</v>
      </c>
      <c r="DJ50" s="1793">
        <f t="shared" si="78"/>
        <v>0</v>
      </c>
      <c r="DK50" s="1793">
        <f t="shared" si="79"/>
        <v>0</v>
      </c>
      <c r="DL50" s="1793">
        <f t="shared" si="80"/>
        <v>0</v>
      </c>
      <c r="DM50" s="1793">
        <f t="shared" si="81"/>
        <v>0</v>
      </c>
      <c r="DN50" s="1793">
        <f t="shared" si="82"/>
        <v>0</v>
      </c>
      <c r="DO50" s="1793">
        <f t="shared" si="83"/>
        <v>0</v>
      </c>
    </row>
    <row r="51" spans="1:119" ht="15" customHeight="1" x14ac:dyDescent="0.25">
      <c r="A51" s="7526"/>
      <c r="B51" s="7528"/>
      <c r="C51" s="821" t="s">
        <v>733</v>
      </c>
      <c r="D51" s="807">
        <f t="shared" si="64"/>
        <v>0</v>
      </c>
      <c r="E51" s="820">
        <f t="shared" si="84"/>
        <v>0</v>
      </c>
      <c r="F51" s="804">
        <f t="shared" si="84"/>
        <v>0</v>
      </c>
      <c r="G51" s="6346"/>
      <c r="H51" s="1960"/>
      <c r="I51" s="6346"/>
      <c r="J51" s="6371"/>
      <c r="K51" s="6346"/>
      <c r="L51" s="1960"/>
      <c r="M51" s="6346"/>
      <c r="N51" s="1960"/>
      <c r="O51" s="6346"/>
      <c r="P51" s="1960"/>
      <c r="Q51" s="6346"/>
      <c r="R51" s="6347"/>
      <c r="S51" s="6346"/>
      <c r="T51" s="6347"/>
      <c r="U51" s="6346"/>
      <c r="V51" s="6347"/>
      <c r="W51" s="6346"/>
      <c r="X51" s="6347"/>
      <c r="Y51" s="6346"/>
      <c r="Z51" s="6347"/>
      <c r="AA51" s="6346"/>
      <c r="AB51" s="6347"/>
      <c r="AC51" s="6372"/>
      <c r="AD51" s="6347"/>
      <c r="AE51" s="6348"/>
      <c r="AF51" s="6347"/>
      <c r="AG51" s="6346"/>
      <c r="AH51" s="6347"/>
      <c r="AI51" s="6346"/>
      <c r="AJ51" s="6347"/>
      <c r="AK51" s="6346"/>
      <c r="AL51" s="6347"/>
      <c r="AM51" s="6372"/>
      <c r="AN51" s="6347"/>
      <c r="AO51" s="6371"/>
      <c r="AP51" s="6350"/>
      <c r="AQ51" s="6343"/>
      <c r="AR51" s="1960"/>
      <c r="AS51" s="1960"/>
      <c r="AT51" s="1960"/>
      <c r="AU51" s="1960"/>
      <c r="AV51" s="1960"/>
      <c r="AW51" s="1960"/>
      <c r="AX51" s="1961"/>
      <c r="AY51" t="str">
        <f t="shared" si="45"/>
        <v/>
      </c>
      <c r="CW51" s="1791" t="str">
        <f t="shared" si="67"/>
        <v/>
      </c>
      <c r="CX51" s="1791" t="str">
        <f t="shared" si="68"/>
        <v/>
      </c>
      <c r="CY51" s="1791" t="str">
        <f t="shared" si="69"/>
        <v/>
      </c>
      <c r="CZ51" s="1791" t="str">
        <f t="shared" si="70"/>
        <v/>
      </c>
      <c r="DA51" s="1791" t="str">
        <f t="shared" si="71"/>
        <v/>
      </c>
      <c r="DB51" s="1791" t="str">
        <f t="shared" si="72"/>
        <v/>
      </c>
      <c r="DC51" s="1791" t="str">
        <f t="shared" si="73"/>
        <v/>
      </c>
      <c r="DD51" s="1791" t="str">
        <f t="shared" si="74"/>
        <v/>
      </c>
      <c r="DE51" s="1791" t="str">
        <f t="shared" si="51"/>
        <v/>
      </c>
      <c r="DG51" s="1793">
        <f t="shared" si="75"/>
        <v>0</v>
      </c>
      <c r="DH51" s="1793">
        <f t="shared" si="76"/>
        <v>0</v>
      </c>
      <c r="DI51" s="1793">
        <f t="shared" si="77"/>
        <v>0</v>
      </c>
      <c r="DJ51" s="1793">
        <f t="shared" si="78"/>
        <v>0</v>
      </c>
      <c r="DK51" s="1793">
        <f t="shared" si="79"/>
        <v>0</v>
      </c>
      <c r="DL51" s="1793">
        <f t="shared" si="80"/>
        <v>0</v>
      </c>
      <c r="DM51" s="1793">
        <f t="shared" si="81"/>
        <v>0</v>
      </c>
      <c r="DN51" s="1793">
        <f t="shared" si="82"/>
        <v>0</v>
      </c>
      <c r="DO51" s="1793">
        <f t="shared" si="83"/>
        <v>0</v>
      </c>
    </row>
    <row r="52" spans="1:119" ht="15" customHeight="1" x14ac:dyDescent="0.25">
      <c r="A52" s="7526"/>
      <c r="B52" s="7528"/>
      <c r="C52" s="601" t="s">
        <v>734</v>
      </c>
      <c r="D52" s="810">
        <f>SUM(E52+F52)</f>
        <v>0</v>
      </c>
      <c r="E52" s="820">
        <f t="shared" si="84"/>
        <v>0</v>
      </c>
      <c r="F52" s="804">
        <f t="shared" si="84"/>
        <v>0</v>
      </c>
      <c r="G52" s="1958"/>
      <c r="H52" s="1956"/>
      <c r="I52" s="1958"/>
      <c r="J52" s="6373"/>
      <c r="K52" s="1958"/>
      <c r="L52" s="1956"/>
      <c r="M52" s="1958"/>
      <c r="N52" s="1956"/>
      <c r="O52" s="1958"/>
      <c r="P52" s="1956"/>
      <c r="Q52" s="1958"/>
      <c r="R52" s="6374"/>
      <c r="S52" s="1958"/>
      <c r="T52" s="6374"/>
      <c r="U52" s="1958"/>
      <c r="V52" s="6374"/>
      <c r="W52" s="1958"/>
      <c r="X52" s="6374"/>
      <c r="Y52" s="1958"/>
      <c r="Z52" s="6374"/>
      <c r="AA52" s="1958"/>
      <c r="AB52" s="6374"/>
      <c r="AC52" s="6375"/>
      <c r="AD52" s="6374"/>
      <c r="AE52" s="6352"/>
      <c r="AF52" s="6374"/>
      <c r="AG52" s="1958"/>
      <c r="AH52" s="6374"/>
      <c r="AI52" s="1958"/>
      <c r="AJ52" s="6374"/>
      <c r="AK52" s="1958"/>
      <c r="AL52" s="6374"/>
      <c r="AM52" s="6375"/>
      <c r="AN52" s="6374"/>
      <c r="AO52" s="6373"/>
      <c r="AP52" s="6376"/>
      <c r="AQ52" s="6377"/>
      <c r="AR52" s="1956"/>
      <c r="AS52" s="1956"/>
      <c r="AT52" s="1956"/>
      <c r="AU52" s="1956"/>
      <c r="AV52" s="1956"/>
      <c r="AW52" s="1956"/>
      <c r="AX52" s="1959"/>
      <c r="AY52" t="str">
        <f t="shared" si="45"/>
        <v/>
      </c>
      <c r="CW52" s="1791" t="str">
        <f t="shared" si="67"/>
        <v/>
      </c>
      <c r="CX52" s="1791" t="str">
        <f t="shared" si="68"/>
        <v/>
      </c>
      <c r="CY52" s="1791" t="str">
        <f t="shared" si="69"/>
        <v/>
      </c>
      <c r="CZ52" s="1791" t="str">
        <f t="shared" si="70"/>
        <v/>
      </c>
      <c r="DA52" s="1791" t="str">
        <f t="shared" si="71"/>
        <v/>
      </c>
      <c r="DB52" s="1791" t="str">
        <f t="shared" si="72"/>
        <v/>
      </c>
      <c r="DC52" s="1791" t="str">
        <f t="shared" si="73"/>
        <v/>
      </c>
      <c r="DD52" s="1791" t="str">
        <f t="shared" si="74"/>
        <v/>
      </c>
      <c r="DE52" s="1791" t="str">
        <f t="shared" si="51"/>
        <v/>
      </c>
      <c r="DG52" s="1793">
        <f t="shared" si="75"/>
        <v>0</v>
      </c>
      <c r="DH52" s="1793">
        <f t="shared" si="76"/>
        <v>0</v>
      </c>
      <c r="DI52" s="1793">
        <f t="shared" si="77"/>
        <v>0</v>
      </c>
      <c r="DJ52" s="1793">
        <f t="shared" si="78"/>
        <v>0</v>
      </c>
      <c r="DK52" s="1793">
        <f t="shared" si="79"/>
        <v>0</v>
      </c>
      <c r="DL52" s="1793">
        <f t="shared" si="80"/>
        <v>0</v>
      </c>
      <c r="DM52" s="1793">
        <f t="shared" si="81"/>
        <v>0</v>
      </c>
      <c r="DN52" s="1793">
        <f t="shared" si="82"/>
        <v>0</v>
      </c>
      <c r="DO52" s="1793">
        <f t="shared" si="83"/>
        <v>0</v>
      </c>
    </row>
    <row r="53" spans="1:119" ht="15" customHeight="1" x14ac:dyDescent="0.25">
      <c r="A53" s="7526"/>
      <c r="B53" s="7528"/>
      <c r="C53" s="601" t="s">
        <v>735</v>
      </c>
      <c r="D53" s="822">
        <f t="shared" si="64"/>
        <v>0</v>
      </c>
      <c r="E53" s="823">
        <f t="shared" si="84"/>
        <v>0</v>
      </c>
      <c r="F53" s="824">
        <f t="shared" si="84"/>
        <v>0</v>
      </c>
      <c r="G53" s="1934"/>
      <c r="H53" s="1932"/>
      <c r="I53" s="1934"/>
      <c r="J53" s="6378"/>
      <c r="K53" s="1934"/>
      <c r="L53" s="1932"/>
      <c r="M53" s="1934"/>
      <c r="N53" s="1932"/>
      <c r="O53" s="1934"/>
      <c r="P53" s="1932"/>
      <c r="Q53" s="1934"/>
      <c r="R53" s="6351"/>
      <c r="S53" s="1934"/>
      <c r="T53" s="6351"/>
      <c r="U53" s="1934"/>
      <c r="V53" s="6351"/>
      <c r="W53" s="1934"/>
      <c r="X53" s="6351"/>
      <c r="Y53" s="1934"/>
      <c r="Z53" s="6351"/>
      <c r="AA53" s="1934"/>
      <c r="AB53" s="6351"/>
      <c r="AC53" s="6379"/>
      <c r="AD53" s="6351"/>
      <c r="AE53" s="6354"/>
      <c r="AF53" s="6351"/>
      <c r="AG53" s="1934"/>
      <c r="AH53" s="6351"/>
      <c r="AI53" s="1934"/>
      <c r="AJ53" s="6351"/>
      <c r="AK53" s="1934"/>
      <c r="AL53" s="6351"/>
      <c r="AM53" s="6379"/>
      <c r="AN53" s="6351"/>
      <c r="AO53" s="6378"/>
      <c r="AP53" s="6355"/>
      <c r="AQ53" s="1932"/>
      <c r="AR53" s="1932"/>
      <c r="AS53" s="1932"/>
      <c r="AT53" s="1932"/>
      <c r="AU53" s="1932"/>
      <c r="AV53" s="1932"/>
      <c r="AW53" s="1932"/>
      <c r="AX53" s="6357"/>
      <c r="AY53" t="str">
        <f t="shared" si="45"/>
        <v/>
      </c>
      <c r="CW53" s="1791" t="str">
        <f t="shared" si="67"/>
        <v/>
      </c>
      <c r="CX53" s="1791" t="str">
        <f t="shared" si="68"/>
        <v/>
      </c>
      <c r="CY53" s="1791" t="str">
        <f t="shared" si="69"/>
        <v/>
      </c>
      <c r="CZ53" s="1791" t="str">
        <f t="shared" si="70"/>
        <v/>
      </c>
      <c r="DA53" s="1791" t="str">
        <f t="shared" si="71"/>
        <v/>
      </c>
      <c r="DB53" s="1791" t="str">
        <f t="shared" si="72"/>
        <v/>
      </c>
      <c r="DC53" s="1791" t="str">
        <f t="shared" si="73"/>
        <v/>
      </c>
      <c r="DD53" s="1791" t="str">
        <f t="shared" si="74"/>
        <v/>
      </c>
      <c r="DE53" s="1791" t="str">
        <f t="shared" si="51"/>
        <v/>
      </c>
      <c r="DG53" s="1793">
        <f t="shared" si="75"/>
        <v>0</v>
      </c>
      <c r="DH53" s="1793">
        <f t="shared" si="76"/>
        <v>0</v>
      </c>
      <c r="DI53" s="1793">
        <f t="shared" si="77"/>
        <v>0</v>
      </c>
      <c r="DJ53" s="1793">
        <f t="shared" si="78"/>
        <v>0</v>
      </c>
      <c r="DK53" s="1793">
        <f t="shared" si="79"/>
        <v>0</v>
      </c>
      <c r="DL53" s="1793">
        <f t="shared" si="80"/>
        <v>0</v>
      </c>
      <c r="DM53" s="1793">
        <f t="shared" si="81"/>
        <v>0</v>
      </c>
      <c r="DN53" s="1793">
        <f t="shared" si="82"/>
        <v>0</v>
      </c>
      <c r="DO53" s="1793">
        <f t="shared" si="83"/>
        <v>0</v>
      </c>
    </row>
    <row r="54" spans="1:119" ht="15" customHeight="1" x14ac:dyDescent="0.25">
      <c r="A54" s="7586" t="s">
        <v>24</v>
      </c>
      <c r="B54" s="7586"/>
      <c r="C54" s="7586"/>
      <c r="D54" s="815">
        <f>SUM(D48:D53)</f>
        <v>0</v>
      </c>
      <c r="E54" s="2522">
        <f>SUM(E48:E53)</f>
        <v>0</v>
      </c>
      <c r="F54" s="817">
        <f>SUM(F48:F53)</f>
        <v>0</v>
      </c>
      <c r="G54" s="815">
        <f>SUM(G48:G53)</f>
        <v>0</v>
      </c>
      <c r="H54" s="2522">
        <f t="shared" ref="H54:AW54" si="85">SUM(H48:H53)</f>
        <v>0</v>
      </c>
      <c r="I54" s="815">
        <f t="shared" si="85"/>
        <v>0</v>
      </c>
      <c r="J54" s="2522">
        <f t="shared" si="85"/>
        <v>0</v>
      </c>
      <c r="K54" s="815">
        <f t="shared" si="85"/>
        <v>0</v>
      </c>
      <c r="L54" s="2522">
        <f t="shared" si="85"/>
        <v>0</v>
      </c>
      <c r="M54" s="815">
        <f t="shared" si="85"/>
        <v>0</v>
      </c>
      <c r="N54" s="2522">
        <f t="shared" si="85"/>
        <v>0</v>
      </c>
      <c r="O54" s="815">
        <f t="shared" si="85"/>
        <v>0</v>
      </c>
      <c r="P54" s="2522">
        <f t="shared" si="85"/>
        <v>0</v>
      </c>
      <c r="Q54" s="815">
        <f t="shared" si="85"/>
        <v>0</v>
      </c>
      <c r="R54" s="2522">
        <f t="shared" si="85"/>
        <v>0</v>
      </c>
      <c r="S54" s="815">
        <f t="shared" si="85"/>
        <v>0</v>
      </c>
      <c r="T54" s="2522">
        <f t="shared" si="85"/>
        <v>0</v>
      </c>
      <c r="U54" s="815">
        <f t="shared" si="85"/>
        <v>0</v>
      </c>
      <c r="V54" s="2522">
        <f t="shared" si="85"/>
        <v>0</v>
      </c>
      <c r="W54" s="815">
        <f t="shared" si="85"/>
        <v>0</v>
      </c>
      <c r="X54" s="2522">
        <f t="shared" si="85"/>
        <v>0</v>
      </c>
      <c r="Y54" s="815">
        <f>SUM(Y48:Y53)</f>
        <v>0</v>
      </c>
      <c r="Z54" s="2522">
        <f>SUM(Z48:Z53)</f>
        <v>0</v>
      </c>
      <c r="AA54" s="815">
        <f t="shared" si="85"/>
        <v>0</v>
      </c>
      <c r="AB54" s="2522">
        <f t="shared" si="85"/>
        <v>0</v>
      </c>
      <c r="AC54" s="815">
        <f t="shared" si="85"/>
        <v>0</v>
      </c>
      <c r="AD54" s="2522">
        <f t="shared" si="85"/>
        <v>0</v>
      </c>
      <c r="AE54" s="815">
        <f t="shared" si="85"/>
        <v>0</v>
      </c>
      <c r="AF54" s="2522">
        <f t="shared" si="85"/>
        <v>0</v>
      </c>
      <c r="AG54" s="815">
        <f t="shared" si="85"/>
        <v>0</v>
      </c>
      <c r="AH54" s="2522">
        <f t="shared" si="85"/>
        <v>0</v>
      </c>
      <c r="AI54" s="815">
        <f t="shared" si="85"/>
        <v>0</v>
      </c>
      <c r="AJ54" s="2522">
        <f t="shared" si="85"/>
        <v>0</v>
      </c>
      <c r="AK54" s="815">
        <f t="shared" si="85"/>
        <v>0</v>
      </c>
      <c r="AL54" s="2522">
        <f t="shared" si="85"/>
        <v>0</v>
      </c>
      <c r="AM54" s="815">
        <f t="shared" si="85"/>
        <v>0</v>
      </c>
      <c r="AN54" s="2522">
        <f t="shared" si="85"/>
        <v>0</v>
      </c>
      <c r="AO54" s="815">
        <f t="shared" si="85"/>
        <v>0</v>
      </c>
      <c r="AP54" s="2523">
        <f t="shared" si="85"/>
        <v>0</v>
      </c>
      <c r="AQ54" s="2522">
        <f t="shared" si="85"/>
        <v>0</v>
      </c>
      <c r="AR54" s="815">
        <f t="shared" si="85"/>
        <v>0</v>
      </c>
      <c r="AS54" s="815">
        <f t="shared" si="85"/>
        <v>0</v>
      </c>
      <c r="AT54" s="815">
        <f t="shared" si="85"/>
        <v>0</v>
      </c>
      <c r="AU54" s="2524">
        <f t="shared" si="85"/>
        <v>0</v>
      </c>
      <c r="AV54" s="817">
        <f>SUM(AV48:AV53)</f>
        <v>0</v>
      </c>
      <c r="AW54" s="815">
        <f t="shared" si="85"/>
        <v>0</v>
      </c>
      <c r="AX54" s="2529">
        <f>SUM(AX48:AX53)</f>
        <v>0</v>
      </c>
      <c r="CW54"/>
      <c r="CX54"/>
      <c r="CY54"/>
      <c r="CZ54"/>
      <c r="DA54"/>
      <c r="DB54"/>
      <c r="DC54"/>
      <c r="DD54"/>
      <c r="DE54"/>
      <c r="DG54"/>
      <c r="DH54"/>
      <c r="DI54"/>
      <c r="DJ54"/>
      <c r="DK54"/>
      <c r="DL54"/>
      <c r="DM54"/>
    </row>
    <row r="55" spans="1:119" ht="15" customHeight="1" x14ac:dyDescent="0.25">
      <c r="A55" s="7543" t="s">
        <v>736</v>
      </c>
      <c r="B55" s="7619"/>
      <c r="C55" s="825">
        <v>0</v>
      </c>
      <c r="D55" s="629">
        <f t="shared" si="64"/>
        <v>0</v>
      </c>
      <c r="E55" s="826">
        <f t="shared" si="84"/>
        <v>0</v>
      </c>
      <c r="F55" s="827">
        <f t="shared" si="84"/>
        <v>0</v>
      </c>
      <c r="G55" s="6329"/>
      <c r="H55" s="6330"/>
      <c r="I55" s="6329"/>
      <c r="J55" s="6330"/>
      <c r="K55" s="6329"/>
      <c r="L55" s="6330"/>
      <c r="M55" s="6329"/>
      <c r="N55" s="6330"/>
      <c r="O55" s="6329"/>
      <c r="P55" s="6330"/>
      <c r="Q55" s="6329"/>
      <c r="R55" s="6330"/>
      <c r="S55" s="6329"/>
      <c r="T55" s="6330"/>
      <c r="U55" s="6329"/>
      <c r="V55" s="6330"/>
      <c r="W55" s="6329"/>
      <c r="X55" s="6330"/>
      <c r="Y55" s="6329"/>
      <c r="Z55" s="6330"/>
      <c r="AA55" s="6329"/>
      <c r="AB55" s="6330"/>
      <c r="AC55" s="6329"/>
      <c r="AD55" s="6330"/>
      <c r="AE55" s="6329"/>
      <c r="AF55" s="6330"/>
      <c r="AG55" s="6329"/>
      <c r="AH55" s="6330"/>
      <c r="AI55" s="6329"/>
      <c r="AJ55" s="6330"/>
      <c r="AK55" s="6329"/>
      <c r="AL55" s="6330"/>
      <c r="AM55" s="6329"/>
      <c r="AN55" s="6330"/>
      <c r="AO55" s="6329"/>
      <c r="AP55" s="6334"/>
      <c r="AQ55" s="6336"/>
      <c r="AR55" s="6336"/>
      <c r="AS55" s="6380"/>
      <c r="AT55" s="6380"/>
      <c r="AU55" s="6380"/>
      <c r="AV55" s="6380"/>
      <c r="AW55" s="6380"/>
      <c r="AX55" s="6337"/>
      <c r="AY55" t="str">
        <f t="shared" si="45"/>
        <v/>
      </c>
      <c r="CW55" s="1791" t="str">
        <f t="shared" ref="CW55:CW59" si="86">IF(AND((Y55+Z55)&gt;0,AQ55="")," * No olvide digitar la variable 12 años. Si no tiene digite Cero.",IF(AQ55&gt;(Y55+Z55),"* Las Consultas de 12 años NO DEBEN ser mayor que el total de Consultas entre 10-14 años",""))</f>
        <v/>
      </c>
      <c r="CX55" s="1791" t="str">
        <f t="shared" ref="CX55:CX59" si="87">IF(AND(F55&gt;0,AR55="")," * No olvide digitar la variable Embarazadas. Digite cero si no tiene.","")</f>
        <v/>
      </c>
      <c r="CY55" s="1791" t="str">
        <f t="shared" ref="CY55:CY59" si="88">IF(AR55&gt;F55," * Las Embarazadas NO DEBEN ser mayor al total de mujeres. ","")</f>
        <v/>
      </c>
      <c r="CZ55" s="1791" t="str">
        <f t="shared" ref="CZ55:CZ59" si="89">IF(AND((AK55+AL55)&gt;0,AS55="")," * No olvide digitar la variable 60 años. Si no tiene digite Cero.",IF(AS55&gt;(AK55+AL55)," * Las consultas de 60 años NO DEBEN ser mayor que el Total de consultas del grupo 60-64 años",""))</f>
        <v/>
      </c>
      <c r="DA55" s="1791" t="str">
        <f>IF(AND(D55&gt;0,AT55="")," * No olvide digitar la variable Usuarios con Discapacidad. Digite Cero si no tiene.",IF(AT55&gt;D55," * La variable Usuarios con Discapacidad No puede ser mayor al Total Ambos Sexos.",""))</f>
        <v/>
      </c>
      <c r="DB55" s="1791" t="str">
        <f>IF(AND(D55&gt;0,AU55="")," * No olvide digitar la variable Niños, niñas, adolescentes y jóvenes población SENAME. Digite Cero si no tiene.",IF(AU55&gt;D55," * La variable Niños, niñas, adolescentes y jóvenes población SENAME No puede ser mayor al Total Ambos Sexos.",""))</f>
        <v/>
      </c>
      <c r="DC55" s="1791" t="str">
        <f>IF(AND(D55&gt;0,AV55="")," * No olvide digitar la variable Niños, niñas, adolescentes y jóvenes Mejor Niñez. Digite Cero si no tiene.",IF(AV55&gt;D55," * La variable Niños, niñas, adolescentes y jóvenes Mejor Niñez No puede ser mayor al Total Ambos Sexos.",""))</f>
        <v/>
      </c>
      <c r="DD55" s="1791" t="str">
        <f>IF(AND(D55&gt;0,AW55="")," * No olvide digitar la variable Migrantes. Digite Cero si no tiene.",IF(AW55&gt;D55," * La variable Migrantes No puede ser mayor al Total.",""))</f>
        <v/>
      </c>
      <c r="DE55" s="1791" t="str">
        <f t="shared" si="51"/>
        <v/>
      </c>
      <c r="DG55" s="1793">
        <f t="shared" ref="DG55:DG59" si="90">IF(AND((Y55+Z55)&gt;0,AQ55=""),1,IF(AQ55&gt;(Y55+Z55),1,0))</f>
        <v>0</v>
      </c>
      <c r="DH55" s="1793">
        <f t="shared" ref="DH55:DH59" si="91">IF(AND(F55&gt;0,AR55=""),1,0)</f>
        <v>0</v>
      </c>
      <c r="DI55" s="1793">
        <f t="shared" ref="DI55:DI59" si="92">IF(AR55&gt;F55,1,0)</f>
        <v>0</v>
      </c>
      <c r="DJ55" s="1793">
        <f t="shared" ref="DJ55:DJ59" si="93">IF(AND((AK55+AL55)&gt;0,AS55=""),1,IF(AS55&gt;(AK55+AL55),1,0))</f>
        <v>0</v>
      </c>
      <c r="DK55" s="1793">
        <f t="shared" ref="DK55:DK59" si="94">IF(AND(D55&gt;0,AT55=""),1,IF(AT55&gt;D55,1,0))</f>
        <v>0</v>
      </c>
      <c r="DL55" s="1793">
        <f t="shared" ref="DL55:DL59" si="95">IF(AND(D55&gt;0,AU55=""),1,IF(AU55&gt;D55,1,0))</f>
        <v>0</v>
      </c>
      <c r="DM55" s="1793">
        <f t="shared" ref="DM55:DM59" si="96">IF(AND(D55&gt;0,AV55=""),1,IF(AV55&gt;D55,1,0))</f>
        <v>0</v>
      </c>
      <c r="DN55" s="1793">
        <f t="shared" ref="DN55:DN59" si="97">IF(AND(D55&gt;0,AW55=""),1,IF(AW55&gt;D55,1,0))</f>
        <v>0</v>
      </c>
      <c r="DO55" s="1793">
        <f t="shared" ref="DO55:DO59" si="98">IF(AND(D55&gt;0,AX55=""),1,IF(AX55&gt;D55,1,0))</f>
        <v>0</v>
      </c>
    </row>
    <row r="56" spans="1:119" ht="15" customHeight="1" x14ac:dyDescent="0.25">
      <c r="A56" s="7543"/>
      <c r="B56" s="7619"/>
      <c r="C56" s="821" t="s">
        <v>737</v>
      </c>
      <c r="D56" s="807">
        <f t="shared" si="64"/>
        <v>0</v>
      </c>
      <c r="E56" s="828">
        <f t="shared" si="84"/>
        <v>0</v>
      </c>
      <c r="F56" s="829">
        <f t="shared" si="84"/>
        <v>0</v>
      </c>
      <c r="G56" s="6346"/>
      <c r="H56" s="6347"/>
      <c r="I56" s="6346"/>
      <c r="J56" s="6347"/>
      <c r="K56" s="6346"/>
      <c r="L56" s="6347"/>
      <c r="M56" s="6346"/>
      <c r="N56" s="6347"/>
      <c r="O56" s="6346"/>
      <c r="P56" s="6347"/>
      <c r="Q56" s="6346"/>
      <c r="R56" s="6347"/>
      <c r="S56" s="6346"/>
      <c r="T56" s="6347"/>
      <c r="U56" s="6346"/>
      <c r="V56" s="6347"/>
      <c r="W56" s="6346"/>
      <c r="X56" s="6347"/>
      <c r="Y56" s="6346"/>
      <c r="Z56" s="6347"/>
      <c r="AA56" s="6346"/>
      <c r="AB56" s="6347"/>
      <c r="AC56" s="6346"/>
      <c r="AD56" s="6347"/>
      <c r="AE56" s="6346"/>
      <c r="AF56" s="6347"/>
      <c r="AG56" s="6346"/>
      <c r="AH56" s="6347"/>
      <c r="AI56" s="6346"/>
      <c r="AJ56" s="6347"/>
      <c r="AK56" s="6346"/>
      <c r="AL56" s="6347"/>
      <c r="AM56" s="6346"/>
      <c r="AN56" s="6347"/>
      <c r="AO56" s="6346"/>
      <c r="AP56" s="6350"/>
      <c r="AQ56" s="1960"/>
      <c r="AR56" s="1960"/>
      <c r="AS56" s="6381"/>
      <c r="AT56" s="6381"/>
      <c r="AU56" s="6381"/>
      <c r="AV56" s="6381"/>
      <c r="AW56" s="6381"/>
      <c r="AX56" s="1961"/>
      <c r="AY56" t="str">
        <f t="shared" si="45"/>
        <v/>
      </c>
      <c r="CW56" s="1791" t="str">
        <f t="shared" si="86"/>
        <v/>
      </c>
      <c r="CX56" s="1791" t="str">
        <f t="shared" si="87"/>
        <v/>
      </c>
      <c r="CY56" s="1791" t="str">
        <f t="shared" si="88"/>
        <v/>
      </c>
      <c r="CZ56" s="1791" t="str">
        <f t="shared" si="89"/>
        <v/>
      </c>
      <c r="DA56" s="1791" t="str">
        <f t="shared" ref="DA56:DA59" si="99">IF(AND(D56&gt;0,AT56="")," * No olvide digitar la variable Usuarios con Discapacidad. Digite Cero si no tiene.",IF(AT56&gt;D56," * La variable Usuarios con Discapacidad No puede ser mayor al Total Ambos Sexos.",""))</f>
        <v/>
      </c>
      <c r="DB56" s="1791" t="str">
        <f t="shared" ref="DB56:DB59" si="100">IF(AND(D56&gt;0,AU56="")," * No olvide digitar la variable Niños, niñas, adolescentes y jóvenes población SENAME. Digite Cero si no tiene.",IF(AU56&gt;D56," * La variable Niños, niñas, adolescentes y jóvenes población SENAME No puede ser mayor al Total Ambos Sexos.",""))</f>
        <v/>
      </c>
      <c r="DC56" s="1791" t="str">
        <f t="shared" ref="DC56:DC59" si="101">IF(AND(D56&gt;0,AV56="")," * No olvide digitar la variable Niños, niñas, adolescentes y jóvenes Mejor Niñez. Digite Cero si no tiene.",IF(AV56&gt;D56," * La variable Niños, niñas, adolescentes y jóvenes Mejor Niñez No puede ser mayor al Total Ambos Sexos.",""))</f>
        <v/>
      </c>
      <c r="DD56" s="1791" t="str">
        <f t="shared" ref="DD56:DD59" si="102">IF(AND(D56&gt;0,AW56="")," * No olvide digitar la variable Migrantes. Digite Cero si no tiene.",IF(AW56&gt;D56," * La variable Migrantes No puede ser mayor al Total.",""))</f>
        <v/>
      </c>
      <c r="DE56" s="1791" t="str">
        <f t="shared" si="51"/>
        <v/>
      </c>
      <c r="DG56" s="1793">
        <f t="shared" si="90"/>
        <v>0</v>
      </c>
      <c r="DH56" s="1793">
        <f t="shared" si="91"/>
        <v>0</v>
      </c>
      <c r="DI56" s="1793">
        <f t="shared" si="92"/>
        <v>0</v>
      </c>
      <c r="DJ56" s="1793">
        <f t="shared" si="93"/>
        <v>0</v>
      </c>
      <c r="DK56" s="1793">
        <f t="shared" si="94"/>
        <v>0</v>
      </c>
      <c r="DL56" s="1793">
        <f t="shared" si="95"/>
        <v>0</v>
      </c>
      <c r="DM56" s="1793">
        <f t="shared" si="96"/>
        <v>0</v>
      </c>
      <c r="DN56" s="1793">
        <f t="shared" si="97"/>
        <v>0</v>
      </c>
      <c r="DO56" s="1793">
        <f t="shared" si="98"/>
        <v>0</v>
      </c>
    </row>
    <row r="57" spans="1:119" ht="15" customHeight="1" x14ac:dyDescent="0.25">
      <c r="A57" s="7543"/>
      <c r="B57" s="7619"/>
      <c r="C57" s="821" t="s">
        <v>738</v>
      </c>
      <c r="D57" s="807">
        <f t="shared" si="64"/>
        <v>0</v>
      </c>
      <c r="E57" s="828">
        <f t="shared" si="84"/>
        <v>0</v>
      </c>
      <c r="F57" s="829">
        <f t="shared" si="84"/>
        <v>0</v>
      </c>
      <c r="G57" s="6346"/>
      <c r="H57" s="6347"/>
      <c r="I57" s="6346"/>
      <c r="J57" s="6347"/>
      <c r="K57" s="6346"/>
      <c r="L57" s="6347"/>
      <c r="M57" s="6346"/>
      <c r="N57" s="6347"/>
      <c r="O57" s="6346"/>
      <c r="P57" s="6347"/>
      <c r="Q57" s="6346"/>
      <c r="R57" s="6347"/>
      <c r="S57" s="6346"/>
      <c r="T57" s="6347"/>
      <c r="U57" s="6346"/>
      <c r="V57" s="6347"/>
      <c r="W57" s="6346"/>
      <c r="X57" s="6347"/>
      <c r="Y57" s="6346"/>
      <c r="Z57" s="6347"/>
      <c r="AA57" s="6346"/>
      <c r="AB57" s="6347"/>
      <c r="AC57" s="6346"/>
      <c r="AD57" s="6347"/>
      <c r="AE57" s="6346"/>
      <c r="AF57" s="6347"/>
      <c r="AG57" s="6346"/>
      <c r="AH57" s="6347"/>
      <c r="AI57" s="6346"/>
      <c r="AJ57" s="6347"/>
      <c r="AK57" s="6346"/>
      <c r="AL57" s="6347"/>
      <c r="AM57" s="6346"/>
      <c r="AN57" s="6347"/>
      <c r="AO57" s="6346"/>
      <c r="AP57" s="6350"/>
      <c r="AQ57" s="1960"/>
      <c r="AR57" s="1960"/>
      <c r="AS57" s="6381"/>
      <c r="AT57" s="6381"/>
      <c r="AU57" s="6381"/>
      <c r="AV57" s="6381"/>
      <c r="AW57" s="6381"/>
      <c r="AX57" s="1961"/>
      <c r="AY57" t="str">
        <f t="shared" si="45"/>
        <v/>
      </c>
      <c r="CW57" s="1791" t="str">
        <f t="shared" si="86"/>
        <v/>
      </c>
      <c r="CX57" s="1791" t="str">
        <f t="shared" si="87"/>
        <v/>
      </c>
      <c r="CY57" s="1791" t="str">
        <f t="shared" si="88"/>
        <v/>
      </c>
      <c r="CZ57" s="1791" t="str">
        <f t="shared" si="89"/>
        <v/>
      </c>
      <c r="DA57" s="1791" t="str">
        <f t="shared" si="99"/>
        <v/>
      </c>
      <c r="DB57" s="1791" t="str">
        <f t="shared" si="100"/>
        <v/>
      </c>
      <c r="DC57" s="1791" t="str">
        <f t="shared" si="101"/>
        <v/>
      </c>
      <c r="DD57" s="1791" t="str">
        <f t="shared" si="102"/>
        <v/>
      </c>
      <c r="DE57" s="1791" t="str">
        <f t="shared" si="51"/>
        <v/>
      </c>
      <c r="DG57" s="1793">
        <f t="shared" si="90"/>
        <v>0</v>
      </c>
      <c r="DH57" s="1793">
        <f t="shared" si="91"/>
        <v>0</v>
      </c>
      <c r="DI57" s="1793">
        <f t="shared" si="92"/>
        <v>0</v>
      </c>
      <c r="DJ57" s="1793">
        <f t="shared" si="93"/>
        <v>0</v>
      </c>
      <c r="DK57" s="1793">
        <f t="shared" si="94"/>
        <v>0</v>
      </c>
      <c r="DL57" s="1793">
        <f t="shared" si="95"/>
        <v>0</v>
      </c>
      <c r="DM57" s="1793">
        <f t="shared" si="96"/>
        <v>0</v>
      </c>
      <c r="DN57" s="1793">
        <f t="shared" si="97"/>
        <v>0</v>
      </c>
      <c r="DO57" s="1793">
        <f t="shared" si="98"/>
        <v>0</v>
      </c>
    </row>
    <row r="58" spans="1:119" ht="15" customHeight="1" x14ac:dyDescent="0.25">
      <c r="A58" s="7543"/>
      <c r="B58" s="7619"/>
      <c r="C58" s="821" t="s">
        <v>739</v>
      </c>
      <c r="D58" s="807">
        <f t="shared" si="64"/>
        <v>0</v>
      </c>
      <c r="E58" s="828">
        <f t="shared" si="84"/>
        <v>0</v>
      </c>
      <c r="F58" s="829">
        <f t="shared" si="84"/>
        <v>0</v>
      </c>
      <c r="G58" s="6346"/>
      <c r="H58" s="6347"/>
      <c r="I58" s="6346"/>
      <c r="J58" s="6347"/>
      <c r="K58" s="6346"/>
      <c r="L58" s="6347"/>
      <c r="M58" s="6346"/>
      <c r="N58" s="6347"/>
      <c r="O58" s="6346"/>
      <c r="P58" s="6347"/>
      <c r="Q58" s="6346"/>
      <c r="R58" s="6347"/>
      <c r="S58" s="6346"/>
      <c r="T58" s="6347"/>
      <c r="U58" s="6346"/>
      <c r="V58" s="6347"/>
      <c r="W58" s="6346"/>
      <c r="X58" s="6347"/>
      <c r="Y58" s="6346"/>
      <c r="Z58" s="6347"/>
      <c r="AA58" s="6346"/>
      <c r="AB58" s="6347"/>
      <c r="AC58" s="6346"/>
      <c r="AD58" s="6347"/>
      <c r="AE58" s="6346"/>
      <c r="AF58" s="6347"/>
      <c r="AG58" s="6346"/>
      <c r="AH58" s="6347"/>
      <c r="AI58" s="6346"/>
      <c r="AJ58" s="6347"/>
      <c r="AK58" s="6346"/>
      <c r="AL58" s="6347"/>
      <c r="AM58" s="6346"/>
      <c r="AN58" s="6347"/>
      <c r="AO58" s="6346"/>
      <c r="AP58" s="6350"/>
      <c r="AQ58" s="1960"/>
      <c r="AR58" s="1960"/>
      <c r="AS58" s="6381"/>
      <c r="AT58" s="6381"/>
      <c r="AU58" s="6381"/>
      <c r="AV58" s="6381"/>
      <c r="AW58" s="6381"/>
      <c r="AX58" s="1961"/>
      <c r="AY58" t="str">
        <f t="shared" si="45"/>
        <v/>
      </c>
      <c r="CW58" s="1791" t="str">
        <f t="shared" si="86"/>
        <v/>
      </c>
      <c r="CX58" s="1791" t="str">
        <f t="shared" si="87"/>
        <v/>
      </c>
      <c r="CY58" s="1791" t="str">
        <f t="shared" si="88"/>
        <v/>
      </c>
      <c r="CZ58" s="1791" t="str">
        <f t="shared" si="89"/>
        <v/>
      </c>
      <c r="DA58" s="1791" t="str">
        <f t="shared" si="99"/>
        <v/>
      </c>
      <c r="DB58" s="1791" t="str">
        <f t="shared" si="100"/>
        <v/>
      </c>
      <c r="DC58" s="1791" t="str">
        <f t="shared" si="101"/>
        <v/>
      </c>
      <c r="DD58" s="1791" t="str">
        <f t="shared" si="102"/>
        <v/>
      </c>
      <c r="DE58" s="1791" t="str">
        <f t="shared" si="51"/>
        <v/>
      </c>
      <c r="DG58" s="1793">
        <f t="shared" si="90"/>
        <v>0</v>
      </c>
      <c r="DH58" s="1793">
        <f t="shared" si="91"/>
        <v>0</v>
      </c>
      <c r="DI58" s="1793">
        <f t="shared" si="92"/>
        <v>0</v>
      </c>
      <c r="DJ58" s="1793">
        <f t="shared" si="93"/>
        <v>0</v>
      </c>
      <c r="DK58" s="1793">
        <f t="shared" si="94"/>
        <v>0</v>
      </c>
      <c r="DL58" s="1793">
        <f t="shared" si="95"/>
        <v>0</v>
      </c>
      <c r="DM58" s="1793">
        <f t="shared" si="96"/>
        <v>0</v>
      </c>
      <c r="DN58" s="1793">
        <f t="shared" si="97"/>
        <v>0</v>
      </c>
      <c r="DO58" s="1793">
        <f t="shared" si="98"/>
        <v>0</v>
      </c>
    </row>
    <row r="59" spans="1:119" ht="15" customHeight="1" x14ac:dyDescent="0.25">
      <c r="A59" s="7620"/>
      <c r="B59" s="7621"/>
      <c r="C59" s="165" t="s">
        <v>740</v>
      </c>
      <c r="D59" s="822">
        <f t="shared" si="64"/>
        <v>0</v>
      </c>
      <c r="E59" s="823">
        <f>SUM(G59+I59+K59+M59+O59+Q59+S59+U59+W59+Y59+AA59+AC59+AE59+AG59+AI59+AK59+AM59+AO59)</f>
        <v>0</v>
      </c>
      <c r="F59" s="830">
        <f>SUM(H59+J59+L59+N59+P59+R59+T59+V59+X59+Z59+AB59+AD59+AF59+AH59+AJ59+AL59+AN59+AP59)</f>
        <v>0</v>
      </c>
      <c r="G59" s="1934"/>
      <c r="H59" s="6351"/>
      <c r="I59" s="1934"/>
      <c r="J59" s="6351"/>
      <c r="K59" s="1934"/>
      <c r="L59" s="6351"/>
      <c r="M59" s="1934"/>
      <c r="N59" s="6351"/>
      <c r="O59" s="1934"/>
      <c r="P59" s="6351"/>
      <c r="Q59" s="1934"/>
      <c r="R59" s="6351"/>
      <c r="S59" s="1934"/>
      <c r="T59" s="6351"/>
      <c r="U59" s="1934"/>
      <c r="V59" s="6351"/>
      <c r="W59" s="1934"/>
      <c r="X59" s="6351"/>
      <c r="Y59" s="1934"/>
      <c r="Z59" s="6351"/>
      <c r="AA59" s="1934"/>
      <c r="AB59" s="6351"/>
      <c r="AC59" s="1934"/>
      <c r="AD59" s="6351"/>
      <c r="AE59" s="1934"/>
      <c r="AF59" s="6351"/>
      <c r="AG59" s="1934"/>
      <c r="AH59" s="6351"/>
      <c r="AI59" s="1934"/>
      <c r="AJ59" s="6351"/>
      <c r="AK59" s="1934"/>
      <c r="AL59" s="6351"/>
      <c r="AM59" s="1934"/>
      <c r="AN59" s="6351"/>
      <c r="AO59" s="1934"/>
      <c r="AP59" s="6355"/>
      <c r="AQ59" s="1932"/>
      <c r="AR59" s="1932"/>
      <c r="AS59" s="6357"/>
      <c r="AT59" s="6357"/>
      <c r="AU59" s="6357"/>
      <c r="AV59" s="6357"/>
      <c r="AW59" s="6357"/>
      <c r="AX59" s="6357"/>
      <c r="AY59" t="str">
        <f t="shared" si="45"/>
        <v/>
      </c>
      <c r="CW59" s="1791" t="str">
        <f t="shared" si="86"/>
        <v/>
      </c>
      <c r="CX59" s="1791" t="str">
        <f t="shared" si="87"/>
        <v/>
      </c>
      <c r="CY59" s="1791" t="str">
        <f t="shared" si="88"/>
        <v/>
      </c>
      <c r="CZ59" s="1791" t="str">
        <f t="shared" si="89"/>
        <v/>
      </c>
      <c r="DA59" s="1791" t="str">
        <f t="shared" si="99"/>
        <v/>
      </c>
      <c r="DB59" s="1791" t="str">
        <f t="shared" si="100"/>
        <v/>
      </c>
      <c r="DC59" s="1791" t="str">
        <f t="shared" si="101"/>
        <v/>
      </c>
      <c r="DD59" s="1791" t="str">
        <f t="shared" si="102"/>
        <v/>
      </c>
      <c r="DE59" s="1791" t="str">
        <f t="shared" si="51"/>
        <v/>
      </c>
      <c r="DG59" s="1793">
        <f t="shared" si="90"/>
        <v>0</v>
      </c>
      <c r="DH59" s="1793">
        <f t="shared" si="91"/>
        <v>0</v>
      </c>
      <c r="DI59" s="1793">
        <f t="shared" si="92"/>
        <v>0</v>
      </c>
      <c r="DJ59" s="1793">
        <f t="shared" si="93"/>
        <v>0</v>
      </c>
      <c r="DK59" s="1793">
        <f t="shared" si="94"/>
        <v>0</v>
      </c>
      <c r="DL59" s="1793">
        <f t="shared" si="95"/>
        <v>0</v>
      </c>
      <c r="DM59" s="1793">
        <f t="shared" si="96"/>
        <v>0</v>
      </c>
      <c r="DN59" s="1793">
        <f t="shared" si="97"/>
        <v>0</v>
      </c>
      <c r="DO59" s="1793">
        <f t="shared" si="98"/>
        <v>0</v>
      </c>
    </row>
    <row r="60" spans="1:119" ht="15" customHeight="1" x14ac:dyDescent="0.25">
      <c r="A60" s="7487" t="s">
        <v>24</v>
      </c>
      <c r="B60" s="7503"/>
      <c r="C60" s="7534"/>
      <c r="D60" s="815">
        <f t="shared" ref="D60:AX60" si="103">SUM(D55:D59)</f>
        <v>0</v>
      </c>
      <c r="E60" s="816">
        <f>SUM(E55:E59)</f>
        <v>0</v>
      </c>
      <c r="F60" s="2525">
        <f>SUM(F55:F59)</f>
        <v>0</v>
      </c>
      <c r="G60" s="815">
        <f t="shared" si="103"/>
        <v>0</v>
      </c>
      <c r="H60" s="2522">
        <f t="shared" si="103"/>
        <v>0</v>
      </c>
      <c r="I60" s="815">
        <f t="shared" si="103"/>
        <v>0</v>
      </c>
      <c r="J60" s="2522">
        <f t="shared" si="103"/>
        <v>0</v>
      </c>
      <c r="K60" s="815">
        <f t="shared" si="103"/>
        <v>0</v>
      </c>
      <c r="L60" s="2522">
        <f t="shared" si="103"/>
        <v>0</v>
      </c>
      <c r="M60" s="815">
        <f t="shared" si="103"/>
        <v>0</v>
      </c>
      <c r="N60" s="2522">
        <f t="shared" si="103"/>
        <v>0</v>
      </c>
      <c r="O60" s="815">
        <f t="shared" si="103"/>
        <v>0</v>
      </c>
      <c r="P60" s="2522">
        <f t="shared" si="103"/>
        <v>0</v>
      </c>
      <c r="Q60" s="815">
        <f t="shared" si="103"/>
        <v>0</v>
      </c>
      <c r="R60" s="2522">
        <f t="shared" si="103"/>
        <v>0</v>
      </c>
      <c r="S60" s="815">
        <f t="shared" si="103"/>
        <v>0</v>
      </c>
      <c r="T60" s="2525">
        <f t="shared" si="103"/>
        <v>0</v>
      </c>
      <c r="U60" s="815">
        <f t="shared" si="103"/>
        <v>0</v>
      </c>
      <c r="V60" s="2522">
        <f t="shared" si="103"/>
        <v>0</v>
      </c>
      <c r="W60" s="815">
        <f t="shared" si="103"/>
        <v>0</v>
      </c>
      <c r="X60" s="2522">
        <f t="shared" si="103"/>
        <v>0</v>
      </c>
      <c r="Y60" s="815">
        <f t="shared" si="103"/>
        <v>0</v>
      </c>
      <c r="Z60" s="2522">
        <f t="shared" si="103"/>
        <v>0</v>
      </c>
      <c r="AA60" s="815">
        <f t="shared" si="103"/>
        <v>0</v>
      </c>
      <c r="AB60" s="2522">
        <f t="shared" si="103"/>
        <v>0</v>
      </c>
      <c r="AC60" s="815">
        <f t="shared" si="103"/>
        <v>0</v>
      </c>
      <c r="AD60" s="2522">
        <f t="shared" si="103"/>
        <v>0</v>
      </c>
      <c r="AE60" s="815">
        <f t="shared" si="103"/>
        <v>0</v>
      </c>
      <c r="AF60" s="2522">
        <f t="shared" si="103"/>
        <v>0</v>
      </c>
      <c r="AG60" s="815">
        <f t="shared" si="103"/>
        <v>0</v>
      </c>
      <c r="AH60" s="2522">
        <f t="shared" si="103"/>
        <v>0</v>
      </c>
      <c r="AI60" s="815">
        <f t="shared" si="103"/>
        <v>0</v>
      </c>
      <c r="AJ60" s="2522">
        <f t="shared" si="103"/>
        <v>0</v>
      </c>
      <c r="AK60" s="815">
        <f t="shared" si="103"/>
        <v>0</v>
      </c>
      <c r="AL60" s="2522">
        <f t="shared" si="103"/>
        <v>0</v>
      </c>
      <c r="AM60" s="815">
        <f t="shared" si="103"/>
        <v>0</v>
      </c>
      <c r="AN60" s="2522">
        <f t="shared" si="103"/>
        <v>0</v>
      </c>
      <c r="AO60" s="815">
        <f t="shared" si="103"/>
        <v>0</v>
      </c>
      <c r="AP60" s="2523">
        <f t="shared" si="103"/>
        <v>0</v>
      </c>
      <c r="AQ60" s="2522">
        <f t="shared" si="103"/>
        <v>0</v>
      </c>
      <c r="AR60" s="815">
        <f t="shared" si="103"/>
        <v>0</v>
      </c>
      <c r="AS60" s="815">
        <f t="shared" si="103"/>
        <v>0</v>
      </c>
      <c r="AT60" s="815">
        <f t="shared" si="103"/>
        <v>0</v>
      </c>
      <c r="AU60" s="815">
        <f t="shared" si="103"/>
        <v>0</v>
      </c>
      <c r="AV60" s="817">
        <f>SUM(AV55:AV59)</f>
        <v>0</v>
      </c>
      <c r="AW60" s="815">
        <f t="shared" si="103"/>
        <v>0</v>
      </c>
      <c r="AX60" s="2529">
        <f t="shared" si="103"/>
        <v>0</v>
      </c>
      <c r="CW60"/>
      <c r="CX60"/>
      <c r="CY60"/>
      <c r="CZ60"/>
      <c r="DA60"/>
      <c r="DB60"/>
      <c r="DC60"/>
      <c r="DD60"/>
      <c r="DE60"/>
      <c r="DG60"/>
      <c r="DH60"/>
      <c r="DI60"/>
      <c r="DJ60"/>
      <c r="DK60"/>
      <c r="DL60"/>
      <c r="DM60"/>
    </row>
    <row r="61" spans="1:119" ht="15" customHeight="1" x14ac:dyDescent="0.25">
      <c r="A61" s="7389" t="s">
        <v>741</v>
      </c>
      <c r="B61" s="7390"/>
      <c r="C61" s="821">
        <v>0</v>
      </c>
      <c r="D61" s="810">
        <f>SUM(E61:F61)</f>
        <v>0</v>
      </c>
      <c r="E61" s="811">
        <f>SUM(Y61+AA61+AC61+AE61+AG61+AI61+AK61+AM61+AO61)</f>
        <v>0</v>
      </c>
      <c r="F61" s="809">
        <f>SUM(Z61+AB61+AD61+AF61+AH61+AJ61+AL61+AN61+AP61)</f>
        <v>0</v>
      </c>
      <c r="G61" s="6382"/>
      <c r="H61" s="6383"/>
      <c r="I61" s="6384"/>
      <c r="J61" s="6383"/>
      <c r="K61" s="6384"/>
      <c r="L61" s="6383"/>
      <c r="M61" s="6384"/>
      <c r="N61" s="6383"/>
      <c r="O61" s="6384"/>
      <c r="P61" s="6383"/>
      <c r="Q61" s="6384"/>
      <c r="R61" s="6383"/>
      <c r="S61" s="6385"/>
      <c r="T61" s="6386"/>
      <c r="U61" s="6384"/>
      <c r="V61" s="6383"/>
      <c r="W61" s="6384"/>
      <c r="X61" s="6383"/>
      <c r="Y61" s="1958"/>
      <c r="Z61" s="6374"/>
      <c r="AA61" s="1958"/>
      <c r="AB61" s="6374"/>
      <c r="AC61" s="6387"/>
      <c r="AD61" s="6388"/>
      <c r="AE61" s="6389"/>
      <c r="AF61" s="6390"/>
      <c r="AG61" s="6389"/>
      <c r="AH61" s="6390"/>
      <c r="AI61" s="6352"/>
      <c r="AJ61" s="6374"/>
      <c r="AK61" s="1958"/>
      <c r="AL61" s="6374"/>
      <c r="AM61" s="6387"/>
      <c r="AN61" s="6388"/>
      <c r="AO61" s="6352"/>
      <c r="AP61" s="6334"/>
      <c r="AQ61" s="6391"/>
      <c r="AR61" s="1956"/>
      <c r="AS61" s="1956"/>
      <c r="AT61" s="6392"/>
      <c r="AU61" s="1956"/>
      <c r="AV61" s="1956"/>
      <c r="AW61" s="6392"/>
      <c r="AX61" s="6393"/>
      <c r="AY61" t="str">
        <f t="shared" si="45"/>
        <v/>
      </c>
      <c r="CW61" s="1791" t="str">
        <f t="shared" ref="CW61:CW63" si="104">IF(AND((Y61+Z61)&gt;0,AQ61="")," * No olvide digitar la variable 12 años. Si no tiene digite Cero.",IF(AQ61&gt;(Y61+Z61),"* Las Consultas de 12 años NO DEBEN ser mayor que el total de Consultas entre 10-14 años",""))</f>
        <v/>
      </c>
      <c r="CX61" s="1791" t="str">
        <f t="shared" ref="CX61:CX63" si="105">IF(AND(F61&gt;0,AR61="")," * No olvide digitar la variable Embarazadas. Digite cero si no tiene.","")</f>
        <v/>
      </c>
      <c r="CY61" s="1791" t="str">
        <f t="shared" ref="CY61:CY63" si="106">IF(AR61&gt;F61," * Las Embarazadas NO DEBEN ser mayor al total de mujeres. ","")</f>
        <v/>
      </c>
      <c r="CZ61" s="1791" t="str">
        <f t="shared" ref="CZ61:CZ63" si="107">IF(AND((AK61+AL61)&gt;0,AS61="")," * No olvide digitar la variable 60 años. Si no tiene digite Cero.",IF(AS61&gt;(AK61+AL61)," * Las consultas de 60 años NO DEBEN ser mayor que el Total de consultas del grupo 60-64 años",""))</f>
        <v/>
      </c>
      <c r="DA61" s="1791" t="str">
        <f t="shared" ref="DA61:DA63" si="108">IF(AND(D61&gt;0,AT61="")," * No olvide digitar la variable Usuarios con Discapacidad. Digite Cero si no tiene.",IF(AT61&gt;D61," * La variable Usuarios con Discapacidad No puede ser mayor al Total Ambos Sexos.",""))</f>
        <v/>
      </c>
      <c r="DB61" s="1791" t="str">
        <f t="shared" ref="DB61:DB63" si="109">IF(AND(D61&gt;0,AU61="")," * No olvide digitar la variable Niños, niñas, adolescentes y jóvenes población SENAME. Digite Cero si no tiene.",IF(AU61&gt;D61," * La variable Niños, niñas, adolescentes y jóvenes población SENAME No puede ser mayor al Total Ambos Sexos.",""))</f>
        <v/>
      </c>
      <c r="DC61" s="1791" t="str">
        <f t="shared" ref="DC61:DC63" si="110">IF(AND(D61&gt;0,AV61="")," * No olvide digitar la variable Niños, niñas, adolescentes y jóvenes Mejor Niñez. Digite Cero si no tiene.",IF(AV61&gt;D61," * La variable Niños, niñas, adolescentes y jóvenes Mejor Niñez No puede ser mayor al Total Ambos Sexos.",""))</f>
        <v/>
      </c>
      <c r="DD61" s="1791" t="str">
        <f t="shared" ref="DD61:DD63" si="111">IF(AND(D61&gt;0,AW61="")," * No olvide digitar la variable Migrantes. Digite Cero si no tiene.",IF(AW61&gt;D61," * La variable Migrantes No puede ser mayor al Total.",""))</f>
        <v/>
      </c>
      <c r="DE61" s="1791" t="str">
        <f t="shared" si="51"/>
        <v/>
      </c>
      <c r="DG61" s="1793">
        <f t="shared" ref="DG61:DG63" si="112">IF(AND((Y61+Z61)&gt;0,AQ61=""),1,IF(AQ61&gt;(Y61+Z61),1,0))</f>
        <v>0</v>
      </c>
      <c r="DH61" s="1793">
        <f t="shared" ref="DH61:DH63" si="113">IF(AND(F61&gt;0,AR61=""),1,0)</f>
        <v>0</v>
      </c>
      <c r="DI61" s="1793">
        <f t="shared" ref="DI61:DI63" si="114">IF(AR61&gt;F61,1,0)</f>
        <v>0</v>
      </c>
      <c r="DJ61" s="1793">
        <f t="shared" ref="DJ61:DJ63" si="115">IF(AND((AK61+AL61)&gt;0,AS61=""),1,IF(AS61&gt;(AK61+AL61),1,0))</f>
        <v>0</v>
      </c>
      <c r="DK61" s="1793">
        <f t="shared" ref="DK61:DK63" si="116">IF(AND(D61&gt;0,AT61=""),1,IF(AT61&gt;D61,1,0))</f>
        <v>0</v>
      </c>
      <c r="DL61" s="1793">
        <f t="shared" ref="DL61:DL63" si="117">IF(AND(D61&gt;0,AU61=""),1,IF(AU61&gt;D61,1,0))</f>
        <v>0</v>
      </c>
      <c r="DM61" s="1793">
        <f t="shared" ref="DM61:DM63" si="118">IF(AND(D61&gt;0,AV61=""),1,IF(AV61&gt;D61,1,0))</f>
        <v>0</v>
      </c>
      <c r="DN61" s="1793">
        <f t="shared" ref="DN61:DN63" si="119">IF(AND(D61&gt;0,AW61=""),1,IF(AW61&gt;D61,1,0))</f>
        <v>0</v>
      </c>
      <c r="DO61" s="1793">
        <f t="shared" ref="DO61:DO63" si="120">IF(AND(D61&gt;0,AX61=""),1,IF(AX61&gt;D61,1,0))</f>
        <v>0</v>
      </c>
    </row>
    <row r="62" spans="1:119" ht="15" customHeight="1" x14ac:dyDescent="0.25">
      <c r="A62" s="7391"/>
      <c r="B62" s="7392"/>
      <c r="C62" s="821" t="s">
        <v>742</v>
      </c>
      <c r="D62" s="810">
        <f>SUM(E62:F62)</f>
        <v>0</v>
      </c>
      <c r="E62" s="811">
        <f t="shared" ref="E62:F63" si="121">SUM(Y62+AA62+AC62+AE62+AG62+AI62+AK62+AM62+AO62)</f>
        <v>0</v>
      </c>
      <c r="F62" s="809">
        <f t="shared" si="121"/>
        <v>0</v>
      </c>
      <c r="G62" s="6394"/>
      <c r="H62" s="6395"/>
      <c r="I62" s="6394"/>
      <c r="J62" s="6395"/>
      <c r="K62" s="6394"/>
      <c r="L62" s="6395"/>
      <c r="M62" s="6394"/>
      <c r="N62" s="6395"/>
      <c r="O62" s="6394"/>
      <c r="P62" s="6395"/>
      <c r="Q62" s="6394"/>
      <c r="R62" s="6395"/>
      <c r="S62" s="6385"/>
      <c r="T62" s="6386"/>
      <c r="U62" s="6394"/>
      <c r="V62" s="6395"/>
      <c r="W62" s="6394"/>
      <c r="X62" s="6395"/>
      <c r="Y62" s="1958"/>
      <c r="Z62" s="6374"/>
      <c r="AA62" s="1958"/>
      <c r="AB62" s="6374"/>
      <c r="AC62" s="1958"/>
      <c r="AD62" s="6374"/>
      <c r="AE62" s="6352"/>
      <c r="AF62" s="6374"/>
      <c r="AG62" s="6352"/>
      <c r="AH62" s="6374"/>
      <c r="AI62" s="6352"/>
      <c r="AJ62" s="6374"/>
      <c r="AK62" s="1958"/>
      <c r="AL62" s="6374"/>
      <c r="AM62" s="1958"/>
      <c r="AN62" s="6374"/>
      <c r="AO62" s="6352"/>
      <c r="AP62" s="6376"/>
      <c r="AQ62" s="6377"/>
      <c r="AR62" s="1956"/>
      <c r="AS62" s="1956"/>
      <c r="AT62" s="1959"/>
      <c r="AU62" s="1956"/>
      <c r="AV62" s="1956"/>
      <c r="AW62" s="1959"/>
      <c r="AX62" s="1959"/>
      <c r="AY62" t="str">
        <f t="shared" si="45"/>
        <v/>
      </c>
      <c r="CW62" s="1791" t="str">
        <f t="shared" si="104"/>
        <v/>
      </c>
      <c r="CX62" s="1791" t="str">
        <f t="shared" si="105"/>
        <v/>
      </c>
      <c r="CY62" s="1791" t="str">
        <f t="shared" si="106"/>
        <v/>
      </c>
      <c r="CZ62" s="1791" t="str">
        <f t="shared" si="107"/>
        <v/>
      </c>
      <c r="DA62" s="1791" t="str">
        <f t="shared" si="108"/>
        <v/>
      </c>
      <c r="DB62" s="1791" t="str">
        <f t="shared" si="109"/>
        <v/>
      </c>
      <c r="DC62" s="1791" t="str">
        <f t="shared" si="110"/>
        <v/>
      </c>
      <c r="DD62" s="1791" t="str">
        <f t="shared" si="111"/>
        <v/>
      </c>
      <c r="DE62" s="1791" t="str">
        <f t="shared" si="51"/>
        <v/>
      </c>
      <c r="DG62" s="1793">
        <f t="shared" si="112"/>
        <v>0</v>
      </c>
      <c r="DH62" s="1793">
        <f t="shared" si="113"/>
        <v>0</v>
      </c>
      <c r="DI62" s="1793">
        <f t="shared" si="114"/>
        <v>0</v>
      </c>
      <c r="DJ62" s="1793">
        <f t="shared" si="115"/>
        <v>0</v>
      </c>
      <c r="DK62" s="1793">
        <f t="shared" si="116"/>
        <v>0</v>
      </c>
      <c r="DL62" s="1793">
        <f t="shared" si="117"/>
        <v>0</v>
      </c>
      <c r="DM62" s="1793">
        <f t="shared" si="118"/>
        <v>0</v>
      </c>
      <c r="DN62" s="1793">
        <f t="shared" si="119"/>
        <v>0</v>
      </c>
      <c r="DO62" s="1793">
        <f t="shared" si="120"/>
        <v>0</v>
      </c>
    </row>
    <row r="63" spans="1:119" ht="15" customHeight="1" x14ac:dyDescent="0.25">
      <c r="A63" s="7391"/>
      <c r="B63" s="7392"/>
      <c r="C63" s="601" t="s">
        <v>743</v>
      </c>
      <c r="D63" s="810">
        <f>SUM(E63:F63)</f>
        <v>0</v>
      </c>
      <c r="E63" s="811">
        <f t="shared" si="121"/>
        <v>0</v>
      </c>
      <c r="F63" s="809">
        <f t="shared" si="121"/>
        <v>0</v>
      </c>
      <c r="G63" s="6394"/>
      <c r="H63" s="6395"/>
      <c r="I63" s="6394"/>
      <c r="J63" s="6395"/>
      <c r="K63" s="6394"/>
      <c r="L63" s="6395"/>
      <c r="M63" s="6394"/>
      <c r="N63" s="6395"/>
      <c r="O63" s="6394"/>
      <c r="P63" s="6395"/>
      <c r="Q63" s="6394"/>
      <c r="R63" s="6395"/>
      <c r="S63" s="6385"/>
      <c r="T63" s="6386"/>
      <c r="U63" s="6394"/>
      <c r="V63" s="6395"/>
      <c r="W63" s="6394"/>
      <c r="X63" s="6395"/>
      <c r="Y63" s="1958"/>
      <c r="Z63" s="6374"/>
      <c r="AA63" s="1958"/>
      <c r="AB63" s="6374"/>
      <c r="AC63" s="1958"/>
      <c r="AD63" s="6374"/>
      <c r="AE63" s="6352"/>
      <c r="AF63" s="6374"/>
      <c r="AG63" s="6352"/>
      <c r="AH63" s="6374"/>
      <c r="AI63" s="6352"/>
      <c r="AJ63" s="6374"/>
      <c r="AK63" s="1958"/>
      <c r="AL63" s="6374"/>
      <c r="AM63" s="1934"/>
      <c r="AN63" s="6351"/>
      <c r="AO63" s="6352"/>
      <c r="AP63" s="6376"/>
      <c r="AQ63" s="6356"/>
      <c r="AR63" s="1956"/>
      <c r="AS63" s="1956"/>
      <c r="AT63" s="1959"/>
      <c r="AU63" s="1956"/>
      <c r="AV63" s="1956"/>
      <c r="AW63" s="1959"/>
      <c r="AX63" s="1959"/>
      <c r="AY63" t="str">
        <f t="shared" si="45"/>
        <v/>
      </c>
      <c r="CW63" s="1791" t="str">
        <f t="shared" si="104"/>
        <v/>
      </c>
      <c r="CX63" s="1791" t="str">
        <f t="shared" si="105"/>
        <v/>
      </c>
      <c r="CY63" s="1791" t="str">
        <f t="shared" si="106"/>
        <v/>
      </c>
      <c r="CZ63" s="1791" t="str">
        <f t="shared" si="107"/>
        <v/>
      </c>
      <c r="DA63" s="1791" t="str">
        <f t="shared" si="108"/>
        <v/>
      </c>
      <c r="DB63" s="1791" t="str">
        <f t="shared" si="109"/>
        <v/>
      </c>
      <c r="DC63" s="1791" t="str">
        <f t="shared" si="110"/>
        <v/>
      </c>
      <c r="DD63" s="1791" t="str">
        <f t="shared" si="111"/>
        <v/>
      </c>
      <c r="DE63" s="1791" t="str">
        <f t="shared" si="51"/>
        <v/>
      </c>
      <c r="DG63" s="1793">
        <f t="shared" si="112"/>
        <v>0</v>
      </c>
      <c r="DH63" s="1793">
        <f t="shared" si="113"/>
        <v>0</v>
      </c>
      <c r="DI63" s="1793">
        <f t="shared" si="114"/>
        <v>0</v>
      </c>
      <c r="DJ63" s="1793">
        <f t="shared" si="115"/>
        <v>0</v>
      </c>
      <c r="DK63" s="1793">
        <f t="shared" si="116"/>
        <v>0</v>
      </c>
      <c r="DL63" s="1793">
        <f t="shared" si="117"/>
        <v>0</v>
      </c>
      <c r="DM63" s="1793">
        <f t="shared" si="118"/>
        <v>0</v>
      </c>
      <c r="DN63" s="1793">
        <f t="shared" si="119"/>
        <v>0</v>
      </c>
      <c r="DO63" s="1793">
        <f t="shared" si="120"/>
        <v>0</v>
      </c>
    </row>
    <row r="64" spans="1:119" ht="15" customHeight="1" x14ac:dyDescent="0.25">
      <c r="A64" s="7562"/>
      <c r="B64" s="7610"/>
      <c r="C64" s="569" t="s">
        <v>24</v>
      </c>
      <c r="D64" s="815">
        <f>SUM(E64:F64)</f>
        <v>0</v>
      </c>
      <c r="E64" s="816">
        <f>SUM(E61:E63)</f>
        <v>0</v>
      </c>
      <c r="F64" s="817">
        <f>SUM(F61:F63)</f>
        <v>0</v>
      </c>
      <c r="G64" s="7417"/>
      <c r="H64" s="7418"/>
      <c r="I64" s="7418"/>
      <c r="J64" s="7418"/>
      <c r="K64" s="7418"/>
      <c r="L64" s="7418"/>
      <c r="M64" s="7418"/>
      <c r="N64" s="7418"/>
      <c r="O64" s="7418"/>
      <c r="P64" s="7418"/>
      <c r="Q64" s="7418"/>
      <c r="R64" s="7418"/>
      <c r="S64" s="7418"/>
      <c r="T64" s="7418"/>
      <c r="U64" s="7418"/>
      <c r="V64" s="7418"/>
      <c r="W64" s="7418"/>
      <c r="X64" s="7419"/>
      <c r="Y64" s="815">
        <f>SUM(Y61:Y63)</f>
        <v>0</v>
      </c>
      <c r="Z64" s="817">
        <f t="shared" ref="Z64:AX64" si="122">SUM(Z61:Z63)</f>
        <v>0</v>
      </c>
      <c r="AA64" s="815">
        <f t="shared" si="122"/>
        <v>0</v>
      </c>
      <c r="AB64" s="817">
        <f t="shared" si="122"/>
        <v>0</v>
      </c>
      <c r="AC64" s="815">
        <f t="shared" si="122"/>
        <v>0</v>
      </c>
      <c r="AD64" s="2525">
        <f t="shared" si="122"/>
        <v>0</v>
      </c>
      <c r="AE64" s="2522">
        <f t="shared" si="122"/>
        <v>0</v>
      </c>
      <c r="AF64" s="2525">
        <f t="shared" si="122"/>
        <v>0</v>
      </c>
      <c r="AG64" s="2522">
        <f t="shared" si="122"/>
        <v>0</v>
      </c>
      <c r="AH64" s="2525">
        <f t="shared" si="122"/>
        <v>0</v>
      </c>
      <c r="AI64" s="2522">
        <f t="shared" si="122"/>
        <v>0</v>
      </c>
      <c r="AJ64" s="817">
        <f t="shared" si="122"/>
        <v>0</v>
      </c>
      <c r="AK64" s="815">
        <f t="shared" si="122"/>
        <v>0</v>
      </c>
      <c r="AL64" s="817">
        <f t="shared" si="122"/>
        <v>0</v>
      </c>
      <c r="AM64" s="815">
        <f t="shared" si="122"/>
        <v>0</v>
      </c>
      <c r="AN64" s="2525">
        <f t="shared" si="122"/>
        <v>0</v>
      </c>
      <c r="AO64" s="2522">
        <f t="shared" si="122"/>
        <v>0</v>
      </c>
      <c r="AP64" s="2523">
        <f t="shared" si="122"/>
        <v>0</v>
      </c>
      <c r="AQ64" s="2526">
        <f t="shared" si="122"/>
        <v>0</v>
      </c>
      <c r="AR64" s="817">
        <f t="shared" si="122"/>
        <v>0</v>
      </c>
      <c r="AS64" s="817">
        <f t="shared" si="122"/>
        <v>0</v>
      </c>
      <c r="AT64" s="2524">
        <f t="shared" si="122"/>
        <v>0</v>
      </c>
      <c r="AU64" s="817">
        <f t="shared" si="122"/>
        <v>0</v>
      </c>
      <c r="AV64" s="817">
        <f t="shared" si="122"/>
        <v>0</v>
      </c>
      <c r="AW64" s="2524">
        <f t="shared" si="122"/>
        <v>0</v>
      </c>
      <c r="AX64" s="2529">
        <f t="shared" si="122"/>
        <v>0</v>
      </c>
      <c r="CW64"/>
      <c r="CX64"/>
      <c r="CY64"/>
      <c r="CZ64"/>
      <c r="DA64"/>
      <c r="DB64"/>
      <c r="DC64"/>
      <c r="DD64"/>
      <c r="DE64"/>
      <c r="DG64"/>
      <c r="DH64"/>
      <c r="DI64"/>
      <c r="DJ64"/>
      <c r="DK64"/>
      <c r="DL64"/>
      <c r="DM64"/>
    </row>
    <row r="65" spans="1:117" ht="18" customHeight="1" x14ac:dyDescent="0.25">
      <c r="A65" s="122" t="s">
        <v>744</v>
      </c>
      <c r="B65" s="2527"/>
      <c r="C65" s="2527"/>
      <c r="D65" s="2528"/>
      <c r="E65" s="163"/>
      <c r="F65" s="782"/>
      <c r="G65" s="782"/>
      <c r="H65" s="782"/>
      <c r="I65" s="782"/>
      <c r="J65" s="782"/>
      <c r="CW65"/>
      <c r="CX65"/>
      <c r="CY65"/>
      <c r="CZ65"/>
      <c r="DA65"/>
      <c r="DB65"/>
      <c r="DC65"/>
      <c r="DD65"/>
      <c r="DE65"/>
      <c r="DG65"/>
      <c r="DH65"/>
      <c r="DI65"/>
      <c r="DJ65"/>
      <c r="DK65"/>
      <c r="DL65"/>
      <c r="DM65"/>
    </row>
    <row r="66" spans="1:117" ht="42" x14ac:dyDescent="0.25">
      <c r="A66" s="7537" t="s">
        <v>502</v>
      </c>
      <c r="B66" s="7603"/>
      <c r="C66" s="7488"/>
      <c r="D66" s="2518" t="s">
        <v>24</v>
      </c>
      <c r="E66" s="2518" t="s">
        <v>39</v>
      </c>
      <c r="F66" s="172" t="s">
        <v>745</v>
      </c>
      <c r="G66" s="172" t="s">
        <v>678</v>
      </c>
      <c r="H66" s="2517" t="s">
        <v>746</v>
      </c>
      <c r="I66" s="2517" t="s">
        <v>747</v>
      </c>
      <c r="J66" s="2517" t="s">
        <v>3</v>
      </c>
      <c r="CW66"/>
      <c r="CX66"/>
      <c r="CY66"/>
      <c r="CZ66"/>
      <c r="DA66"/>
      <c r="DB66"/>
      <c r="DC66"/>
      <c r="DD66"/>
      <c r="DE66"/>
      <c r="DG66"/>
      <c r="DH66"/>
      <c r="DI66"/>
      <c r="DJ66"/>
      <c r="DK66"/>
      <c r="DL66"/>
      <c r="DM66"/>
    </row>
    <row r="67" spans="1:117" ht="15" customHeight="1" x14ac:dyDescent="0.25">
      <c r="A67" s="7614" t="s">
        <v>748</v>
      </c>
      <c r="B67" s="7615"/>
      <c r="C67" s="7616"/>
      <c r="D67" s="831"/>
      <c r="E67" s="831"/>
      <c r="F67" s="831"/>
      <c r="G67" s="831"/>
      <c r="H67" s="831"/>
      <c r="I67" s="831"/>
      <c r="J67" s="831"/>
      <c r="K67" t="str">
        <f>CW67&amp;CX67&amp;CY67&amp;CZ67&amp;DA67&amp;DB67&amp;DC67&amp;DD67&amp;DE67</f>
        <v/>
      </c>
      <c r="CW67" s="1791" t="str">
        <f>IF(AND(D67&gt;0,E67=""), "* No olvide digitar la variable Gestantes. Digite Cero si no tiene.",IF(E67&gt;D67,"  * La variable Gestantes No puede ser mayor al Total.",""))</f>
        <v/>
      </c>
      <c r="CX67" s="1791" t="str">
        <f>IF(AND(D67&gt;0,F67=""), "* No olvide digitar la variable 60 años. Digite Cero si no tiene.",IF(F67&gt;D67,"  * La variable 60 años No puede ser mayor al Total.",""))</f>
        <v/>
      </c>
      <c r="CY67" s="1791" t="str">
        <f>IF(AND(D67&gt;0,G67=""), "* No olvide digitar la variable Usuarios con Discapacidad. Digite Cero si no tiene.",IF(G67&gt;D67,"  * La variable Usuarios con Discapacidad No puede ser mayor al Total.",""))</f>
        <v/>
      </c>
      <c r="CZ67" s="1791" t="str">
        <f>IF(AND(D67&gt;0,H67=""), "* No olvide digitar la variable Niños, niñas, adolescentes y jóvenes SENAME. Digite Cero si no tiene.",IF(H67&gt;D67,"  * La variable  Niños, niñas, adolescentes y jóvenes SENAME No puede ser mayor al Total.",""))</f>
        <v/>
      </c>
      <c r="DA67" s="1791" t="str">
        <f>IF(AND(D67&gt;0,I67=""), "* No olvide digitar la variable Niños, niñas, adolescentes y jóvenes Mejor niñez. Digite Cero si no tiene.",IF(I67&gt;D67,"  * La variable  Niños, niñas, adolescentes y jóvenes Mejor niñez  No puede ser mayor al Total.",""))</f>
        <v/>
      </c>
      <c r="DB67" s="1791" t="str">
        <f>IF(AND(D67&gt;0,J67=""), "* No olvide digitar la variable Migrantes. Digite Cero si no tiene.",IF(J67&gt;D67,"  * La variable Migrantes No puede ser mayor al Total.",""))</f>
        <v/>
      </c>
      <c r="DC67"/>
      <c r="DD67"/>
      <c r="DE67"/>
      <c r="DG67" s="1793">
        <f>IF(AND(D67&gt;0,E67=""),1,IF(E67&gt;D67,1,0))</f>
        <v>0</v>
      </c>
      <c r="DH67" s="1793">
        <f>IF(AND(D67&gt;0,F67=""),1,IF(F67&gt;D67,1,0))</f>
        <v>0</v>
      </c>
      <c r="DI67" s="1793">
        <f>IF(AND(D67&gt;0,G67=""),1,IF(G67&gt;D67,1,0))</f>
        <v>0</v>
      </c>
      <c r="DJ67" s="1793">
        <f>IF(AND(D67&gt;0,H67=""),1,IF(H67&gt;D67,1,0))</f>
        <v>0</v>
      </c>
      <c r="DK67" s="1793">
        <f>IF(AND(D67&gt;0,I67=""),1,IF(I67&gt;D67,1,0))</f>
        <v>0</v>
      </c>
      <c r="DL67" s="1793">
        <f>IF(AND(D67&gt;0,J67=""),1,IF(J67&gt;D67,1,0))</f>
        <v>0</v>
      </c>
      <c r="DM67"/>
    </row>
    <row r="68" spans="1:117" ht="15" customHeight="1" x14ac:dyDescent="0.25">
      <c r="A68" s="7364" t="s">
        <v>749</v>
      </c>
      <c r="B68" s="7617" t="s">
        <v>750</v>
      </c>
      <c r="C68" s="7618"/>
      <c r="D68" s="832"/>
      <c r="E68" s="832"/>
      <c r="F68" s="832"/>
      <c r="G68" s="832"/>
      <c r="H68" s="832"/>
      <c r="I68" s="832"/>
      <c r="J68" s="832"/>
      <c r="K68" t="str">
        <f t="shared" ref="K68:K78" si="123">CW68&amp;CX68&amp;CY68&amp;CZ68&amp;DA68&amp;DB68&amp;DC68&amp;DD68&amp;DE68</f>
        <v/>
      </c>
      <c r="CW68" s="1791" t="str">
        <f t="shared" ref="CW68:CW78" si="124">IF(AND(D68&gt;0,E68=""), "* No olvide digitar la variable Gestantes. Digite Cero si no tiene.",IF(E68&gt;D68,"  * La variable Gestantes No puede ser mayor al Total.",""))</f>
        <v/>
      </c>
      <c r="CX68" s="1791" t="str">
        <f t="shared" ref="CX68:CX78" si="125">IF(AND(D68&gt;0,F68=""), "* No olvide digitar la variable 60 años. Digite Cero si no tiene.",IF(F68&gt;D68,"  * La variable 60 años No puede ser mayor al Total.",""))</f>
        <v/>
      </c>
      <c r="CY68" s="1791" t="str">
        <f t="shared" ref="CY68:CY78" si="126">IF(AND(D68&gt;0,G68=""), "* No olvide digitar la variable Usuarios con Discapacidad. Digite Cero si no tiene.",IF(G68&gt;D68,"  * La variable Usuarios con Discapacidad No puede ser mayor al Total.",""))</f>
        <v/>
      </c>
      <c r="CZ68" s="1791" t="str">
        <f t="shared" ref="CZ68:CZ78" si="127">IF(AND(D68&gt;0,H68=""), "* No olvide digitar la variable Niños, niñas, adolescentes y jóvenes SENAME. Digite Cero si no tiene.",IF(H68&gt;D68,"  * La variable  Niños, niñas, adolescentes y jóvenes SENAME No puede ser mayor al Total.",""))</f>
        <v/>
      </c>
      <c r="DA68" s="1791" t="str">
        <f t="shared" ref="DA68:DA78" si="128">IF(AND(D68&gt;0,I68=""), "* No olvide digitar la variable Niños, niñas, adolescentes y jóvenes Mejor niñez. Digite Cero si no tiene.",IF(I68&gt;D68,"  * La variable  Niños, niñas, adolescentes y jóvenes Mejor niñez  No puede ser mayor al Total.",""))</f>
        <v/>
      </c>
      <c r="DB68" s="1791" t="str">
        <f t="shared" ref="DB68:DB78" si="129">IF(AND(D68&gt;0,J68=""), "* No olvide digitar la variable Migrantes. Digite Cero si no tiene.",IF(J68&gt;D68,"  * La variable Migrantes No puede ser mayor al Total.",""))</f>
        <v/>
      </c>
      <c r="DC68"/>
      <c r="DD68"/>
      <c r="DE68"/>
      <c r="DG68" s="1793">
        <f t="shared" ref="DG68:DG78" si="130">IF(AND(D68&gt;0,E68=""),1,IF(E68&gt;D68,1,0))</f>
        <v>0</v>
      </c>
      <c r="DH68" s="1793">
        <f t="shared" ref="DH68:DH78" si="131">IF(AND(D68&gt;0,F68=""),1,IF(F68&gt;D68,1,0))</f>
        <v>0</v>
      </c>
      <c r="DI68" s="1793">
        <f t="shared" ref="DI68:DI78" si="132">IF(AND(D68&gt;0,G68=""),1,IF(G68&gt;D68,1,0))</f>
        <v>0</v>
      </c>
      <c r="DJ68" s="1793">
        <f t="shared" ref="DJ68:DJ78" si="133">IF(AND(D68&gt;0,H68=""),1,IF(H68&gt;D68,1,0))</f>
        <v>0</v>
      </c>
      <c r="DK68" s="1793">
        <f t="shared" ref="DK68:DK78" si="134">IF(AND(D68&gt;0,I68=""),1,IF(I68&gt;D68,1,0))</f>
        <v>0</v>
      </c>
      <c r="DL68" s="1793">
        <f t="shared" ref="DL68:DL78" si="135">IF(AND(D68&gt;0,J68=""),1,IF(J68&gt;D68,1,0))</f>
        <v>0</v>
      </c>
      <c r="DM68"/>
    </row>
    <row r="69" spans="1:117" ht="15" customHeight="1" x14ac:dyDescent="0.25">
      <c r="A69" s="7364"/>
      <c r="B69" s="7519" t="s">
        <v>751</v>
      </c>
      <c r="C69" s="7387"/>
      <c r="D69" s="833"/>
      <c r="E69" s="833"/>
      <c r="F69" s="833"/>
      <c r="G69" s="833"/>
      <c r="H69" s="833"/>
      <c r="I69" s="833"/>
      <c r="J69" s="833"/>
      <c r="K69" t="str">
        <f t="shared" si="123"/>
        <v/>
      </c>
      <c r="CW69" s="1791" t="str">
        <f t="shared" si="124"/>
        <v/>
      </c>
      <c r="CX69" s="1791" t="str">
        <f t="shared" si="125"/>
        <v/>
      </c>
      <c r="CY69" s="1791" t="str">
        <f t="shared" si="126"/>
        <v/>
      </c>
      <c r="CZ69" s="1791" t="str">
        <f t="shared" si="127"/>
        <v/>
      </c>
      <c r="DA69" s="1791" t="str">
        <f t="shared" si="128"/>
        <v/>
      </c>
      <c r="DB69" s="1791" t="str">
        <f t="shared" si="129"/>
        <v/>
      </c>
      <c r="DC69"/>
      <c r="DD69"/>
      <c r="DE69"/>
      <c r="DG69" s="1793">
        <f t="shared" si="130"/>
        <v>0</v>
      </c>
      <c r="DH69" s="1793">
        <f t="shared" si="131"/>
        <v>0</v>
      </c>
      <c r="DI69" s="1793">
        <f t="shared" si="132"/>
        <v>0</v>
      </c>
      <c r="DJ69" s="1793">
        <f t="shared" si="133"/>
        <v>0</v>
      </c>
      <c r="DK69" s="1793">
        <f t="shared" si="134"/>
        <v>0</v>
      </c>
      <c r="DL69" s="1793">
        <f t="shared" si="135"/>
        <v>0</v>
      </c>
      <c r="DM69"/>
    </row>
    <row r="70" spans="1:117" ht="15" customHeight="1" x14ac:dyDescent="0.25">
      <c r="A70" s="7606" t="s">
        <v>527</v>
      </c>
      <c r="B70" s="7607"/>
      <c r="C70" s="7608"/>
      <c r="D70" s="834"/>
      <c r="E70" s="834"/>
      <c r="F70" s="834"/>
      <c r="G70" s="834"/>
      <c r="H70" s="834"/>
      <c r="I70" s="834"/>
      <c r="J70" s="834"/>
      <c r="K70" t="str">
        <f t="shared" si="123"/>
        <v/>
      </c>
      <c r="CW70" s="1791" t="str">
        <f t="shared" si="124"/>
        <v/>
      </c>
      <c r="CX70" s="1791" t="str">
        <f t="shared" si="125"/>
        <v/>
      </c>
      <c r="CY70" s="1791" t="str">
        <f t="shared" si="126"/>
        <v/>
      </c>
      <c r="CZ70" s="1791" t="str">
        <f t="shared" si="127"/>
        <v/>
      </c>
      <c r="DA70" s="1791" t="str">
        <f t="shared" si="128"/>
        <v/>
      </c>
      <c r="DB70" s="1791" t="str">
        <f t="shared" si="129"/>
        <v/>
      </c>
      <c r="DC70"/>
      <c r="DD70"/>
      <c r="DE70"/>
      <c r="DG70" s="1793">
        <f t="shared" si="130"/>
        <v>0</v>
      </c>
      <c r="DH70" s="1793">
        <f t="shared" si="131"/>
        <v>0</v>
      </c>
      <c r="DI70" s="1793">
        <f t="shared" si="132"/>
        <v>0</v>
      </c>
      <c r="DJ70" s="1793">
        <f t="shared" si="133"/>
        <v>0</v>
      </c>
      <c r="DK70" s="1793">
        <f t="shared" si="134"/>
        <v>0</v>
      </c>
      <c r="DL70" s="1793">
        <f t="shared" si="135"/>
        <v>0</v>
      </c>
      <c r="DM70"/>
    </row>
    <row r="71" spans="1:117" ht="15" customHeight="1" x14ac:dyDescent="0.25">
      <c r="A71" s="7519" t="s">
        <v>752</v>
      </c>
      <c r="B71" s="7455"/>
      <c r="C71" s="7387"/>
      <c r="D71" s="833"/>
      <c r="E71" s="833"/>
      <c r="F71" s="833"/>
      <c r="G71" s="833"/>
      <c r="H71" s="833"/>
      <c r="I71" s="833"/>
      <c r="J71" s="833"/>
      <c r="K71" t="str">
        <f t="shared" si="123"/>
        <v/>
      </c>
      <c r="CW71" s="1791" t="str">
        <f t="shared" si="124"/>
        <v/>
      </c>
      <c r="CX71" s="1791" t="str">
        <f t="shared" si="125"/>
        <v/>
      </c>
      <c r="CY71" s="1791" t="str">
        <f t="shared" si="126"/>
        <v/>
      </c>
      <c r="CZ71" s="1791" t="str">
        <f t="shared" si="127"/>
        <v/>
      </c>
      <c r="DA71" s="1791" t="str">
        <f t="shared" si="128"/>
        <v/>
      </c>
      <c r="DB71" s="1791" t="str">
        <f t="shared" si="129"/>
        <v/>
      </c>
      <c r="DC71"/>
      <c r="DD71"/>
      <c r="DE71"/>
      <c r="DG71" s="1793">
        <f t="shared" si="130"/>
        <v>0</v>
      </c>
      <c r="DH71" s="1793">
        <f t="shared" si="131"/>
        <v>0</v>
      </c>
      <c r="DI71" s="1793">
        <f t="shared" si="132"/>
        <v>0</v>
      </c>
      <c r="DJ71" s="1793">
        <f t="shared" si="133"/>
        <v>0</v>
      </c>
      <c r="DK71" s="1793">
        <f t="shared" si="134"/>
        <v>0</v>
      </c>
      <c r="DL71" s="1793">
        <f t="shared" si="135"/>
        <v>0</v>
      </c>
      <c r="DM71"/>
    </row>
    <row r="72" spans="1:117" ht="15" customHeight="1" x14ac:dyDescent="0.25">
      <c r="A72" s="7562" t="s">
        <v>753</v>
      </c>
      <c r="B72" s="7609"/>
      <c r="C72" s="7610"/>
      <c r="D72" s="835"/>
      <c r="E72" s="835"/>
      <c r="F72" s="835"/>
      <c r="G72" s="835"/>
      <c r="H72" s="835"/>
      <c r="I72" s="835"/>
      <c r="J72" s="835"/>
      <c r="K72" t="str">
        <f t="shared" si="123"/>
        <v/>
      </c>
      <c r="CW72" s="1791" t="str">
        <f t="shared" si="124"/>
        <v/>
      </c>
      <c r="CX72" s="1791" t="str">
        <f t="shared" si="125"/>
        <v/>
      </c>
      <c r="CY72" s="1791" t="str">
        <f t="shared" si="126"/>
        <v/>
      </c>
      <c r="CZ72" s="1791" t="str">
        <f t="shared" si="127"/>
        <v/>
      </c>
      <c r="DA72" s="1791" t="str">
        <f t="shared" si="128"/>
        <v/>
      </c>
      <c r="DB72" s="1791" t="str">
        <f t="shared" si="129"/>
        <v/>
      </c>
      <c r="DC72"/>
      <c r="DD72"/>
      <c r="DE72"/>
      <c r="DG72" s="1793">
        <f t="shared" si="130"/>
        <v>0</v>
      </c>
      <c r="DH72" s="1793">
        <f t="shared" si="131"/>
        <v>0</v>
      </c>
      <c r="DI72" s="1793">
        <f t="shared" si="132"/>
        <v>0</v>
      </c>
      <c r="DJ72" s="1793">
        <f t="shared" si="133"/>
        <v>0</v>
      </c>
      <c r="DK72" s="1793">
        <f t="shared" si="134"/>
        <v>0</v>
      </c>
      <c r="DL72" s="1793">
        <f t="shared" si="135"/>
        <v>0</v>
      </c>
      <c r="DM72"/>
    </row>
    <row r="73" spans="1:117" ht="15" customHeight="1" x14ac:dyDescent="0.25">
      <c r="A73" s="7611" t="s">
        <v>754</v>
      </c>
      <c r="B73" s="7612"/>
      <c r="C73" s="7613"/>
      <c r="D73" s="834"/>
      <c r="E73" s="834"/>
      <c r="F73" s="836"/>
      <c r="G73" s="837"/>
      <c r="H73" s="837"/>
      <c r="I73" s="837"/>
      <c r="J73" s="837"/>
      <c r="K73" t="str">
        <f t="shared" si="123"/>
        <v/>
      </c>
      <c r="CW73" s="1791" t="str">
        <f t="shared" si="124"/>
        <v/>
      </c>
      <c r="CX73" s="1791" t="str">
        <f t="shared" si="125"/>
        <v/>
      </c>
      <c r="CY73" s="1791" t="str">
        <f t="shared" si="126"/>
        <v/>
      </c>
      <c r="CZ73" s="1791" t="str">
        <f t="shared" si="127"/>
        <v/>
      </c>
      <c r="DA73" s="1791" t="str">
        <f t="shared" si="128"/>
        <v/>
      </c>
      <c r="DB73" s="1791" t="str">
        <f t="shared" si="129"/>
        <v/>
      </c>
      <c r="DC73"/>
      <c r="DD73"/>
      <c r="DE73"/>
      <c r="DG73" s="1793">
        <f t="shared" si="130"/>
        <v>0</v>
      </c>
      <c r="DH73" s="1793">
        <f t="shared" si="131"/>
        <v>0</v>
      </c>
      <c r="DI73" s="1793">
        <f t="shared" si="132"/>
        <v>0</v>
      </c>
      <c r="DJ73" s="1793">
        <f t="shared" si="133"/>
        <v>0</v>
      </c>
      <c r="DK73" s="1793">
        <f t="shared" si="134"/>
        <v>0</v>
      </c>
      <c r="DL73" s="1793">
        <f t="shared" si="135"/>
        <v>0</v>
      </c>
      <c r="DM73"/>
    </row>
    <row r="74" spans="1:117" ht="15" customHeight="1" x14ac:dyDescent="0.25">
      <c r="A74" s="7606" t="s">
        <v>755</v>
      </c>
      <c r="B74" s="7607"/>
      <c r="C74" s="7608"/>
      <c r="D74" s="834"/>
      <c r="E74" s="834"/>
      <c r="F74" s="834"/>
      <c r="G74" s="834"/>
      <c r="H74" s="834"/>
      <c r="I74" s="834"/>
      <c r="J74" s="834"/>
      <c r="K74" t="str">
        <f t="shared" si="123"/>
        <v/>
      </c>
      <c r="CW74" s="1791" t="str">
        <f t="shared" si="124"/>
        <v/>
      </c>
      <c r="CX74" s="1791" t="str">
        <f t="shared" si="125"/>
        <v/>
      </c>
      <c r="CY74" s="1791" t="str">
        <f t="shared" si="126"/>
        <v/>
      </c>
      <c r="CZ74" s="1791" t="str">
        <f t="shared" si="127"/>
        <v/>
      </c>
      <c r="DA74" s="1791" t="str">
        <f t="shared" si="128"/>
        <v/>
      </c>
      <c r="DB74" s="1791" t="str">
        <f t="shared" si="129"/>
        <v/>
      </c>
      <c r="DC74"/>
      <c r="DD74"/>
      <c r="DE74"/>
      <c r="DG74" s="1793">
        <f t="shared" si="130"/>
        <v>0</v>
      </c>
      <c r="DH74" s="1793">
        <f t="shared" si="131"/>
        <v>0</v>
      </c>
      <c r="DI74" s="1793">
        <f t="shared" si="132"/>
        <v>0</v>
      </c>
      <c r="DJ74" s="1793">
        <f t="shared" si="133"/>
        <v>0</v>
      </c>
      <c r="DK74" s="1793">
        <f t="shared" si="134"/>
        <v>0</v>
      </c>
      <c r="DL74" s="1793">
        <f t="shared" si="135"/>
        <v>0</v>
      </c>
      <c r="DM74"/>
    </row>
    <row r="75" spans="1:117" ht="15" customHeight="1" x14ac:dyDescent="0.25">
      <c r="A75" s="7519" t="s">
        <v>756</v>
      </c>
      <c r="B75" s="7455"/>
      <c r="C75" s="7387"/>
      <c r="D75" s="833"/>
      <c r="E75" s="833"/>
      <c r="F75" s="838"/>
      <c r="G75" s="839"/>
      <c r="H75" s="839"/>
      <c r="I75" s="839"/>
      <c r="J75" s="839"/>
      <c r="K75" t="str">
        <f t="shared" si="123"/>
        <v/>
      </c>
      <c r="CW75" s="1791" t="str">
        <f t="shared" si="124"/>
        <v/>
      </c>
      <c r="CX75" s="1791" t="str">
        <f t="shared" si="125"/>
        <v/>
      </c>
      <c r="CY75" s="1791" t="str">
        <f t="shared" si="126"/>
        <v/>
      </c>
      <c r="CZ75" s="1791" t="str">
        <f t="shared" si="127"/>
        <v/>
      </c>
      <c r="DA75" s="1791" t="str">
        <f t="shared" si="128"/>
        <v/>
      </c>
      <c r="DB75" s="1791" t="str">
        <f t="shared" si="129"/>
        <v/>
      </c>
      <c r="DC75"/>
      <c r="DD75"/>
      <c r="DE75"/>
      <c r="DG75" s="1793">
        <f t="shared" si="130"/>
        <v>0</v>
      </c>
      <c r="DH75" s="1793">
        <f t="shared" si="131"/>
        <v>0</v>
      </c>
      <c r="DI75" s="1793">
        <f t="shared" si="132"/>
        <v>0</v>
      </c>
      <c r="DJ75" s="1793">
        <f t="shared" si="133"/>
        <v>0</v>
      </c>
      <c r="DK75" s="1793">
        <f t="shared" si="134"/>
        <v>0</v>
      </c>
      <c r="DL75" s="1793">
        <f t="shared" si="135"/>
        <v>0</v>
      </c>
      <c r="DM75"/>
    </row>
    <row r="76" spans="1:117" ht="15" customHeight="1" x14ac:dyDescent="0.25">
      <c r="A76" s="7519" t="s">
        <v>757</v>
      </c>
      <c r="B76" s="7455"/>
      <c r="C76" s="7387"/>
      <c r="D76" s="833"/>
      <c r="E76" s="833"/>
      <c r="F76" s="838"/>
      <c r="G76" s="839"/>
      <c r="H76" s="839"/>
      <c r="I76" s="839"/>
      <c r="J76" s="839"/>
      <c r="K76" t="str">
        <f t="shared" si="123"/>
        <v/>
      </c>
      <c r="CW76" s="1791" t="str">
        <f t="shared" si="124"/>
        <v/>
      </c>
      <c r="CX76" s="1791" t="str">
        <f t="shared" si="125"/>
        <v/>
      </c>
      <c r="CY76" s="1791" t="str">
        <f t="shared" si="126"/>
        <v/>
      </c>
      <c r="CZ76" s="1791" t="str">
        <f t="shared" si="127"/>
        <v/>
      </c>
      <c r="DA76" s="1791" t="str">
        <f t="shared" si="128"/>
        <v/>
      </c>
      <c r="DB76" s="1791" t="str">
        <f t="shared" si="129"/>
        <v/>
      </c>
      <c r="DC76"/>
      <c r="DD76"/>
      <c r="DE76"/>
      <c r="DG76" s="1793">
        <f t="shared" si="130"/>
        <v>0</v>
      </c>
      <c r="DH76" s="1793">
        <f t="shared" si="131"/>
        <v>0</v>
      </c>
      <c r="DI76" s="1793">
        <f t="shared" si="132"/>
        <v>0</v>
      </c>
      <c r="DJ76" s="1793">
        <f t="shared" si="133"/>
        <v>0</v>
      </c>
      <c r="DK76" s="1793">
        <f t="shared" si="134"/>
        <v>0</v>
      </c>
      <c r="DL76" s="1793">
        <f t="shared" si="135"/>
        <v>0</v>
      </c>
      <c r="DM76"/>
    </row>
    <row r="77" spans="1:117" ht="15" customHeight="1" x14ac:dyDescent="0.25">
      <c r="A77" s="7519" t="s">
        <v>758</v>
      </c>
      <c r="B77" s="7455"/>
      <c r="C77" s="7387"/>
      <c r="D77" s="833"/>
      <c r="E77" s="833"/>
      <c r="F77" s="838"/>
      <c r="G77" s="839"/>
      <c r="H77" s="839"/>
      <c r="I77" s="839"/>
      <c r="J77" s="839"/>
      <c r="K77" t="str">
        <f t="shared" si="123"/>
        <v/>
      </c>
      <c r="CW77" s="1791" t="str">
        <f t="shared" si="124"/>
        <v/>
      </c>
      <c r="CX77" s="1791" t="str">
        <f t="shared" si="125"/>
        <v/>
      </c>
      <c r="CY77" s="1791" t="str">
        <f t="shared" si="126"/>
        <v/>
      </c>
      <c r="CZ77" s="1791" t="str">
        <f t="shared" si="127"/>
        <v/>
      </c>
      <c r="DA77" s="1791" t="str">
        <f t="shared" si="128"/>
        <v/>
      </c>
      <c r="DB77" s="1791" t="str">
        <f t="shared" si="129"/>
        <v/>
      </c>
      <c r="DC77"/>
      <c r="DD77"/>
      <c r="DE77"/>
      <c r="DG77" s="1793">
        <f t="shared" si="130"/>
        <v>0</v>
      </c>
      <c r="DH77" s="1793">
        <f t="shared" si="131"/>
        <v>0</v>
      </c>
      <c r="DI77" s="1793">
        <f t="shared" si="132"/>
        <v>0</v>
      </c>
      <c r="DJ77" s="1793">
        <f t="shared" si="133"/>
        <v>0</v>
      </c>
      <c r="DK77" s="1793">
        <f t="shared" si="134"/>
        <v>0</v>
      </c>
      <c r="DL77" s="1793">
        <f t="shared" si="135"/>
        <v>0</v>
      </c>
      <c r="DM77"/>
    </row>
    <row r="78" spans="1:117" ht="15" customHeight="1" x14ac:dyDescent="0.25">
      <c r="A78" s="6570" t="s">
        <v>759</v>
      </c>
      <c r="B78" s="7602"/>
      <c r="C78" s="6571"/>
      <c r="D78" s="840"/>
      <c r="E78" s="840"/>
      <c r="F78" s="841"/>
      <c r="G78" s="842"/>
      <c r="H78" s="842"/>
      <c r="I78" s="842"/>
      <c r="J78" s="842"/>
      <c r="K78" t="str">
        <f t="shared" si="123"/>
        <v/>
      </c>
      <c r="CW78" s="1791" t="str">
        <f t="shared" si="124"/>
        <v/>
      </c>
      <c r="CX78" s="1791" t="str">
        <f t="shared" si="125"/>
        <v/>
      </c>
      <c r="CY78" s="1791" t="str">
        <f t="shared" si="126"/>
        <v/>
      </c>
      <c r="CZ78" s="1791" t="str">
        <f t="shared" si="127"/>
        <v/>
      </c>
      <c r="DA78" s="1791" t="str">
        <f t="shared" si="128"/>
        <v/>
      </c>
      <c r="DB78" s="1791" t="str">
        <f t="shared" si="129"/>
        <v/>
      </c>
      <c r="DC78"/>
      <c r="DD78"/>
      <c r="DE78"/>
      <c r="DG78" s="1793">
        <f t="shared" si="130"/>
        <v>0</v>
      </c>
      <c r="DH78" s="1793">
        <f t="shared" si="131"/>
        <v>0</v>
      </c>
      <c r="DI78" s="1793">
        <f t="shared" si="132"/>
        <v>0</v>
      </c>
      <c r="DJ78" s="1793">
        <f t="shared" si="133"/>
        <v>0</v>
      </c>
      <c r="DK78" s="1793">
        <f t="shared" si="134"/>
        <v>0</v>
      </c>
      <c r="DL78" s="1793">
        <f t="shared" si="135"/>
        <v>0</v>
      </c>
      <c r="DM78"/>
    </row>
    <row r="79" spans="1:117" ht="18" customHeight="1" x14ac:dyDescent="0.25">
      <c r="A79" s="783" t="s">
        <v>760</v>
      </c>
      <c r="CW79"/>
      <c r="CX79"/>
      <c r="CY79"/>
      <c r="CZ79"/>
      <c r="DA79"/>
      <c r="DB79"/>
      <c r="DC79"/>
      <c r="DD79"/>
      <c r="DE79"/>
      <c r="DG79"/>
      <c r="DH79"/>
      <c r="DI79"/>
      <c r="DJ79"/>
      <c r="DK79"/>
      <c r="DL79"/>
      <c r="DM79"/>
    </row>
    <row r="80" spans="1:117" ht="15" customHeight="1" x14ac:dyDescent="0.25">
      <c r="A80" s="7337" t="s">
        <v>761</v>
      </c>
      <c r="B80" s="6603"/>
      <c r="C80" s="7319"/>
      <c r="D80" s="7537" t="s">
        <v>570</v>
      </c>
      <c r="E80" s="7603"/>
      <c r="F80" s="7488"/>
      <c r="CW80"/>
      <c r="CX80"/>
      <c r="CY80"/>
      <c r="CZ80"/>
      <c r="DA80"/>
      <c r="DB80"/>
      <c r="DC80"/>
      <c r="DD80"/>
      <c r="DE80"/>
      <c r="DG80"/>
      <c r="DH80"/>
      <c r="DI80"/>
      <c r="DJ80"/>
      <c r="DK80"/>
      <c r="DL80"/>
      <c r="DM80"/>
    </row>
    <row r="81" spans="1:118" ht="15" customHeight="1" x14ac:dyDescent="0.25">
      <c r="A81" s="7464"/>
      <c r="B81" s="7465"/>
      <c r="C81" s="7466"/>
      <c r="D81" s="574" t="s">
        <v>24</v>
      </c>
      <c r="E81" s="571" t="s">
        <v>22</v>
      </c>
      <c r="F81" s="572" t="s">
        <v>27</v>
      </c>
      <c r="CW81"/>
      <c r="CX81"/>
      <c r="CY81"/>
      <c r="CZ81"/>
      <c r="DA81"/>
      <c r="DB81"/>
      <c r="DC81"/>
      <c r="DD81"/>
      <c r="DE81"/>
      <c r="DG81"/>
      <c r="DH81"/>
      <c r="DI81"/>
      <c r="DJ81"/>
      <c r="DK81"/>
      <c r="DL81"/>
      <c r="DM81"/>
    </row>
    <row r="82" spans="1:118" ht="15" customHeight="1" x14ac:dyDescent="0.25">
      <c r="A82" s="7485" t="s">
        <v>762</v>
      </c>
      <c r="B82" s="7604" t="s">
        <v>763</v>
      </c>
      <c r="C82" s="7605"/>
      <c r="D82" s="637">
        <f>SUM(E82+F82)</f>
        <v>0</v>
      </c>
      <c r="E82" s="589"/>
      <c r="F82" s="590"/>
      <c r="CW82"/>
      <c r="CX82"/>
      <c r="CY82"/>
      <c r="CZ82"/>
      <c r="DA82"/>
      <c r="DB82"/>
      <c r="DC82"/>
      <c r="DD82"/>
      <c r="DE82"/>
      <c r="DG82"/>
      <c r="DH82"/>
      <c r="DI82"/>
      <c r="DJ82"/>
      <c r="DK82"/>
      <c r="DL82"/>
      <c r="DM82"/>
    </row>
    <row r="83" spans="1:118" ht="15" customHeight="1" x14ac:dyDescent="0.25">
      <c r="A83" s="7480"/>
      <c r="B83" s="7459" t="s">
        <v>764</v>
      </c>
      <c r="C83" s="6583"/>
      <c r="D83" s="150">
        <f>SUM(E83+F83)</f>
        <v>0</v>
      </c>
      <c r="E83" s="114"/>
      <c r="F83" s="116"/>
      <c r="CW83"/>
      <c r="CX83"/>
      <c r="CY83"/>
      <c r="CZ83"/>
      <c r="DA83"/>
      <c r="DB83"/>
      <c r="DC83"/>
      <c r="DD83"/>
      <c r="DE83"/>
      <c r="DG83"/>
      <c r="DH83"/>
      <c r="DI83"/>
      <c r="DJ83"/>
      <c r="DK83"/>
      <c r="DL83"/>
      <c r="DM83"/>
    </row>
    <row r="84" spans="1:118" ht="18" customHeight="1" x14ac:dyDescent="0.25">
      <c r="A84" s="122" t="s">
        <v>765</v>
      </c>
      <c r="B84" s="843"/>
      <c r="C84" s="84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CW84"/>
      <c r="CX84"/>
      <c r="CY84"/>
      <c r="CZ84"/>
      <c r="DA84"/>
      <c r="DB84"/>
      <c r="DC84"/>
      <c r="DD84"/>
      <c r="DE84"/>
      <c r="DG84"/>
      <c r="DH84"/>
      <c r="DI84"/>
      <c r="DJ84"/>
      <c r="DK84"/>
      <c r="DL84"/>
      <c r="DM84"/>
    </row>
    <row r="85" spans="1:118" x14ac:dyDescent="0.25">
      <c r="A85" s="6603" t="s">
        <v>766</v>
      </c>
      <c r="B85" s="6603"/>
      <c r="C85" s="7319"/>
      <c r="D85" s="7337" t="s">
        <v>24</v>
      </c>
      <c r="E85" s="6603"/>
      <c r="F85" s="7319"/>
      <c r="G85" s="7487" t="s">
        <v>30</v>
      </c>
      <c r="H85" s="7503"/>
      <c r="I85" s="7503"/>
      <c r="J85" s="7503"/>
      <c r="K85" s="7503"/>
      <c r="L85" s="7503"/>
      <c r="M85" s="7503"/>
      <c r="N85" s="7503"/>
      <c r="O85" s="7503"/>
      <c r="P85" s="7503"/>
      <c r="Q85" s="7503"/>
      <c r="R85" s="7503"/>
      <c r="S85" s="7503"/>
      <c r="T85" s="7503"/>
      <c r="U85" s="7503"/>
      <c r="V85" s="7503"/>
      <c r="W85" s="7503"/>
      <c r="X85" s="7503"/>
      <c r="Y85" s="7503"/>
      <c r="Z85" s="7503"/>
      <c r="AA85" s="7503"/>
      <c r="AB85" s="7503"/>
      <c r="AC85" s="7503"/>
      <c r="AD85" s="7503"/>
      <c r="AE85" s="7503"/>
      <c r="AF85" s="7503"/>
      <c r="AG85" s="7503"/>
      <c r="AH85" s="7503"/>
      <c r="AI85" s="7503"/>
      <c r="AJ85" s="7503"/>
      <c r="AK85" s="7503"/>
      <c r="AL85" s="7503"/>
      <c r="AM85" s="7503"/>
      <c r="AN85" s="7505"/>
      <c r="AO85" s="7504" t="s">
        <v>767</v>
      </c>
      <c r="AP85" s="7586" t="s">
        <v>327</v>
      </c>
      <c r="AQ85" s="7600" t="s">
        <v>67</v>
      </c>
      <c r="AR85" s="7599" t="s">
        <v>768</v>
      </c>
      <c r="AS85" s="7599" t="s">
        <v>769</v>
      </c>
      <c r="AT85" s="7570" t="s">
        <v>770</v>
      </c>
      <c r="AU85" s="7570" t="s">
        <v>680</v>
      </c>
      <c r="AV85" s="7570" t="s">
        <v>681</v>
      </c>
      <c r="AW85" s="7571" t="s">
        <v>3</v>
      </c>
      <c r="CW85"/>
      <c r="CX85"/>
      <c r="CY85"/>
      <c r="CZ85"/>
      <c r="DA85"/>
      <c r="DB85"/>
      <c r="DC85"/>
      <c r="DD85"/>
      <c r="DE85"/>
      <c r="DG85"/>
      <c r="DH85"/>
      <c r="DI85"/>
      <c r="DJ85"/>
      <c r="DK85"/>
      <c r="DL85"/>
      <c r="DM85"/>
    </row>
    <row r="86" spans="1:118" x14ac:dyDescent="0.25">
      <c r="A86" s="7360"/>
      <c r="B86" s="7360"/>
      <c r="C86" s="7320"/>
      <c r="D86" s="7464"/>
      <c r="E86" s="7465"/>
      <c r="F86" s="7466"/>
      <c r="G86" s="7501" t="s">
        <v>771</v>
      </c>
      <c r="H86" s="7502"/>
      <c r="I86" s="7487" t="s">
        <v>684</v>
      </c>
      <c r="J86" s="7503"/>
      <c r="K86" s="7487" t="s">
        <v>685</v>
      </c>
      <c r="L86" s="7504"/>
      <c r="M86" s="7487" t="s">
        <v>686</v>
      </c>
      <c r="N86" s="7504"/>
      <c r="O86" s="7487" t="s">
        <v>687</v>
      </c>
      <c r="P86" s="7504"/>
      <c r="Q86" s="7487" t="s">
        <v>688</v>
      </c>
      <c r="R86" s="7504"/>
      <c r="S86" s="7487" t="s">
        <v>689</v>
      </c>
      <c r="T86" s="7504"/>
      <c r="U86" s="7503" t="s">
        <v>690</v>
      </c>
      <c r="V86" s="7504"/>
      <c r="W86" s="7487" t="s">
        <v>554</v>
      </c>
      <c r="X86" s="7488"/>
      <c r="Y86" s="7487" t="s">
        <v>568</v>
      </c>
      <c r="Z86" s="7488"/>
      <c r="AA86" s="7487" t="s">
        <v>691</v>
      </c>
      <c r="AB86" s="7488"/>
      <c r="AC86" s="7487" t="s">
        <v>692</v>
      </c>
      <c r="AD86" s="7488"/>
      <c r="AE86" s="7487" t="s">
        <v>693</v>
      </c>
      <c r="AF86" s="7488"/>
      <c r="AG86" s="7487" t="s">
        <v>694</v>
      </c>
      <c r="AH86" s="7488"/>
      <c r="AI86" s="7487" t="s">
        <v>556</v>
      </c>
      <c r="AJ86" s="7488"/>
      <c r="AK86" s="7503" t="s">
        <v>695</v>
      </c>
      <c r="AL86" s="7488"/>
      <c r="AM86" s="7487" t="s">
        <v>57</v>
      </c>
      <c r="AN86" s="7579"/>
      <c r="AO86" s="7504"/>
      <c r="AP86" s="7586"/>
      <c r="AQ86" s="7408"/>
      <c r="AR86" s="7355"/>
      <c r="AS86" s="7355"/>
      <c r="AT86" s="7570"/>
      <c r="AU86" s="7570"/>
      <c r="AV86" s="7570"/>
      <c r="AW86" s="7572"/>
      <c r="CW86"/>
      <c r="CX86"/>
      <c r="CY86"/>
      <c r="CZ86"/>
      <c r="DA86"/>
      <c r="DB86"/>
      <c r="DC86"/>
      <c r="DD86"/>
      <c r="DE86"/>
      <c r="DG86"/>
      <c r="DH86"/>
      <c r="DI86"/>
      <c r="DJ86"/>
      <c r="DK86"/>
      <c r="DL86"/>
      <c r="DM86"/>
    </row>
    <row r="87" spans="1:118" x14ac:dyDescent="0.25">
      <c r="A87" s="7465"/>
      <c r="B87" s="7465"/>
      <c r="C87" s="7466"/>
      <c r="D87" s="606" t="s">
        <v>26</v>
      </c>
      <c r="E87" s="607" t="s">
        <v>22</v>
      </c>
      <c r="F87" s="600" t="s">
        <v>27</v>
      </c>
      <c r="G87" s="606" t="s">
        <v>22</v>
      </c>
      <c r="H87" s="600" t="s">
        <v>27</v>
      </c>
      <c r="I87" s="606" t="s">
        <v>22</v>
      </c>
      <c r="J87" s="599" t="s">
        <v>27</v>
      </c>
      <c r="K87" s="606" t="s">
        <v>22</v>
      </c>
      <c r="L87" s="600" t="s">
        <v>27</v>
      </c>
      <c r="M87" s="606" t="s">
        <v>22</v>
      </c>
      <c r="N87" s="600" t="s">
        <v>27</v>
      </c>
      <c r="O87" s="607" t="s">
        <v>22</v>
      </c>
      <c r="P87" s="600" t="s">
        <v>27</v>
      </c>
      <c r="Q87" s="607" t="s">
        <v>22</v>
      </c>
      <c r="R87" s="600" t="s">
        <v>27</v>
      </c>
      <c r="S87" s="607" t="s">
        <v>22</v>
      </c>
      <c r="T87" s="600" t="s">
        <v>27</v>
      </c>
      <c r="U87" s="607" t="s">
        <v>22</v>
      </c>
      <c r="V87" s="600" t="s">
        <v>27</v>
      </c>
      <c r="W87" s="607" t="s">
        <v>22</v>
      </c>
      <c r="X87" s="600" t="s">
        <v>27</v>
      </c>
      <c r="Y87" s="607" t="s">
        <v>22</v>
      </c>
      <c r="Z87" s="600" t="s">
        <v>27</v>
      </c>
      <c r="AA87" s="607" t="s">
        <v>22</v>
      </c>
      <c r="AB87" s="600" t="s">
        <v>27</v>
      </c>
      <c r="AC87" s="607" t="s">
        <v>22</v>
      </c>
      <c r="AD87" s="600" t="s">
        <v>27</v>
      </c>
      <c r="AE87" s="607" t="s">
        <v>22</v>
      </c>
      <c r="AF87" s="600" t="s">
        <v>27</v>
      </c>
      <c r="AG87" s="607" t="s">
        <v>22</v>
      </c>
      <c r="AH87" s="600" t="s">
        <v>27</v>
      </c>
      <c r="AI87" s="607" t="s">
        <v>22</v>
      </c>
      <c r="AJ87" s="600" t="s">
        <v>27</v>
      </c>
      <c r="AK87" s="607" t="s">
        <v>22</v>
      </c>
      <c r="AL87" s="600" t="s">
        <v>27</v>
      </c>
      <c r="AM87" s="607" t="s">
        <v>22</v>
      </c>
      <c r="AN87" s="604" t="s">
        <v>27</v>
      </c>
      <c r="AO87" s="7504"/>
      <c r="AP87" s="7586"/>
      <c r="AQ87" s="7601"/>
      <c r="AR87" s="7432"/>
      <c r="AS87" s="7432"/>
      <c r="AT87" s="7570"/>
      <c r="AU87" s="7570"/>
      <c r="AV87" s="7570"/>
      <c r="AW87" s="7573"/>
      <c r="CW87"/>
      <c r="CX87"/>
      <c r="CY87"/>
      <c r="CZ87"/>
      <c r="DA87"/>
      <c r="DB87"/>
      <c r="DC87"/>
      <c r="DD87"/>
      <c r="DE87"/>
      <c r="DG87"/>
      <c r="DH87"/>
      <c r="DI87"/>
      <c r="DJ87"/>
      <c r="DK87"/>
      <c r="DL87"/>
      <c r="DM87"/>
    </row>
    <row r="88" spans="1:118" ht="15" customHeight="1" x14ac:dyDescent="0.25">
      <c r="A88" s="7598" t="s">
        <v>3918</v>
      </c>
      <c r="B88" s="7598"/>
      <c r="C88" s="7598"/>
      <c r="D88" s="626">
        <f>SUM(E88:F88)</f>
        <v>0</v>
      </c>
      <c r="E88" s="787">
        <f>SUM(G88+I88+K88+M88+O88+Q88+S88+U88+W88+Y88+AA88+AC88+AE88+AG88+AI88+AK88+AM88)</f>
        <v>0</v>
      </c>
      <c r="F88" s="788">
        <f>SUM(H88+J88+L88+N88+P88+R88+T88+V88+X88+Z88+AB88+AD88+AF88+AH88+AJ88+AL88+AN88)</f>
        <v>0</v>
      </c>
      <c r="G88" s="484"/>
      <c r="H88" s="185"/>
      <c r="I88" s="484"/>
      <c r="J88" s="580"/>
      <c r="K88" s="484"/>
      <c r="L88" s="185"/>
      <c r="M88" s="484"/>
      <c r="N88" s="185"/>
      <c r="O88" s="485"/>
      <c r="P88" s="185"/>
      <c r="Q88" s="485"/>
      <c r="R88" s="185"/>
      <c r="S88" s="485"/>
      <c r="T88" s="185"/>
      <c r="U88" s="485"/>
      <c r="V88" s="185"/>
      <c r="W88" s="485"/>
      <c r="X88" s="185"/>
      <c r="Y88" s="485"/>
      <c r="Z88" s="185"/>
      <c r="AA88" s="485"/>
      <c r="AB88" s="185"/>
      <c r="AC88" s="485"/>
      <c r="AD88" s="185"/>
      <c r="AE88" s="485"/>
      <c r="AF88" s="185"/>
      <c r="AG88" s="485"/>
      <c r="AH88" s="185"/>
      <c r="AI88" s="485"/>
      <c r="AJ88" s="185"/>
      <c r="AK88" s="485"/>
      <c r="AL88" s="185"/>
      <c r="AM88" s="485"/>
      <c r="AN88" s="321"/>
      <c r="AO88" s="501"/>
      <c r="AP88" s="500"/>
      <c r="AQ88" s="500"/>
      <c r="AR88" s="500"/>
      <c r="AS88" s="500"/>
      <c r="AT88" s="500"/>
      <c r="AU88" s="500"/>
      <c r="AV88" s="500"/>
      <c r="AW88" s="500"/>
      <c r="AX88" t="str">
        <f>CW88&amp;CX88&amp;CY88&amp;CZ88&amp;DA88&amp;DB88&amp;DC88&amp;DD88</f>
        <v/>
      </c>
      <c r="CW88" s="1791" t="str">
        <f>IF(AND((W88+X88)&gt;0,AO88="")," * No olvide digitar la variable 12 años. Si no tiene digite Cero.",IF(AO88&gt;(W88+X88),"* Las Consultas de 12 años NO DEBEN ser mayor que el total de Consultas entre 10-14 años",""))</f>
        <v/>
      </c>
      <c r="CX88" s="1791" t="str">
        <f>IF(AND(F88&gt;0,AP88="")," * No olvide digitar la variable Embarazadas. Digite cero si no tiene.",IF(AP88&gt;F88," * Las embarazadas no pueden ser mayor al Total Mujeres.",""))</f>
        <v/>
      </c>
      <c r="CY88" s="1791" t="str">
        <f>IF(AND(D88&gt;0,AQ88="")," * No olvide digitar Beneficiarios. Digite Cero si no tiene",IF(AQ88&gt;D88," * Los beneficiarios no pueden ser mayor al Total Ambos Sexos.",""))</f>
        <v/>
      </c>
      <c r="CZ88" s="1791" t="str">
        <f>IF(AND((AI88+AJ88&gt;0),AR88="")," * No olvide digitar la variable 60 años. Si no tiene digite Cero.",IF(AR88&gt;(AI88+AJ88)," * Las consultas de 60 años NO DEBEN ser mayor que el total de consultas de entre 60-64 años",""))</f>
        <v/>
      </c>
      <c r="DA88" s="1791" t="str">
        <f>IF(AND(D88&gt;0,AT88="")," * No olvide digitar la variable usuarios con discapacidad. Digite Cero si no tiene.",IF(AT88&gt;D88," * La variable Usuarios con discapacidad No puede ser mayor al Total Ambos Sexos.",""))</f>
        <v/>
      </c>
      <c r="DB88" s="1791" t="str">
        <f>IF(AND(D88&gt;0,AU88="")," * No olvide digitar la variable Niños, niñas, adolescentes y jóvenes SENAME. Digite Cero si no tiene.",IF(AU88&gt;D88," * La variable Niños, niñas, adolescentes y jóvenes SENAME No puede ser mayor al Total Ambos Sexos.",""))</f>
        <v/>
      </c>
      <c r="DC88" s="1791" t="str">
        <f>IF(AND(D88&gt;0,AV88="")," * No olvide digitar la variable Niños, niñas, adolescentes y jóvenes Mejor Niñez. Digite Cero si no tiene.",IF(AV88&gt;D88," * La variable Niños, niñas, adolescentes y jóvenes Mejor Niñez No puede ser mayor al Total Ambos Sexos.",""))</f>
        <v/>
      </c>
      <c r="DD88" s="1791" t="str">
        <f>IF(AND(D88&gt;0,AW88="")," * No olvide digitar la variable Migrantes. Digite Cero si no tiene.",IF(AW88&gt;D88," * La variable Migrantes No puede ser mayor al Total Ambos Sexos.",""))</f>
        <v/>
      </c>
      <c r="DE88"/>
      <c r="DG88" s="1793">
        <f>IF(AND((W88+X88)&gt;0,AO88=""),1,IF(AO88&gt;(W88+X88),1,0))</f>
        <v>0</v>
      </c>
      <c r="DH88" s="1793">
        <f>IF(AND(F88&gt;0,AP88=""),1,IF(AP88&gt;F88,1,0))</f>
        <v>0</v>
      </c>
      <c r="DI88" s="1793">
        <f>IF(AND(D88&gt;0,AQ88=""),1,IF(AQ88&gt;D88,1,0))</f>
        <v>0</v>
      </c>
      <c r="DJ88" s="1793">
        <f>IF(AND((AI88+AJ88&gt;0),AR88=""),1,IF(AR88&gt;(AI88+AJ88),1,0))</f>
        <v>0</v>
      </c>
      <c r="DK88" s="1793">
        <f>IF(AND(D88&gt;0,AT88=""),1,IF(AT88&gt;D88,1,0))</f>
        <v>0</v>
      </c>
      <c r="DL88" s="1793">
        <f>IF(AND(D88&gt;0,AU88=""),1,IF(AU88&gt;D88,1,0))</f>
        <v>0</v>
      </c>
      <c r="DM88" s="1793">
        <f>IF(AND(D88&gt;0,AV88=""),1,IF(AV88&gt;D88,1,0))</f>
        <v>0</v>
      </c>
      <c r="DN88" s="1793">
        <f>IF(AND(D88&gt;0,AW88=""),1,IF(AW88&gt;D88,1,0))</f>
        <v>0</v>
      </c>
    </row>
    <row r="89" spans="1:118" ht="15" customHeight="1" x14ac:dyDescent="0.25">
      <c r="A89" s="6505" t="s">
        <v>3919</v>
      </c>
      <c r="B89" s="6505"/>
      <c r="C89" s="6505"/>
      <c r="D89" s="639">
        <f t="shared" ref="D89:D141" si="136">SUM(E89:F89)</f>
        <v>0</v>
      </c>
      <c r="E89" s="790">
        <f t="shared" ref="E89:F141" si="137">SUM(G89+I89+K89+M89+O89+Q89+S89+U89+W89+Y89+AA89+AC89+AE89+AG89+AI89+AK89+AM89)</f>
        <v>0</v>
      </c>
      <c r="F89" s="791">
        <f t="shared" si="137"/>
        <v>0</v>
      </c>
      <c r="G89" s="620"/>
      <c r="H89" s="630"/>
      <c r="I89" s="620"/>
      <c r="J89" s="796"/>
      <c r="K89" s="620"/>
      <c r="L89" s="630"/>
      <c r="M89" s="620"/>
      <c r="N89" s="630"/>
      <c r="O89" s="627"/>
      <c r="P89" s="630"/>
      <c r="Q89" s="627"/>
      <c r="R89" s="630"/>
      <c r="S89" s="627"/>
      <c r="T89" s="630"/>
      <c r="U89" s="627"/>
      <c r="V89" s="630"/>
      <c r="W89" s="627"/>
      <c r="X89" s="630"/>
      <c r="Y89" s="627"/>
      <c r="Z89" s="630"/>
      <c r="AA89" s="627"/>
      <c r="AB89" s="630"/>
      <c r="AC89" s="627"/>
      <c r="AD89" s="630"/>
      <c r="AE89" s="627"/>
      <c r="AF89" s="630"/>
      <c r="AG89" s="627"/>
      <c r="AH89" s="630"/>
      <c r="AI89" s="627"/>
      <c r="AJ89" s="630"/>
      <c r="AK89" s="627"/>
      <c r="AL89" s="630"/>
      <c r="AM89" s="627"/>
      <c r="AN89" s="628"/>
      <c r="AO89" s="83"/>
      <c r="AP89" s="83"/>
      <c r="AQ89" s="648"/>
      <c r="AR89" s="648"/>
      <c r="AS89" s="648"/>
      <c r="AT89" s="83"/>
      <c r="AU89" s="83"/>
      <c r="AV89" s="83"/>
      <c r="AW89" s="83"/>
      <c r="AX89" t="str">
        <f t="shared" ref="AX89:AX140" si="138">CW89&amp;CX89&amp;CY89&amp;CZ89&amp;DA89&amp;DB89&amp;DC89&amp;DD89</f>
        <v/>
      </c>
      <c r="CW89" s="1791" t="str">
        <f t="shared" ref="CW89:CW118" si="139">IF(AND((W89+X89)&gt;0,AO89="")," * No olvide digitar la variable 12 años. Si no tiene digite Cero.",IF(AO89&gt;(W89+X89),"* Las Consultas de 12 años NO DEBEN ser mayor que el total de Consultas entre 10-14 años",""))</f>
        <v/>
      </c>
      <c r="CX89" s="1791" t="str">
        <f t="shared" ref="CX89:CX140" si="140">IF(AND(F89&gt;0,AP89="")," * No olvide digitar la variable Embarazadas. Digite cero si no tiene.",IF(AP89&gt;F89," * Las embarazadas no pueden ser mayor al Total Mujeres.",""))</f>
        <v/>
      </c>
      <c r="CY89" s="1791" t="str">
        <f t="shared" ref="CY89:CY140" si="141">IF(AND(D89&gt;0,AQ89="")," * No olvide digitar Beneficiarios. Digite Cero si no tiene",IF(AQ89&gt;D89," * Los beneficiarios no pueden ser mayor al Total Ambos Sexos.",""))</f>
        <v/>
      </c>
      <c r="CZ89" s="1791" t="str">
        <f t="shared" ref="CZ89:CZ140" si="142">IF(AND((AI89+AJ89&gt;0),AR89="")," * No olvide digitar la variable 60 años. Si no tiene digite Cero.",IF(AR89&gt;(AI89+AJ89)," * Las consultas de 60 años NO DEBEN ser mayor que el total de consultas de entre 60-64 años",""))</f>
        <v/>
      </c>
      <c r="DA89" s="1791" t="str">
        <f t="shared" ref="DA89:DA140" si="143">IF(AND(D89&gt;0,AT89="")," * No olvide digitar la variable usuarios con discapacidad. Digite Cero si no tiene.",IF(AT89&gt;D89," * La variable Usuarios con discapacidad No puede ser mayor al Total Ambos Sexos.",""))</f>
        <v/>
      </c>
      <c r="DB89" s="1791" t="str">
        <f t="shared" ref="DB89:DB140" si="144">IF(AND(D89&gt;0,AU89="")," * No olvide digitar la variable Niños, niñas, adolescentes y jóvenes SENAME. Digite Cero si no tiene.",IF(AU89&gt;D89," * La variable Niños, niñas, adolescentes y jóvenes SENAME No puede ser mayor al Total Ambos Sexos.",""))</f>
        <v/>
      </c>
      <c r="DC89" s="1791" t="str">
        <f t="shared" ref="DC89:DC140" si="145">IF(AND(D89&gt;0,AV89="")," * No olvide digitar la variable Niños, niñas, adolescentes y jóvenes Mejor Niñez. Digite Cero si no tiene.",IF(AV89&gt;D89," * La variable Niños, niñas, adolescentes y jóvenes Mejor Niñez No puede ser mayor al Total Ambos Sexos.",""))</f>
        <v/>
      </c>
      <c r="DD89" s="1791" t="str">
        <f t="shared" ref="DD89:DD140" si="146">IF(AND(D89&gt;0,AW89="")," * No olvide digitar la variable Migrantes. Digite Cero si no tiene.",IF(AW89&gt;D89," * La variable Migrantes No puede ser mayor al Total Ambos Sexos.",""))</f>
        <v/>
      </c>
      <c r="DE89"/>
      <c r="DG89" s="1793">
        <f t="shared" ref="DG89:DG92" si="147">IF(AND((W89+X89)&gt;0,AO89=""),1,IF(AO89&gt;(W89+X89),1,0))</f>
        <v>0</v>
      </c>
      <c r="DH89" s="1793">
        <f t="shared" ref="DH89:DH140" si="148">IF(AND(F89&gt;0,AP89=""),1,IF(AP89&gt;F89,1,0))</f>
        <v>0</v>
      </c>
      <c r="DI89" s="1793">
        <f t="shared" ref="DI89:DI140" si="149">IF(AND(D89&gt;0,AQ89=""),1,IF(AQ89&gt;D89,1,0))</f>
        <v>0</v>
      </c>
      <c r="DJ89" s="1793">
        <f t="shared" ref="DJ89:DJ140" si="150">IF(AND((AI89+AJ89&gt;0),AR89=""),1,IF(AR89&gt;(AI89+AJ89),1,0))</f>
        <v>0</v>
      </c>
      <c r="DK89" s="1793">
        <f t="shared" ref="DK89:DK140" si="151">IF(AND(D89&gt;0,AT89=""),1,IF(AT89&gt;D89,1,0))</f>
        <v>0</v>
      </c>
      <c r="DL89" s="1793">
        <f t="shared" ref="DL89:DL140" si="152">IF(AND(D89&gt;0,AU89=""),1,IF(AU89&gt;D89,1,0))</f>
        <v>0</v>
      </c>
      <c r="DM89" s="1793">
        <f t="shared" ref="DM89:DM140" si="153">IF(AND(D89&gt;0,AV89=""),1,IF(AV89&gt;D89,1,0))</f>
        <v>0</v>
      </c>
      <c r="DN89" s="1793">
        <f t="shared" ref="DN89:DN140" si="154">IF(AND(D89&gt;0,AW89=""),1,IF(AW89&gt;D89,1,0))</f>
        <v>0</v>
      </c>
    </row>
    <row r="90" spans="1:118" ht="15" customHeight="1" x14ac:dyDescent="0.25">
      <c r="A90" s="7583" t="s">
        <v>772</v>
      </c>
      <c r="B90" s="7584"/>
      <c r="C90" s="7585"/>
      <c r="D90" s="639">
        <f t="shared" si="136"/>
        <v>0</v>
      </c>
      <c r="E90" s="790">
        <f t="shared" si="137"/>
        <v>0</v>
      </c>
      <c r="F90" s="791">
        <f t="shared" si="137"/>
        <v>0</v>
      </c>
      <c r="G90" s="620"/>
      <c r="H90" s="590"/>
      <c r="I90" s="589"/>
      <c r="J90" s="844"/>
      <c r="K90" s="589"/>
      <c r="L90" s="630"/>
      <c r="M90" s="620"/>
      <c r="N90" s="630"/>
      <c r="O90" s="627"/>
      <c r="P90" s="630"/>
      <c r="Q90" s="627"/>
      <c r="R90" s="630"/>
      <c r="S90" s="627"/>
      <c r="T90" s="630"/>
      <c r="U90" s="627"/>
      <c r="V90" s="630"/>
      <c r="W90" s="627"/>
      <c r="X90" s="630"/>
      <c r="Y90" s="627"/>
      <c r="Z90" s="630"/>
      <c r="AA90" s="627"/>
      <c r="AB90" s="630"/>
      <c r="AC90" s="627"/>
      <c r="AD90" s="630"/>
      <c r="AE90" s="627"/>
      <c r="AF90" s="630"/>
      <c r="AG90" s="627"/>
      <c r="AH90" s="630"/>
      <c r="AI90" s="627"/>
      <c r="AJ90" s="630"/>
      <c r="AK90" s="627"/>
      <c r="AL90" s="630"/>
      <c r="AM90" s="627"/>
      <c r="AN90" s="628"/>
      <c r="AO90" s="83"/>
      <c r="AP90" s="105"/>
      <c r="AQ90" s="789"/>
      <c r="AR90" s="789"/>
      <c r="AS90" s="789"/>
      <c r="AT90" s="105"/>
      <c r="AU90" s="105"/>
      <c r="AV90" s="105"/>
      <c r="AW90" s="105"/>
      <c r="AX90" t="str">
        <f t="shared" si="138"/>
        <v/>
      </c>
      <c r="CW90" s="1791" t="str">
        <f t="shared" si="139"/>
        <v/>
      </c>
      <c r="CX90" s="1791" t="str">
        <f t="shared" si="140"/>
        <v/>
      </c>
      <c r="CY90" s="1791" t="str">
        <f t="shared" si="141"/>
        <v/>
      </c>
      <c r="CZ90" s="1791" t="str">
        <f t="shared" si="142"/>
        <v/>
      </c>
      <c r="DA90" s="1791" t="str">
        <f t="shared" si="143"/>
        <v/>
      </c>
      <c r="DB90" s="1791" t="str">
        <f t="shared" si="144"/>
        <v/>
      </c>
      <c r="DC90" s="1791" t="str">
        <f t="shared" si="145"/>
        <v/>
      </c>
      <c r="DD90" s="1791" t="str">
        <f t="shared" si="146"/>
        <v/>
      </c>
      <c r="DE90"/>
      <c r="DG90" s="1793">
        <f t="shared" si="147"/>
        <v>0</v>
      </c>
      <c r="DH90" s="1793">
        <f t="shared" si="148"/>
        <v>0</v>
      </c>
      <c r="DI90" s="1793">
        <f t="shared" si="149"/>
        <v>0</v>
      </c>
      <c r="DJ90" s="1793">
        <f t="shared" si="150"/>
        <v>0</v>
      </c>
      <c r="DK90" s="1793">
        <f t="shared" si="151"/>
        <v>0</v>
      </c>
      <c r="DL90" s="1793">
        <f t="shared" si="152"/>
        <v>0</v>
      </c>
      <c r="DM90" s="1793">
        <f t="shared" si="153"/>
        <v>0</v>
      </c>
      <c r="DN90" s="1793">
        <f t="shared" si="154"/>
        <v>0</v>
      </c>
    </row>
    <row r="91" spans="1:118" ht="15" customHeight="1" x14ac:dyDescent="0.25">
      <c r="A91" s="7583" t="s">
        <v>773</v>
      </c>
      <c r="B91" s="7584"/>
      <c r="C91" s="7585"/>
      <c r="D91" s="639">
        <f t="shared" si="136"/>
        <v>0</v>
      </c>
      <c r="E91" s="790">
        <f t="shared" si="137"/>
        <v>0</v>
      </c>
      <c r="F91" s="791">
        <f t="shared" si="137"/>
        <v>0</v>
      </c>
      <c r="G91" s="620"/>
      <c r="H91" s="590"/>
      <c r="I91" s="589"/>
      <c r="J91" s="844"/>
      <c r="K91" s="589"/>
      <c r="L91" s="630"/>
      <c r="M91" s="620"/>
      <c r="N91" s="630"/>
      <c r="O91" s="627"/>
      <c r="P91" s="630"/>
      <c r="Q91" s="627"/>
      <c r="R91" s="630"/>
      <c r="S91" s="627"/>
      <c r="T91" s="630"/>
      <c r="U91" s="627"/>
      <c r="V91" s="630"/>
      <c r="W91" s="627"/>
      <c r="X91" s="630"/>
      <c r="Y91" s="627"/>
      <c r="Z91" s="630"/>
      <c r="AA91" s="627"/>
      <c r="AB91" s="630"/>
      <c r="AC91" s="627"/>
      <c r="AD91" s="630"/>
      <c r="AE91" s="627"/>
      <c r="AF91" s="630"/>
      <c r="AG91" s="627"/>
      <c r="AH91" s="630"/>
      <c r="AI91" s="627"/>
      <c r="AJ91" s="630"/>
      <c r="AK91" s="627"/>
      <c r="AL91" s="630"/>
      <c r="AM91" s="627"/>
      <c r="AN91" s="628"/>
      <c r="AO91" s="83"/>
      <c r="AP91" s="105"/>
      <c r="AQ91" s="789"/>
      <c r="AR91" s="789"/>
      <c r="AS91" s="789"/>
      <c r="AT91" s="105"/>
      <c r="AU91" s="105"/>
      <c r="AV91" s="105"/>
      <c r="AW91" s="105"/>
      <c r="AX91" t="str">
        <f t="shared" si="138"/>
        <v/>
      </c>
      <c r="CW91" s="1791" t="str">
        <f t="shared" si="139"/>
        <v/>
      </c>
      <c r="CX91" s="1791" t="str">
        <f t="shared" si="140"/>
        <v/>
      </c>
      <c r="CY91" s="1791" t="str">
        <f t="shared" si="141"/>
        <v/>
      </c>
      <c r="CZ91" s="1791" t="str">
        <f t="shared" si="142"/>
        <v/>
      </c>
      <c r="DA91" s="1791" t="str">
        <f t="shared" si="143"/>
        <v/>
      </c>
      <c r="DB91" s="1791" t="str">
        <f t="shared" si="144"/>
        <v/>
      </c>
      <c r="DC91" s="1791" t="str">
        <f t="shared" si="145"/>
        <v/>
      </c>
      <c r="DD91" s="1791" t="str">
        <f t="shared" si="146"/>
        <v/>
      </c>
      <c r="DE91"/>
      <c r="DG91" s="1793">
        <f t="shared" si="147"/>
        <v>0</v>
      </c>
      <c r="DH91" s="1793">
        <f t="shared" si="148"/>
        <v>0</v>
      </c>
      <c r="DI91" s="1793">
        <f t="shared" si="149"/>
        <v>0</v>
      </c>
      <c r="DJ91" s="1793">
        <f t="shared" si="150"/>
        <v>0</v>
      </c>
      <c r="DK91" s="1793">
        <f t="shared" si="151"/>
        <v>0</v>
      </c>
      <c r="DL91" s="1793">
        <f t="shared" si="152"/>
        <v>0</v>
      </c>
      <c r="DM91" s="1793">
        <f t="shared" si="153"/>
        <v>0</v>
      </c>
      <c r="DN91" s="1793">
        <f t="shared" si="154"/>
        <v>0</v>
      </c>
    </row>
    <row r="92" spans="1:118" ht="15" customHeight="1" x14ac:dyDescent="0.25">
      <c r="A92" s="7583" t="s">
        <v>774</v>
      </c>
      <c r="B92" s="7584"/>
      <c r="C92" s="7585"/>
      <c r="D92" s="639">
        <f t="shared" si="136"/>
        <v>0</v>
      </c>
      <c r="E92" s="790">
        <f t="shared" si="137"/>
        <v>0</v>
      </c>
      <c r="F92" s="791">
        <f>SUM(H92+J92+L92+N92+P92+R92+T92+V92+X92+Z92+AB92+AD92+AF92+AH92+AJ92+AL92+AN92)</f>
        <v>0</v>
      </c>
      <c r="G92" s="620"/>
      <c r="H92" s="590"/>
      <c r="I92" s="589"/>
      <c r="J92" s="844"/>
      <c r="K92" s="589"/>
      <c r="L92" s="630"/>
      <c r="M92" s="620"/>
      <c r="N92" s="630"/>
      <c r="O92" s="627"/>
      <c r="P92" s="630"/>
      <c r="Q92" s="627"/>
      <c r="R92" s="630"/>
      <c r="S92" s="627"/>
      <c r="T92" s="630"/>
      <c r="U92" s="627"/>
      <c r="V92" s="630"/>
      <c r="W92" s="627"/>
      <c r="X92" s="630"/>
      <c r="Y92" s="627"/>
      <c r="Z92" s="630"/>
      <c r="AA92" s="627"/>
      <c r="AB92" s="630"/>
      <c r="AC92" s="627"/>
      <c r="AD92" s="630"/>
      <c r="AE92" s="627"/>
      <c r="AF92" s="630"/>
      <c r="AG92" s="627"/>
      <c r="AH92" s="630"/>
      <c r="AI92" s="627"/>
      <c r="AJ92" s="630"/>
      <c r="AK92" s="627"/>
      <c r="AL92" s="630"/>
      <c r="AM92" s="627"/>
      <c r="AN92" s="628"/>
      <c r="AO92" s="83"/>
      <c r="AP92" s="105"/>
      <c r="AQ92" s="789"/>
      <c r="AR92" s="789"/>
      <c r="AS92" s="789"/>
      <c r="AT92" s="105"/>
      <c r="AU92" s="105"/>
      <c r="AV92" s="105"/>
      <c r="AW92" s="105"/>
      <c r="AX92" t="str">
        <f t="shared" si="138"/>
        <v/>
      </c>
      <c r="CW92" s="1791" t="str">
        <f t="shared" si="139"/>
        <v/>
      </c>
      <c r="CX92" s="1791" t="str">
        <f t="shared" si="140"/>
        <v/>
      </c>
      <c r="CY92" s="1791" t="str">
        <f t="shared" si="141"/>
        <v/>
      </c>
      <c r="CZ92" s="1791" t="str">
        <f t="shared" si="142"/>
        <v/>
      </c>
      <c r="DA92" s="1791" t="str">
        <f t="shared" si="143"/>
        <v/>
      </c>
      <c r="DB92" s="1791" t="str">
        <f t="shared" si="144"/>
        <v/>
      </c>
      <c r="DC92" s="1791" t="str">
        <f t="shared" si="145"/>
        <v/>
      </c>
      <c r="DD92" s="1791" t="str">
        <f t="shared" si="146"/>
        <v/>
      </c>
      <c r="DE92"/>
      <c r="DG92" s="1793">
        <f t="shared" si="147"/>
        <v>0</v>
      </c>
      <c r="DH92" s="1793">
        <f t="shared" si="148"/>
        <v>0</v>
      </c>
      <c r="DI92" s="1793">
        <f t="shared" si="149"/>
        <v>0</v>
      </c>
      <c r="DJ92" s="1793">
        <f t="shared" si="150"/>
        <v>0</v>
      </c>
      <c r="DK92" s="1793">
        <f t="shared" si="151"/>
        <v>0</v>
      </c>
      <c r="DL92" s="1793">
        <f t="shared" si="152"/>
        <v>0</v>
      </c>
      <c r="DM92" s="1793">
        <f t="shared" si="153"/>
        <v>0</v>
      </c>
      <c r="DN92" s="1793">
        <f t="shared" si="154"/>
        <v>0</v>
      </c>
    </row>
    <row r="93" spans="1:118" ht="15" customHeight="1" x14ac:dyDescent="0.25">
      <c r="A93" s="7583" t="s">
        <v>775</v>
      </c>
      <c r="B93" s="7584"/>
      <c r="C93" s="7585"/>
      <c r="D93" s="639">
        <f t="shared" si="136"/>
        <v>0</v>
      </c>
      <c r="E93" s="790">
        <f>SUM(Y93+AA93+AC93+AE93+AG93+AI93+AK93+AM93)</f>
        <v>0</v>
      </c>
      <c r="F93" s="791">
        <f>SUM(Z93+AB93+AD93+AF93+AH93+AJ93+AL93+AN93)</f>
        <v>0</v>
      </c>
      <c r="G93" s="845"/>
      <c r="H93" s="846"/>
      <c r="I93" s="845"/>
      <c r="J93" s="847"/>
      <c r="K93" s="845"/>
      <c r="L93" s="846"/>
      <c r="M93" s="845"/>
      <c r="N93" s="846"/>
      <c r="O93" s="631"/>
      <c r="P93" s="846"/>
      <c r="Q93" s="631"/>
      <c r="R93" s="846"/>
      <c r="S93" s="631"/>
      <c r="T93" s="846"/>
      <c r="U93" s="631"/>
      <c r="V93" s="846"/>
      <c r="W93" s="631"/>
      <c r="X93" s="846"/>
      <c r="Y93" s="627"/>
      <c r="Z93" s="630"/>
      <c r="AA93" s="627"/>
      <c r="AB93" s="630"/>
      <c r="AC93" s="627"/>
      <c r="AD93" s="630"/>
      <c r="AE93" s="627"/>
      <c r="AF93" s="630"/>
      <c r="AG93" s="627"/>
      <c r="AH93" s="630"/>
      <c r="AI93" s="627"/>
      <c r="AJ93" s="630"/>
      <c r="AK93" s="627"/>
      <c r="AL93" s="630"/>
      <c r="AM93" s="627"/>
      <c r="AN93" s="628"/>
      <c r="AO93" s="848"/>
      <c r="AP93" s="105"/>
      <c r="AQ93" s="789"/>
      <c r="AR93" s="789"/>
      <c r="AS93" s="789"/>
      <c r="AT93" s="105"/>
      <c r="AU93" s="105"/>
      <c r="AV93" s="105"/>
      <c r="AW93" s="105"/>
      <c r="AX93" t="str">
        <f t="shared" si="138"/>
        <v/>
      </c>
      <c r="CW93" s="4979"/>
      <c r="CX93" s="1791" t="str">
        <f t="shared" si="140"/>
        <v/>
      </c>
      <c r="CY93" s="1791" t="str">
        <f t="shared" si="141"/>
        <v/>
      </c>
      <c r="CZ93" s="1791" t="str">
        <f t="shared" si="142"/>
        <v/>
      </c>
      <c r="DA93" s="1791" t="str">
        <f t="shared" si="143"/>
        <v/>
      </c>
      <c r="DB93" s="1791" t="str">
        <f t="shared" si="144"/>
        <v/>
      </c>
      <c r="DC93" s="1791" t="str">
        <f t="shared" si="145"/>
        <v/>
      </c>
      <c r="DD93" s="1791" t="str">
        <f t="shared" si="146"/>
        <v/>
      </c>
      <c r="DE93"/>
      <c r="DG93" s="4979"/>
      <c r="DH93" s="1793">
        <f t="shared" si="148"/>
        <v>0</v>
      </c>
      <c r="DI93" s="1793">
        <f t="shared" si="149"/>
        <v>0</v>
      </c>
      <c r="DJ93" s="1793">
        <f t="shared" si="150"/>
        <v>0</v>
      </c>
      <c r="DK93" s="1793">
        <f t="shared" si="151"/>
        <v>0</v>
      </c>
      <c r="DL93" s="1793">
        <f t="shared" si="152"/>
        <v>0</v>
      </c>
      <c r="DM93" s="1793">
        <f t="shared" si="153"/>
        <v>0</v>
      </c>
      <c r="DN93" s="1793">
        <f t="shared" si="154"/>
        <v>0</v>
      </c>
    </row>
    <row r="94" spans="1:118" ht="15" customHeight="1" x14ac:dyDescent="0.25">
      <c r="A94" s="7591" t="s">
        <v>776</v>
      </c>
      <c r="B94" s="7591"/>
      <c r="C94" s="7591"/>
      <c r="D94" s="639">
        <f t="shared" si="136"/>
        <v>0</v>
      </c>
      <c r="E94" s="790">
        <f t="shared" si="137"/>
        <v>0</v>
      </c>
      <c r="F94" s="791">
        <f t="shared" si="137"/>
        <v>0</v>
      </c>
      <c r="G94" s="620"/>
      <c r="H94" s="630"/>
      <c r="I94" s="620"/>
      <c r="J94" s="796"/>
      <c r="K94" s="620"/>
      <c r="L94" s="630"/>
      <c r="M94" s="620"/>
      <c r="N94" s="630"/>
      <c r="O94" s="627"/>
      <c r="P94" s="630"/>
      <c r="Q94" s="627"/>
      <c r="R94" s="630"/>
      <c r="S94" s="627"/>
      <c r="T94" s="630"/>
      <c r="U94" s="627"/>
      <c r="V94" s="630"/>
      <c r="W94" s="627"/>
      <c r="X94" s="630"/>
      <c r="Y94" s="627"/>
      <c r="Z94" s="630"/>
      <c r="AA94" s="627"/>
      <c r="AB94" s="630"/>
      <c r="AC94" s="627"/>
      <c r="AD94" s="630"/>
      <c r="AE94" s="627"/>
      <c r="AF94" s="630"/>
      <c r="AG94" s="627"/>
      <c r="AH94" s="630"/>
      <c r="AI94" s="627"/>
      <c r="AJ94" s="630"/>
      <c r="AK94" s="627"/>
      <c r="AL94" s="630"/>
      <c r="AM94" s="627"/>
      <c r="AN94" s="628"/>
      <c r="AO94" s="83"/>
      <c r="AP94" s="83"/>
      <c r="AQ94" s="648"/>
      <c r="AR94" s="648"/>
      <c r="AS94" s="648"/>
      <c r="AT94" s="83"/>
      <c r="AU94" s="83"/>
      <c r="AV94" s="83"/>
      <c r="AW94" s="83"/>
      <c r="AX94" t="str">
        <f t="shared" si="138"/>
        <v/>
      </c>
      <c r="CW94" s="1791" t="str">
        <f t="shared" si="139"/>
        <v/>
      </c>
      <c r="CX94" s="1791" t="str">
        <f t="shared" si="140"/>
        <v/>
      </c>
      <c r="CY94" s="1791" t="str">
        <f t="shared" si="141"/>
        <v/>
      </c>
      <c r="CZ94" s="1791" t="str">
        <f t="shared" si="142"/>
        <v/>
      </c>
      <c r="DA94" s="1791" t="str">
        <f t="shared" si="143"/>
        <v/>
      </c>
      <c r="DB94" s="1791" t="str">
        <f t="shared" si="144"/>
        <v/>
      </c>
      <c r="DC94" s="1791" t="str">
        <f t="shared" si="145"/>
        <v/>
      </c>
      <c r="DD94" s="1791" t="str">
        <f t="shared" si="146"/>
        <v/>
      </c>
      <c r="DE94"/>
      <c r="DG94" s="1793">
        <f t="shared" ref="DG94:DG96" si="155">IF(AND((W94+X94)&gt;0,AO94=""),1,IF(AO94&gt;(W94+X94),1,0))</f>
        <v>0</v>
      </c>
      <c r="DH94" s="1793">
        <f t="shared" si="148"/>
        <v>0</v>
      </c>
      <c r="DI94" s="1793">
        <f t="shared" si="149"/>
        <v>0</v>
      </c>
      <c r="DJ94" s="1793">
        <f t="shared" si="150"/>
        <v>0</v>
      </c>
      <c r="DK94" s="1793">
        <f t="shared" si="151"/>
        <v>0</v>
      </c>
      <c r="DL94" s="1793">
        <f t="shared" si="152"/>
        <v>0</v>
      </c>
      <c r="DM94" s="1793">
        <f t="shared" si="153"/>
        <v>0</v>
      </c>
      <c r="DN94" s="1793">
        <f t="shared" si="154"/>
        <v>0</v>
      </c>
    </row>
    <row r="95" spans="1:118" ht="15" customHeight="1" x14ac:dyDescent="0.25">
      <c r="A95" s="7597" t="s">
        <v>777</v>
      </c>
      <c r="B95" s="7597"/>
      <c r="C95" s="7597"/>
      <c r="D95" s="639">
        <f t="shared" si="136"/>
        <v>0</v>
      </c>
      <c r="E95" s="790">
        <f t="shared" si="137"/>
        <v>0</v>
      </c>
      <c r="F95" s="791">
        <f t="shared" si="137"/>
        <v>0</v>
      </c>
      <c r="G95" s="620"/>
      <c r="H95" s="630"/>
      <c r="I95" s="620"/>
      <c r="J95" s="796"/>
      <c r="K95" s="620"/>
      <c r="L95" s="630"/>
      <c r="M95" s="620"/>
      <c r="N95" s="630"/>
      <c r="O95" s="627"/>
      <c r="P95" s="630"/>
      <c r="Q95" s="627"/>
      <c r="R95" s="630"/>
      <c r="S95" s="627"/>
      <c r="T95" s="630"/>
      <c r="U95" s="627"/>
      <c r="V95" s="630"/>
      <c r="W95" s="627"/>
      <c r="X95" s="630"/>
      <c r="Y95" s="627"/>
      <c r="Z95" s="630"/>
      <c r="AA95" s="627"/>
      <c r="AB95" s="630"/>
      <c r="AC95" s="627"/>
      <c r="AD95" s="630"/>
      <c r="AE95" s="627"/>
      <c r="AF95" s="630"/>
      <c r="AG95" s="627"/>
      <c r="AH95" s="630"/>
      <c r="AI95" s="627"/>
      <c r="AJ95" s="630"/>
      <c r="AK95" s="627"/>
      <c r="AL95" s="630"/>
      <c r="AM95" s="627"/>
      <c r="AN95" s="628"/>
      <c r="AO95" s="83"/>
      <c r="AP95" s="83"/>
      <c r="AQ95" s="648"/>
      <c r="AR95" s="648"/>
      <c r="AS95" s="648"/>
      <c r="AT95" s="83"/>
      <c r="AU95" s="83"/>
      <c r="AV95" s="83"/>
      <c r="AW95" s="83"/>
      <c r="AX95" t="str">
        <f t="shared" si="138"/>
        <v/>
      </c>
      <c r="CW95" s="1791" t="str">
        <f t="shared" si="139"/>
        <v/>
      </c>
      <c r="CX95" s="1791" t="str">
        <f t="shared" si="140"/>
        <v/>
      </c>
      <c r="CY95" s="1791" t="str">
        <f t="shared" si="141"/>
        <v/>
      </c>
      <c r="CZ95" s="1791" t="str">
        <f t="shared" si="142"/>
        <v/>
      </c>
      <c r="DA95" s="1791" t="str">
        <f t="shared" si="143"/>
        <v/>
      </c>
      <c r="DB95" s="1791" t="str">
        <f t="shared" si="144"/>
        <v/>
      </c>
      <c r="DC95" s="1791" t="str">
        <f t="shared" si="145"/>
        <v/>
      </c>
      <c r="DD95" s="1791" t="str">
        <f t="shared" si="146"/>
        <v/>
      </c>
      <c r="DE95"/>
      <c r="DG95" s="1793">
        <f t="shared" si="155"/>
        <v>0</v>
      </c>
      <c r="DH95" s="1793">
        <f t="shared" si="148"/>
        <v>0</v>
      </c>
      <c r="DI95" s="1793">
        <f t="shared" si="149"/>
        <v>0</v>
      </c>
      <c r="DJ95" s="1793">
        <f t="shared" si="150"/>
        <v>0</v>
      </c>
      <c r="DK95" s="1793">
        <f t="shared" si="151"/>
        <v>0</v>
      </c>
      <c r="DL95" s="1793">
        <f t="shared" si="152"/>
        <v>0</v>
      </c>
      <c r="DM95" s="1793">
        <f t="shared" si="153"/>
        <v>0</v>
      </c>
      <c r="DN95" s="1793">
        <f t="shared" si="154"/>
        <v>0</v>
      </c>
    </row>
    <row r="96" spans="1:118" ht="15" customHeight="1" x14ac:dyDescent="0.25">
      <c r="A96" s="7519" t="s">
        <v>778</v>
      </c>
      <c r="B96" s="7455"/>
      <c r="C96" s="7387"/>
      <c r="D96" s="639">
        <f t="shared" si="136"/>
        <v>0</v>
      </c>
      <c r="E96" s="790">
        <f t="shared" si="137"/>
        <v>0</v>
      </c>
      <c r="F96" s="791">
        <f t="shared" si="137"/>
        <v>0</v>
      </c>
      <c r="G96" s="620"/>
      <c r="H96" s="590"/>
      <c r="I96" s="589"/>
      <c r="J96" s="844"/>
      <c r="K96" s="589"/>
      <c r="L96" s="630"/>
      <c r="M96" s="620"/>
      <c r="N96" s="630"/>
      <c r="O96" s="627"/>
      <c r="P96" s="630"/>
      <c r="Q96" s="627"/>
      <c r="R96" s="630"/>
      <c r="S96" s="627"/>
      <c r="T96" s="630"/>
      <c r="U96" s="627"/>
      <c r="V96" s="630"/>
      <c r="W96" s="627"/>
      <c r="X96" s="630"/>
      <c r="Y96" s="627"/>
      <c r="Z96" s="630"/>
      <c r="AA96" s="627"/>
      <c r="AB96" s="630"/>
      <c r="AC96" s="627"/>
      <c r="AD96" s="630"/>
      <c r="AE96" s="627"/>
      <c r="AF96" s="630"/>
      <c r="AG96" s="627"/>
      <c r="AH96" s="630"/>
      <c r="AI96" s="627"/>
      <c r="AJ96" s="630"/>
      <c r="AK96" s="627"/>
      <c r="AL96" s="630"/>
      <c r="AM96" s="627"/>
      <c r="AN96" s="628"/>
      <c r="AO96" s="83"/>
      <c r="AP96" s="105"/>
      <c r="AQ96" s="789"/>
      <c r="AR96" s="789"/>
      <c r="AS96" s="789"/>
      <c r="AT96" s="105"/>
      <c r="AU96" s="105"/>
      <c r="AV96" s="105"/>
      <c r="AW96" s="105"/>
      <c r="AX96" t="str">
        <f t="shared" si="138"/>
        <v/>
      </c>
      <c r="CW96" s="1791" t="str">
        <f t="shared" si="139"/>
        <v/>
      </c>
      <c r="CX96" s="1791" t="str">
        <f t="shared" si="140"/>
        <v/>
      </c>
      <c r="CY96" s="1791" t="str">
        <f t="shared" si="141"/>
        <v/>
      </c>
      <c r="CZ96" s="1791" t="str">
        <f t="shared" si="142"/>
        <v/>
      </c>
      <c r="DA96" s="1791" t="str">
        <f t="shared" si="143"/>
        <v/>
      </c>
      <c r="DB96" s="1791" t="str">
        <f t="shared" si="144"/>
        <v/>
      </c>
      <c r="DC96" s="1791" t="str">
        <f t="shared" si="145"/>
        <v/>
      </c>
      <c r="DD96" s="1791" t="str">
        <f t="shared" si="146"/>
        <v/>
      </c>
      <c r="DE96"/>
      <c r="DG96" s="1793">
        <f t="shared" si="155"/>
        <v>0</v>
      </c>
      <c r="DH96" s="1793">
        <f t="shared" si="148"/>
        <v>0</v>
      </c>
      <c r="DI96" s="1793">
        <f t="shared" si="149"/>
        <v>0</v>
      </c>
      <c r="DJ96" s="1793">
        <f t="shared" si="150"/>
        <v>0</v>
      </c>
      <c r="DK96" s="1793">
        <f t="shared" si="151"/>
        <v>0</v>
      </c>
      <c r="DL96" s="1793">
        <f t="shared" si="152"/>
        <v>0</v>
      </c>
      <c r="DM96" s="1793">
        <f t="shared" si="153"/>
        <v>0</v>
      </c>
      <c r="DN96" s="1793">
        <f t="shared" si="154"/>
        <v>0</v>
      </c>
    </row>
    <row r="97" spans="1:118" ht="15" customHeight="1" x14ac:dyDescent="0.25">
      <c r="A97" s="7583" t="s">
        <v>779</v>
      </c>
      <c r="B97" s="7584"/>
      <c r="C97" s="7585"/>
      <c r="D97" s="639">
        <f t="shared" si="136"/>
        <v>0</v>
      </c>
      <c r="E97" s="790">
        <f>SUM(Y97+AA97+AC97+AE97+AG97+AI97+AK97+AM97)</f>
        <v>0</v>
      </c>
      <c r="F97" s="791">
        <f>SUM(Z97+AB97+AD97+AF97+AH97+AJ97+AL97+AN97)</f>
        <v>0</v>
      </c>
      <c r="G97" s="845"/>
      <c r="H97" s="846"/>
      <c r="I97" s="845"/>
      <c r="J97" s="847"/>
      <c r="K97" s="845"/>
      <c r="L97" s="846"/>
      <c r="M97" s="845"/>
      <c r="N97" s="846"/>
      <c r="O97" s="631"/>
      <c r="P97" s="846"/>
      <c r="Q97" s="631"/>
      <c r="R97" s="846"/>
      <c r="S97" s="631"/>
      <c r="T97" s="846"/>
      <c r="U97" s="631"/>
      <c r="V97" s="846"/>
      <c r="W97" s="631"/>
      <c r="X97" s="846"/>
      <c r="Y97" s="627"/>
      <c r="Z97" s="630"/>
      <c r="AA97" s="627"/>
      <c r="AB97" s="630"/>
      <c r="AC97" s="627"/>
      <c r="AD97" s="630"/>
      <c r="AE97" s="627"/>
      <c r="AF97" s="630"/>
      <c r="AG97" s="627"/>
      <c r="AH97" s="630"/>
      <c r="AI97" s="627"/>
      <c r="AJ97" s="630"/>
      <c r="AK97" s="627"/>
      <c r="AL97" s="630"/>
      <c r="AM97" s="627"/>
      <c r="AN97" s="628"/>
      <c r="AO97" s="848"/>
      <c r="AP97" s="105"/>
      <c r="AQ97" s="789"/>
      <c r="AR97" s="789"/>
      <c r="AS97" s="789"/>
      <c r="AT97" s="105"/>
      <c r="AU97" s="105"/>
      <c r="AV97" s="105"/>
      <c r="AW97" s="105"/>
      <c r="AX97" t="str">
        <f t="shared" si="138"/>
        <v/>
      </c>
      <c r="CW97" s="4979"/>
      <c r="CX97" s="1791" t="str">
        <f t="shared" si="140"/>
        <v/>
      </c>
      <c r="CY97" s="1791" t="str">
        <f t="shared" si="141"/>
        <v/>
      </c>
      <c r="CZ97" s="1791" t="str">
        <f t="shared" si="142"/>
        <v/>
      </c>
      <c r="DA97" s="1791" t="str">
        <f t="shared" si="143"/>
        <v/>
      </c>
      <c r="DB97" s="1791" t="str">
        <f t="shared" si="144"/>
        <v/>
      </c>
      <c r="DC97" s="1791" t="str">
        <f t="shared" si="145"/>
        <v/>
      </c>
      <c r="DD97" s="1791" t="str">
        <f t="shared" si="146"/>
        <v/>
      </c>
      <c r="DE97"/>
      <c r="DG97" s="4979"/>
      <c r="DH97" s="1793">
        <f t="shared" si="148"/>
        <v>0</v>
      </c>
      <c r="DI97" s="1793">
        <f t="shared" si="149"/>
        <v>0</v>
      </c>
      <c r="DJ97" s="1793">
        <f t="shared" si="150"/>
        <v>0</v>
      </c>
      <c r="DK97" s="1793">
        <f t="shared" si="151"/>
        <v>0</v>
      </c>
      <c r="DL97" s="1793">
        <f t="shared" si="152"/>
        <v>0</v>
      </c>
      <c r="DM97" s="1793">
        <f t="shared" si="153"/>
        <v>0</v>
      </c>
      <c r="DN97" s="1793">
        <f t="shared" si="154"/>
        <v>0</v>
      </c>
    </row>
    <row r="98" spans="1:118" ht="15" customHeight="1" x14ac:dyDescent="0.25">
      <c r="A98" s="7591" t="s">
        <v>780</v>
      </c>
      <c r="B98" s="7591"/>
      <c r="C98" s="7591"/>
      <c r="D98" s="639">
        <f t="shared" si="136"/>
        <v>0</v>
      </c>
      <c r="E98" s="790">
        <f>SUM(G98+I98+K98+M98+O98+Q98+S98+U98+W98+Y98)</f>
        <v>0</v>
      </c>
      <c r="F98" s="791">
        <f>SUM(H98+J98+L98+N98+P98+R98+T98+V98+X98+Z98)</f>
        <v>0</v>
      </c>
      <c r="G98" s="620"/>
      <c r="H98" s="630"/>
      <c r="I98" s="620"/>
      <c r="J98" s="796"/>
      <c r="K98" s="589"/>
      <c r="L98" s="630"/>
      <c r="M98" s="620"/>
      <c r="N98" s="630"/>
      <c r="O98" s="627"/>
      <c r="P98" s="630"/>
      <c r="Q98" s="627"/>
      <c r="R98" s="630"/>
      <c r="S98" s="627"/>
      <c r="T98" s="630"/>
      <c r="U98" s="627"/>
      <c r="V98" s="630"/>
      <c r="W98" s="627"/>
      <c r="X98" s="630"/>
      <c r="Y98" s="627"/>
      <c r="Z98" s="630"/>
      <c r="AA98" s="631"/>
      <c r="AB98" s="846"/>
      <c r="AC98" s="631"/>
      <c r="AD98" s="846"/>
      <c r="AE98" s="631"/>
      <c r="AF98" s="846"/>
      <c r="AG98" s="631"/>
      <c r="AH98" s="846"/>
      <c r="AI98" s="631"/>
      <c r="AJ98" s="846"/>
      <c r="AK98" s="631"/>
      <c r="AL98" s="846"/>
      <c r="AM98" s="631"/>
      <c r="AN98" s="849"/>
      <c r="AO98" s="83"/>
      <c r="AP98" s="83"/>
      <c r="AQ98" s="648"/>
      <c r="AR98" s="850"/>
      <c r="AS98" s="648"/>
      <c r="AT98" s="83"/>
      <c r="AU98" s="83"/>
      <c r="AV98" s="83"/>
      <c r="AW98" s="83"/>
      <c r="AX98" t="str">
        <f t="shared" si="138"/>
        <v/>
      </c>
      <c r="CW98" s="1791" t="str">
        <f t="shared" si="139"/>
        <v/>
      </c>
      <c r="CX98" s="1791" t="str">
        <f t="shared" si="140"/>
        <v/>
      </c>
      <c r="CY98" s="1791" t="str">
        <f t="shared" si="141"/>
        <v/>
      </c>
      <c r="CZ98" s="4979"/>
      <c r="DA98" s="1791" t="str">
        <f t="shared" si="143"/>
        <v/>
      </c>
      <c r="DB98" s="1791" t="str">
        <f t="shared" si="144"/>
        <v/>
      </c>
      <c r="DC98" s="1791" t="str">
        <f t="shared" si="145"/>
        <v/>
      </c>
      <c r="DD98" s="1791" t="str">
        <f t="shared" si="146"/>
        <v/>
      </c>
      <c r="DE98"/>
      <c r="DG98" s="1793">
        <f t="shared" ref="DG98:DG116" si="156">IF(AND((W98+X98)&gt;0,AO98=""),1,IF(AO98&gt;(W98+X98),1,0))</f>
        <v>0</v>
      </c>
      <c r="DH98" s="1793">
        <f t="shared" si="148"/>
        <v>0</v>
      </c>
      <c r="DI98" s="1793">
        <f t="shared" si="149"/>
        <v>0</v>
      </c>
      <c r="DJ98" s="4979"/>
      <c r="DK98" s="1793">
        <f t="shared" si="151"/>
        <v>0</v>
      </c>
      <c r="DL98" s="1793">
        <f t="shared" si="152"/>
        <v>0</v>
      </c>
      <c r="DM98" s="1793">
        <f t="shared" si="153"/>
        <v>0</v>
      </c>
      <c r="DN98" s="1793">
        <f t="shared" si="154"/>
        <v>0</v>
      </c>
    </row>
    <row r="99" spans="1:118" ht="15" customHeight="1" x14ac:dyDescent="0.25">
      <c r="A99" s="7592" t="s">
        <v>781</v>
      </c>
      <c r="B99" s="7593"/>
      <c r="C99" s="7594"/>
      <c r="D99" s="639">
        <f t="shared" si="136"/>
        <v>0</v>
      </c>
      <c r="E99" s="790">
        <f t="shared" si="137"/>
        <v>0</v>
      </c>
      <c r="F99" s="791">
        <f t="shared" si="137"/>
        <v>0</v>
      </c>
      <c r="G99" s="620"/>
      <c r="H99" s="630"/>
      <c r="I99" s="620"/>
      <c r="J99" s="796"/>
      <c r="K99" s="589"/>
      <c r="L99" s="630"/>
      <c r="M99" s="620"/>
      <c r="N99" s="630"/>
      <c r="O99" s="627"/>
      <c r="P99" s="630"/>
      <c r="Q99" s="627"/>
      <c r="R99" s="630"/>
      <c r="S99" s="627"/>
      <c r="T99" s="630"/>
      <c r="U99" s="627"/>
      <c r="V99" s="630"/>
      <c r="W99" s="627"/>
      <c r="X99" s="630"/>
      <c r="Y99" s="627"/>
      <c r="Z99" s="630"/>
      <c r="AA99" s="627"/>
      <c r="AB99" s="630"/>
      <c r="AC99" s="627"/>
      <c r="AD99" s="630"/>
      <c r="AE99" s="627"/>
      <c r="AF99" s="630"/>
      <c r="AG99" s="627"/>
      <c r="AH99" s="630"/>
      <c r="AI99" s="627"/>
      <c r="AJ99" s="630"/>
      <c r="AK99" s="627"/>
      <c r="AL99" s="630"/>
      <c r="AM99" s="627"/>
      <c r="AN99" s="628"/>
      <c r="AO99" s="83"/>
      <c r="AP99" s="83"/>
      <c r="AQ99" s="648"/>
      <c r="AR99" s="789"/>
      <c r="AS99" s="648"/>
      <c r="AT99" s="83"/>
      <c r="AU99" s="83"/>
      <c r="AV99" s="83"/>
      <c r="AW99" s="83"/>
      <c r="AX99" t="str">
        <f t="shared" si="138"/>
        <v/>
      </c>
      <c r="CW99" s="1791" t="str">
        <f t="shared" si="139"/>
        <v/>
      </c>
      <c r="CX99" s="1791" t="str">
        <f t="shared" si="140"/>
        <v/>
      </c>
      <c r="CY99" s="1791" t="str">
        <f t="shared" si="141"/>
        <v/>
      </c>
      <c r="CZ99" s="1791" t="str">
        <f t="shared" si="142"/>
        <v/>
      </c>
      <c r="DA99" s="1791" t="str">
        <f t="shared" si="143"/>
        <v/>
      </c>
      <c r="DB99" s="1791" t="str">
        <f t="shared" si="144"/>
        <v/>
      </c>
      <c r="DC99" s="1791" t="str">
        <f t="shared" si="145"/>
        <v/>
      </c>
      <c r="DD99" s="1791" t="str">
        <f t="shared" si="146"/>
        <v/>
      </c>
      <c r="DE99"/>
      <c r="DG99" s="1793">
        <f t="shared" si="156"/>
        <v>0</v>
      </c>
      <c r="DH99" s="1793">
        <f t="shared" si="148"/>
        <v>0</v>
      </c>
      <c r="DI99" s="1793">
        <f t="shared" si="149"/>
        <v>0</v>
      </c>
      <c r="DJ99" s="1793">
        <f t="shared" si="150"/>
        <v>0</v>
      </c>
      <c r="DK99" s="1793">
        <f t="shared" si="151"/>
        <v>0</v>
      </c>
      <c r="DL99" s="1793">
        <f t="shared" si="152"/>
        <v>0</v>
      </c>
      <c r="DM99" s="1793">
        <f t="shared" si="153"/>
        <v>0</v>
      </c>
      <c r="DN99" s="1793">
        <f t="shared" si="154"/>
        <v>0</v>
      </c>
    </row>
    <row r="100" spans="1:118" ht="15" customHeight="1" x14ac:dyDescent="0.25">
      <c r="A100" s="7592" t="s">
        <v>782</v>
      </c>
      <c r="B100" s="7593"/>
      <c r="C100" s="7594"/>
      <c r="D100" s="639">
        <f t="shared" si="136"/>
        <v>0</v>
      </c>
      <c r="E100" s="790">
        <f t="shared" si="137"/>
        <v>0</v>
      </c>
      <c r="F100" s="791">
        <f t="shared" si="137"/>
        <v>0</v>
      </c>
      <c r="G100" s="620"/>
      <c r="H100" s="630"/>
      <c r="I100" s="620"/>
      <c r="J100" s="796"/>
      <c r="K100" s="589"/>
      <c r="L100" s="630"/>
      <c r="M100" s="620"/>
      <c r="N100" s="630"/>
      <c r="O100" s="627"/>
      <c r="P100" s="630"/>
      <c r="Q100" s="627"/>
      <c r="R100" s="630"/>
      <c r="S100" s="627"/>
      <c r="T100" s="630"/>
      <c r="U100" s="627"/>
      <c r="V100" s="630"/>
      <c r="W100" s="627"/>
      <c r="X100" s="630"/>
      <c r="Y100" s="627"/>
      <c r="Z100" s="630"/>
      <c r="AA100" s="627"/>
      <c r="AB100" s="630"/>
      <c r="AC100" s="627"/>
      <c r="AD100" s="630"/>
      <c r="AE100" s="627"/>
      <c r="AF100" s="630"/>
      <c r="AG100" s="627"/>
      <c r="AH100" s="630"/>
      <c r="AI100" s="627"/>
      <c r="AJ100" s="630"/>
      <c r="AK100" s="627"/>
      <c r="AL100" s="630"/>
      <c r="AM100" s="627"/>
      <c r="AN100" s="628"/>
      <c r="AO100" s="83"/>
      <c r="AP100" s="83"/>
      <c r="AQ100" s="648"/>
      <c r="AR100" s="789"/>
      <c r="AS100" s="648"/>
      <c r="AT100" s="83"/>
      <c r="AU100" s="83"/>
      <c r="AV100" s="83"/>
      <c r="AW100" s="83"/>
      <c r="AX100" t="str">
        <f t="shared" si="138"/>
        <v/>
      </c>
      <c r="CW100" s="1791" t="str">
        <f t="shared" si="139"/>
        <v/>
      </c>
      <c r="CX100" s="1791" t="str">
        <f t="shared" si="140"/>
        <v/>
      </c>
      <c r="CY100" s="1791" t="str">
        <f t="shared" si="141"/>
        <v/>
      </c>
      <c r="CZ100" s="1791" t="str">
        <f t="shared" si="142"/>
        <v/>
      </c>
      <c r="DA100" s="1791" t="str">
        <f t="shared" si="143"/>
        <v/>
      </c>
      <c r="DB100" s="1791" t="str">
        <f t="shared" si="144"/>
        <v/>
      </c>
      <c r="DC100" s="1791" t="str">
        <f t="shared" si="145"/>
        <v/>
      </c>
      <c r="DD100" s="1791" t="str">
        <f t="shared" si="146"/>
        <v/>
      </c>
      <c r="DE100"/>
      <c r="DG100" s="1793">
        <f t="shared" si="156"/>
        <v>0</v>
      </c>
      <c r="DH100" s="1793">
        <f t="shared" si="148"/>
        <v>0</v>
      </c>
      <c r="DI100" s="1793">
        <f t="shared" si="149"/>
        <v>0</v>
      </c>
      <c r="DJ100" s="1793">
        <f t="shared" si="150"/>
        <v>0</v>
      </c>
      <c r="DK100" s="1793">
        <f t="shared" si="151"/>
        <v>0</v>
      </c>
      <c r="DL100" s="1793">
        <f t="shared" si="152"/>
        <v>0</v>
      </c>
      <c r="DM100" s="1793">
        <f t="shared" si="153"/>
        <v>0</v>
      </c>
      <c r="DN100" s="1793">
        <f t="shared" si="154"/>
        <v>0</v>
      </c>
    </row>
    <row r="101" spans="1:118" ht="15" customHeight="1" x14ac:dyDescent="0.25">
      <c r="A101" s="7591" t="s">
        <v>783</v>
      </c>
      <c r="B101" s="7591"/>
      <c r="C101" s="7591"/>
      <c r="D101" s="639">
        <f t="shared" si="136"/>
        <v>0</v>
      </c>
      <c r="E101" s="790">
        <f t="shared" si="137"/>
        <v>0</v>
      </c>
      <c r="F101" s="791">
        <f t="shared" si="137"/>
        <v>0</v>
      </c>
      <c r="G101" s="620"/>
      <c r="H101" s="630"/>
      <c r="I101" s="620"/>
      <c r="J101" s="796"/>
      <c r="K101" s="620"/>
      <c r="L101" s="630"/>
      <c r="M101" s="620"/>
      <c r="N101" s="630"/>
      <c r="O101" s="627"/>
      <c r="P101" s="630"/>
      <c r="Q101" s="627"/>
      <c r="R101" s="630"/>
      <c r="S101" s="627"/>
      <c r="T101" s="630"/>
      <c r="U101" s="627"/>
      <c r="V101" s="630"/>
      <c r="W101" s="627"/>
      <c r="X101" s="630"/>
      <c r="Y101" s="627"/>
      <c r="Z101" s="630"/>
      <c r="AA101" s="627"/>
      <c r="AB101" s="630"/>
      <c r="AC101" s="627"/>
      <c r="AD101" s="630"/>
      <c r="AE101" s="627"/>
      <c r="AF101" s="630"/>
      <c r="AG101" s="627"/>
      <c r="AH101" s="630"/>
      <c r="AI101" s="627"/>
      <c r="AJ101" s="630"/>
      <c r="AK101" s="627"/>
      <c r="AL101" s="630"/>
      <c r="AM101" s="627"/>
      <c r="AN101" s="628"/>
      <c r="AO101" s="83"/>
      <c r="AP101" s="83"/>
      <c r="AQ101" s="648"/>
      <c r="AR101" s="789"/>
      <c r="AS101" s="648"/>
      <c r="AT101" s="83"/>
      <c r="AU101" s="83"/>
      <c r="AV101" s="83"/>
      <c r="AW101" s="83"/>
      <c r="AX101" t="str">
        <f t="shared" si="138"/>
        <v/>
      </c>
      <c r="CW101" s="1791" t="str">
        <f t="shared" si="139"/>
        <v/>
      </c>
      <c r="CX101" s="1791" t="str">
        <f t="shared" si="140"/>
        <v/>
      </c>
      <c r="CY101" s="1791" t="str">
        <f t="shared" si="141"/>
        <v/>
      </c>
      <c r="CZ101" s="1791" t="str">
        <f t="shared" si="142"/>
        <v/>
      </c>
      <c r="DA101" s="1791" t="str">
        <f t="shared" si="143"/>
        <v/>
      </c>
      <c r="DB101" s="1791" t="str">
        <f t="shared" si="144"/>
        <v/>
      </c>
      <c r="DC101" s="1791" t="str">
        <f t="shared" si="145"/>
        <v/>
      </c>
      <c r="DD101" s="1791" t="str">
        <f t="shared" si="146"/>
        <v/>
      </c>
      <c r="DE101"/>
      <c r="DG101" s="1793">
        <f t="shared" si="156"/>
        <v>0</v>
      </c>
      <c r="DH101" s="1793">
        <f t="shared" si="148"/>
        <v>0</v>
      </c>
      <c r="DI101" s="1793">
        <f t="shared" si="149"/>
        <v>0</v>
      </c>
      <c r="DJ101" s="1793">
        <f t="shared" si="150"/>
        <v>0</v>
      </c>
      <c r="DK101" s="1793">
        <f t="shared" si="151"/>
        <v>0</v>
      </c>
      <c r="DL101" s="1793">
        <f t="shared" si="152"/>
        <v>0</v>
      </c>
      <c r="DM101" s="1793">
        <f t="shared" si="153"/>
        <v>0</v>
      </c>
      <c r="DN101" s="1793">
        <f t="shared" si="154"/>
        <v>0</v>
      </c>
    </row>
    <row r="102" spans="1:118" ht="15" customHeight="1" x14ac:dyDescent="0.25">
      <c r="A102" s="7591" t="s">
        <v>784</v>
      </c>
      <c r="B102" s="7591"/>
      <c r="C102" s="7591"/>
      <c r="D102" s="639">
        <f t="shared" si="136"/>
        <v>0</v>
      </c>
      <c r="E102" s="790">
        <f t="shared" si="137"/>
        <v>0</v>
      </c>
      <c r="F102" s="791">
        <f t="shared" si="137"/>
        <v>0</v>
      </c>
      <c r="G102" s="620"/>
      <c r="H102" s="630"/>
      <c r="I102" s="620"/>
      <c r="J102" s="796"/>
      <c r="K102" s="620"/>
      <c r="L102" s="630"/>
      <c r="M102" s="620"/>
      <c r="N102" s="630"/>
      <c r="O102" s="627"/>
      <c r="P102" s="630"/>
      <c r="Q102" s="627"/>
      <c r="R102" s="630"/>
      <c r="S102" s="627"/>
      <c r="T102" s="630"/>
      <c r="U102" s="627"/>
      <c r="V102" s="630"/>
      <c r="W102" s="627"/>
      <c r="X102" s="630"/>
      <c r="Y102" s="627"/>
      <c r="Z102" s="630"/>
      <c r="AA102" s="627"/>
      <c r="AB102" s="630"/>
      <c r="AC102" s="627"/>
      <c r="AD102" s="630"/>
      <c r="AE102" s="627"/>
      <c r="AF102" s="630"/>
      <c r="AG102" s="627"/>
      <c r="AH102" s="630"/>
      <c r="AI102" s="627"/>
      <c r="AJ102" s="630"/>
      <c r="AK102" s="627"/>
      <c r="AL102" s="630"/>
      <c r="AM102" s="627"/>
      <c r="AN102" s="628"/>
      <c r="AO102" s="83"/>
      <c r="AP102" s="83"/>
      <c r="AQ102" s="648"/>
      <c r="AR102" s="789"/>
      <c r="AS102" s="648"/>
      <c r="AT102" s="83"/>
      <c r="AU102" s="83"/>
      <c r="AV102" s="83"/>
      <c r="AW102" s="83"/>
      <c r="AX102" t="str">
        <f t="shared" si="138"/>
        <v/>
      </c>
      <c r="CW102" s="1791" t="str">
        <f t="shared" si="139"/>
        <v/>
      </c>
      <c r="CX102" s="1791" t="str">
        <f t="shared" si="140"/>
        <v/>
      </c>
      <c r="CY102" s="1791" t="str">
        <f t="shared" si="141"/>
        <v/>
      </c>
      <c r="CZ102" s="1791" t="str">
        <f t="shared" si="142"/>
        <v/>
      </c>
      <c r="DA102" s="1791" t="str">
        <f t="shared" si="143"/>
        <v/>
      </c>
      <c r="DB102" s="1791" t="str">
        <f t="shared" si="144"/>
        <v/>
      </c>
      <c r="DC102" s="1791" t="str">
        <f t="shared" si="145"/>
        <v/>
      </c>
      <c r="DD102" s="1791" t="str">
        <f t="shared" si="146"/>
        <v/>
      </c>
      <c r="DE102"/>
      <c r="DG102" s="1793">
        <f t="shared" si="156"/>
        <v>0</v>
      </c>
      <c r="DH102" s="1793">
        <f t="shared" si="148"/>
        <v>0</v>
      </c>
      <c r="DI102" s="1793">
        <f t="shared" si="149"/>
        <v>0</v>
      </c>
      <c r="DJ102" s="1793">
        <f t="shared" si="150"/>
        <v>0</v>
      </c>
      <c r="DK102" s="1793">
        <f t="shared" si="151"/>
        <v>0</v>
      </c>
      <c r="DL102" s="1793">
        <f t="shared" si="152"/>
        <v>0</v>
      </c>
      <c r="DM102" s="1793">
        <f t="shared" si="153"/>
        <v>0</v>
      </c>
      <c r="DN102" s="1793">
        <f t="shared" si="154"/>
        <v>0</v>
      </c>
    </row>
    <row r="103" spans="1:118" ht="15" customHeight="1" x14ac:dyDescent="0.25">
      <c r="A103" s="7591" t="s">
        <v>785</v>
      </c>
      <c r="B103" s="7591"/>
      <c r="C103" s="7591"/>
      <c r="D103" s="639">
        <f t="shared" si="136"/>
        <v>0</v>
      </c>
      <c r="E103" s="790">
        <f>SUM(G103+I103+K103+M103+O103+Q103+S103+U103+W103)</f>
        <v>0</v>
      </c>
      <c r="F103" s="791">
        <f>SUM(H103+J103+L103+N103+P103+R103+T103+V103+X103)</f>
        <v>0</v>
      </c>
      <c r="G103" s="851"/>
      <c r="H103" s="630"/>
      <c r="I103" s="851"/>
      <c r="J103" s="796"/>
      <c r="K103" s="620"/>
      <c r="L103" s="630"/>
      <c r="M103" s="620"/>
      <c r="N103" s="630"/>
      <c r="O103" s="627"/>
      <c r="P103" s="630"/>
      <c r="Q103" s="627"/>
      <c r="R103" s="630"/>
      <c r="S103" s="627"/>
      <c r="T103" s="630"/>
      <c r="U103" s="627"/>
      <c r="V103" s="630"/>
      <c r="W103" s="627"/>
      <c r="X103" s="630"/>
      <c r="Y103" s="631"/>
      <c r="Z103" s="846"/>
      <c r="AA103" s="631"/>
      <c r="AB103" s="846"/>
      <c r="AC103" s="631"/>
      <c r="AD103" s="846"/>
      <c r="AE103" s="631"/>
      <c r="AF103" s="846"/>
      <c r="AG103" s="631"/>
      <c r="AH103" s="846"/>
      <c r="AI103" s="631"/>
      <c r="AJ103" s="846"/>
      <c r="AK103" s="631"/>
      <c r="AL103" s="846"/>
      <c r="AM103" s="631"/>
      <c r="AN103" s="849"/>
      <c r="AO103" s="83"/>
      <c r="AP103" s="83"/>
      <c r="AQ103" s="648"/>
      <c r="AR103" s="850"/>
      <c r="AS103" s="648"/>
      <c r="AT103" s="83"/>
      <c r="AU103" s="83"/>
      <c r="AV103" s="83"/>
      <c r="AW103" s="83"/>
      <c r="AX103" t="str">
        <f t="shared" si="138"/>
        <v/>
      </c>
      <c r="CW103" s="1791" t="str">
        <f t="shared" si="139"/>
        <v/>
      </c>
      <c r="CX103" s="1791" t="str">
        <f t="shared" si="140"/>
        <v/>
      </c>
      <c r="CY103" s="1791" t="str">
        <f t="shared" si="141"/>
        <v/>
      </c>
      <c r="CZ103" s="1791" t="str">
        <f t="shared" si="142"/>
        <v/>
      </c>
      <c r="DA103" s="1791" t="str">
        <f t="shared" si="143"/>
        <v/>
      </c>
      <c r="DB103" s="1791" t="str">
        <f t="shared" si="144"/>
        <v/>
      </c>
      <c r="DC103" s="1791" t="str">
        <f t="shared" si="145"/>
        <v/>
      </c>
      <c r="DD103" s="1791" t="str">
        <f t="shared" si="146"/>
        <v/>
      </c>
      <c r="DE103"/>
      <c r="DG103" s="1793">
        <f t="shared" si="156"/>
        <v>0</v>
      </c>
      <c r="DH103" s="1793">
        <f t="shared" si="148"/>
        <v>0</v>
      </c>
      <c r="DI103" s="1793">
        <f t="shared" si="149"/>
        <v>0</v>
      </c>
      <c r="DJ103" s="1793">
        <f t="shared" si="150"/>
        <v>0</v>
      </c>
      <c r="DK103" s="1793">
        <f t="shared" si="151"/>
        <v>0</v>
      </c>
      <c r="DL103" s="1793">
        <f t="shared" si="152"/>
        <v>0</v>
      </c>
      <c r="DM103" s="1793">
        <f t="shared" si="153"/>
        <v>0</v>
      </c>
      <c r="DN103" s="1793">
        <f t="shared" si="154"/>
        <v>0</v>
      </c>
    </row>
    <row r="104" spans="1:118" ht="15" customHeight="1" x14ac:dyDescent="0.25">
      <c r="A104" s="7591" t="s">
        <v>786</v>
      </c>
      <c r="B104" s="7591"/>
      <c r="C104" s="7591"/>
      <c r="D104" s="639">
        <f t="shared" si="136"/>
        <v>0</v>
      </c>
      <c r="E104" s="790">
        <f t="shared" ref="E104:F106" si="157">SUM(Q104+S104+U104+W104+Y104+AA104+AC104+AE104+AG104+AI104+AK104+AM104)</f>
        <v>0</v>
      </c>
      <c r="F104" s="791">
        <f t="shared" si="157"/>
        <v>0</v>
      </c>
      <c r="G104" s="794"/>
      <c r="H104" s="795"/>
      <c r="I104" s="794"/>
      <c r="J104" s="852"/>
      <c r="K104" s="794"/>
      <c r="L104" s="795"/>
      <c r="M104" s="794"/>
      <c r="N104" s="795"/>
      <c r="O104" s="805"/>
      <c r="P104" s="795"/>
      <c r="Q104" s="627"/>
      <c r="R104" s="630"/>
      <c r="S104" s="627"/>
      <c r="T104" s="630"/>
      <c r="U104" s="627"/>
      <c r="V104" s="630"/>
      <c r="W104" s="627"/>
      <c r="X104" s="630"/>
      <c r="Y104" s="627"/>
      <c r="Z104" s="630"/>
      <c r="AA104" s="627"/>
      <c r="AB104" s="630"/>
      <c r="AC104" s="627"/>
      <c r="AD104" s="630"/>
      <c r="AE104" s="627"/>
      <c r="AF104" s="630"/>
      <c r="AG104" s="627"/>
      <c r="AH104" s="630"/>
      <c r="AI104" s="627"/>
      <c r="AJ104" s="630"/>
      <c r="AK104" s="627"/>
      <c r="AL104" s="630"/>
      <c r="AM104" s="627"/>
      <c r="AN104" s="628"/>
      <c r="AO104" s="83"/>
      <c r="AP104" s="83"/>
      <c r="AQ104" s="648"/>
      <c r="AR104" s="648"/>
      <c r="AS104" s="648"/>
      <c r="AT104" s="83"/>
      <c r="AU104" s="83"/>
      <c r="AV104" s="83"/>
      <c r="AW104" s="83"/>
      <c r="AX104" t="str">
        <f t="shared" si="138"/>
        <v/>
      </c>
      <c r="CW104" s="1791" t="str">
        <f t="shared" si="139"/>
        <v/>
      </c>
      <c r="CX104" s="1791" t="str">
        <f t="shared" si="140"/>
        <v/>
      </c>
      <c r="CY104" s="1791" t="str">
        <f t="shared" si="141"/>
        <v/>
      </c>
      <c r="CZ104" s="1791" t="str">
        <f t="shared" si="142"/>
        <v/>
      </c>
      <c r="DA104" s="1791" t="str">
        <f t="shared" si="143"/>
        <v/>
      </c>
      <c r="DB104" s="1791" t="str">
        <f t="shared" si="144"/>
        <v/>
      </c>
      <c r="DC104" s="1791" t="str">
        <f t="shared" si="145"/>
        <v/>
      </c>
      <c r="DD104" s="1791" t="str">
        <f t="shared" si="146"/>
        <v/>
      </c>
      <c r="DE104"/>
      <c r="DG104" s="1793">
        <f t="shared" si="156"/>
        <v>0</v>
      </c>
      <c r="DH104" s="1793">
        <f t="shared" si="148"/>
        <v>0</v>
      </c>
      <c r="DI104" s="1793">
        <f t="shared" si="149"/>
        <v>0</v>
      </c>
      <c r="DJ104" s="1793">
        <f t="shared" si="150"/>
        <v>0</v>
      </c>
      <c r="DK104" s="1793">
        <f t="shared" si="151"/>
        <v>0</v>
      </c>
      <c r="DL104" s="1793">
        <f t="shared" si="152"/>
        <v>0</v>
      </c>
      <c r="DM104" s="1793">
        <f t="shared" si="153"/>
        <v>0</v>
      </c>
      <c r="DN104" s="1793">
        <f t="shared" si="154"/>
        <v>0</v>
      </c>
    </row>
    <row r="105" spans="1:118" ht="15" customHeight="1" x14ac:dyDescent="0.25">
      <c r="A105" s="7591" t="s">
        <v>787</v>
      </c>
      <c r="B105" s="7591"/>
      <c r="C105" s="7591"/>
      <c r="D105" s="639">
        <f t="shared" si="136"/>
        <v>0</v>
      </c>
      <c r="E105" s="790">
        <f t="shared" si="157"/>
        <v>0</v>
      </c>
      <c r="F105" s="791">
        <f t="shared" si="157"/>
        <v>0</v>
      </c>
      <c r="G105" s="794"/>
      <c r="H105" s="795"/>
      <c r="I105" s="794"/>
      <c r="J105" s="852"/>
      <c r="K105" s="794"/>
      <c r="L105" s="795"/>
      <c r="M105" s="794"/>
      <c r="N105" s="795"/>
      <c r="O105" s="805"/>
      <c r="P105" s="795"/>
      <c r="Q105" s="627"/>
      <c r="R105" s="630"/>
      <c r="S105" s="627"/>
      <c r="T105" s="630"/>
      <c r="U105" s="627"/>
      <c r="V105" s="630"/>
      <c r="W105" s="627"/>
      <c r="X105" s="630"/>
      <c r="Y105" s="627"/>
      <c r="Z105" s="630"/>
      <c r="AA105" s="627"/>
      <c r="AB105" s="630"/>
      <c r="AC105" s="627"/>
      <c r="AD105" s="630"/>
      <c r="AE105" s="627"/>
      <c r="AF105" s="630"/>
      <c r="AG105" s="627"/>
      <c r="AH105" s="630"/>
      <c r="AI105" s="627"/>
      <c r="AJ105" s="630"/>
      <c r="AK105" s="627"/>
      <c r="AL105" s="630"/>
      <c r="AM105" s="627"/>
      <c r="AN105" s="628"/>
      <c r="AO105" s="83"/>
      <c r="AP105" s="83"/>
      <c r="AQ105" s="648"/>
      <c r="AR105" s="648"/>
      <c r="AS105" s="648"/>
      <c r="AT105" s="83"/>
      <c r="AU105" s="83"/>
      <c r="AV105" s="83"/>
      <c r="AW105" s="83"/>
      <c r="AX105" t="str">
        <f t="shared" si="138"/>
        <v/>
      </c>
      <c r="CW105" s="1791" t="str">
        <f t="shared" si="139"/>
        <v/>
      </c>
      <c r="CX105" s="1791" t="str">
        <f t="shared" si="140"/>
        <v/>
      </c>
      <c r="CY105" s="1791" t="str">
        <f t="shared" si="141"/>
        <v/>
      </c>
      <c r="CZ105" s="1791" t="str">
        <f t="shared" si="142"/>
        <v/>
      </c>
      <c r="DA105" s="1791" t="str">
        <f t="shared" si="143"/>
        <v/>
      </c>
      <c r="DB105" s="1791" t="str">
        <f t="shared" si="144"/>
        <v/>
      </c>
      <c r="DC105" s="1791" t="str">
        <f t="shared" si="145"/>
        <v/>
      </c>
      <c r="DD105" s="1791" t="str">
        <f t="shared" si="146"/>
        <v/>
      </c>
      <c r="DE105"/>
      <c r="DG105" s="1793">
        <f t="shared" si="156"/>
        <v>0</v>
      </c>
      <c r="DH105" s="1793">
        <f t="shared" si="148"/>
        <v>0</v>
      </c>
      <c r="DI105" s="1793">
        <f t="shared" si="149"/>
        <v>0</v>
      </c>
      <c r="DJ105" s="1793">
        <f t="shared" si="150"/>
        <v>0</v>
      </c>
      <c r="DK105" s="1793">
        <f t="shared" si="151"/>
        <v>0</v>
      </c>
      <c r="DL105" s="1793">
        <f t="shared" si="152"/>
        <v>0</v>
      </c>
      <c r="DM105" s="1793">
        <f t="shared" si="153"/>
        <v>0</v>
      </c>
      <c r="DN105" s="1793">
        <f t="shared" si="154"/>
        <v>0</v>
      </c>
    </row>
    <row r="106" spans="1:118" ht="15" customHeight="1" x14ac:dyDescent="0.25">
      <c r="A106" s="7591" t="s">
        <v>788</v>
      </c>
      <c r="B106" s="7591"/>
      <c r="C106" s="7591"/>
      <c r="D106" s="639">
        <f t="shared" si="136"/>
        <v>0</v>
      </c>
      <c r="E106" s="790">
        <f t="shared" si="157"/>
        <v>0</v>
      </c>
      <c r="F106" s="791">
        <f t="shared" si="157"/>
        <v>0</v>
      </c>
      <c r="G106" s="794"/>
      <c r="H106" s="795"/>
      <c r="I106" s="794"/>
      <c r="J106" s="852"/>
      <c r="K106" s="794"/>
      <c r="L106" s="795"/>
      <c r="M106" s="794"/>
      <c r="N106" s="795"/>
      <c r="O106" s="805"/>
      <c r="P106" s="795"/>
      <c r="Q106" s="627"/>
      <c r="R106" s="630"/>
      <c r="S106" s="627"/>
      <c r="T106" s="630"/>
      <c r="U106" s="627"/>
      <c r="V106" s="630"/>
      <c r="W106" s="627"/>
      <c r="X106" s="630"/>
      <c r="Y106" s="627"/>
      <c r="Z106" s="630"/>
      <c r="AA106" s="627"/>
      <c r="AB106" s="630"/>
      <c r="AC106" s="627"/>
      <c r="AD106" s="630"/>
      <c r="AE106" s="627"/>
      <c r="AF106" s="630"/>
      <c r="AG106" s="627"/>
      <c r="AH106" s="630"/>
      <c r="AI106" s="627"/>
      <c r="AJ106" s="630"/>
      <c r="AK106" s="627"/>
      <c r="AL106" s="630"/>
      <c r="AM106" s="627"/>
      <c r="AN106" s="628"/>
      <c r="AO106" s="83"/>
      <c r="AP106" s="83"/>
      <c r="AQ106" s="648"/>
      <c r="AR106" s="648"/>
      <c r="AS106" s="648"/>
      <c r="AT106" s="83"/>
      <c r="AU106" s="83"/>
      <c r="AV106" s="83"/>
      <c r="AW106" s="83"/>
      <c r="AX106" t="str">
        <f t="shared" si="138"/>
        <v/>
      </c>
      <c r="CW106" s="1791" t="str">
        <f t="shared" si="139"/>
        <v/>
      </c>
      <c r="CX106" s="1791" t="str">
        <f t="shared" si="140"/>
        <v/>
      </c>
      <c r="CY106" s="1791" t="str">
        <f t="shared" si="141"/>
        <v/>
      </c>
      <c r="CZ106" s="1791" t="str">
        <f t="shared" si="142"/>
        <v/>
      </c>
      <c r="DA106" s="1791" t="str">
        <f t="shared" si="143"/>
        <v/>
      </c>
      <c r="DB106" s="1791" t="str">
        <f t="shared" si="144"/>
        <v/>
      </c>
      <c r="DC106" s="1791" t="str">
        <f t="shared" si="145"/>
        <v/>
      </c>
      <c r="DD106" s="1791" t="str">
        <f t="shared" si="146"/>
        <v/>
      </c>
      <c r="DE106"/>
      <c r="DG106" s="1793">
        <f t="shared" si="156"/>
        <v>0</v>
      </c>
      <c r="DH106" s="1793">
        <f t="shared" si="148"/>
        <v>0</v>
      </c>
      <c r="DI106" s="1793">
        <f t="shared" si="149"/>
        <v>0</v>
      </c>
      <c r="DJ106" s="1793">
        <f t="shared" si="150"/>
        <v>0</v>
      </c>
      <c r="DK106" s="1793">
        <f t="shared" si="151"/>
        <v>0</v>
      </c>
      <c r="DL106" s="1793">
        <f t="shared" si="152"/>
        <v>0</v>
      </c>
      <c r="DM106" s="1793">
        <f t="shared" si="153"/>
        <v>0</v>
      </c>
      <c r="DN106" s="1793">
        <f t="shared" si="154"/>
        <v>0</v>
      </c>
    </row>
    <row r="107" spans="1:118" ht="15" customHeight="1" x14ac:dyDescent="0.25">
      <c r="A107" s="7583" t="s">
        <v>789</v>
      </c>
      <c r="B107" s="7584"/>
      <c r="C107" s="7585"/>
      <c r="D107" s="639">
        <f t="shared" si="136"/>
        <v>0</v>
      </c>
      <c r="E107" s="790">
        <f>SUM(Q107+S107+U107+W107+Y107)</f>
        <v>0</v>
      </c>
      <c r="F107" s="791">
        <f>SUM(R107+T107+V107+X107+Z107)</f>
        <v>0</v>
      </c>
      <c r="G107" s="845"/>
      <c r="H107" s="846"/>
      <c r="I107" s="845"/>
      <c r="J107" s="847"/>
      <c r="K107" s="845"/>
      <c r="L107" s="846"/>
      <c r="M107" s="845"/>
      <c r="N107" s="846"/>
      <c r="O107" s="631"/>
      <c r="P107" s="846"/>
      <c r="Q107" s="627"/>
      <c r="R107" s="630"/>
      <c r="S107" s="627"/>
      <c r="T107" s="630"/>
      <c r="U107" s="627"/>
      <c r="V107" s="630"/>
      <c r="W107" s="627"/>
      <c r="X107" s="630"/>
      <c r="Y107" s="627"/>
      <c r="Z107" s="630"/>
      <c r="AA107" s="631"/>
      <c r="AB107" s="846"/>
      <c r="AC107" s="631"/>
      <c r="AD107" s="846"/>
      <c r="AE107" s="631"/>
      <c r="AF107" s="846"/>
      <c r="AG107" s="631"/>
      <c r="AH107" s="846"/>
      <c r="AI107" s="631"/>
      <c r="AJ107" s="846"/>
      <c r="AK107" s="631"/>
      <c r="AL107" s="846"/>
      <c r="AM107" s="631"/>
      <c r="AN107" s="849"/>
      <c r="AO107" s="83"/>
      <c r="AP107" s="83"/>
      <c r="AQ107" s="648"/>
      <c r="AR107" s="850"/>
      <c r="AS107" s="648"/>
      <c r="AT107" s="83"/>
      <c r="AU107" s="83"/>
      <c r="AV107" s="83"/>
      <c r="AW107" s="83"/>
      <c r="AX107" t="str">
        <f t="shared" si="138"/>
        <v/>
      </c>
      <c r="CW107" s="1791" t="str">
        <f t="shared" si="139"/>
        <v/>
      </c>
      <c r="CX107" s="1791" t="str">
        <f t="shared" si="140"/>
        <v/>
      </c>
      <c r="CY107" s="1791" t="str">
        <f t="shared" si="141"/>
        <v/>
      </c>
      <c r="CZ107" s="1791" t="str">
        <f t="shared" si="142"/>
        <v/>
      </c>
      <c r="DA107" s="1791" t="str">
        <f t="shared" si="143"/>
        <v/>
      </c>
      <c r="DB107" s="1791" t="str">
        <f t="shared" si="144"/>
        <v/>
      </c>
      <c r="DC107" s="1791" t="str">
        <f t="shared" si="145"/>
        <v/>
      </c>
      <c r="DD107" s="1791" t="str">
        <f t="shared" si="146"/>
        <v/>
      </c>
      <c r="DE107"/>
      <c r="DG107" s="1793">
        <f t="shared" si="156"/>
        <v>0</v>
      </c>
      <c r="DH107" s="1793">
        <f t="shared" si="148"/>
        <v>0</v>
      </c>
      <c r="DI107" s="1793">
        <f t="shared" si="149"/>
        <v>0</v>
      </c>
      <c r="DJ107" s="1793">
        <f t="shared" si="150"/>
        <v>0</v>
      </c>
      <c r="DK107" s="1793">
        <f t="shared" si="151"/>
        <v>0</v>
      </c>
      <c r="DL107" s="1793">
        <f t="shared" si="152"/>
        <v>0</v>
      </c>
      <c r="DM107" s="1793">
        <f t="shared" si="153"/>
        <v>0</v>
      </c>
      <c r="DN107" s="1793">
        <f t="shared" si="154"/>
        <v>0</v>
      </c>
    </row>
    <row r="108" spans="1:118" ht="15" customHeight="1" x14ac:dyDescent="0.25">
      <c r="A108" s="7583" t="s">
        <v>790</v>
      </c>
      <c r="B108" s="7584"/>
      <c r="C108" s="7585"/>
      <c r="D108" s="639">
        <f t="shared" si="136"/>
        <v>0</v>
      </c>
      <c r="E108" s="790">
        <f>SUM(Q108+S108+U108+W108+Y108+AA108+AC108+AE108+AG108+AI108+AK108+AM108)</f>
        <v>0</v>
      </c>
      <c r="F108" s="791">
        <f>SUM(R108+T108+V108+X108+Z108+AB108+AD108+AF108+AH108+AJ108+AL108+AN108)</f>
        <v>0</v>
      </c>
      <c r="G108" s="845"/>
      <c r="H108" s="846"/>
      <c r="I108" s="845"/>
      <c r="J108" s="847"/>
      <c r="K108" s="845"/>
      <c r="L108" s="846"/>
      <c r="M108" s="845"/>
      <c r="N108" s="846"/>
      <c r="O108" s="631"/>
      <c r="P108" s="846"/>
      <c r="Q108" s="627"/>
      <c r="R108" s="630"/>
      <c r="S108" s="627"/>
      <c r="T108" s="630"/>
      <c r="U108" s="627"/>
      <c r="V108" s="630"/>
      <c r="W108" s="627"/>
      <c r="X108" s="630"/>
      <c r="Y108" s="627"/>
      <c r="Z108" s="630"/>
      <c r="AA108" s="627"/>
      <c r="AB108" s="630"/>
      <c r="AC108" s="627"/>
      <c r="AD108" s="630"/>
      <c r="AE108" s="627"/>
      <c r="AF108" s="630"/>
      <c r="AG108" s="627"/>
      <c r="AH108" s="630"/>
      <c r="AI108" s="627"/>
      <c r="AJ108" s="630"/>
      <c r="AK108" s="627"/>
      <c r="AL108" s="630"/>
      <c r="AM108" s="627"/>
      <c r="AN108" s="628"/>
      <c r="AO108" s="83"/>
      <c r="AP108" s="83"/>
      <c r="AQ108" s="648"/>
      <c r="AR108" s="648"/>
      <c r="AS108" s="648"/>
      <c r="AT108" s="83"/>
      <c r="AU108" s="83"/>
      <c r="AV108" s="83"/>
      <c r="AW108" s="83"/>
      <c r="AX108" t="str">
        <f t="shared" si="138"/>
        <v/>
      </c>
      <c r="CW108" s="1791" t="str">
        <f t="shared" si="139"/>
        <v/>
      </c>
      <c r="CX108" s="1791" t="str">
        <f t="shared" si="140"/>
        <v/>
      </c>
      <c r="CY108" s="1791" t="str">
        <f t="shared" si="141"/>
        <v/>
      </c>
      <c r="CZ108" s="1791" t="str">
        <f t="shared" si="142"/>
        <v/>
      </c>
      <c r="DA108" s="1791" t="str">
        <f t="shared" si="143"/>
        <v/>
      </c>
      <c r="DB108" s="1791" t="str">
        <f t="shared" si="144"/>
        <v/>
      </c>
      <c r="DC108" s="1791" t="str">
        <f t="shared" si="145"/>
        <v/>
      </c>
      <c r="DD108" s="1791" t="str">
        <f t="shared" si="146"/>
        <v/>
      </c>
      <c r="DE108"/>
      <c r="DG108" s="1793">
        <f t="shared" si="156"/>
        <v>0</v>
      </c>
      <c r="DH108" s="1793">
        <f t="shared" si="148"/>
        <v>0</v>
      </c>
      <c r="DI108" s="1793">
        <f t="shared" si="149"/>
        <v>0</v>
      </c>
      <c r="DJ108" s="1793">
        <f t="shared" si="150"/>
        <v>0</v>
      </c>
      <c r="DK108" s="1793">
        <f t="shared" si="151"/>
        <v>0</v>
      </c>
      <c r="DL108" s="1793">
        <f t="shared" si="152"/>
        <v>0</v>
      </c>
      <c r="DM108" s="1793">
        <f t="shared" si="153"/>
        <v>0</v>
      </c>
      <c r="DN108" s="1793">
        <f t="shared" si="154"/>
        <v>0</v>
      </c>
    </row>
    <row r="109" spans="1:118" ht="15" customHeight="1" x14ac:dyDescent="0.25">
      <c r="A109" s="7583" t="s">
        <v>791</v>
      </c>
      <c r="B109" s="7584"/>
      <c r="C109" s="7585"/>
      <c r="D109" s="639">
        <f t="shared" si="136"/>
        <v>0</v>
      </c>
      <c r="E109" s="790">
        <f>SUM(Q109+S109+U109+W109+Y109+AA109+AC109+AE109+AG109+AI109+AK109+AM109)</f>
        <v>0</v>
      </c>
      <c r="F109" s="791">
        <f>SUM(R109+T109+V109+X109+Z109+AB109+AD109+AF109+AH109+AJ109+AL109+AN109)</f>
        <v>0</v>
      </c>
      <c r="G109" s="845"/>
      <c r="H109" s="846"/>
      <c r="I109" s="845"/>
      <c r="J109" s="847"/>
      <c r="K109" s="845"/>
      <c r="L109" s="846"/>
      <c r="M109" s="845"/>
      <c r="N109" s="846"/>
      <c r="O109" s="631"/>
      <c r="P109" s="846"/>
      <c r="Q109" s="627"/>
      <c r="R109" s="630"/>
      <c r="S109" s="627"/>
      <c r="T109" s="630"/>
      <c r="U109" s="627"/>
      <c r="V109" s="630"/>
      <c r="W109" s="627"/>
      <c r="X109" s="630"/>
      <c r="Y109" s="627"/>
      <c r="Z109" s="630"/>
      <c r="AA109" s="627"/>
      <c r="AB109" s="630"/>
      <c r="AC109" s="627"/>
      <c r="AD109" s="630"/>
      <c r="AE109" s="627"/>
      <c r="AF109" s="630"/>
      <c r="AG109" s="627"/>
      <c r="AH109" s="630"/>
      <c r="AI109" s="627"/>
      <c r="AJ109" s="630"/>
      <c r="AK109" s="627"/>
      <c r="AL109" s="630"/>
      <c r="AM109" s="627"/>
      <c r="AN109" s="628"/>
      <c r="AO109" s="83"/>
      <c r="AP109" s="83"/>
      <c r="AQ109" s="648"/>
      <c r="AR109" s="648"/>
      <c r="AS109" s="648"/>
      <c r="AT109" s="83"/>
      <c r="AU109" s="83"/>
      <c r="AV109" s="83"/>
      <c r="AW109" s="83"/>
      <c r="AX109" t="str">
        <f t="shared" si="138"/>
        <v/>
      </c>
      <c r="CW109" s="1791" t="str">
        <f t="shared" si="139"/>
        <v/>
      </c>
      <c r="CX109" s="1791" t="str">
        <f t="shared" si="140"/>
        <v/>
      </c>
      <c r="CY109" s="1791" t="str">
        <f t="shared" si="141"/>
        <v/>
      </c>
      <c r="CZ109" s="1791" t="str">
        <f t="shared" si="142"/>
        <v/>
      </c>
      <c r="DA109" s="1791" t="str">
        <f t="shared" si="143"/>
        <v/>
      </c>
      <c r="DB109" s="1791" t="str">
        <f t="shared" si="144"/>
        <v/>
      </c>
      <c r="DC109" s="1791" t="str">
        <f t="shared" si="145"/>
        <v/>
      </c>
      <c r="DD109" s="1791" t="str">
        <f t="shared" si="146"/>
        <v/>
      </c>
      <c r="DE109"/>
      <c r="DG109" s="1793">
        <f t="shared" si="156"/>
        <v>0</v>
      </c>
      <c r="DH109" s="1793">
        <f t="shared" si="148"/>
        <v>0</v>
      </c>
      <c r="DI109" s="1793">
        <f t="shared" si="149"/>
        <v>0</v>
      </c>
      <c r="DJ109" s="1793">
        <f t="shared" si="150"/>
        <v>0</v>
      </c>
      <c r="DK109" s="1793">
        <f t="shared" si="151"/>
        <v>0</v>
      </c>
      <c r="DL109" s="1793">
        <f t="shared" si="152"/>
        <v>0</v>
      </c>
      <c r="DM109" s="1793">
        <f t="shared" si="153"/>
        <v>0</v>
      </c>
      <c r="DN109" s="1793">
        <f t="shared" si="154"/>
        <v>0</v>
      </c>
    </row>
    <row r="110" spans="1:118" ht="15" customHeight="1" x14ac:dyDescent="0.25">
      <c r="A110" s="7583" t="s">
        <v>792</v>
      </c>
      <c r="B110" s="7584"/>
      <c r="C110" s="7585"/>
      <c r="D110" s="639">
        <f t="shared" si="136"/>
        <v>0</v>
      </c>
      <c r="E110" s="790">
        <f t="shared" si="137"/>
        <v>0</v>
      </c>
      <c r="F110" s="791">
        <f t="shared" si="137"/>
        <v>0</v>
      </c>
      <c r="G110" s="851"/>
      <c r="H110" s="853"/>
      <c r="I110" s="620"/>
      <c r="J110" s="796"/>
      <c r="K110" s="620"/>
      <c r="L110" s="630"/>
      <c r="M110" s="620"/>
      <c r="N110" s="630"/>
      <c r="O110" s="627"/>
      <c r="P110" s="630"/>
      <c r="Q110" s="627"/>
      <c r="R110" s="630"/>
      <c r="S110" s="627"/>
      <c r="T110" s="630"/>
      <c r="U110" s="627"/>
      <c r="V110" s="630"/>
      <c r="W110" s="627"/>
      <c r="X110" s="630"/>
      <c r="Y110" s="627"/>
      <c r="Z110" s="630"/>
      <c r="AA110" s="627"/>
      <c r="AB110" s="630"/>
      <c r="AC110" s="627"/>
      <c r="AD110" s="630"/>
      <c r="AE110" s="627"/>
      <c r="AF110" s="630"/>
      <c r="AG110" s="627"/>
      <c r="AH110" s="630"/>
      <c r="AI110" s="627"/>
      <c r="AJ110" s="630"/>
      <c r="AK110" s="627"/>
      <c r="AL110" s="630"/>
      <c r="AM110" s="627"/>
      <c r="AN110" s="628"/>
      <c r="AO110" s="83"/>
      <c r="AP110" s="83"/>
      <c r="AQ110" s="648"/>
      <c r="AR110" s="648"/>
      <c r="AS110" s="648"/>
      <c r="AT110" s="83"/>
      <c r="AU110" s="83"/>
      <c r="AV110" s="83"/>
      <c r="AW110" s="83"/>
      <c r="AX110" t="str">
        <f t="shared" si="138"/>
        <v/>
      </c>
      <c r="CW110" s="1791" t="str">
        <f t="shared" si="139"/>
        <v/>
      </c>
      <c r="CX110" s="1791" t="str">
        <f t="shared" si="140"/>
        <v/>
      </c>
      <c r="CY110" s="1791" t="str">
        <f t="shared" si="141"/>
        <v/>
      </c>
      <c r="CZ110" s="1791" t="str">
        <f t="shared" si="142"/>
        <v/>
      </c>
      <c r="DA110" s="1791" t="str">
        <f t="shared" si="143"/>
        <v/>
      </c>
      <c r="DB110" s="1791" t="str">
        <f t="shared" si="144"/>
        <v/>
      </c>
      <c r="DC110" s="1791" t="str">
        <f t="shared" si="145"/>
        <v/>
      </c>
      <c r="DD110" s="1791" t="str">
        <f t="shared" si="146"/>
        <v/>
      </c>
      <c r="DE110"/>
      <c r="DG110" s="1793">
        <f t="shared" si="156"/>
        <v>0</v>
      </c>
      <c r="DH110" s="1793">
        <f t="shared" si="148"/>
        <v>0</v>
      </c>
      <c r="DI110" s="1793">
        <f t="shared" si="149"/>
        <v>0</v>
      </c>
      <c r="DJ110" s="1793">
        <f t="shared" si="150"/>
        <v>0</v>
      </c>
      <c r="DK110" s="1793">
        <f t="shared" si="151"/>
        <v>0</v>
      </c>
      <c r="DL110" s="1793">
        <f t="shared" si="152"/>
        <v>0</v>
      </c>
      <c r="DM110" s="1793">
        <f t="shared" si="153"/>
        <v>0</v>
      </c>
      <c r="DN110" s="1793">
        <f t="shared" si="154"/>
        <v>0</v>
      </c>
    </row>
    <row r="111" spans="1:118" ht="15" customHeight="1" x14ac:dyDescent="0.25">
      <c r="A111" s="7583" t="s">
        <v>793</v>
      </c>
      <c r="B111" s="7584"/>
      <c r="C111" s="7585"/>
      <c r="D111" s="639">
        <f t="shared" si="136"/>
        <v>0</v>
      </c>
      <c r="E111" s="790">
        <f t="shared" si="137"/>
        <v>0</v>
      </c>
      <c r="F111" s="791">
        <f t="shared" si="137"/>
        <v>0</v>
      </c>
      <c r="G111" s="851"/>
      <c r="H111" s="853"/>
      <c r="I111" s="620"/>
      <c r="J111" s="796"/>
      <c r="K111" s="620"/>
      <c r="L111" s="630"/>
      <c r="M111" s="620"/>
      <c r="N111" s="630"/>
      <c r="O111" s="627"/>
      <c r="P111" s="630"/>
      <c r="Q111" s="627"/>
      <c r="R111" s="630"/>
      <c r="S111" s="627"/>
      <c r="T111" s="630"/>
      <c r="U111" s="627"/>
      <c r="V111" s="630"/>
      <c r="W111" s="627"/>
      <c r="X111" s="630"/>
      <c r="Y111" s="627"/>
      <c r="Z111" s="630"/>
      <c r="AA111" s="627"/>
      <c r="AB111" s="630"/>
      <c r="AC111" s="627"/>
      <c r="AD111" s="630"/>
      <c r="AE111" s="627"/>
      <c r="AF111" s="630"/>
      <c r="AG111" s="627"/>
      <c r="AH111" s="630"/>
      <c r="AI111" s="627"/>
      <c r="AJ111" s="630"/>
      <c r="AK111" s="627"/>
      <c r="AL111" s="630"/>
      <c r="AM111" s="627"/>
      <c r="AN111" s="628"/>
      <c r="AO111" s="83"/>
      <c r="AP111" s="83"/>
      <c r="AQ111" s="648"/>
      <c r="AR111" s="648"/>
      <c r="AS111" s="648"/>
      <c r="AT111" s="83"/>
      <c r="AU111" s="83"/>
      <c r="AV111" s="83"/>
      <c r="AW111" s="83"/>
      <c r="AX111" t="str">
        <f t="shared" si="138"/>
        <v/>
      </c>
      <c r="CW111" s="1791" t="str">
        <f t="shared" si="139"/>
        <v/>
      </c>
      <c r="CX111" s="1791" t="str">
        <f t="shared" si="140"/>
        <v/>
      </c>
      <c r="CY111" s="1791" t="str">
        <f t="shared" si="141"/>
        <v/>
      </c>
      <c r="CZ111" s="1791" t="str">
        <f t="shared" si="142"/>
        <v/>
      </c>
      <c r="DA111" s="1791" t="str">
        <f t="shared" si="143"/>
        <v/>
      </c>
      <c r="DB111" s="1791" t="str">
        <f t="shared" si="144"/>
        <v/>
      </c>
      <c r="DC111" s="1791" t="str">
        <f t="shared" si="145"/>
        <v/>
      </c>
      <c r="DD111" s="1791" t="str">
        <f t="shared" si="146"/>
        <v/>
      </c>
      <c r="DE111"/>
      <c r="DG111" s="1793">
        <f t="shared" si="156"/>
        <v>0</v>
      </c>
      <c r="DH111" s="1793">
        <f t="shared" si="148"/>
        <v>0</v>
      </c>
      <c r="DI111" s="1793">
        <f t="shared" si="149"/>
        <v>0</v>
      </c>
      <c r="DJ111" s="1793">
        <f t="shared" si="150"/>
        <v>0</v>
      </c>
      <c r="DK111" s="1793">
        <f t="shared" si="151"/>
        <v>0</v>
      </c>
      <c r="DL111" s="1793">
        <f t="shared" si="152"/>
        <v>0</v>
      </c>
      <c r="DM111" s="1793">
        <f t="shared" si="153"/>
        <v>0</v>
      </c>
      <c r="DN111" s="1793">
        <f t="shared" si="154"/>
        <v>0</v>
      </c>
    </row>
    <row r="112" spans="1:118" ht="15" customHeight="1" x14ac:dyDescent="0.25">
      <c r="A112" s="7583" t="s">
        <v>794</v>
      </c>
      <c r="B112" s="7584"/>
      <c r="C112" s="7585"/>
      <c r="D112" s="639">
        <f t="shared" si="136"/>
        <v>0</v>
      </c>
      <c r="E112" s="790">
        <f t="shared" si="137"/>
        <v>0</v>
      </c>
      <c r="F112" s="791">
        <f t="shared" si="137"/>
        <v>0</v>
      </c>
      <c r="G112" s="851"/>
      <c r="H112" s="853"/>
      <c r="I112" s="620"/>
      <c r="J112" s="796"/>
      <c r="K112" s="620"/>
      <c r="L112" s="630"/>
      <c r="M112" s="620"/>
      <c r="N112" s="630"/>
      <c r="O112" s="627"/>
      <c r="P112" s="630"/>
      <c r="Q112" s="627"/>
      <c r="R112" s="630"/>
      <c r="S112" s="627"/>
      <c r="T112" s="630"/>
      <c r="U112" s="627"/>
      <c r="V112" s="630"/>
      <c r="W112" s="627"/>
      <c r="X112" s="630"/>
      <c r="Y112" s="627"/>
      <c r="Z112" s="630"/>
      <c r="AA112" s="627"/>
      <c r="AB112" s="630"/>
      <c r="AC112" s="627"/>
      <c r="AD112" s="630"/>
      <c r="AE112" s="627"/>
      <c r="AF112" s="630"/>
      <c r="AG112" s="627"/>
      <c r="AH112" s="630"/>
      <c r="AI112" s="627"/>
      <c r="AJ112" s="630"/>
      <c r="AK112" s="627"/>
      <c r="AL112" s="630"/>
      <c r="AM112" s="627"/>
      <c r="AN112" s="628"/>
      <c r="AO112" s="83"/>
      <c r="AP112" s="83"/>
      <c r="AQ112" s="648"/>
      <c r="AR112" s="648"/>
      <c r="AS112" s="648"/>
      <c r="AT112" s="83"/>
      <c r="AU112" s="83"/>
      <c r="AV112" s="83"/>
      <c r="AW112" s="83"/>
      <c r="AX112" t="str">
        <f t="shared" si="138"/>
        <v/>
      </c>
      <c r="CW112" s="1791" t="str">
        <f t="shared" si="139"/>
        <v/>
      </c>
      <c r="CX112" s="1791" t="str">
        <f t="shared" si="140"/>
        <v/>
      </c>
      <c r="CY112" s="1791" t="str">
        <f t="shared" si="141"/>
        <v/>
      </c>
      <c r="CZ112" s="1791" t="str">
        <f t="shared" si="142"/>
        <v/>
      </c>
      <c r="DA112" s="1791" t="str">
        <f t="shared" si="143"/>
        <v/>
      </c>
      <c r="DB112" s="1791" t="str">
        <f t="shared" si="144"/>
        <v/>
      </c>
      <c r="DC112" s="1791" t="str">
        <f t="shared" si="145"/>
        <v/>
      </c>
      <c r="DD112" s="1791" t="str">
        <f t="shared" si="146"/>
        <v/>
      </c>
      <c r="DE112"/>
      <c r="DG112" s="1793">
        <f t="shared" si="156"/>
        <v>0</v>
      </c>
      <c r="DH112" s="1793">
        <f t="shared" si="148"/>
        <v>0</v>
      </c>
      <c r="DI112" s="1793">
        <f t="shared" si="149"/>
        <v>0</v>
      </c>
      <c r="DJ112" s="1793">
        <f t="shared" si="150"/>
        <v>0</v>
      </c>
      <c r="DK112" s="1793">
        <f t="shared" si="151"/>
        <v>0</v>
      </c>
      <c r="DL112" s="1793">
        <f t="shared" si="152"/>
        <v>0</v>
      </c>
      <c r="DM112" s="1793">
        <f t="shared" si="153"/>
        <v>0</v>
      </c>
      <c r="DN112" s="1793">
        <f t="shared" si="154"/>
        <v>0</v>
      </c>
    </row>
    <row r="113" spans="1:118" ht="15" customHeight="1" x14ac:dyDescent="0.25">
      <c r="A113" s="7583" t="s">
        <v>795</v>
      </c>
      <c r="B113" s="7584"/>
      <c r="C113" s="7585"/>
      <c r="D113" s="639">
        <f t="shared" si="136"/>
        <v>0</v>
      </c>
      <c r="E113" s="790">
        <f t="shared" si="137"/>
        <v>0</v>
      </c>
      <c r="F113" s="791">
        <f t="shared" si="137"/>
        <v>0</v>
      </c>
      <c r="G113" s="851"/>
      <c r="H113" s="853"/>
      <c r="I113" s="620"/>
      <c r="J113" s="796"/>
      <c r="K113" s="620"/>
      <c r="L113" s="630"/>
      <c r="M113" s="620"/>
      <c r="N113" s="630"/>
      <c r="O113" s="627"/>
      <c r="P113" s="630"/>
      <c r="Q113" s="627"/>
      <c r="R113" s="630"/>
      <c r="S113" s="627"/>
      <c r="T113" s="630"/>
      <c r="U113" s="627"/>
      <c r="V113" s="630"/>
      <c r="W113" s="627"/>
      <c r="X113" s="630"/>
      <c r="Y113" s="627"/>
      <c r="Z113" s="630"/>
      <c r="AA113" s="627"/>
      <c r="AB113" s="630"/>
      <c r="AC113" s="627"/>
      <c r="AD113" s="630"/>
      <c r="AE113" s="627"/>
      <c r="AF113" s="630"/>
      <c r="AG113" s="627"/>
      <c r="AH113" s="630"/>
      <c r="AI113" s="627"/>
      <c r="AJ113" s="630"/>
      <c r="AK113" s="627"/>
      <c r="AL113" s="630"/>
      <c r="AM113" s="627"/>
      <c r="AN113" s="628"/>
      <c r="AO113" s="83"/>
      <c r="AP113" s="83"/>
      <c r="AQ113" s="648"/>
      <c r="AR113" s="648"/>
      <c r="AS113" s="648"/>
      <c r="AT113" s="83"/>
      <c r="AU113" s="83"/>
      <c r="AV113" s="83"/>
      <c r="AW113" s="83"/>
      <c r="AX113" t="str">
        <f t="shared" si="138"/>
        <v/>
      </c>
      <c r="CW113" s="1791" t="str">
        <f t="shared" si="139"/>
        <v/>
      </c>
      <c r="CX113" s="1791" t="str">
        <f t="shared" si="140"/>
        <v/>
      </c>
      <c r="CY113" s="1791" t="str">
        <f t="shared" si="141"/>
        <v/>
      </c>
      <c r="CZ113" s="1791" t="str">
        <f t="shared" si="142"/>
        <v/>
      </c>
      <c r="DA113" s="1791" t="str">
        <f t="shared" si="143"/>
        <v/>
      </c>
      <c r="DB113" s="1791" t="str">
        <f t="shared" si="144"/>
        <v/>
      </c>
      <c r="DC113" s="1791" t="str">
        <f t="shared" si="145"/>
        <v/>
      </c>
      <c r="DD113" s="1791" t="str">
        <f t="shared" si="146"/>
        <v/>
      </c>
      <c r="DE113"/>
      <c r="DG113" s="1793">
        <f t="shared" si="156"/>
        <v>0</v>
      </c>
      <c r="DH113" s="1793">
        <f t="shared" si="148"/>
        <v>0</v>
      </c>
      <c r="DI113" s="1793">
        <f t="shared" si="149"/>
        <v>0</v>
      </c>
      <c r="DJ113" s="1793">
        <f t="shared" si="150"/>
        <v>0</v>
      </c>
      <c r="DK113" s="1793">
        <f t="shared" si="151"/>
        <v>0</v>
      </c>
      <c r="DL113" s="1793">
        <f t="shared" si="152"/>
        <v>0</v>
      </c>
      <c r="DM113" s="1793">
        <f t="shared" si="153"/>
        <v>0</v>
      </c>
      <c r="DN113" s="1793">
        <f t="shared" si="154"/>
        <v>0</v>
      </c>
    </row>
    <row r="114" spans="1:118" ht="15" customHeight="1" x14ac:dyDescent="0.25">
      <c r="A114" s="7591" t="s">
        <v>796</v>
      </c>
      <c r="B114" s="7591"/>
      <c r="C114" s="7591"/>
      <c r="D114" s="639">
        <f t="shared" si="136"/>
        <v>0</v>
      </c>
      <c r="E114" s="790">
        <f>SUM(S114+U114+W114+Y114+AA114+AC114+AE114+AG114+AI114+AK114+AM114)</f>
        <v>0</v>
      </c>
      <c r="F114" s="791">
        <f>SUM(T114+V114+X114+Z114+AB114+AD114+AF114+AH114+AJ114+AL114+AN114)</f>
        <v>0</v>
      </c>
      <c r="G114" s="794"/>
      <c r="H114" s="795"/>
      <c r="I114" s="794"/>
      <c r="J114" s="852"/>
      <c r="K114" s="794"/>
      <c r="L114" s="795"/>
      <c r="M114" s="794"/>
      <c r="N114" s="795"/>
      <c r="O114" s="805"/>
      <c r="P114" s="795"/>
      <c r="Q114" s="805"/>
      <c r="R114" s="795"/>
      <c r="S114" s="627"/>
      <c r="T114" s="630"/>
      <c r="U114" s="627"/>
      <c r="V114" s="630"/>
      <c r="W114" s="627"/>
      <c r="X114" s="630"/>
      <c r="Y114" s="627"/>
      <c r="Z114" s="630"/>
      <c r="AA114" s="627"/>
      <c r="AB114" s="630"/>
      <c r="AC114" s="627"/>
      <c r="AD114" s="630"/>
      <c r="AE114" s="627"/>
      <c r="AF114" s="630"/>
      <c r="AG114" s="627"/>
      <c r="AH114" s="630"/>
      <c r="AI114" s="627"/>
      <c r="AJ114" s="630"/>
      <c r="AK114" s="627"/>
      <c r="AL114" s="630"/>
      <c r="AM114" s="627"/>
      <c r="AN114" s="628"/>
      <c r="AO114" s="83"/>
      <c r="AP114" s="83"/>
      <c r="AQ114" s="648"/>
      <c r="AR114" s="648"/>
      <c r="AS114" s="648"/>
      <c r="AT114" s="83"/>
      <c r="AU114" s="83"/>
      <c r="AV114" s="83"/>
      <c r="AW114" s="83"/>
      <c r="AX114" t="str">
        <f t="shared" si="138"/>
        <v/>
      </c>
      <c r="CW114" s="1791" t="str">
        <f t="shared" si="139"/>
        <v/>
      </c>
      <c r="CX114" s="1791" t="str">
        <f t="shared" si="140"/>
        <v/>
      </c>
      <c r="CY114" s="1791" t="str">
        <f t="shared" si="141"/>
        <v/>
      </c>
      <c r="CZ114" s="1791" t="str">
        <f t="shared" si="142"/>
        <v/>
      </c>
      <c r="DA114" s="1791" t="str">
        <f t="shared" si="143"/>
        <v/>
      </c>
      <c r="DB114" s="1791" t="str">
        <f t="shared" si="144"/>
        <v/>
      </c>
      <c r="DC114" s="1791" t="str">
        <f t="shared" si="145"/>
        <v/>
      </c>
      <c r="DD114" s="1791" t="str">
        <f t="shared" si="146"/>
        <v/>
      </c>
      <c r="DE114"/>
      <c r="DG114" s="1793">
        <f t="shared" si="156"/>
        <v>0</v>
      </c>
      <c r="DH114" s="1793">
        <f t="shared" si="148"/>
        <v>0</v>
      </c>
      <c r="DI114" s="1793">
        <f t="shared" si="149"/>
        <v>0</v>
      </c>
      <c r="DJ114" s="1793">
        <f t="shared" si="150"/>
        <v>0</v>
      </c>
      <c r="DK114" s="1793">
        <f t="shared" si="151"/>
        <v>0</v>
      </c>
      <c r="DL114" s="1793">
        <f t="shared" si="152"/>
        <v>0</v>
      </c>
      <c r="DM114" s="1793">
        <f t="shared" si="153"/>
        <v>0</v>
      </c>
      <c r="DN114" s="1793">
        <f t="shared" si="154"/>
        <v>0</v>
      </c>
    </row>
    <row r="115" spans="1:118" ht="15" customHeight="1" x14ac:dyDescent="0.25">
      <c r="A115" s="7591" t="s">
        <v>797</v>
      </c>
      <c r="B115" s="7591"/>
      <c r="C115" s="7591"/>
      <c r="D115" s="639">
        <f t="shared" si="136"/>
        <v>0</v>
      </c>
      <c r="E115" s="790">
        <f>SUM(S115+U115+W115+Y115+AA115+AC115+AE115+AG115+AI115+AK115+AM115)</f>
        <v>0</v>
      </c>
      <c r="F115" s="791">
        <f>SUM(T115+V115+X115+Z115+AB115+AD115+AF115+AH115+AJ115+AL115+AN115)</f>
        <v>0</v>
      </c>
      <c r="G115" s="845"/>
      <c r="H115" s="846"/>
      <c r="I115" s="845"/>
      <c r="J115" s="847"/>
      <c r="K115" s="845"/>
      <c r="L115" s="846"/>
      <c r="M115" s="845"/>
      <c r="N115" s="846"/>
      <c r="O115" s="631"/>
      <c r="P115" s="846"/>
      <c r="Q115" s="631"/>
      <c r="R115" s="846"/>
      <c r="S115" s="627"/>
      <c r="T115" s="630"/>
      <c r="U115" s="627"/>
      <c r="V115" s="630"/>
      <c r="W115" s="627"/>
      <c r="X115" s="630"/>
      <c r="Y115" s="627"/>
      <c r="Z115" s="630"/>
      <c r="AA115" s="627"/>
      <c r="AB115" s="630"/>
      <c r="AC115" s="627"/>
      <c r="AD115" s="630"/>
      <c r="AE115" s="627"/>
      <c r="AF115" s="630"/>
      <c r="AG115" s="627"/>
      <c r="AH115" s="630"/>
      <c r="AI115" s="627"/>
      <c r="AJ115" s="630"/>
      <c r="AK115" s="627"/>
      <c r="AL115" s="630"/>
      <c r="AM115" s="627"/>
      <c r="AN115" s="628"/>
      <c r="AO115" s="83"/>
      <c r="AP115" s="83"/>
      <c r="AQ115" s="648"/>
      <c r="AR115" s="648"/>
      <c r="AS115" s="648"/>
      <c r="AT115" s="83"/>
      <c r="AU115" s="83"/>
      <c r="AV115" s="83"/>
      <c r="AW115" s="83"/>
      <c r="AX115" t="str">
        <f t="shared" si="138"/>
        <v/>
      </c>
      <c r="CW115" s="1791" t="str">
        <f t="shared" si="139"/>
        <v/>
      </c>
      <c r="CX115" s="1791" t="str">
        <f t="shared" si="140"/>
        <v/>
      </c>
      <c r="CY115" s="1791" t="str">
        <f t="shared" si="141"/>
        <v/>
      </c>
      <c r="CZ115" s="1791" t="str">
        <f t="shared" si="142"/>
        <v/>
      </c>
      <c r="DA115" s="1791" t="str">
        <f t="shared" si="143"/>
        <v/>
      </c>
      <c r="DB115" s="1791" t="str">
        <f t="shared" si="144"/>
        <v/>
      </c>
      <c r="DC115" s="1791" t="str">
        <f t="shared" si="145"/>
        <v/>
      </c>
      <c r="DD115" s="1791" t="str">
        <f t="shared" si="146"/>
        <v/>
      </c>
      <c r="DE115"/>
      <c r="DG115" s="1793">
        <f t="shared" si="156"/>
        <v>0</v>
      </c>
      <c r="DH115" s="1793">
        <f t="shared" si="148"/>
        <v>0</v>
      </c>
      <c r="DI115" s="1793">
        <f t="shared" si="149"/>
        <v>0</v>
      </c>
      <c r="DJ115" s="1793">
        <f t="shared" si="150"/>
        <v>0</v>
      </c>
      <c r="DK115" s="1793">
        <f t="shared" si="151"/>
        <v>0</v>
      </c>
      <c r="DL115" s="1793">
        <f t="shared" si="152"/>
        <v>0</v>
      </c>
      <c r="DM115" s="1793">
        <f t="shared" si="153"/>
        <v>0</v>
      </c>
      <c r="DN115" s="1793">
        <f t="shared" si="154"/>
        <v>0</v>
      </c>
    </row>
    <row r="116" spans="1:118" ht="15" customHeight="1" x14ac:dyDescent="0.25">
      <c r="A116" s="7583" t="s">
        <v>798</v>
      </c>
      <c r="B116" s="7584"/>
      <c r="C116" s="7585"/>
      <c r="D116" s="639">
        <f t="shared" si="136"/>
        <v>0</v>
      </c>
      <c r="E116" s="790">
        <f>SUM(U116+W116+Y116+AA116+AC116+AE116+AG116+AI116+AK116+AM116)</f>
        <v>0</v>
      </c>
      <c r="F116" s="791">
        <f>SUM(V116+X116+Z116+AB116+AD116+AF116+AH116+AJ116+AL116+AN116)</f>
        <v>0</v>
      </c>
      <c r="G116" s="845"/>
      <c r="H116" s="846"/>
      <c r="I116" s="845"/>
      <c r="J116" s="847"/>
      <c r="K116" s="845"/>
      <c r="L116" s="846"/>
      <c r="M116" s="845"/>
      <c r="N116" s="846"/>
      <c r="O116" s="631"/>
      <c r="P116" s="846"/>
      <c r="Q116" s="631"/>
      <c r="R116" s="846"/>
      <c r="S116" s="631"/>
      <c r="T116" s="846"/>
      <c r="U116" s="627"/>
      <c r="V116" s="630"/>
      <c r="W116" s="627"/>
      <c r="X116" s="630"/>
      <c r="Y116" s="627"/>
      <c r="Z116" s="630"/>
      <c r="AA116" s="627"/>
      <c r="AB116" s="630"/>
      <c r="AC116" s="627"/>
      <c r="AD116" s="630"/>
      <c r="AE116" s="627"/>
      <c r="AF116" s="630"/>
      <c r="AG116" s="627"/>
      <c r="AH116" s="630"/>
      <c r="AI116" s="627"/>
      <c r="AJ116" s="630"/>
      <c r="AK116" s="627"/>
      <c r="AL116" s="630"/>
      <c r="AM116" s="627"/>
      <c r="AN116" s="628"/>
      <c r="AO116" s="83"/>
      <c r="AP116" s="83"/>
      <c r="AQ116" s="648"/>
      <c r="AR116" s="648"/>
      <c r="AS116" s="648"/>
      <c r="AT116" s="83"/>
      <c r="AU116" s="83"/>
      <c r="AV116" s="83"/>
      <c r="AW116" s="83"/>
      <c r="AX116" t="str">
        <f t="shared" si="138"/>
        <v/>
      </c>
      <c r="CW116" s="1791" t="str">
        <f t="shared" si="139"/>
        <v/>
      </c>
      <c r="CX116" s="1791" t="str">
        <f t="shared" si="140"/>
        <v/>
      </c>
      <c r="CY116" s="1791" t="str">
        <f t="shared" si="141"/>
        <v/>
      </c>
      <c r="CZ116" s="1791" t="str">
        <f t="shared" si="142"/>
        <v/>
      </c>
      <c r="DA116" s="1791" t="str">
        <f t="shared" si="143"/>
        <v/>
      </c>
      <c r="DB116" s="1791" t="str">
        <f t="shared" si="144"/>
        <v/>
      </c>
      <c r="DC116" s="1791" t="str">
        <f t="shared" si="145"/>
        <v/>
      </c>
      <c r="DD116" s="1791" t="str">
        <f t="shared" si="146"/>
        <v/>
      </c>
      <c r="DE116"/>
      <c r="DG116" s="1793">
        <f t="shared" si="156"/>
        <v>0</v>
      </c>
      <c r="DH116" s="1793">
        <f t="shared" si="148"/>
        <v>0</v>
      </c>
      <c r="DI116" s="1793">
        <f t="shared" si="149"/>
        <v>0</v>
      </c>
      <c r="DJ116" s="1793">
        <f t="shared" si="150"/>
        <v>0</v>
      </c>
      <c r="DK116" s="1793">
        <f t="shared" si="151"/>
        <v>0</v>
      </c>
      <c r="DL116" s="1793">
        <f t="shared" si="152"/>
        <v>0</v>
      </c>
      <c r="DM116" s="1793">
        <f t="shared" si="153"/>
        <v>0</v>
      </c>
      <c r="DN116" s="1793">
        <f t="shared" si="154"/>
        <v>0</v>
      </c>
    </row>
    <row r="117" spans="1:118" ht="15" customHeight="1" x14ac:dyDescent="0.25">
      <c r="A117" s="7583" t="s">
        <v>799</v>
      </c>
      <c r="B117" s="7584"/>
      <c r="C117" s="7585"/>
      <c r="D117" s="639">
        <f t="shared" si="136"/>
        <v>0</v>
      </c>
      <c r="E117" s="790">
        <f>SUM(Y117+AA117+AC117+AE117+AG117+AI117+AK117+AM117)</f>
        <v>0</v>
      </c>
      <c r="F117" s="791">
        <f>SUM(Z117+AB117+AD117+AF117+AH117+AJ117+AL117+AN117)</f>
        <v>0</v>
      </c>
      <c r="G117" s="845"/>
      <c r="H117" s="846"/>
      <c r="I117" s="845"/>
      <c r="J117" s="847"/>
      <c r="K117" s="845"/>
      <c r="L117" s="846"/>
      <c r="M117" s="845"/>
      <c r="N117" s="846"/>
      <c r="O117" s="631"/>
      <c r="P117" s="846"/>
      <c r="Q117" s="631"/>
      <c r="R117" s="846"/>
      <c r="S117" s="631"/>
      <c r="T117" s="846"/>
      <c r="U117" s="631"/>
      <c r="V117" s="846"/>
      <c r="W117" s="631"/>
      <c r="X117" s="846"/>
      <c r="Y117" s="627"/>
      <c r="Z117" s="630"/>
      <c r="AA117" s="627"/>
      <c r="AB117" s="630"/>
      <c r="AC117" s="627"/>
      <c r="AD117" s="630"/>
      <c r="AE117" s="627"/>
      <c r="AF117" s="630"/>
      <c r="AG117" s="627"/>
      <c r="AH117" s="630"/>
      <c r="AI117" s="627"/>
      <c r="AJ117" s="630"/>
      <c r="AK117" s="627"/>
      <c r="AL117" s="630"/>
      <c r="AM117" s="627"/>
      <c r="AN117" s="628"/>
      <c r="AO117" s="848"/>
      <c r="AP117" s="83"/>
      <c r="AQ117" s="648"/>
      <c r="AR117" s="648"/>
      <c r="AS117" s="648"/>
      <c r="AT117" s="83"/>
      <c r="AU117" s="83"/>
      <c r="AV117" s="83"/>
      <c r="AW117" s="83"/>
      <c r="AX117" t="str">
        <f t="shared" si="138"/>
        <v/>
      </c>
      <c r="CW117" s="4979"/>
      <c r="CX117" s="1791" t="str">
        <f t="shared" si="140"/>
        <v/>
      </c>
      <c r="CY117" s="1791" t="str">
        <f t="shared" si="141"/>
        <v/>
      </c>
      <c r="CZ117" s="1791" t="str">
        <f t="shared" si="142"/>
        <v/>
      </c>
      <c r="DA117" s="1791" t="str">
        <f t="shared" si="143"/>
        <v/>
      </c>
      <c r="DB117" s="1791" t="str">
        <f t="shared" si="144"/>
        <v/>
      </c>
      <c r="DC117" s="1791" t="str">
        <f t="shared" si="145"/>
        <v/>
      </c>
      <c r="DD117" s="1791" t="str">
        <f t="shared" si="146"/>
        <v/>
      </c>
      <c r="DE117"/>
      <c r="DG117" s="4979"/>
      <c r="DH117" s="1793">
        <f t="shared" si="148"/>
        <v>0</v>
      </c>
      <c r="DI117" s="1793">
        <f t="shared" si="149"/>
        <v>0</v>
      </c>
      <c r="DJ117" s="1793">
        <f t="shared" si="150"/>
        <v>0</v>
      </c>
      <c r="DK117" s="1793">
        <f t="shared" si="151"/>
        <v>0</v>
      </c>
      <c r="DL117" s="1793">
        <f t="shared" si="152"/>
        <v>0</v>
      </c>
      <c r="DM117" s="1793">
        <f t="shared" si="153"/>
        <v>0</v>
      </c>
      <c r="DN117" s="1793">
        <f t="shared" si="154"/>
        <v>0</v>
      </c>
    </row>
    <row r="118" spans="1:118" ht="15" customHeight="1" x14ac:dyDescent="0.25">
      <c r="A118" s="7595" t="s">
        <v>800</v>
      </c>
      <c r="B118" s="7595"/>
      <c r="C118" s="7595"/>
      <c r="D118" s="639">
        <f t="shared" si="136"/>
        <v>0</v>
      </c>
      <c r="E118" s="790">
        <f>SUM(G118+I118+K118+M118+O118+Q118+S118+U118+W118+Y118+AA118+AC118+AE118+AG118+AI118+AK118+AM118)</f>
        <v>0</v>
      </c>
      <c r="F118" s="791">
        <f t="shared" si="137"/>
        <v>0</v>
      </c>
      <c r="G118" s="620"/>
      <c r="H118" s="630"/>
      <c r="I118" s="620"/>
      <c r="J118" s="796"/>
      <c r="K118" s="620"/>
      <c r="L118" s="630"/>
      <c r="M118" s="620"/>
      <c r="N118" s="630"/>
      <c r="O118" s="627"/>
      <c r="P118" s="630"/>
      <c r="Q118" s="627"/>
      <c r="R118" s="630"/>
      <c r="S118" s="627"/>
      <c r="T118" s="630"/>
      <c r="U118" s="627"/>
      <c r="V118" s="630"/>
      <c r="W118" s="627"/>
      <c r="X118" s="630"/>
      <c r="Y118" s="627"/>
      <c r="Z118" s="630"/>
      <c r="AA118" s="627"/>
      <c r="AB118" s="630"/>
      <c r="AC118" s="627"/>
      <c r="AD118" s="630"/>
      <c r="AE118" s="627"/>
      <c r="AF118" s="630"/>
      <c r="AG118" s="627"/>
      <c r="AH118" s="630"/>
      <c r="AI118" s="627"/>
      <c r="AJ118" s="630"/>
      <c r="AK118" s="627"/>
      <c r="AL118" s="630"/>
      <c r="AM118" s="627"/>
      <c r="AN118" s="628"/>
      <c r="AO118" s="83"/>
      <c r="AP118" s="83"/>
      <c r="AQ118" s="648"/>
      <c r="AR118" s="648"/>
      <c r="AS118" s="648"/>
      <c r="AT118" s="83"/>
      <c r="AU118" s="83"/>
      <c r="AV118" s="83"/>
      <c r="AW118" s="83"/>
      <c r="AX118" t="str">
        <f t="shared" si="138"/>
        <v/>
      </c>
      <c r="CW118" s="1791" t="str">
        <f t="shared" si="139"/>
        <v/>
      </c>
      <c r="CX118" s="1791" t="str">
        <f t="shared" si="140"/>
        <v/>
      </c>
      <c r="CY118" s="1791" t="str">
        <f t="shared" si="141"/>
        <v/>
      </c>
      <c r="CZ118" s="1791" t="str">
        <f t="shared" si="142"/>
        <v/>
      </c>
      <c r="DA118" s="1791" t="str">
        <f t="shared" si="143"/>
        <v/>
      </c>
      <c r="DB118" s="1791" t="str">
        <f t="shared" si="144"/>
        <v/>
      </c>
      <c r="DC118" s="1791" t="str">
        <f t="shared" si="145"/>
        <v/>
      </c>
      <c r="DD118" s="1791" t="str">
        <f t="shared" si="146"/>
        <v/>
      </c>
      <c r="DE118"/>
      <c r="DG118" s="1793">
        <f>IF(AND((W118+X118)&gt;0,AO118=""),1,IF(AO118&gt;(W118+X118),1,0))</f>
        <v>0</v>
      </c>
      <c r="DH118" s="1793">
        <f t="shared" si="148"/>
        <v>0</v>
      </c>
      <c r="DI118" s="1793">
        <f t="shared" si="149"/>
        <v>0</v>
      </c>
      <c r="DJ118" s="1793">
        <f t="shared" si="150"/>
        <v>0</v>
      </c>
      <c r="DK118" s="1793">
        <f t="shared" si="151"/>
        <v>0</v>
      </c>
      <c r="DL118" s="1793">
        <f t="shared" si="152"/>
        <v>0</v>
      </c>
      <c r="DM118" s="1793">
        <f t="shared" si="153"/>
        <v>0</v>
      </c>
      <c r="DN118" s="1793">
        <f t="shared" si="154"/>
        <v>0</v>
      </c>
    </row>
    <row r="119" spans="1:118" ht="15" customHeight="1" x14ac:dyDescent="0.25">
      <c r="A119" s="7546" t="s">
        <v>801</v>
      </c>
      <c r="B119" s="7547"/>
      <c r="C119" s="7596"/>
      <c r="D119" s="639">
        <f t="shared" si="136"/>
        <v>0</v>
      </c>
      <c r="E119" s="790">
        <f>SUM(Y119+AA119+AC119+AE119+AG119+AI119+AK119+AM119)</f>
        <v>0</v>
      </c>
      <c r="F119" s="791">
        <f>SUM(Z119+AB119+AD119+AF119+AH119+AJ119+AL119+AN119)</f>
        <v>0</v>
      </c>
      <c r="G119" s="845"/>
      <c r="H119" s="846"/>
      <c r="I119" s="845"/>
      <c r="J119" s="847"/>
      <c r="K119" s="845"/>
      <c r="L119" s="846"/>
      <c r="M119" s="845"/>
      <c r="N119" s="846"/>
      <c r="O119" s="631"/>
      <c r="P119" s="846"/>
      <c r="Q119" s="631"/>
      <c r="R119" s="846"/>
      <c r="S119" s="631"/>
      <c r="T119" s="846"/>
      <c r="U119" s="631"/>
      <c r="V119" s="846"/>
      <c r="W119" s="631"/>
      <c r="X119" s="846"/>
      <c r="Y119" s="627"/>
      <c r="Z119" s="630"/>
      <c r="AA119" s="627"/>
      <c r="AB119" s="630"/>
      <c r="AC119" s="627"/>
      <c r="AD119" s="630"/>
      <c r="AE119" s="627"/>
      <c r="AF119" s="630"/>
      <c r="AG119" s="627"/>
      <c r="AH119" s="630"/>
      <c r="AI119" s="627"/>
      <c r="AJ119" s="630"/>
      <c r="AK119" s="627"/>
      <c r="AL119" s="630"/>
      <c r="AM119" s="627"/>
      <c r="AN119" s="628"/>
      <c r="AO119" s="848"/>
      <c r="AP119" s="83"/>
      <c r="AQ119" s="648"/>
      <c r="AR119" s="854"/>
      <c r="AS119" s="648"/>
      <c r="AT119" s="83"/>
      <c r="AU119" s="83"/>
      <c r="AV119" s="83"/>
      <c r="AW119" s="83"/>
      <c r="AX119" t="str">
        <f t="shared" si="138"/>
        <v/>
      </c>
      <c r="CW119" s="4979"/>
      <c r="CX119" s="1791" t="str">
        <f t="shared" si="140"/>
        <v/>
      </c>
      <c r="CY119" s="1791" t="str">
        <f t="shared" si="141"/>
        <v/>
      </c>
      <c r="CZ119" s="1791" t="str">
        <f t="shared" si="142"/>
        <v/>
      </c>
      <c r="DA119" s="1791" t="str">
        <f t="shared" si="143"/>
        <v/>
      </c>
      <c r="DB119" s="1791" t="str">
        <f t="shared" si="144"/>
        <v/>
      </c>
      <c r="DC119" s="1791" t="str">
        <f t="shared" si="145"/>
        <v/>
      </c>
      <c r="DD119" s="1791" t="str">
        <f t="shared" si="146"/>
        <v/>
      </c>
      <c r="DE119"/>
      <c r="DG119" s="4979"/>
      <c r="DH119" s="1793">
        <f t="shared" si="148"/>
        <v>0</v>
      </c>
      <c r="DI119" s="1793">
        <f t="shared" si="149"/>
        <v>0</v>
      </c>
      <c r="DJ119" s="1793">
        <f t="shared" si="150"/>
        <v>0</v>
      </c>
      <c r="DK119" s="1793">
        <f t="shared" si="151"/>
        <v>0</v>
      </c>
      <c r="DL119" s="1793">
        <f t="shared" si="152"/>
        <v>0</v>
      </c>
      <c r="DM119" s="1793">
        <f t="shared" si="153"/>
        <v>0</v>
      </c>
      <c r="DN119" s="1793">
        <f t="shared" si="154"/>
        <v>0</v>
      </c>
    </row>
    <row r="120" spans="1:118" ht="15" customHeight="1" x14ac:dyDescent="0.25">
      <c r="A120" s="7546" t="s">
        <v>802</v>
      </c>
      <c r="B120" s="7547"/>
      <c r="C120" s="7596"/>
      <c r="D120" s="639">
        <f t="shared" si="136"/>
        <v>0</v>
      </c>
      <c r="E120" s="790">
        <f t="shared" ref="E120:F125" si="158">SUM(Y120+AA120+AC120+AE120+AG120+AI120+AK120+AM120)</f>
        <v>0</v>
      </c>
      <c r="F120" s="791">
        <f t="shared" si="158"/>
        <v>0</v>
      </c>
      <c r="G120" s="845"/>
      <c r="H120" s="846"/>
      <c r="I120" s="845"/>
      <c r="J120" s="847"/>
      <c r="K120" s="845"/>
      <c r="L120" s="846"/>
      <c r="M120" s="845"/>
      <c r="N120" s="846"/>
      <c r="O120" s="631"/>
      <c r="P120" s="846"/>
      <c r="Q120" s="631"/>
      <c r="R120" s="846"/>
      <c r="S120" s="631"/>
      <c r="T120" s="846"/>
      <c r="U120" s="631"/>
      <c r="V120" s="846"/>
      <c r="W120" s="631"/>
      <c r="X120" s="846"/>
      <c r="Y120" s="627"/>
      <c r="Z120" s="630"/>
      <c r="AA120" s="627"/>
      <c r="AB120" s="630"/>
      <c r="AC120" s="627"/>
      <c r="AD120" s="630"/>
      <c r="AE120" s="627"/>
      <c r="AF120" s="630"/>
      <c r="AG120" s="627"/>
      <c r="AH120" s="630"/>
      <c r="AI120" s="627"/>
      <c r="AJ120" s="630"/>
      <c r="AK120" s="627"/>
      <c r="AL120" s="630"/>
      <c r="AM120" s="627"/>
      <c r="AN120" s="628"/>
      <c r="AO120" s="848"/>
      <c r="AP120" s="83"/>
      <c r="AQ120" s="648"/>
      <c r="AR120" s="854"/>
      <c r="AS120" s="648"/>
      <c r="AT120" s="83"/>
      <c r="AU120" s="83"/>
      <c r="AV120" s="83"/>
      <c r="AW120" s="83"/>
      <c r="AX120" t="str">
        <f t="shared" si="138"/>
        <v/>
      </c>
      <c r="CW120" s="4979"/>
      <c r="CX120" s="1791" t="str">
        <f t="shared" si="140"/>
        <v/>
      </c>
      <c r="CY120" s="1791" t="str">
        <f t="shared" si="141"/>
        <v/>
      </c>
      <c r="CZ120" s="1791" t="str">
        <f t="shared" si="142"/>
        <v/>
      </c>
      <c r="DA120" s="1791" t="str">
        <f t="shared" si="143"/>
        <v/>
      </c>
      <c r="DB120" s="1791" t="str">
        <f t="shared" si="144"/>
        <v/>
      </c>
      <c r="DC120" s="1791" t="str">
        <f t="shared" si="145"/>
        <v/>
      </c>
      <c r="DD120" s="1791" t="str">
        <f t="shared" si="146"/>
        <v/>
      </c>
      <c r="DE120"/>
      <c r="DG120" s="4979"/>
      <c r="DH120" s="1793">
        <f t="shared" si="148"/>
        <v>0</v>
      </c>
      <c r="DI120" s="1793">
        <f t="shared" si="149"/>
        <v>0</v>
      </c>
      <c r="DJ120" s="1793">
        <f t="shared" si="150"/>
        <v>0</v>
      </c>
      <c r="DK120" s="1793">
        <f t="shared" si="151"/>
        <v>0</v>
      </c>
      <c r="DL120" s="1793">
        <f t="shared" si="152"/>
        <v>0</v>
      </c>
      <c r="DM120" s="1793">
        <f t="shared" si="153"/>
        <v>0</v>
      </c>
      <c r="DN120" s="1793">
        <f t="shared" si="154"/>
        <v>0</v>
      </c>
    </row>
    <row r="121" spans="1:118" ht="15" customHeight="1" x14ac:dyDescent="0.25">
      <c r="A121" s="7595" t="s">
        <v>803</v>
      </c>
      <c r="B121" s="7595"/>
      <c r="C121" s="7595"/>
      <c r="D121" s="639">
        <f t="shared" si="136"/>
        <v>0</v>
      </c>
      <c r="E121" s="790">
        <f t="shared" si="158"/>
        <v>0</v>
      </c>
      <c r="F121" s="791">
        <f t="shared" si="158"/>
        <v>0</v>
      </c>
      <c r="G121" s="845"/>
      <c r="H121" s="846"/>
      <c r="I121" s="845"/>
      <c r="J121" s="847"/>
      <c r="K121" s="845"/>
      <c r="L121" s="846"/>
      <c r="M121" s="845"/>
      <c r="N121" s="846"/>
      <c r="O121" s="631"/>
      <c r="P121" s="846"/>
      <c r="Q121" s="631"/>
      <c r="R121" s="846"/>
      <c r="S121" s="631"/>
      <c r="T121" s="846"/>
      <c r="U121" s="631"/>
      <c r="V121" s="846"/>
      <c r="W121" s="631"/>
      <c r="X121" s="846"/>
      <c r="Y121" s="627"/>
      <c r="Z121" s="630"/>
      <c r="AA121" s="627"/>
      <c r="AB121" s="630"/>
      <c r="AC121" s="627"/>
      <c r="AD121" s="630"/>
      <c r="AE121" s="627"/>
      <c r="AF121" s="630"/>
      <c r="AG121" s="627"/>
      <c r="AH121" s="630"/>
      <c r="AI121" s="627"/>
      <c r="AJ121" s="630"/>
      <c r="AK121" s="627"/>
      <c r="AL121" s="630"/>
      <c r="AM121" s="627"/>
      <c r="AN121" s="628"/>
      <c r="AO121" s="848"/>
      <c r="AP121" s="83"/>
      <c r="AQ121" s="648"/>
      <c r="AR121" s="648"/>
      <c r="AS121" s="648"/>
      <c r="AT121" s="83"/>
      <c r="AU121" s="83"/>
      <c r="AV121" s="83"/>
      <c r="AW121" s="83"/>
      <c r="AX121" t="str">
        <f t="shared" si="138"/>
        <v/>
      </c>
      <c r="CW121" s="4979"/>
      <c r="CX121" s="1791" t="str">
        <f t="shared" si="140"/>
        <v/>
      </c>
      <c r="CY121" s="1791" t="str">
        <f t="shared" si="141"/>
        <v/>
      </c>
      <c r="CZ121" s="1791" t="str">
        <f t="shared" si="142"/>
        <v/>
      </c>
      <c r="DA121" s="1791" t="str">
        <f t="shared" si="143"/>
        <v/>
      </c>
      <c r="DB121" s="1791" t="str">
        <f t="shared" si="144"/>
        <v/>
      </c>
      <c r="DC121" s="1791" t="str">
        <f t="shared" si="145"/>
        <v/>
      </c>
      <c r="DD121" s="1791" t="str">
        <f t="shared" si="146"/>
        <v/>
      </c>
      <c r="DE121"/>
      <c r="DG121" s="4979"/>
      <c r="DH121" s="1793">
        <f t="shared" si="148"/>
        <v>0</v>
      </c>
      <c r="DI121" s="1793">
        <f t="shared" si="149"/>
        <v>0</v>
      </c>
      <c r="DJ121" s="1793">
        <f t="shared" si="150"/>
        <v>0</v>
      </c>
      <c r="DK121" s="1793">
        <f t="shared" si="151"/>
        <v>0</v>
      </c>
      <c r="DL121" s="1793">
        <f t="shared" si="152"/>
        <v>0</v>
      </c>
      <c r="DM121" s="1793">
        <f t="shared" si="153"/>
        <v>0</v>
      </c>
      <c r="DN121" s="1793">
        <f t="shared" si="154"/>
        <v>0</v>
      </c>
    </row>
    <row r="122" spans="1:118" ht="15" customHeight="1" x14ac:dyDescent="0.25">
      <c r="A122" s="7591" t="s">
        <v>804</v>
      </c>
      <c r="B122" s="7591"/>
      <c r="C122" s="7591"/>
      <c r="D122" s="639">
        <f t="shared" si="136"/>
        <v>0</v>
      </c>
      <c r="E122" s="790">
        <f t="shared" si="158"/>
        <v>0</v>
      </c>
      <c r="F122" s="791">
        <f t="shared" si="158"/>
        <v>0</v>
      </c>
      <c r="G122" s="845"/>
      <c r="H122" s="846"/>
      <c r="I122" s="845"/>
      <c r="J122" s="847"/>
      <c r="K122" s="845"/>
      <c r="L122" s="846"/>
      <c r="M122" s="845"/>
      <c r="N122" s="846"/>
      <c r="O122" s="631"/>
      <c r="P122" s="846"/>
      <c r="Q122" s="631"/>
      <c r="R122" s="846"/>
      <c r="S122" s="631"/>
      <c r="T122" s="846"/>
      <c r="U122" s="631"/>
      <c r="V122" s="846"/>
      <c r="W122" s="631"/>
      <c r="X122" s="846"/>
      <c r="Y122" s="627"/>
      <c r="Z122" s="630"/>
      <c r="AA122" s="627"/>
      <c r="AB122" s="630"/>
      <c r="AC122" s="627"/>
      <c r="AD122" s="630"/>
      <c r="AE122" s="627"/>
      <c r="AF122" s="630"/>
      <c r="AG122" s="627"/>
      <c r="AH122" s="630"/>
      <c r="AI122" s="627"/>
      <c r="AJ122" s="630"/>
      <c r="AK122" s="627"/>
      <c r="AL122" s="630"/>
      <c r="AM122" s="627"/>
      <c r="AN122" s="628"/>
      <c r="AO122" s="848"/>
      <c r="AP122" s="83"/>
      <c r="AQ122" s="648"/>
      <c r="AR122" s="648"/>
      <c r="AS122" s="648"/>
      <c r="AT122" s="83"/>
      <c r="AU122" s="83"/>
      <c r="AV122" s="83"/>
      <c r="AW122" s="83"/>
      <c r="AX122" t="str">
        <f t="shared" si="138"/>
        <v/>
      </c>
      <c r="CW122" s="4979"/>
      <c r="CX122" s="1791" t="str">
        <f t="shared" si="140"/>
        <v/>
      </c>
      <c r="CY122" s="1791" t="str">
        <f t="shared" si="141"/>
        <v/>
      </c>
      <c r="CZ122" s="1791" t="str">
        <f t="shared" si="142"/>
        <v/>
      </c>
      <c r="DA122" s="1791" t="str">
        <f t="shared" si="143"/>
        <v/>
      </c>
      <c r="DB122" s="1791" t="str">
        <f t="shared" si="144"/>
        <v/>
      </c>
      <c r="DC122" s="1791" t="str">
        <f t="shared" si="145"/>
        <v/>
      </c>
      <c r="DD122" s="1791" t="str">
        <f t="shared" si="146"/>
        <v/>
      </c>
      <c r="DE122"/>
      <c r="DG122" s="4979"/>
      <c r="DH122" s="1793">
        <f t="shared" si="148"/>
        <v>0</v>
      </c>
      <c r="DI122" s="1793">
        <f t="shared" si="149"/>
        <v>0</v>
      </c>
      <c r="DJ122" s="1793">
        <f t="shared" si="150"/>
        <v>0</v>
      </c>
      <c r="DK122" s="1793">
        <f t="shared" si="151"/>
        <v>0</v>
      </c>
      <c r="DL122" s="1793">
        <f t="shared" si="152"/>
        <v>0</v>
      </c>
      <c r="DM122" s="1793">
        <f t="shared" si="153"/>
        <v>0</v>
      </c>
      <c r="DN122" s="1793">
        <f t="shared" si="154"/>
        <v>0</v>
      </c>
    </row>
    <row r="123" spans="1:118" ht="15" customHeight="1" x14ac:dyDescent="0.25">
      <c r="A123" s="7591" t="s">
        <v>805</v>
      </c>
      <c r="B123" s="7591"/>
      <c r="C123" s="7591"/>
      <c r="D123" s="639">
        <f t="shared" si="136"/>
        <v>0</v>
      </c>
      <c r="E123" s="790">
        <f>SUM(Y123+AA123+AC123+AE123+AG123+AI123+AK123+AM123)</f>
        <v>0</v>
      </c>
      <c r="F123" s="791">
        <f t="shared" si="158"/>
        <v>0</v>
      </c>
      <c r="G123" s="845"/>
      <c r="H123" s="846"/>
      <c r="I123" s="845"/>
      <c r="J123" s="847"/>
      <c r="K123" s="845"/>
      <c r="L123" s="846"/>
      <c r="M123" s="845"/>
      <c r="N123" s="846"/>
      <c r="O123" s="631"/>
      <c r="P123" s="846"/>
      <c r="Q123" s="631"/>
      <c r="R123" s="846"/>
      <c r="S123" s="631"/>
      <c r="T123" s="846"/>
      <c r="U123" s="631"/>
      <c r="V123" s="846"/>
      <c r="W123" s="631"/>
      <c r="X123" s="846"/>
      <c r="Y123" s="627"/>
      <c r="Z123" s="630"/>
      <c r="AA123" s="627"/>
      <c r="AB123" s="630"/>
      <c r="AC123" s="627"/>
      <c r="AD123" s="630"/>
      <c r="AE123" s="627"/>
      <c r="AF123" s="630"/>
      <c r="AG123" s="627"/>
      <c r="AH123" s="630"/>
      <c r="AI123" s="627"/>
      <c r="AJ123" s="630"/>
      <c r="AK123" s="627"/>
      <c r="AL123" s="630"/>
      <c r="AM123" s="627"/>
      <c r="AN123" s="628"/>
      <c r="AO123" s="848"/>
      <c r="AP123" s="83"/>
      <c r="AQ123" s="648"/>
      <c r="AR123" s="648"/>
      <c r="AS123" s="648"/>
      <c r="AT123" s="83"/>
      <c r="AU123" s="83"/>
      <c r="AV123" s="83"/>
      <c r="AW123" s="83"/>
      <c r="AX123" t="str">
        <f t="shared" si="138"/>
        <v/>
      </c>
      <c r="CW123" s="4979"/>
      <c r="CX123" s="1791" t="str">
        <f t="shared" si="140"/>
        <v/>
      </c>
      <c r="CY123" s="1791" t="str">
        <f t="shared" si="141"/>
        <v/>
      </c>
      <c r="CZ123" s="1791" t="str">
        <f t="shared" si="142"/>
        <v/>
      </c>
      <c r="DA123" s="1791" t="str">
        <f t="shared" si="143"/>
        <v/>
      </c>
      <c r="DB123" s="1791" t="str">
        <f t="shared" si="144"/>
        <v/>
      </c>
      <c r="DC123" s="1791" t="str">
        <f t="shared" si="145"/>
        <v/>
      </c>
      <c r="DD123" s="1791" t="str">
        <f t="shared" si="146"/>
        <v/>
      </c>
      <c r="DE123"/>
      <c r="DG123" s="4979"/>
      <c r="DH123" s="1793">
        <f t="shared" si="148"/>
        <v>0</v>
      </c>
      <c r="DI123" s="1793">
        <f t="shared" si="149"/>
        <v>0</v>
      </c>
      <c r="DJ123" s="1793">
        <f t="shared" si="150"/>
        <v>0</v>
      </c>
      <c r="DK123" s="1793">
        <f t="shared" si="151"/>
        <v>0</v>
      </c>
      <c r="DL123" s="1793">
        <f t="shared" si="152"/>
        <v>0</v>
      </c>
      <c r="DM123" s="1793">
        <f t="shared" si="153"/>
        <v>0</v>
      </c>
      <c r="DN123" s="1793">
        <f t="shared" si="154"/>
        <v>0</v>
      </c>
    </row>
    <row r="124" spans="1:118" ht="15" customHeight="1" x14ac:dyDescent="0.25">
      <c r="A124" s="7592" t="s">
        <v>806</v>
      </c>
      <c r="B124" s="7593"/>
      <c r="C124" s="7594"/>
      <c r="D124" s="639">
        <f t="shared" si="136"/>
        <v>0</v>
      </c>
      <c r="E124" s="790">
        <f t="shared" si="158"/>
        <v>0</v>
      </c>
      <c r="F124" s="791">
        <f t="shared" si="158"/>
        <v>0</v>
      </c>
      <c r="G124" s="845"/>
      <c r="H124" s="846"/>
      <c r="I124" s="845"/>
      <c r="J124" s="847"/>
      <c r="K124" s="845"/>
      <c r="L124" s="846"/>
      <c r="M124" s="845"/>
      <c r="N124" s="846"/>
      <c r="O124" s="631"/>
      <c r="P124" s="846"/>
      <c r="Q124" s="631"/>
      <c r="R124" s="846"/>
      <c r="S124" s="631"/>
      <c r="T124" s="846"/>
      <c r="U124" s="631"/>
      <c r="V124" s="846"/>
      <c r="W124" s="631"/>
      <c r="X124" s="846"/>
      <c r="Y124" s="627"/>
      <c r="Z124" s="630"/>
      <c r="AA124" s="627"/>
      <c r="AB124" s="630"/>
      <c r="AC124" s="627"/>
      <c r="AD124" s="630"/>
      <c r="AE124" s="627"/>
      <c r="AF124" s="630"/>
      <c r="AG124" s="627"/>
      <c r="AH124" s="630"/>
      <c r="AI124" s="627"/>
      <c r="AJ124" s="630"/>
      <c r="AK124" s="627"/>
      <c r="AL124" s="630"/>
      <c r="AM124" s="627"/>
      <c r="AN124" s="628"/>
      <c r="AO124" s="848"/>
      <c r="AP124" s="83"/>
      <c r="AQ124" s="648"/>
      <c r="AR124" s="854"/>
      <c r="AS124" s="648"/>
      <c r="AT124" s="83"/>
      <c r="AU124" s="83"/>
      <c r="AV124" s="83"/>
      <c r="AW124" s="83"/>
      <c r="AX124" t="str">
        <f t="shared" si="138"/>
        <v/>
      </c>
      <c r="CW124" s="4979"/>
      <c r="CX124" s="1791" t="str">
        <f t="shared" si="140"/>
        <v/>
      </c>
      <c r="CY124" s="1791" t="str">
        <f t="shared" si="141"/>
        <v/>
      </c>
      <c r="CZ124" s="1791" t="str">
        <f t="shared" si="142"/>
        <v/>
      </c>
      <c r="DA124" s="1791" t="str">
        <f t="shared" si="143"/>
        <v/>
      </c>
      <c r="DB124" s="1791" t="str">
        <f t="shared" si="144"/>
        <v/>
      </c>
      <c r="DC124" s="1791" t="str">
        <f t="shared" si="145"/>
        <v/>
      </c>
      <c r="DD124" s="1791" t="str">
        <f t="shared" si="146"/>
        <v/>
      </c>
      <c r="DE124"/>
      <c r="DG124" s="4979"/>
      <c r="DH124" s="1793">
        <f t="shared" si="148"/>
        <v>0</v>
      </c>
      <c r="DI124" s="1793">
        <f t="shared" si="149"/>
        <v>0</v>
      </c>
      <c r="DJ124" s="1793">
        <f t="shared" si="150"/>
        <v>0</v>
      </c>
      <c r="DK124" s="1793">
        <f t="shared" si="151"/>
        <v>0</v>
      </c>
      <c r="DL124" s="1793">
        <f t="shared" si="152"/>
        <v>0</v>
      </c>
      <c r="DM124" s="1793">
        <f t="shared" si="153"/>
        <v>0</v>
      </c>
      <c r="DN124" s="1793">
        <f t="shared" si="154"/>
        <v>0</v>
      </c>
    </row>
    <row r="125" spans="1:118" ht="15" customHeight="1" x14ac:dyDescent="0.25">
      <c r="A125" s="7583" t="s">
        <v>807</v>
      </c>
      <c r="B125" s="7584"/>
      <c r="C125" s="7585"/>
      <c r="D125" s="639">
        <f t="shared" si="136"/>
        <v>0</v>
      </c>
      <c r="E125" s="790">
        <f t="shared" si="158"/>
        <v>0</v>
      </c>
      <c r="F125" s="791">
        <f t="shared" si="158"/>
        <v>0</v>
      </c>
      <c r="G125" s="845"/>
      <c r="H125" s="846"/>
      <c r="I125" s="845"/>
      <c r="J125" s="847"/>
      <c r="K125" s="845"/>
      <c r="L125" s="846"/>
      <c r="M125" s="845"/>
      <c r="N125" s="846"/>
      <c r="O125" s="631"/>
      <c r="P125" s="846"/>
      <c r="Q125" s="631"/>
      <c r="R125" s="846"/>
      <c r="S125" s="631"/>
      <c r="T125" s="846"/>
      <c r="U125" s="631"/>
      <c r="V125" s="846"/>
      <c r="W125" s="631"/>
      <c r="X125" s="846"/>
      <c r="Y125" s="627"/>
      <c r="Z125" s="630"/>
      <c r="AA125" s="627"/>
      <c r="AB125" s="630"/>
      <c r="AC125" s="627"/>
      <c r="AD125" s="630"/>
      <c r="AE125" s="627"/>
      <c r="AF125" s="630"/>
      <c r="AG125" s="627"/>
      <c r="AH125" s="630"/>
      <c r="AI125" s="627"/>
      <c r="AJ125" s="630"/>
      <c r="AK125" s="627"/>
      <c r="AL125" s="630"/>
      <c r="AM125" s="627"/>
      <c r="AN125" s="628"/>
      <c r="AO125" s="848"/>
      <c r="AP125" s="83"/>
      <c r="AQ125" s="648"/>
      <c r="AR125" s="854"/>
      <c r="AS125" s="648"/>
      <c r="AT125" s="83"/>
      <c r="AU125" s="83"/>
      <c r="AV125" s="83"/>
      <c r="AW125" s="83"/>
      <c r="AX125" t="str">
        <f t="shared" si="138"/>
        <v/>
      </c>
      <c r="CW125" s="4979"/>
      <c r="CX125" s="1791" t="str">
        <f t="shared" si="140"/>
        <v/>
      </c>
      <c r="CY125" s="1791" t="str">
        <f t="shared" si="141"/>
        <v/>
      </c>
      <c r="CZ125" s="1791" t="str">
        <f t="shared" si="142"/>
        <v/>
      </c>
      <c r="DA125" s="1791" t="str">
        <f t="shared" si="143"/>
        <v/>
      </c>
      <c r="DB125" s="1791" t="str">
        <f t="shared" si="144"/>
        <v/>
      </c>
      <c r="DC125" s="1791" t="str">
        <f t="shared" si="145"/>
        <v/>
      </c>
      <c r="DD125" s="1791" t="str">
        <f t="shared" si="146"/>
        <v/>
      </c>
      <c r="DE125"/>
      <c r="DG125" s="4979"/>
      <c r="DH125" s="1793">
        <f t="shared" si="148"/>
        <v>0</v>
      </c>
      <c r="DI125" s="1793">
        <f t="shared" si="149"/>
        <v>0</v>
      </c>
      <c r="DJ125" s="1793">
        <f t="shared" si="150"/>
        <v>0</v>
      </c>
      <c r="DK125" s="1793">
        <f t="shared" si="151"/>
        <v>0</v>
      </c>
      <c r="DL125" s="1793">
        <f t="shared" si="152"/>
        <v>0</v>
      </c>
      <c r="DM125" s="1793">
        <f t="shared" si="153"/>
        <v>0</v>
      </c>
      <c r="DN125" s="1793">
        <f t="shared" si="154"/>
        <v>0</v>
      </c>
    </row>
    <row r="126" spans="1:118" ht="15" customHeight="1" x14ac:dyDescent="0.25">
      <c r="A126" s="7583" t="s">
        <v>808</v>
      </c>
      <c r="B126" s="7584"/>
      <c r="C126" s="7585"/>
      <c r="D126" s="639">
        <f t="shared" si="136"/>
        <v>0</v>
      </c>
      <c r="E126" s="790">
        <f t="shared" si="137"/>
        <v>0</v>
      </c>
      <c r="F126" s="791">
        <f t="shared" si="137"/>
        <v>0</v>
      </c>
      <c r="G126" s="851"/>
      <c r="H126" s="853"/>
      <c r="I126" s="851"/>
      <c r="J126" s="855"/>
      <c r="K126" s="851"/>
      <c r="L126" s="853"/>
      <c r="M126" s="851"/>
      <c r="N126" s="853"/>
      <c r="O126" s="856"/>
      <c r="P126" s="630"/>
      <c r="Q126" s="627"/>
      <c r="R126" s="630"/>
      <c r="S126" s="627"/>
      <c r="T126" s="853"/>
      <c r="U126" s="856"/>
      <c r="V126" s="630"/>
      <c r="W126" s="627"/>
      <c r="X126" s="630"/>
      <c r="Y126" s="627"/>
      <c r="Z126" s="630"/>
      <c r="AA126" s="627"/>
      <c r="AB126" s="630"/>
      <c r="AC126" s="627"/>
      <c r="AD126" s="630"/>
      <c r="AE126" s="627"/>
      <c r="AF126" s="630"/>
      <c r="AG126" s="627"/>
      <c r="AH126" s="630"/>
      <c r="AI126" s="627"/>
      <c r="AJ126" s="630"/>
      <c r="AK126" s="627"/>
      <c r="AL126" s="630"/>
      <c r="AM126" s="627"/>
      <c r="AN126" s="628"/>
      <c r="AO126" s="83"/>
      <c r="AP126" s="857"/>
      <c r="AQ126" s="854"/>
      <c r="AR126" s="854"/>
      <c r="AS126" s="648"/>
      <c r="AT126" s="83"/>
      <c r="AU126" s="83"/>
      <c r="AV126" s="83"/>
      <c r="AW126" s="83"/>
      <c r="AX126" t="str">
        <f t="shared" si="138"/>
        <v/>
      </c>
      <c r="CW126" s="1791" t="str">
        <f t="shared" ref="CW126:CW140" si="159">IF(AND((W126+X126)&gt;0,AO126="")," * No olvide digitar la variable 12 años. Si no tiene digite Cero.",IF(AO126&gt;(W126+X126),"* Las Consultas de 12 años NO DEBEN ser mayor que el total de Consultas entre 10-14 años",""))</f>
        <v/>
      </c>
      <c r="CX126" s="1791" t="str">
        <f t="shared" si="140"/>
        <v/>
      </c>
      <c r="CY126" s="1791" t="str">
        <f t="shared" si="141"/>
        <v/>
      </c>
      <c r="CZ126" s="1791" t="str">
        <f t="shared" si="142"/>
        <v/>
      </c>
      <c r="DA126" s="1791" t="str">
        <f t="shared" si="143"/>
        <v/>
      </c>
      <c r="DB126" s="1791" t="str">
        <f t="shared" si="144"/>
        <v/>
      </c>
      <c r="DC126" s="1791" t="str">
        <f t="shared" si="145"/>
        <v/>
      </c>
      <c r="DD126" s="1791" t="str">
        <f t="shared" si="146"/>
        <v/>
      </c>
      <c r="DE126"/>
      <c r="DG126" s="1793">
        <f t="shared" ref="DG126:DG140" si="160">IF(AND((W126+X126)&gt;0,AO126=""),1,IF(AO126&gt;(W126+X126),1,0))</f>
        <v>0</v>
      </c>
      <c r="DH126" s="1793">
        <f t="shared" si="148"/>
        <v>0</v>
      </c>
      <c r="DI126" s="1793">
        <f t="shared" si="149"/>
        <v>0</v>
      </c>
      <c r="DJ126" s="1793">
        <f t="shared" si="150"/>
        <v>0</v>
      </c>
      <c r="DK126" s="1793">
        <f t="shared" si="151"/>
        <v>0</v>
      </c>
      <c r="DL126" s="1793">
        <f t="shared" si="152"/>
        <v>0</v>
      </c>
      <c r="DM126" s="1793">
        <f t="shared" si="153"/>
        <v>0</v>
      </c>
      <c r="DN126" s="1793">
        <f t="shared" si="154"/>
        <v>0</v>
      </c>
    </row>
    <row r="127" spans="1:118" ht="15" customHeight="1" x14ac:dyDescent="0.25">
      <c r="A127" s="7583" t="s">
        <v>809</v>
      </c>
      <c r="B127" s="7584"/>
      <c r="C127" s="7585"/>
      <c r="D127" s="639">
        <f t="shared" si="136"/>
        <v>0</v>
      </c>
      <c r="E127" s="790">
        <f t="shared" si="137"/>
        <v>0</v>
      </c>
      <c r="F127" s="791">
        <f t="shared" si="137"/>
        <v>0</v>
      </c>
      <c r="G127" s="851"/>
      <c r="H127" s="853"/>
      <c r="I127" s="851"/>
      <c r="J127" s="855"/>
      <c r="K127" s="851"/>
      <c r="L127" s="853"/>
      <c r="M127" s="851"/>
      <c r="N127" s="853"/>
      <c r="O127" s="856"/>
      <c r="P127" s="630"/>
      <c r="Q127" s="627"/>
      <c r="R127" s="630"/>
      <c r="S127" s="627"/>
      <c r="T127" s="853"/>
      <c r="U127" s="856"/>
      <c r="V127" s="630"/>
      <c r="W127" s="627"/>
      <c r="X127" s="630"/>
      <c r="Y127" s="627"/>
      <c r="Z127" s="630"/>
      <c r="AA127" s="627"/>
      <c r="AB127" s="630"/>
      <c r="AC127" s="627"/>
      <c r="AD127" s="630"/>
      <c r="AE127" s="627"/>
      <c r="AF127" s="630"/>
      <c r="AG127" s="627"/>
      <c r="AH127" s="630"/>
      <c r="AI127" s="627"/>
      <c r="AJ127" s="630"/>
      <c r="AK127" s="627"/>
      <c r="AL127" s="630"/>
      <c r="AM127" s="627"/>
      <c r="AN127" s="628"/>
      <c r="AO127" s="83"/>
      <c r="AP127" s="857"/>
      <c r="AQ127" s="854"/>
      <c r="AR127" s="854"/>
      <c r="AS127" s="648"/>
      <c r="AT127" s="83"/>
      <c r="AU127" s="83"/>
      <c r="AV127" s="83"/>
      <c r="AW127" s="83"/>
      <c r="AX127" t="str">
        <f t="shared" si="138"/>
        <v/>
      </c>
      <c r="CW127" s="1791" t="str">
        <f t="shared" si="159"/>
        <v/>
      </c>
      <c r="CX127" s="1791" t="str">
        <f t="shared" si="140"/>
        <v/>
      </c>
      <c r="CY127" s="1791" t="str">
        <f t="shared" si="141"/>
        <v/>
      </c>
      <c r="CZ127" s="1791" t="str">
        <f t="shared" si="142"/>
        <v/>
      </c>
      <c r="DA127" s="1791" t="str">
        <f t="shared" si="143"/>
        <v/>
      </c>
      <c r="DB127" s="1791" t="str">
        <f t="shared" si="144"/>
        <v/>
      </c>
      <c r="DC127" s="1791" t="str">
        <f t="shared" si="145"/>
        <v/>
      </c>
      <c r="DD127" s="1791" t="str">
        <f t="shared" si="146"/>
        <v/>
      </c>
      <c r="DE127"/>
      <c r="DG127" s="1793">
        <f t="shared" si="160"/>
        <v>0</v>
      </c>
      <c r="DH127" s="1793">
        <f t="shared" si="148"/>
        <v>0</v>
      </c>
      <c r="DI127" s="1793">
        <f t="shared" si="149"/>
        <v>0</v>
      </c>
      <c r="DJ127" s="1793">
        <f t="shared" si="150"/>
        <v>0</v>
      </c>
      <c r="DK127" s="1793">
        <f t="shared" si="151"/>
        <v>0</v>
      </c>
      <c r="DL127" s="1793">
        <f t="shared" si="152"/>
        <v>0</v>
      </c>
      <c r="DM127" s="1793">
        <f t="shared" si="153"/>
        <v>0</v>
      </c>
      <c r="DN127" s="1793">
        <f t="shared" si="154"/>
        <v>0</v>
      </c>
    </row>
    <row r="128" spans="1:118" ht="15" customHeight="1" x14ac:dyDescent="0.25">
      <c r="A128" s="7583" t="s">
        <v>810</v>
      </c>
      <c r="B128" s="7584"/>
      <c r="C128" s="7585"/>
      <c r="D128" s="639">
        <f t="shared" si="136"/>
        <v>0</v>
      </c>
      <c r="E128" s="790">
        <f t="shared" si="137"/>
        <v>0</v>
      </c>
      <c r="F128" s="791">
        <f t="shared" si="137"/>
        <v>0</v>
      </c>
      <c r="G128" s="851"/>
      <c r="H128" s="853"/>
      <c r="I128" s="851"/>
      <c r="J128" s="855"/>
      <c r="K128" s="851"/>
      <c r="L128" s="853"/>
      <c r="M128" s="851"/>
      <c r="N128" s="853"/>
      <c r="O128" s="856"/>
      <c r="P128" s="630"/>
      <c r="Q128" s="627"/>
      <c r="R128" s="630"/>
      <c r="S128" s="627"/>
      <c r="T128" s="853"/>
      <c r="U128" s="856"/>
      <c r="V128" s="630"/>
      <c r="W128" s="627"/>
      <c r="X128" s="630"/>
      <c r="Y128" s="627"/>
      <c r="Z128" s="630"/>
      <c r="AA128" s="627"/>
      <c r="AB128" s="630"/>
      <c r="AC128" s="627"/>
      <c r="AD128" s="630"/>
      <c r="AE128" s="627"/>
      <c r="AF128" s="630"/>
      <c r="AG128" s="627"/>
      <c r="AH128" s="630"/>
      <c r="AI128" s="627"/>
      <c r="AJ128" s="630"/>
      <c r="AK128" s="627"/>
      <c r="AL128" s="630"/>
      <c r="AM128" s="627"/>
      <c r="AN128" s="628"/>
      <c r="AO128" s="83"/>
      <c r="AP128" s="857"/>
      <c r="AQ128" s="854"/>
      <c r="AR128" s="854"/>
      <c r="AS128" s="648"/>
      <c r="AT128" s="83"/>
      <c r="AU128" s="83"/>
      <c r="AV128" s="83"/>
      <c r="AW128" s="83"/>
      <c r="AX128" t="str">
        <f t="shared" si="138"/>
        <v/>
      </c>
      <c r="CW128" s="1791" t="str">
        <f t="shared" si="159"/>
        <v/>
      </c>
      <c r="CX128" s="1791" t="str">
        <f t="shared" si="140"/>
        <v/>
      </c>
      <c r="CY128" s="1791" t="str">
        <f t="shared" si="141"/>
        <v/>
      </c>
      <c r="CZ128" s="1791" t="str">
        <f t="shared" si="142"/>
        <v/>
      </c>
      <c r="DA128" s="1791" t="str">
        <f t="shared" si="143"/>
        <v/>
      </c>
      <c r="DB128" s="1791" t="str">
        <f t="shared" si="144"/>
        <v/>
      </c>
      <c r="DC128" s="1791" t="str">
        <f t="shared" si="145"/>
        <v/>
      </c>
      <c r="DD128" s="1791" t="str">
        <f t="shared" si="146"/>
        <v/>
      </c>
      <c r="DE128"/>
      <c r="DG128" s="1793">
        <f t="shared" si="160"/>
        <v>0</v>
      </c>
      <c r="DH128" s="1793">
        <f t="shared" si="148"/>
        <v>0</v>
      </c>
      <c r="DI128" s="1793">
        <f t="shared" si="149"/>
        <v>0</v>
      </c>
      <c r="DJ128" s="1793">
        <f t="shared" si="150"/>
        <v>0</v>
      </c>
      <c r="DK128" s="1793">
        <f t="shared" si="151"/>
        <v>0</v>
      </c>
      <c r="DL128" s="1793">
        <f t="shared" si="152"/>
        <v>0</v>
      </c>
      <c r="DM128" s="1793">
        <f t="shared" si="153"/>
        <v>0</v>
      </c>
      <c r="DN128" s="1793">
        <f t="shared" si="154"/>
        <v>0</v>
      </c>
    </row>
    <row r="129" spans="1:118" ht="15" customHeight="1" x14ac:dyDescent="0.25">
      <c r="A129" s="7583" t="s">
        <v>811</v>
      </c>
      <c r="B129" s="7584"/>
      <c r="C129" s="7585"/>
      <c r="D129" s="639">
        <f t="shared" si="136"/>
        <v>0</v>
      </c>
      <c r="E129" s="790">
        <f t="shared" si="137"/>
        <v>0</v>
      </c>
      <c r="F129" s="791">
        <f t="shared" si="137"/>
        <v>0</v>
      </c>
      <c r="G129" s="851"/>
      <c r="H129" s="853"/>
      <c r="I129" s="851"/>
      <c r="J129" s="855"/>
      <c r="K129" s="851"/>
      <c r="L129" s="853"/>
      <c r="M129" s="851"/>
      <c r="N129" s="853"/>
      <c r="O129" s="856"/>
      <c r="P129" s="630"/>
      <c r="Q129" s="627"/>
      <c r="R129" s="630"/>
      <c r="S129" s="627"/>
      <c r="T129" s="853"/>
      <c r="U129" s="856"/>
      <c r="V129" s="630"/>
      <c r="W129" s="627"/>
      <c r="X129" s="630"/>
      <c r="Y129" s="627"/>
      <c r="Z129" s="630"/>
      <c r="AA129" s="627"/>
      <c r="AB129" s="630"/>
      <c r="AC129" s="627"/>
      <c r="AD129" s="630"/>
      <c r="AE129" s="627"/>
      <c r="AF129" s="630"/>
      <c r="AG129" s="627"/>
      <c r="AH129" s="630"/>
      <c r="AI129" s="627"/>
      <c r="AJ129" s="630"/>
      <c r="AK129" s="627"/>
      <c r="AL129" s="630"/>
      <c r="AM129" s="627"/>
      <c r="AN129" s="628"/>
      <c r="AO129" s="83"/>
      <c r="AP129" s="857"/>
      <c r="AQ129" s="854"/>
      <c r="AR129" s="854"/>
      <c r="AS129" s="648"/>
      <c r="AT129" s="83"/>
      <c r="AU129" s="83"/>
      <c r="AV129" s="83"/>
      <c r="AW129" s="83"/>
      <c r="AX129" t="str">
        <f t="shared" si="138"/>
        <v/>
      </c>
      <c r="CW129" s="1791" t="str">
        <f t="shared" si="159"/>
        <v/>
      </c>
      <c r="CX129" s="1791" t="str">
        <f t="shared" si="140"/>
        <v/>
      </c>
      <c r="CY129" s="1791" t="str">
        <f t="shared" si="141"/>
        <v/>
      </c>
      <c r="CZ129" s="1791" t="str">
        <f t="shared" si="142"/>
        <v/>
      </c>
      <c r="DA129" s="1791" t="str">
        <f t="shared" si="143"/>
        <v/>
      </c>
      <c r="DB129" s="1791" t="str">
        <f t="shared" si="144"/>
        <v/>
      </c>
      <c r="DC129" s="1791" t="str">
        <f t="shared" si="145"/>
        <v/>
      </c>
      <c r="DD129" s="1791" t="str">
        <f t="shared" si="146"/>
        <v/>
      </c>
      <c r="DE129"/>
      <c r="DG129" s="1793">
        <f t="shared" si="160"/>
        <v>0</v>
      </c>
      <c r="DH129" s="1793">
        <f t="shared" si="148"/>
        <v>0</v>
      </c>
      <c r="DI129" s="1793">
        <f t="shared" si="149"/>
        <v>0</v>
      </c>
      <c r="DJ129" s="1793">
        <f t="shared" si="150"/>
        <v>0</v>
      </c>
      <c r="DK129" s="1793">
        <f t="shared" si="151"/>
        <v>0</v>
      </c>
      <c r="DL129" s="1793">
        <f t="shared" si="152"/>
        <v>0</v>
      </c>
      <c r="DM129" s="1793">
        <f t="shared" si="153"/>
        <v>0</v>
      </c>
      <c r="DN129" s="1793">
        <f t="shared" si="154"/>
        <v>0</v>
      </c>
    </row>
    <row r="130" spans="1:118" ht="15" customHeight="1" x14ac:dyDescent="0.25">
      <c r="A130" s="7583" t="s">
        <v>812</v>
      </c>
      <c r="B130" s="7584"/>
      <c r="C130" s="7585"/>
      <c r="D130" s="639">
        <f t="shared" si="136"/>
        <v>0</v>
      </c>
      <c r="E130" s="790">
        <f t="shared" si="137"/>
        <v>0</v>
      </c>
      <c r="F130" s="791">
        <f t="shared" si="137"/>
        <v>0</v>
      </c>
      <c r="G130" s="851"/>
      <c r="H130" s="853"/>
      <c r="I130" s="851"/>
      <c r="J130" s="855"/>
      <c r="K130" s="851"/>
      <c r="L130" s="853"/>
      <c r="M130" s="851"/>
      <c r="N130" s="853"/>
      <c r="O130" s="856"/>
      <c r="P130" s="630"/>
      <c r="Q130" s="627"/>
      <c r="R130" s="630"/>
      <c r="S130" s="627"/>
      <c r="T130" s="853"/>
      <c r="U130" s="856"/>
      <c r="V130" s="630"/>
      <c r="W130" s="627"/>
      <c r="X130" s="630"/>
      <c r="Y130" s="627"/>
      <c r="Z130" s="630"/>
      <c r="AA130" s="627"/>
      <c r="AB130" s="630"/>
      <c r="AC130" s="627"/>
      <c r="AD130" s="630"/>
      <c r="AE130" s="627"/>
      <c r="AF130" s="630"/>
      <c r="AG130" s="627"/>
      <c r="AH130" s="630"/>
      <c r="AI130" s="627"/>
      <c r="AJ130" s="630"/>
      <c r="AK130" s="627"/>
      <c r="AL130" s="630"/>
      <c r="AM130" s="627"/>
      <c r="AN130" s="628"/>
      <c r="AO130" s="83"/>
      <c r="AP130" s="857"/>
      <c r="AQ130" s="854"/>
      <c r="AR130" s="854"/>
      <c r="AS130" s="648"/>
      <c r="AT130" s="83"/>
      <c r="AU130" s="83"/>
      <c r="AV130" s="83"/>
      <c r="AW130" s="83"/>
      <c r="AX130" t="str">
        <f t="shared" si="138"/>
        <v/>
      </c>
      <c r="CW130" s="1791" t="str">
        <f t="shared" si="159"/>
        <v/>
      </c>
      <c r="CX130" s="1791" t="str">
        <f t="shared" si="140"/>
        <v/>
      </c>
      <c r="CY130" s="1791" t="str">
        <f t="shared" si="141"/>
        <v/>
      </c>
      <c r="CZ130" s="1791" t="str">
        <f t="shared" si="142"/>
        <v/>
      </c>
      <c r="DA130" s="1791" t="str">
        <f t="shared" si="143"/>
        <v/>
      </c>
      <c r="DB130" s="1791" t="str">
        <f t="shared" si="144"/>
        <v/>
      </c>
      <c r="DC130" s="1791" t="str">
        <f t="shared" si="145"/>
        <v/>
      </c>
      <c r="DD130" s="1791" t="str">
        <f t="shared" si="146"/>
        <v/>
      </c>
      <c r="DE130"/>
      <c r="DG130" s="1793">
        <f t="shared" si="160"/>
        <v>0</v>
      </c>
      <c r="DH130" s="1793">
        <f t="shared" si="148"/>
        <v>0</v>
      </c>
      <c r="DI130" s="1793">
        <f t="shared" si="149"/>
        <v>0</v>
      </c>
      <c r="DJ130" s="1793">
        <f t="shared" si="150"/>
        <v>0</v>
      </c>
      <c r="DK130" s="1793">
        <f t="shared" si="151"/>
        <v>0</v>
      </c>
      <c r="DL130" s="1793">
        <f t="shared" si="152"/>
        <v>0</v>
      </c>
      <c r="DM130" s="1793">
        <f t="shared" si="153"/>
        <v>0</v>
      </c>
      <c r="DN130" s="1793">
        <f t="shared" si="154"/>
        <v>0</v>
      </c>
    </row>
    <row r="131" spans="1:118" ht="15" customHeight="1" x14ac:dyDescent="0.25">
      <c r="A131" s="7583" t="s">
        <v>813</v>
      </c>
      <c r="B131" s="7584"/>
      <c r="C131" s="7585"/>
      <c r="D131" s="639">
        <f t="shared" si="136"/>
        <v>0</v>
      </c>
      <c r="E131" s="790">
        <f t="shared" si="137"/>
        <v>0</v>
      </c>
      <c r="F131" s="791">
        <f t="shared" si="137"/>
        <v>0</v>
      </c>
      <c r="G131" s="851"/>
      <c r="H131" s="853"/>
      <c r="I131" s="851"/>
      <c r="J131" s="855"/>
      <c r="K131" s="851"/>
      <c r="L131" s="853"/>
      <c r="M131" s="851"/>
      <c r="N131" s="853"/>
      <c r="O131" s="856"/>
      <c r="P131" s="630"/>
      <c r="Q131" s="627"/>
      <c r="R131" s="630"/>
      <c r="S131" s="627"/>
      <c r="T131" s="853"/>
      <c r="U131" s="856"/>
      <c r="V131" s="630"/>
      <c r="W131" s="627"/>
      <c r="X131" s="630"/>
      <c r="Y131" s="627"/>
      <c r="Z131" s="630"/>
      <c r="AA131" s="627"/>
      <c r="AB131" s="630"/>
      <c r="AC131" s="627"/>
      <c r="AD131" s="630"/>
      <c r="AE131" s="627"/>
      <c r="AF131" s="630"/>
      <c r="AG131" s="627"/>
      <c r="AH131" s="630"/>
      <c r="AI131" s="627"/>
      <c r="AJ131" s="630"/>
      <c r="AK131" s="627"/>
      <c r="AL131" s="630"/>
      <c r="AM131" s="627"/>
      <c r="AN131" s="628"/>
      <c r="AO131" s="83"/>
      <c r="AP131" s="857"/>
      <c r="AQ131" s="854"/>
      <c r="AR131" s="854"/>
      <c r="AS131" s="648"/>
      <c r="AT131" s="83"/>
      <c r="AU131" s="83"/>
      <c r="AV131" s="83"/>
      <c r="AW131" s="83"/>
      <c r="AX131" t="str">
        <f t="shared" si="138"/>
        <v/>
      </c>
      <c r="CW131" s="1791" t="str">
        <f t="shared" si="159"/>
        <v/>
      </c>
      <c r="CX131" s="1791" t="str">
        <f t="shared" si="140"/>
        <v/>
      </c>
      <c r="CY131" s="1791" t="str">
        <f t="shared" si="141"/>
        <v/>
      </c>
      <c r="CZ131" s="1791" t="str">
        <f t="shared" si="142"/>
        <v/>
      </c>
      <c r="DA131" s="1791" t="str">
        <f t="shared" si="143"/>
        <v/>
      </c>
      <c r="DB131" s="1791" t="str">
        <f t="shared" si="144"/>
        <v/>
      </c>
      <c r="DC131" s="1791" t="str">
        <f t="shared" si="145"/>
        <v/>
      </c>
      <c r="DD131" s="1791" t="str">
        <f t="shared" si="146"/>
        <v/>
      </c>
      <c r="DE131"/>
      <c r="DG131" s="1793">
        <f t="shared" si="160"/>
        <v>0</v>
      </c>
      <c r="DH131" s="1793">
        <f t="shared" si="148"/>
        <v>0</v>
      </c>
      <c r="DI131" s="1793">
        <f t="shared" si="149"/>
        <v>0</v>
      </c>
      <c r="DJ131" s="1793">
        <f t="shared" si="150"/>
        <v>0</v>
      </c>
      <c r="DK131" s="1793">
        <f t="shared" si="151"/>
        <v>0</v>
      </c>
      <c r="DL131" s="1793">
        <f t="shared" si="152"/>
        <v>0</v>
      </c>
      <c r="DM131" s="1793">
        <f t="shared" si="153"/>
        <v>0</v>
      </c>
      <c r="DN131" s="1793">
        <f t="shared" si="154"/>
        <v>0</v>
      </c>
    </row>
    <row r="132" spans="1:118" ht="15" customHeight="1" x14ac:dyDescent="0.25">
      <c r="A132" s="7591" t="s">
        <v>814</v>
      </c>
      <c r="B132" s="7591"/>
      <c r="C132" s="7591"/>
      <c r="D132" s="639">
        <f t="shared" si="136"/>
        <v>0</v>
      </c>
      <c r="E132" s="790">
        <f t="shared" si="137"/>
        <v>0</v>
      </c>
      <c r="F132" s="791">
        <f t="shared" si="137"/>
        <v>0</v>
      </c>
      <c r="G132" s="620"/>
      <c r="H132" s="630"/>
      <c r="I132" s="620"/>
      <c r="J132" s="796"/>
      <c r="K132" s="620"/>
      <c r="L132" s="630"/>
      <c r="M132" s="620"/>
      <c r="N132" s="630"/>
      <c r="O132" s="627"/>
      <c r="P132" s="630"/>
      <c r="Q132" s="627"/>
      <c r="R132" s="630"/>
      <c r="S132" s="627"/>
      <c r="T132" s="630"/>
      <c r="U132" s="627"/>
      <c r="V132" s="630"/>
      <c r="W132" s="627"/>
      <c r="X132" s="630"/>
      <c r="Y132" s="627"/>
      <c r="Z132" s="630"/>
      <c r="AA132" s="627"/>
      <c r="AB132" s="630"/>
      <c r="AC132" s="627"/>
      <c r="AD132" s="630"/>
      <c r="AE132" s="627"/>
      <c r="AF132" s="630"/>
      <c r="AG132" s="627"/>
      <c r="AH132" s="630"/>
      <c r="AI132" s="627"/>
      <c r="AJ132" s="630"/>
      <c r="AK132" s="627"/>
      <c r="AL132" s="630"/>
      <c r="AM132" s="627"/>
      <c r="AN132" s="628"/>
      <c r="AO132" s="83"/>
      <c r="AP132" s="83"/>
      <c r="AQ132" s="648"/>
      <c r="AR132" s="648"/>
      <c r="AS132" s="648"/>
      <c r="AT132" s="83"/>
      <c r="AU132" s="83"/>
      <c r="AV132" s="83"/>
      <c r="AW132" s="83"/>
      <c r="AX132" t="str">
        <f t="shared" si="138"/>
        <v/>
      </c>
      <c r="CW132" s="1791" t="str">
        <f t="shared" si="159"/>
        <v/>
      </c>
      <c r="CX132" s="1791" t="str">
        <f t="shared" si="140"/>
        <v/>
      </c>
      <c r="CY132" s="1791" t="str">
        <f t="shared" si="141"/>
        <v/>
      </c>
      <c r="CZ132" s="1791" t="str">
        <f t="shared" si="142"/>
        <v/>
      </c>
      <c r="DA132" s="1791" t="str">
        <f t="shared" si="143"/>
        <v/>
      </c>
      <c r="DB132" s="1791" t="str">
        <f t="shared" si="144"/>
        <v/>
      </c>
      <c r="DC132" s="1791" t="str">
        <f t="shared" si="145"/>
        <v/>
      </c>
      <c r="DD132" s="1791" t="str">
        <f t="shared" si="146"/>
        <v/>
      </c>
      <c r="DE132"/>
      <c r="DG132" s="1793">
        <f t="shared" si="160"/>
        <v>0</v>
      </c>
      <c r="DH132" s="1793">
        <f t="shared" si="148"/>
        <v>0</v>
      </c>
      <c r="DI132" s="1793">
        <f t="shared" si="149"/>
        <v>0</v>
      </c>
      <c r="DJ132" s="1793">
        <f t="shared" si="150"/>
        <v>0</v>
      </c>
      <c r="DK132" s="1793">
        <f t="shared" si="151"/>
        <v>0</v>
      </c>
      <c r="DL132" s="1793">
        <f t="shared" si="152"/>
        <v>0</v>
      </c>
      <c r="DM132" s="1793">
        <f t="shared" si="153"/>
        <v>0</v>
      </c>
      <c r="DN132" s="1793">
        <f t="shared" si="154"/>
        <v>0</v>
      </c>
    </row>
    <row r="133" spans="1:118" ht="15" customHeight="1" x14ac:dyDescent="0.25">
      <c r="A133" s="7583" t="s">
        <v>815</v>
      </c>
      <c r="B133" s="7584"/>
      <c r="C133" s="7585"/>
      <c r="D133" s="639">
        <f t="shared" si="136"/>
        <v>0</v>
      </c>
      <c r="E133" s="790">
        <f t="shared" si="137"/>
        <v>0</v>
      </c>
      <c r="F133" s="791">
        <f t="shared" si="137"/>
        <v>0</v>
      </c>
      <c r="G133" s="620"/>
      <c r="H133" s="630"/>
      <c r="I133" s="620"/>
      <c r="J133" s="796"/>
      <c r="K133" s="620"/>
      <c r="L133" s="630"/>
      <c r="M133" s="620"/>
      <c r="N133" s="630"/>
      <c r="O133" s="627"/>
      <c r="P133" s="630"/>
      <c r="Q133" s="627"/>
      <c r="R133" s="630"/>
      <c r="S133" s="627"/>
      <c r="T133" s="630"/>
      <c r="U133" s="627"/>
      <c r="V133" s="630"/>
      <c r="W133" s="627"/>
      <c r="X133" s="630"/>
      <c r="Y133" s="627"/>
      <c r="Z133" s="630"/>
      <c r="AA133" s="627"/>
      <c r="AB133" s="630"/>
      <c r="AC133" s="627"/>
      <c r="AD133" s="630"/>
      <c r="AE133" s="627"/>
      <c r="AF133" s="630"/>
      <c r="AG133" s="627"/>
      <c r="AH133" s="630"/>
      <c r="AI133" s="627"/>
      <c r="AJ133" s="630"/>
      <c r="AK133" s="627"/>
      <c r="AL133" s="630"/>
      <c r="AM133" s="627"/>
      <c r="AN133" s="628"/>
      <c r="AO133" s="83"/>
      <c r="AP133" s="83"/>
      <c r="AQ133" s="648"/>
      <c r="AR133" s="648"/>
      <c r="AS133" s="648"/>
      <c r="AT133" s="83"/>
      <c r="AU133" s="83"/>
      <c r="AV133" s="83"/>
      <c r="AW133" s="83"/>
      <c r="AX133" t="str">
        <f t="shared" si="138"/>
        <v/>
      </c>
      <c r="CW133" s="1791" t="str">
        <f t="shared" si="159"/>
        <v/>
      </c>
      <c r="CX133" s="1791" t="str">
        <f t="shared" si="140"/>
        <v/>
      </c>
      <c r="CY133" s="1791" t="str">
        <f t="shared" si="141"/>
        <v/>
      </c>
      <c r="CZ133" s="1791" t="str">
        <f t="shared" si="142"/>
        <v/>
      </c>
      <c r="DA133" s="1791" t="str">
        <f t="shared" si="143"/>
        <v/>
      </c>
      <c r="DB133" s="1791" t="str">
        <f t="shared" si="144"/>
        <v/>
      </c>
      <c r="DC133" s="1791" t="str">
        <f t="shared" si="145"/>
        <v/>
      </c>
      <c r="DD133" s="1791" t="str">
        <f t="shared" si="146"/>
        <v/>
      </c>
      <c r="DE133"/>
      <c r="DG133" s="1793">
        <f t="shared" si="160"/>
        <v>0</v>
      </c>
      <c r="DH133" s="1793">
        <f t="shared" si="148"/>
        <v>0</v>
      </c>
      <c r="DI133" s="1793">
        <f t="shared" si="149"/>
        <v>0</v>
      </c>
      <c r="DJ133" s="1793">
        <f t="shared" si="150"/>
        <v>0</v>
      </c>
      <c r="DK133" s="1793">
        <f t="shared" si="151"/>
        <v>0</v>
      </c>
      <c r="DL133" s="1793">
        <f t="shared" si="152"/>
        <v>0</v>
      </c>
      <c r="DM133" s="1793">
        <f t="shared" si="153"/>
        <v>0</v>
      </c>
      <c r="DN133" s="1793">
        <f t="shared" si="154"/>
        <v>0</v>
      </c>
    </row>
    <row r="134" spans="1:118" ht="15" customHeight="1" x14ac:dyDescent="0.25">
      <c r="A134" s="7583" t="s">
        <v>816</v>
      </c>
      <c r="B134" s="7584"/>
      <c r="C134" s="7585"/>
      <c r="D134" s="639">
        <f t="shared" si="136"/>
        <v>0</v>
      </c>
      <c r="E134" s="790">
        <f t="shared" si="137"/>
        <v>0</v>
      </c>
      <c r="F134" s="791">
        <f t="shared" si="137"/>
        <v>0</v>
      </c>
      <c r="G134" s="90"/>
      <c r="H134" s="92"/>
      <c r="I134" s="90"/>
      <c r="J134" s="128"/>
      <c r="K134" s="90"/>
      <c r="L134" s="630"/>
      <c r="M134" s="620"/>
      <c r="N134" s="630"/>
      <c r="O134" s="627"/>
      <c r="P134" s="630"/>
      <c r="Q134" s="627"/>
      <c r="R134" s="630"/>
      <c r="S134" s="627"/>
      <c r="T134" s="630"/>
      <c r="U134" s="627"/>
      <c r="V134" s="630"/>
      <c r="W134" s="627"/>
      <c r="X134" s="630"/>
      <c r="Y134" s="627"/>
      <c r="Z134" s="630"/>
      <c r="AA134" s="627"/>
      <c r="AB134" s="630"/>
      <c r="AC134" s="627"/>
      <c r="AD134" s="630"/>
      <c r="AE134" s="627"/>
      <c r="AF134" s="630"/>
      <c r="AG134" s="627"/>
      <c r="AH134" s="630"/>
      <c r="AI134" s="627"/>
      <c r="AJ134" s="630"/>
      <c r="AK134" s="627"/>
      <c r="AL134" s="630"/>
      <c r="AM134" s="627"/>
      <c r="AN134" s="628"/>
      <c r="AO134" s="83"/>
      <c r="AP134" s="91"/>
      <c r="AQ134" s="648"/>
      <c r="AR134" s="648"/>
      <c r="AS134" s="158"/>
      <c r="AT134" s="83"/>
      <c r="AU134" s="83"/>
      <c r="AV134" s="83"/>
      <c r="AW134" s="83"/>
      <c r="AX134" t="str">
        <f t="shared" si="138"/>
        <v/>
      </c>
      <c r="CW134" s="1791" t="str">
        <f t="shared" si="159"/>
        <v/>
      </c>
      <c r="CX134" s="1791" t="str">
        <f t="shared" si="140"/>
        <v/>
      </c>
      <c r="CY134" s="1791" t="str">
        <f t="shared" si="141"/>
        <v/>
      </c>
      <c r="CZ134" s="1791" t="str">
        <f t="shared" si="142"/>
        <v/>
      </c>
      <c r="DA134" s="1791" t="str">
        <f t="shared" si="143"/>
        <v/>
      </c>
      <c r="DB134" s="1791" t="str">
        <f t="shared" si="144"/>
        <v/>
      </c>
      <c r="DC134" s="1791" t="str">
        <f t="shared" si="145"/>
        <v/>
      </c>
      <c r="DD134" s="1791" t="str">
        <f t="shared" si="146"/>
        <v/>
      </c>
      <c r="DE134"/>
      <c r="DG134" s="1793">
        <f t="shared" si="160"/>
        <v>0</v>
      </c>
      <c r="DH134" s="1793">
        <f t="shared" si="148"/>
        <v>0</v>
      </c>
      <c r="DI134" s="1793">
        <f t="shared" si="149"/>
        <v>0</v>
      </c>
      <c r="DJ134" s="1793">
        <f t="shared" si="150"/>
        <v>0</v>
      </c>
      <c r="DK134" s="1793">
        <f t="shared" si="151"/>
        <v>0</v>
      </c>
      <c r="DL134" s="1793">
        <f t="shared" si="152"/>
        <v>0</v>
      </c>
      <c r="DM134" s="1793">
        <f t="shared" si="153"/>
        <v>0</v>
      </c>
      <c r="DN134" s="1793">
        <f t="shared" si="154"/>
        <v>0</v>
      </c>
    </row>
    <row r="135" spans="1:118" ht="15" customHeight="1" x14ac:dyDescent="0.25">
      <c r="A135" s="7583" t="s">
        <v>817</v>
      </c>
      <c r="B135" s="7584"/>
      <c r="C135" s="7585"/>
      <c r="D135" s="639">
        <f t="shared" si="136"/>
        <v>0</v>
      </c>
      <c r="E135" s="790">
        <f t="shared" si="137"/>
        <v>0</v>
      </c>
      <c r="F135" s="791">
        <f t="shared" si="137"/>
        <v>0</v>
      </c>
      <c r="G135" s="90"/>
      <c r="H135" s="92"/>
      <c r="I135" s="90"/>
      <c r="J135" s="128"/>
      <c r="K135" s="90"/>
      <c r="L135" s="630"/>
      <c r="M135" s="620"/>
      <c r="N135" s="630"/>
      <c r="O135" s="627"/>
      <c r="P135" s="630"/>
      <c r="Q135" s="627"/>
      <c r="R135" s="630"/>
      <c r="S135" s="627"/>
      <c r="T135" s="630"/>
      <c r="U135" s="627"/>
      <c r="V135" s="630"/>
      <c r="W135" s="627"/>
      <c r="X135" s="630"/>
      <c r="Y135" s="627"/>
      <c r="Z135" s="630"/>
      <c r="AA135" s="627"/>
      <c r="AB135" s="630"/>
      <c r="AC135" s="627"/>
      <c r="AD135" s="630"/>
      <c r="AE135" s="627"/>
      <c r="AF135" s="630"/>
      <c r="AG135" s="627"/>
      <c r="AH135" s="630"/>
      <c r="AI135" s="627"/>
      <c r="AJ135" s="630"/>
      <c r="AK135" s="627"/>
      <c r="AL135" s="630"/>
      <c r="AM135" s="627"/>
      <c r="AN135" s="628"/>
      <c r="AO135" s="83"/>
      <c r="AP135" s="91"/>
      <c r="AQ135" s="648"/>
      <c r="AR135" s="648"/>
      <c r="AS135" s="158"/>
      <c r="AT135" s="83"/>
      <c r="AU135" s="83"/>
      <c r="AV135" s="83"/>
      <c r="AW135" s="83"/>
      <c r="AX135" t="str">
        <f t="shared" si="138"/>
        <v/>
      </c>
      <c r="CW135" s="1791" t="str">
        <f t="shared" si="159"/>
        <v/>
      </c>
      <c r="CX135" s="1791" t="str">
        <f t="shared" si="140"/>
        <v/>
      </c>
      <c r="CY135" s="1791" t="str">
        <f t="shared" si="141"/>
        <v/>
      </c>
      <c r="CZ135" s="1791" t="str">
        <f t="shared" si="142"/>
        <v/>
      </c>
      <c r="DA135" s="1791" t="str">
        <f t="shared" si="143"/>
        <v/>
      </c>
      <c r="DB135" s="1791" t="str">
        <f t="shared" si="144"/>
        <v/>
      </c>
      <c r="DC135" s="1791" t="str">
        <f t="shared" si="145"/>
        <v/>
      </c>
      <c r="DD135" s="1791" t="str">
        <f t="shared" si="146"/>
        <v/>
      </c>
      <c r="DE135"/>
      <c r="DG135" s="1793">
        <f t="shared" si="160"/>
        <v>0</v>
      </c>
      <c r="DH135" s="1793">
        <f t="shared" si="148"/>
        <v>0</v>
      </c>
      <c r="DI135" s="1793">
        <f t="shared" si="149"/>
        <v>0</v>
      </c>
      <c r="DJ135" s="1793">
        <f t="shared" si="150"/>
        <v>0</v>
      </c>
      <c r="DK135" s="1793">
        <f t="shared" si="151"/>
        <v>0</v>
      </c>
      <c r="DL135" s="1793">
        <f t="shared" si="152"/>
        <v>0</v>
      </c>
      <c r="DM135" s="1793">
        <f t="shared" si="153"/>
        <v>0</v>
      </c>
      <c r="DN135" s="1793">
        <f t="shared" si="154"/>
        <v>0</v>
      </c>
    </row>
    <row r="136" spans="1:118" ht="15" customHeight="1" x14ac:dyDescent="0.25">
      <c r="A136" s="7583" t="s">
        <v>818</v>
      </c>
      <c r="B136" s="7584"/>
      <c r="C136" s="7585"/>
      <c r="D136" s="639">
        <f t="shared" si="136"/>
        <v>0</v>
      </c>
      <c r="E136" s="790">
        <f t="shared" si="137"/>
        <v>0</v>
      </c>
      <c r="F136" s="791">
        <f t="shared" si="137"/>
        <v>0</v>
      </c>
      <c r="G136" s="90"/>
      <c r="H136" s="92"/>
      <c r="I136" s="90"/>
      <c r="J136" s="128"/>
      <c r="K136" s="90"/>
      <c r="L136" s="630"/>
      <c r="M136" s="620"/>
      <c r="N136" s="630"/>
      <c r="O136" s="627"/>
      <c r="P136" s="630"/>
      <c r="Q136" s="627"/>
      <c r="R136" s="630"/>
      <c r="S136" s="627"/>
      <c r="T136" s="630"/>
      <c r="U136" s="627"/>
      <c r="V136" s="630"/>
      <c r="W136" s="627"/>
      <c r="X136" s="630"/>
      <c r="Y136" s="627"/>
      <c r="Z136" s="630"/>
      <c r="AA136" s="627"/>
      <c r="AB136" s="630"/>
      <c r="AC136" s="627"/>
      <c r="AD136" s="630"/>
      <c r="AE136" s="627"/>
      <c r="AF136" s="630"/>
      <c r="AG136" s="627"/>
      <c r="AH136" s="630"/>
      <c r="AI136" s="627"/>
      <c r="AJ136" s="630"/>
      <c r="AK136" s="627"/>
      <c r="AL136" s="630"/>
      <c r="AM136" s="627"/>
      <c r="AN136" s="628"/>
      <c r="AO136" s="83"/>
      <c r="AP136" s="91"/>
      <c r="AQ136" s="648"/>
      <c r="AR136" s="648"/>
      <c r="AS136" s="158"/>
      <c r="AT136" s="83"/>
      <c r="AU136" s="83"/>
      <c r="AV136" s="83"/>
      <c r="AW136" s="83"/>
      <c r="AX136" t="str">
        <f t="shared" si="138"/>
        <v/>
      </c>
      <c r="CW136" s="1791" t="str">
        <f t="shared" si="159"/>
        <v/>
      </c>
      <c r="CX136" s="1791" t="str">
        <f t="shared" si="140"/>
        <v/>
      </c>
      <c r="CY136" s="1791" t="str">
        <f t="shared" si="141"/>
        <v/>
      </c>
      <c r="CZ136" s="1791" t="str">
        <f t="shared" si="142"/>
        <v/>
      </c>
      <c r="DA136" s="1791" t="str">
        <f t="shared" si="143"/>
        <v/>
      </c>
      <c r="DB136" s="1791" t="str">
        <f t="shared" si="144"/>
        <v/>
      </c>
      <c r="DC136" s="1791" t="str">
        <f t="shared" si="145"/>
        <v/>
      </c>
      <c r="DD136" s="1791" t="str">
        <f t="shared" si="146"/>
        <v/>
      </c>
      <c r="DE136"/>
      <c r="DG136" s="1793">
        <f t="shared" si="160"/>
        <v>0</v>
      </c>
      <c r="DH136" s="1793">
        <f t="shared" si="148"/>
        <v>0</v>
      </c>
      <c r="DI136" s="1793">
        <f t="shared" si="149"/>
        <v>0</v>
      </c>
      <c r="DJ136" s="1793">
        <f t="shared" si="150"/>
        <v>0</v>
      </c>
      <c r="DK136" s="1793">
        <f t="shared" si="151"/>
        <v>0</v>
      </c>
      <c r="DL136" s="1793">
        <f t="shared" si="152"/>
        <v>0</v>
      </c>
      <c r="DM136" s="1793">
        <f t="shared" si="153"/>
        <v>0</v>
      </c>
      <c r="DN136" s="1793">
        <f t="shared" si="154"/>
        <v>0</v>
      </c>
    </row>
    <row r="137" spans="1:118" ht="15" customHeight="1" x14ac:dyDescent="0.25">
      <c r="A137" s="7583" t="s">
        <v>819</v>
      </c>
      <c r="B137" s="7584"/>
      <c r="C137" s="7585"/>
      <c r="D137" s="639">
        <f t="shared" si="136"/>
        <v>0</v>
      </c>
      <c r="E137" s="790">
        <f t="shared" si="137"/>
        <v>0</v>
      </c>
      <c r="F137" s="791">
        <f t="shared" si="137"/>
        <v>0</v>
      </c>
      <c r="G137" s="90"/>
      <c r="H137" s="92"/>
      <c r="I137" s="90"/>
      <c r="J137" s="128"/>
      <c r="K137" s="90"/>
      <c r="L137" s="630"/>
      <c r="M137" s="620"/>
      <c r="N137" s="630"/>
      <c r="O137" s="627"/>
      <c r="P137" s="630"/>
      <c r="Q137" s="627"/>
      <c r="R137" s="630"/>
      <c r="S137" s="627"/>
      <c r="T137" s="630"/>
      <c r="U137" s="627"/>
      <c r="V137" s="630"/>
      <c r="W137" s="627"/>
      <c r="X137" s="630"/>
      <c r="Y137" s="627"/>
      <c r="Z137" s="630"/>
      <c r="AA137" s="627"/>
      <c r="AB137" s="630"/>
      <c r="AC137" s="627"/>
      <c r="AD137" s="630"/>
      <c r="AE137" s="627"/>
      <c r="AF137" s="630"/>
      <c r="AG137" s="627"/>
      <c r="AH137" s="630"/>
      <c r="AI137" s="627"/>
      <c r="AJ137" s="630"/>
      <c r="AK137" s="627"/>
      <c r="AL137" s="630"/>
      <c r="AM137" s="627"/>
      <c r="AN137" s="628"/>
      <c r="AO137" s="83"/>
      <c r="AP137" s="91"/>
      <c r="AQ137" s="648"/>
      <c r="AR137" s="648"/>
      <c r="AS137" s="158"/>
      <c r="AT137" s="83"/>
      <c r="AU137" s="83"/>
      <c r="AV137" s="83"/>
      <c r="AW137" s="83"/>
      <c r="AX137" t="str">
        <f t="shared" si="138"/>
        <v/>
      </c>
      <c r="CW137" s="1791" t="str">
        <f t="shared" si="159"/>
        <v/>
      </c>
      <c r="CX137" s="1791" t="str">
        <f t="shared" si="140"/>
        <v/>
      </c>
      <c r="CY137" s="1791" t="str">
        <f t="shared" si="141"/>
        <v/>
      </c>
      <c r="CZ137" s="1791" t="str">
        <f t="shared" si="142"/>
        <v/>
      </c>
      <c r="DA137" s="1791" t="str">
        <f t="shared" si="143"/>
        <v/>
      </c>
      <c r="DB137" s="1791" t="str">
        <f t="shared" si="144"/>
        <v/>
      </c>
      <c r="DC137" s="1791" t="str">
        <f t="shared" si="145"/>
        <v/>
      </c>
      <c r="DD137" s="1791" t="str">
        <f t="shared" si="146"/>
        <v/>
      </c>
      <c r="DE137"/>
      <c r="DG137" s="1793">
        <f t="shared" si="160"/>
        <v>0</v>
      </c>
      <c r="DH137" s="1793">
        <f t="shared" si="148"/>
        <v>0</v>
      </c>
      <c r="DI137" s="1793">
        <f t="shared" si="149"/>
        <v>0</v>
      </c>
      <c r="DJ137" s="1793">
        <f t="shared" si="150"/>
        <v>0</v>
      </c>
      <c r="DK137" s="1793">
        <f t="shared" si="151"/>
        <v>0</v>
      </c>
      <c r="DL137" s="1793">
        <f t="shared" si="152"/>
        <v>0</v>
      </c>
      <c r="DM137" s="1793">
        <f t="shared" si="153"/>
        <v>0</v>
      </c>
      <c r="DN137" s="1793">
        <f t="shared" si="154"/>
        <v>0</v>
      </c>
    </row>
    <row r="138" spans="1:118" ht="15" customHeight="1" x14ac:dyDescent="0.25">
      <c r="A138" s="7583" t="s">
        <v>820</v>
      </c>
      <c r="B138" s="7584"/>
      <c r="C138" s="7585"/>
      <c r="D138" s="639">
        <f t="shared" si="136"/>
        <v>0</v>
      </c>
      <c r="E138" s="790">
        <f t="shared" si="137"/>
        <v>0</v>
      </c>
      <c r="F138" s="791">
        <f t="shared" si="137"/>
        <v>0</v>
      </c>
      <c r="G138" s="90"/>
      <c r="H138" s="92"/>
      <c r="I138" s="90"/>
      <c r="J138" s="128"/>
      <c r="K138" s="90"/>
      <c r="L138" s="630"/>
      <c r="M138" s="620"/>
      <c r="N138" s="630"/>
      <c r="O138" s="627"/>
      <c r="P138" s="630"/>
      <c r="Q138" s="627"/>
      <c r="R138" s="630"/>
      <c r="S138" s="627"/>
      <c r="T138" s="630"/>
      <c r="U138" s="627"/>
      <c r="V138" s="630"/>
      <c r="W138" s="627"/>
      <c r="X138" s="630"/>
      <c r="Y138" s="627"/>
      <c r="Z138" s="630"/>
      <c r="AA138" s="627"/>
      <c r="AB138" s="630"/>
      <c r="AC138" s="627"/>
      <c r="AD138" s="630"/>
      <c r="AE138" s="627"/>
      <c r="AF138" s="630"/>
      <c r="AG138" s="627"/>
      <c r="AH138" s="630"/>
      <c r="AI138" s="627"/>
      <c r="AJ138" s="630"/>
      <c r="AK138" s="627"/>
      <c r="AL138" s="630"/>
      <c r="AM138" s="627"/>
      <c r="AN138" s="628"/>
      <c r="AO138" s="83"/>
      <c r="AP138" s="91"/>
      <c r="AQ138" s="648"/>
      <c r="AR138" s="648"/>
      <c r="AS138" s="158"/>
      <c r="AT138" s="83"/>
      <c r="AU138" s="83"/>
      <c r="AV138" s="83"/>
      <c r="AW138" s="83"/>
      <c r="AX138" t="str">
        <f t="shared" si="138"/>
        <v/>
      </c>
      <c r="CW138" s="1791" t="str">
        <f t="shared" si="159"/>
        <v/>
      </c>
      <c r="CX138" s="1791" t="str">
        <f t="shared" si="140"/>
        <v/>
      </c>
      <c r="CY138" s="1791" t="str">
        <f t="shared" si="141"/>
        <v/>
      </c>
      <c r="CZ138" s="1791" t="str">
        <f t="shared" si="142"/>
        <v/>
      </c>
      <c r="DA138" s="1791" t="str">
        <f t="shared" si="143"/>
        <v/>
      </c>
      <c r="DB138" s="1791" t="str">
        <f t="shared" si="144"/>
        <v/>
      </c>
      <c r="DC138" s="1791" t="str">
        <f t="shared" si="145"/>
        <v/>
      </c>
      <c r="DD138" s="1791" t="str">
        <f t="shared" si="146"/>
        <v/>
      </c>
      <c r="DE138"/>
      <c r="DG138" s="1793">
        <f t="shared" si="160"/>
        <v>0</v>
      </c>
      <c r="DH138" s="1793">
        <f t="shared" si="148"/>
        <v>0</v>
      </c>
      <c r="DI138" s="1793">
        <f t="shared" si="149"/>
        <v>0</v>
      </c>
      <c r="DJ138" s="1793">
        <f t="shared" si="150"/>
        <v>0</v>
      </c>
      <c r="DK138" s="1793">
        <f t="shared" si="151"/>
        <v>0</v>
      </c>
      <c r="DL138" s="1793">
        <f t="shared" si="152"/>
        <v>0</v>
      </c>
      <c r="DM138" s="1793">
        <f t="shared" si="153"/>
        <v>0</v>
      </c>
      <c r="DN138" s="1793">
        <f t="shared" si="154"/>
        <v>0</v>
      </c>
    </row>
    <row r="139" spans="1:118" ht="15" customHeight="1" x14ac:dyDescent="0.25">
      <c r="A139" s="7583" t="s">
        <v>821</v>
      </c>
      <c r="B139" s="7584"/>
      <c r="C139" s="7585"/>
      <c r="D139" s="639">
        <f t="shared" si="136"/>
        <v>0</v>
      </c>
      <c r="E139" s="790">
        <f t="shared" si="137"/>
        <v>0</v>
      </c>
      <c r="F139" s="791">
        <f t="shared" si="137"/>
        <v>0</v>
      </c>
      <c r="G139" s="851"/>
      <c r="H139" s="853"/>
      <c r="I139" s="851"/>
      <c r="J139" s="796"/>
      <c r="K139" s="620"/>
      <c r="L139" s="630"/>
      <c r="M139" s="620"/>
      <c r="N139" s="630"/>
      <c r="O139" s="627"/>
      <c r="P139" s="630"/>
      <c r="Q139" s="627"/>
      <c r="R139" s="630"/>
      <c r="S139" s="627"/>
      <c r="T139" s="630"/>
      <c r="U139" s="627"/>
      <c r="V139" s="630"/>
      <c r="W139" s="627"/>
      <c r="X139" s="630"/>
      <c r="Y139" s="627"/>
      <c r="Z139" s="630"/>
      <c r="AA139" s="627"/>
      <c r="AB139" s="630"/>
      <c r="AC139" s="627"/>
      <c r="AD139" s="630"/>
      <c r="AE139" s="627"/>
      <c r="AF139" s="630"/>
      <c r="AG139" s="627"/>
      <c r="AH139" s="630"/>
      <c r="AI139" s="627"/>
      <c r="AJ139" s="630"/>
      <c r="AK139" s="627"/>
      <c r="AL139" s="630"/>
      <c r="AM139" s="627"/>
      <c r="AN139" s="628"/>
      <c r="AO139" s="83"/>
      <c r="AP139" s="83"/>
      <c r="AQ139" s="648"/>
      <c r="AR139" s="648"/>
      <c r="AS139" s="648"/>
      <c r="AT139" s="83"/>
      <c r="AU139" s="83"/>
      <c r="AV139" s="83"/>
      <c r="AW139" s="83"/>
      <c r="AX139" t="str">
        <f t="shared" si="138"/>
        <v/>
      </c>
      <c r="CW139" s="1791" t="str">
        <f t="shared" si="159"/>
        <v/>
      </c>
      <c r="CX139" s="1791" t="str">
        <f t="shared" si="140"/>
        <v/>
      </c>
      <c r="CY139" s="1791" t="str">
        <f t="shared" si="141"/>
        <v/>
      </c>
      <c r="CZ139" s="1791" t="str">
        <f t="shared" si="142"/>
        <v/>
      </c>
      <c r="DA139" s="1791" t="str">
        <f t="shared" si="143"/>
        <v/>
      </c>
      <c r="DB139" s="1791" t="str">
        <f t="shared" si="144"/>
        <v/>
      </c>
      <c r="DC139" s="1791" t="str">
        <f t="shared" si="145"/>
        <v/>
      </c>
      <c r="DD139" s="1791" t="str">
        <f t="shared" si="146"/>
        <v/>
      </c>
      <c r="DE139"/>
      <c r="DG139" s="1793">
        <f t="shared" si="160"/>
        <v>0</v>
      </c>
      <c r="DH139" s="1793">
        <f t="shared" si="148"/>
        <v>0</v>
      </c>
      <c r="DI139" s="1793">
        <f t="shared" si="149"/>
        <v>0</v>
      </c>
      <c r="DJ139" s="1793">
        <f t="shared" si="150"/>
        <v>0</v>
      </c>
      <c r="DK139" s="1793">
        <f t="shared" si="151"/>
        <v>0</v>
      </c>
      <c r="DL139" s="1793">
        <f t="shared" si="152"/>
        <v>0</v>
      </c>
      <c r="DM139" s="1793">
        <f t="shared" si="153"/>
        <v>0</v>
      </c>
      <c r="DN139" s="1793">
        <f t="shared" si="154"/>
        <v>0</v>
      </c>
    </row>
    <row r="140" spans="1:118" ht="15" customHeight="1" x14ac:dyDescent="0.25">
      <c r="A140" s="7588" t="s">
        <v>822</v>
      </c>
      <c r="B140" s="7589"/>
      <c r="C140" s="7590"/>
      <c r="D140" s="217">
        <f t="shared" si="136"/>
        <v>0</v>
      </c>
      <c r="E140" s="586">
        <f t="shared" si="137"/>
        <v>0</v>
      </c>
      <c r="F140" s="380">
        <f t="shared" si="137"/>
        <v>0</v>
      </c>
      <c r="G140" s="858"/>
      <c r="H140" s="859"/>
      <c r="I140" s="858"/>
      <c r="J140" s="133"/>
      <c r="K140" s="131"/>
      <c r="L140" s="116"/>
      <c r="M140" s="114"/>
      <c r="N140" s="116"/>
      <c r="O140" s="121"/>
      <c r="P140" s="116"/>
      <c r="Q140" s="121"/>
      <c r="R140" s="116"/>
      <c r="S140" s="121"/>
      <c r="T140" s="116"/>
      <c r="U140" s="121"/>
      <c r="V140" s="116"/>
      <c r="W140" s="121"/>
      <c r="X140" s="116"/>
      <c r="Y140" s="121"/>
      <c r="Z140" s="116"/>
      <c r="AA140" s="121"/>
      <c r="AB140" s="116"/>
      <c r="AC140" s="121"/>
      <c r="AD140" s="116"/>
      <c r="AE140" s="121"/>
      <c r="AF140" s="116"/>
      <c r="AG140" s="121"/>
      <c r="AH140" s="116"/>
      <c r="AI140" s="121"/>
      <c r="AJ140" s="116"/>
      <c r="AK140" s="121"/>
      <c r="AL140" s="116"/>
      <c r="AM140" s="121"/>
      <c r="AN140" s="162"/>
      <c r="AO140" s="117"/>
      <c r="AP140" s="83"/>
      <c r="AQ140" s="648"/>
      <c r="AR140" s="648"/>
      <c r="AS140" s="648"/>
      <c r="AT140" s="83"/>
      <c r="AU140" s="797"/>
      <c r="AV140" s="797"/>
      <c r="AW140" s="797"/>
      <c r="AX140" t="str">
        <f t="shared" si="138"/>
        <v/>
      </c>
      <c r="CW140" s="1791" t="str">
        <f t="shared" si="159"/>
        <v/>
      </c>
      <c r="CX140" s="1791" t="str">
        <f t="shared" si="140"/>
        <v/>
      </c>
      <c r="CY140" s="1791" t="str">
        <f t="shared" si="141"/>
        <v/>
      </c>
      <c r="CZ140" s="1791" t="str">
        <f t="shared" si="142"/>
        <v/>
      </c>
      <c r="DA140" s="1791" t="str">
        <f t="shared" si="143"/>
        <v/>
      </c>
      <c r="DB140" s="1791" t="str">
        <f t="shared" si="144"/>
        <v/>
      </c>
      <c r="DC140" s="1791" t="str">
        <f t="shared" si="145"/>
        <v/>
      </c>
      <c r="DD140" s="1791" t="str">
        <f t="shared" si="146"/>
        <v/>
      </c>
      <c r="DE140"/>
      <c r="DG140" s="1793">
        <f t="shared" si="160"/>
        <v>0</v>
      </c>
      <c r="DH140" s="1793">
        <f t="shared" si="148"/>
        <v>0</v>
      </c>
      <c r="DI140" s="1793">
        <f t="shared" si="149"/>
        <v>0</v>
      </c>
      <c r="DJ140" s="1793">
        <f t="shared" si="150"/>
        <v>0</v>
      </c>
      <c r="DK140" s="1793">
        <f t="shared" si="151"/>
        <v>0</v>
      </c>
      <c r="DL140" s="1793">
        <f t="shared" si="152"/>
        <v>0</v>
      </c>
      <c r="DM140" s="1793">
        <f t="shared" si="153"/>
        <v>0</v>
      </c>
      <c r="DN140" s="1793">
        <f t="shared" si="154"/>
        <v>0</v>
      </c>
    </row>
    <row r="141" spans="1:118" ht="15" customHeight="1" x14ac:dyDescent="0.25">
      <c r="A141" s="7487" t="s">
        <v>24</v>
      </c>
      <c r="B141" s="7503"/>
      <c r="C141" s="7504"/>
      <c r="D141" s="860">
        <f t="shared" si="136"/>
        <v>0</v>
      </c>
      <c r="E141" s="578">
        <f t="shared" si="137"/>
        <v>0</v>
      </c>
      <c r="F141" s="579">
        <f t="shared" si="137"/>
        <v>0</v>
      </c>
      <c r="G141" s="860">
        <f t="shared" ref="G141:AW141" si="161">SUM(G88:G140)</f>
        <v>0</v>
      </c>
      <c r="H141" s="861">
        <f t="shared" si="161"/>
        <v>0</v>
      </c>
      <c r="I141" s="860">
        <f t="shared" si="161"/>
        <v>0</v>
      </c>
      <c r="J141" s="862">
        <f t="shared" si="161"/>
        <v>0</v>
      </c>
      <c r="K141" s="860">
        <f t="shared" si="161"/>
        <v>0</v>
      </c>
      <c r="L141" s="861">
        <f t="shared" si="161"/>
        <v>0</v>
      </c>
      <c r="M141" s="863">
        <f t="shared" si="161"/>
        <v>0</v>
      </c>
      <c r="N141" s="664">
        <f t="shared" si="161"/>
        <v>0</v>
      </c>
      <c r="O141" s="644">
        <f t="shared" si="161"/>
        <v>0</v>
      </c>
      <c r="P141" s="664">
        <f t="shared" si="161"/>
        <v>0</v>
      </c>
      <c r="Q141" s="644">
        <f t="shared" si="161"/>
        <v>0</v>
      </c>
      <c r="R141" s="664">
        <f t="shared" si="161"/>
        <v>0</v>
      </c>
      <c r="S141" s="644">
        <f t="shared" si="161"/>
        <v>0</v>
      </c>
      <c r="T141" s="664">
        <f t="shared" si="161"/>
        <v>0</v>
      </c>
      <c r="U141" s="644">
        <f t="shared" si="161"/>
        <v>0</v>
      </c>
      <c r="V141" s="664">
        <f t="shared" si="161"/>
        <v>0</v>
      </c>
      <c r="W141" s="644">
        <f t="shared" si="161"/>
        <v>0</v>
      </c>
      <c r="X141" s="664">
        <f t="shared" si="161"/>
        <v>0</v>
      </c>
      <c r="Y141" s="644">
        <f t="shared" si="161"/>
        <v>0</v>
      </c>
      <c r="Z141" s="664">
        <f t="shared" si="161"/>
        <v>0</v>
      </c>
      <c r="AA141" s="644">
        <f t="shared" si="161"/>
        <v>0</v>
      </c>
      <c r="AB141" s="664">
        <f t="shared" si="161"/>
        <v>0</v>
      </c>
      <c r="AC141" s="644">
        <f t="shared" si="161"/>
        <v>0</v>
      </c>
      <c r="AD141" s="664">
        <f t="shared" si="161"/>
        <v>0</v>
      </c>
      <c r="AE141" s="644">
        <f t="shared" si="161"/>
        <v>0</v>
      </c>
      <c r="AF141" s="664">
        <f t="shared" si="161"/>
        <v>0</v>
      </c>
      <c r="AG141" s="644">
        <f t="shared" si="161"/>
        <v>0</v>
      </c>
      <c r="AH141" s="664">
        <f t="shared" si="161"/>
        <v>0</v>
      </c>
      <c r="AI141" s="644">
        <f t="shared" si="161"/>
        <v>0</v>
      </c>
      <c r="AJ141" s="664">
        <f t="shared" si="161"/>
        <v>0</v>
      </c>
      <c r="AK141" s="644">
        <f t="shared" si="161"/>
        <v>0</v>
      </c>
      <c r="AL141" s="664">
        <f t="shared" si="161"/>
        <v>0</v>
      </c>
      <c r="AM141" s="644">
        <f t="shared" si="161"/>
        <v>0</v>
      </c>
      <c r="AN141" s="864">
        <f t="shared" si="161"/>
        <v>0</v>
      </c>
      <c r="AO141" s="865">
        <f t="shared" si="161"/>
        <v>0</v>
      </c>
      <c r="AP141" s="663">
        <f t="shared" si="161"/>
        <v>0</v>
      </c>
      <c r="AQ141" s="663">
        <f t="shared" si="161"/>
        <v>0</v>
      </c>
      <c r="AR141" s="663">
        <f t="shared" si="161"/>
        <v>0</v>
      </c>
      <c r="AS141" s="663">
        <f t="shared" si="161"/>
        <v>0</v>
      </c>
      <c r="AT141" s="663">
        <f t="shared" si="161"/>
        <v>0</v>
      </c>
      <c r="AU141" s="663">
        <f t="shared" si="161"/>
        <v>0</v>
      </c>
      <c r="AV141" s="663">
        <f t="shared" si="161"/>
        <v>0</v>
      </c>
      <c r="AW141" s="663">
        <f t="shared" si="161"/>
        <v>0</v>
      </c>
      <c r="CW141"/>
      <c r="CX141" t="str">
        <f t="shared" ref="CX141" si="162">IF(AND(F141&gt;0,AP141="")," * Recuerde que las Embarazadas deben ser incluidas en el ingreso por rango etario. Digite Cero si no tiene","")</f>
        <v/>
      </c>
      <c r="CY141"/>
      <c r="CZ141"/>
      <c r="DA141"/>
      <c r="DB141"/>
      <c r="DC141"/>
      <c r="DD141"/>
      <c r="DE141"/>
      <c r="DG141"/>
      <c r="DH141"/>
      <c r="DI141"/>
      <c r="DJ141"/>
      <c r="DK141"/>
      <c r="DL141"/>
      <c r="DM141"/>
    </row>
    <row r="142" spans="1:118" ht="18" customHeight="1" x14ac:dyDescent="0.25">
      <c r="A142" s="122" t="s">
        <v>823</v>
      </c>
      <c r="B142" s="140"/>
      <c r="C142" s="140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  <c r="CW142"/>
      <c r="CX142"/>
      <c r="CY142"/>
      <c r="CZ142"/>
      <c r="DA142"/>
      <c r="DB142"/>
      <c r="DC142"/>
      <c r="DD142"/>
      <c r="DE142"/>
      <c r="DG142"/>
      <c r="DH142"/>
      <c r="DI142"/>
      <c r="DJ142"/>
      <c r="DK142"/>
      <c r="DL142"/>
      <c r="DM142"/>
    </row>
    <row r="143" spans="1:118" x14ac:dyDescent="0.25">
      <c r="A143" s="7587" t="s">
        <v>824</v>
      </c>
      <c r="B143" s="7587"/>
      <c r="C143" s="7587"/>
      <c r="D143" s="7322" t="s">
        <v>24</v>
      </c>
      <c r="E143" s="6468"/>
      <c r="F143" s="7323"/>
      <c r="G143" s="7487" t="s">
        <v>825</v>
      </c>
      <c r="H143" s="7503"/>
      <c r="I143" s="7503"/>
      <c r="J143" s="7503"/>
      <c r="K143" s="7503"/>
      <c r="L143" s="7503"/>
      <c r="M143" s="7503"/>
      <c r="N143" s="7503"/>
      <c r="O143" s="7503"/>
      <c r="P143" s="7503"/>
      <c r="Q143" s="7503"/>
      <c r="R143" s="7503"/>
      <c r="S143" s="7503"/>
      <c r="T143" s="7503"/>
      <c r="U143" s="7503"/>
      <c r="V143" s="7503"/>
      <c r="W143" s="7503"/>
      <c r="X143" s="7503"/>
      <c r="Y143" s="7503"/>
      <c r="Z143" s="7503"/>
      <c r="AA143" s="7503"/>
      <c r="AB143" s="7503"/>
      <c r="AC143" s="7503"/>
      <c r="AD143" s="7503"/>
      <c r="AE143" s="7503"/>
      <c r="AF143" s="7503"/>
      <c r="AG143" s="7503"/>
      <c r="AH143" s="7503"/>
      <c r="AI143" s="7503"/>
      <c r="AJ143" s="7503"/>
      <c r="AK143" s="7503"/>
      <c r="AL143" s="7503"/>
      <c r="AM143" s="7503"/>
      <c r="AN143" s="7503"/>
      <c r="AO143" s="7503"/>
      <c r="AP143" s="7505"/>
      <c r="AQ143" s="7504" t="s">
        <v>767</v>
      </c>
      <c r="AR143" s="7586" t="s">
        <v>327</v>
      </c>
      <c r="AS143" s="7586" t="s">
        <v>677</v>
      </c>
      <c r="AT143" s="7586" t="s">
        <v>702</v>
      </c>
      <c r="AU143" s="7570" t="s">
        <v>770</v>
      </c>
      <c r="AV143" s="7570" t="s">
        <v>680</v>
      </c>
      <c r="AW143" s="7570" t="s">
        <v>681</v>
      </c>
      <c r="AX143" s="7570" t="s">
        <v>3</v>
      </c>
      <c r="CW143"/>
      <c r="CX143"/>
      <c r="CY143"/>
      <c r="CZ143"/>
      <c r="DA143"/>
      <c r="DB143"/>
      <c r="DC143"/>
      <c r="DD143"/>
      <c r="DE143"/>
      <c r="DG143"/>
      <c r="DH143"/>
      <c r="DI143"/>
      <c r="DJ143"/>
      <c r="DK143"/>
      <c r="DL143"/>
      <c r="DM143"/>
    </row>
    <row r="144" spans="1:118" x14ac:dyDescent="0.25">
      <c r="A144" s="7587"/>
      <c r="B144" s="7587"/>
      <c r="C144" s="7587"/>
      <c r="D144" s="7532"/>
      <c r="E144" s="7533"/>
      <c r="F144" s="7534"/>
      <c r="G144" s="7501" t="s">
        <v>682</v>
      </c>
      <c r="H144" s="7502"/>
      <c r="I144" s="7487" t="s">
        <v>683</v>
      </c>
      <c r="J144" s="7504"/>
      <c r="K144" s="7503" t="s">
        <v>684</v>
      </c>
      <c r="L144" s="7504"/>
      <c r="M144" s="7487" t="s">
        <v>685</v>
      </c>
      <c r="N144" s="7504"/>
      <c r="O144" s="7487" t="s">
        <v>686</v>
      </c>
      <c r="P144" s="7504"/>
      <c r="Q144" s="7487" t="s">
        <v>687</v>
      </c>
      <c r="R144" s="7504"/>
      <c r="S144" s="7487" t="s">
        <v>688</v>
      </c>
      <c r="T144" s="7504"/>
      <c r="U144" s="7487" t="s">
        <v>689</v>
      </c>
      <c r="V144" s="7504"/>
      <c r="W144" s="7487" t="s">
        <v>690</v>
      </c>
      <c r="X144" s="7504"/>
      <c r="Y144" s="7487" t="s">
        <v>554</v>
      </c>
      <c r="Z144" s="7488"/>
      <c r="AA144" s="7487" t="s">
        <v>568</v>
      </c>
      <c r="AB144" s="7488"/>
      <c r="AC144" s="7487" t="s">
        <v>691</v>
      </c>
      <c r="AD144" s="7488"/>
      <c r="AE144" s="7487" t="s">
        <v>692</v>
      </c>
      <c r="AF144" s="7488"/>
      <c r="AG144" s="7487" t="s">
        <v>693</v>
      </c>
      <c r="AH144" s="7488"/>
      <c r="AI144" s="7487" t="s">
        <v>694</v>
      </c>
      <c r="AJ144" s="7488"/>
      <c r="AK144" s="7487" t="s">
        <v>556</v>
      </c>
      <c r="AL144" s="7488"/>
      <c r="AM144" s="7487" t="s">
        <v>695</v>
      </c>
      <c r="AN144" s="7488"/>
      <c r="AO144" s="7487" t="s">
        <v>57</v>
      </c>
      <c r="AP144" s="7579"/>
      <c r="AQ144" s="7504"/>
      <c r="AR144" s="7586"/>
      <c r="AS144" s="7586"/>
      <c r="AT144" s="7586"/>
      <c r="AU144" s="7570"/>
      <c r="AV144" s="7570"/>
      <c r="AW144" s="7570"/>
      <c r="AX144" s="7570"/>
      <c r="CW144"/>
      <c r="CX144"/>
      <c r="CY144"/>
      <c r="CZ144"/>
      <c r="DA144"/>
      <c r="DB144"/>
      <c r="DC144"/>
      <c r="DD144"/>
      <c r="DE144"/>
      <c r="DG144"/>
      <c r="DH144"/>
      <c r="DI144"/>
      <c r="DJ144"/>
      <c r="DK144"/>
      <c r="DL144"/>
      <c r="DM144"/>
    </row>
    <row r="145" spans="1:118" x14ac:dyDescent="0.25">
      <c r="A145" s="7587"/>
      <c r="B145" s="7587"/>
      <c r="C145" s="7587"/>
      <c r="D145" s="4811" t="s">
        <v>826</v>
      </c>
      <c r="E145" s="4867" t="s">
        <v>22</v>
      </c>
      <c r="F145" s="600" t="s">
        <v>27</v>
      </c>
      <c r="G145" s="606" t="s">
        <v>22</v>
      </c>
      <c r="H145" s="600" t="s">
        <v>27</v>
      </c>
      <c r="I145" s="606" t="s">
        <v>22</v>
      </c>
      <c r="J145" s="600" t="s">
        <v>27</v>
      </c>
      <c r="K145" s="606" t="s">
        <v>22</v>
      </c>
      <c r="L145" s="600" t="s">
        <v>27</v>
      </c>
      <c r="M145" s="606" t="s">
        <v>22</v>
      </c>
      <c r="N145" s="600" t="s">
        <v>27</v>
      </c>
      <c r="O145" s="606" t="s">
        <v>22</v>
      </c>
      <c r="P145" s="600" t="s">
        <v>27</v>
      </c>
      <c r="Q145" s="606" t="s">
        <v>22</v>
      </c>
      <c r="R145" s="600" t="s">
        <v>27</v>
      </c>
      <c r="S145" s="606" t="s">
        <v>22</v>
      </c>
      <c r="T145" s="600" t="s">
        <v>27</v>
      </c>
      <c r="U145" s="606" t="s">
        <v>22</v>
      </c>
      <c r="V145" s="600" t="s">
        <v>27</v>
      </c>
      <c r="W145" s="606" t="s">
        <v>22</v>
      </c>
      <c r="X145" s="600" t="s">
        <v>27</v>
      </c>
      <c r="Y145" s="606" t="s">
        <v>22</v>
      </c>
      <c r="Z145" s="600" t="s">
        <v>27</v>
      </c>
      <c r="AA145" s="606" t="s">
        <v>22</v>
      </c>
      <c r="AB145" s="600" t="s">
        <v>27</v>
      </c>
      <c r="AC145" s="606" t="s">
        <v>22</v>
      </c>
      <c r="AD145" s="600" t="s">
        <v>27</v>
      </c>
      <c r="AE145" s="606" t="s">
        <v>22</v>
      </c>
      <c r="AF145" s="600" t="s">
        <v>27</v>
      </c>
      <c r="AG145" s="606" t="s">
        <v>22</v>
      </c>
      <c r="AH145" s="600" t="s">
        <v>27</v>
      </c>
      <c r="AI145" s="606" t="s">
        <v>22</v>
      </c>
      <c r="AJ145" s="600" t="s">
        <v>27</v>
      </c>
      <c r="AK145" s="606" t="s">
        <v>22</v>
      </c>
      <c r="AL145" s="600" t="s">
        <v>27</v>
      </c>
      <c r="AM145" s="606" t="s">
        <v>22</v>
      </c>
      <c r="AN145" s="600" t="s">
        <v>27</v>
      </c>
      <c r="AO145" s="606" t="s">
        <v>22</v>
      </c>
      <c r="AP145" s="604" t="s">
        <v>27</v>
      </c>
      <c r="AQ145" s="7504"/>
      <c r="AR145" s="7586"/>
      <c r="AS145" s="7586"/>
      <c r="AT145" s="7586"/>
      <c r="AU145" s="7570"/>
      <c r="AV145" s="7570"/>
      <c r="AW145" s="7570"/>
      <c r="AX145" s="7570"/>
      <c r="CW145"/>
      <c r="CX145"/>
      <c r="CY145"/>
      <c r="CZ145"/>
      <c r="DA145"/>
      <c r="DB145"/>
      <c r="DC145"/>
      <c r="DD145"/>
      <c r="DE145"/>
      <c r="DG145"/>
      <c r="DH145"/>
      <c r="DI145"/>
      <c r="DJ145"/>
      <c r="DK145"/>
      <c r="DL145"/>
      <c r="DM145"/>
    </row>
    <row r="146" spans="1:118" ht="15" customHeight="1" x14ac:dyDescent="0.25">
      <c r="A146" s="7580" t="s">
        <v>827</v>
      </c>
      <c r="B146" s="7581"/>
      <c r="C146" s="7582"/>
      <c r="D146" s="4803">
        <f>E146+F146</f>
        <v>0</v>
      </c>
      <c r="E146" s="4803">
        <f>SUM(G146+I146+K146+M146+O146+Q146+S146+U146+W146+Y146+AA146+AC146+AE146+AG146+AI146+AK146+AM146+AO146)</f>
        <v>0</v>
      </c>
      <c r="F146" s="788">
        <f>SUM(H146+J146+L146+N146+P146+R146+T146+V146+X146+Z146+AB146+AD146+AF146+AH146+AJ146+AL146+AN146+AP146)</f>
        <v>0</v>
      </c>
      <c r="G146" s="484"/>
      <c r="H146" s="185"/>
      <c r="I146" s="485"/>
      <c r="J146" s="185"/>
      <c r="K146" s="485"/>
      <c r="L146" s="185"/>
      <c r="M146" s="485"/>
      <c r="N146" s="185"/>
      <c r="O146" s="320"/>
      <c r="P146" s="185"/>
      <c r="Q146" s="320"/>
      <c r="R146" s="185"/>
      <c r="S146" s="320"/>
      <c r="T146" s="185"/>
      <c r="U146" s="485"/>
      <c r="V146" s="185"/>
      <c r="W146" s="485"/>
      <c r="X146" s="185"/>
      <c r="Y146" s="485"/>
      <c r="Z146" s="185"/>
      <c r="AA146" s="485"/>
      <c r="AB146" s="185"/>
      <c r="AC146" s="485"/>
      <c r="AD146" s="185"/>
      <c r="AE146" s="485"/>
      <c r="AF146" s="185"/>
      <c r="AG146" s="485"/>
      <c r="AH146" s="185"/>
      <c r="AI146" s="485"/>
      <c r="AJ146" s="185"/>
      <c r="AK146" s="485"/>
      <c r="AL146" s="185"/>
      <c r="AM146" s="485"/>
      <c r="AN146" s="185"/>
      <c r="AO146" s="485"/>
      <c r="AP146" s="321"/>
      <c r="AQ146" s="501"/>
      <c r="AR146" s="105"/>
      <c r="AS146" s="789"/>
      <c r="AT146" s="789"/>
      <c r="AU146" s="789"/>
      <c r="AV146" s="789"/>
      <c r="AW146" s="789"/>
      <c r="AX146" s="789"/>
      <c r="AY146" t="str">
        <f>CW146&amp;CX146&amp;CY146&amp;CZ146&amp;DA146&amp;DB146&amp;DC146&amp;DD146</f>
        <v/>
      </c>
      <c r="CW146" s="1791" t="str">
        <f>IF(AND((Y146+Z146)&gt;0,AQ146="")," * No olvide digitar la variable 12 años. Si no tiene digite Cero.",IF(AQ146&gt;(Y146+Z146),"* Las Consultas de 12 años NO DEBEN ser mayor que el total de Consultas entre 10-14 años",""))</f>
        <v/>
      </c>
      <c r="CX146" s="1791" t="str">
        <f>IF(AND(F146&gt;0,AR146="")," * No olvide digitar la variable Embarazadas. Digite cero si no tiene.","")</f>
        <v/>
      </c>
      <c r="CY146" s="1791" t="str">
        <f>IF(AR146&gt;F146," * Las Embarazadas NO DEBEN ser mayor al Total Mujeres. ","")</f>
        <v/>
      </c>
      <c r="CZ146" s="1791" t="str">
        <f>IF(AND((AK146+AL146)&gt;0,AS146=""),"* No olvide digitar la variable 60 años. Si no tiene digite Cero.",IF(AS146&gt;(AK146+AL146)," * Las consultas de 60 años NO DEBEN ser mayor que el Total de consultas de entre 60-64 años",""))</f>
        <v/>
      </c>
      <c r="DA146" s="1791" t="str">
        <f>IF(AND(D146&gt;0,AU146="")," * No olvide digitar la variable Usuarios con Discapacidad. Digite Cero si no tiene.",IF(AU146&gt;D146," * La variable Usuarios con Discapacidad No puede ser mayor al Total.",""))</f>
        <v/>
      </c>
      <c r="DB146" s="1791" t="str">
        <f>IF(AND(D146&gt;0,AV146="")," * No olvide digitar la variable Niños, niñas adolescentes y Jóvenes SENAME. Digite Cero si no tiene.",IF(AV146&gt;D146," * La variable Niños, niñas adolescentes y Jóvenes SENAME No puede ser mayor al Total.",""))</f>
        <v/>
      </c>
      <c r="DC146" s="1791" t="str">
        <f>IF(AND(D146&gt;0,AW146="")," * No olvide digitar la variable Niños, niñas adolescentes y Jóvenes Mejor Niñez. Digite Cero si no tiene.",IF(AW146&gt;D146," * La variable Niños, niñas adolescentes y Jóvenes mejor Niñez No puede ser mayor al Total.",""))</f>
        <v/>
      </c>
      <c r="DD146" s="1791" t="str">
        <f>IF(AND(D146&gt;0,AX146="")," * No olvide digitar la variable Migrantes. Digite Cero si no tiene.",IF(AX146&gt;D146," * La variable Migrantes No puede ser mayor al Total.",""))</f>
        <v/>
      </c>
      <c r="DE146"/>
      <c r="DG146" s="1793">
        <f>IF(AND((Y146+Z146)&gt;0,AQ146=""),1,IF(AQ146&gt;(Y146+Z146),1,0))</f>
        <v>0</v>
      </c>
      <c r="DH146" s="1793">
        <f>IF(AND(F146&gt;0,AR146=""),1,0)</f>
        <v>0</v>
      </c>
      <c r="DI146" s="1793">
        <f>IF(AR146&gt;F146,1,0)</f>
        <v>0</v>
      </c>
      <c r="DJ146" s="1793">
        <f>IF(AND((AK146+AL146)&gt;0,AS146=""),1,IF(AS146&gt;(AK146+AL146),1,0))</f>
        <v>0</v>
      </c>
      <c r="DK146" s="1793">
        <f>IF(AND(D146&gt;0,AU146=""),1,IF(AU146&gt;D146,1,0))</f>
        <v>0</v>
      </c>
      <c r="DL146" s="1793">
        <f>IF(AND(D146&gt;0,AV146=""),1,IF(AV146&gt;D146,1,0))</f>
        <v>0</v>
      </c>
      <c r="DM146" s="1793">
        <f>IF(AND(D146&gt;0,AW146=""),1,IF(AW146&gt;D146,1,0))</f>
        <v>0</v>
      </c>
      <c r="DN146" s="1793">
        <f>IF(AND(D146&gt;0,AX146=""),1,IF(AX146&gt;D146,1,0))</f>
        <v>0</v>
      </c>
    </row>
    <row r="147" spans="1:118" ht="15" customHeight="1" x14ac:dyDescent="0.25">
      <c r="A147" s="7583" t="s">
        <v>828</v>
      </c>
      <c r="B147" s="7584"/>
      <c r="C147" s="7585"/>
      <c r="D147" s="4289">
        <f t="shared" ref="D147:D154" si="163">E147+F147</f>
        <v>0</v>
      </c>
      <c r="E147" s="4289">
        <f t="shared" ref="E147:F154" si="164">SUM(G147+I147+K147+M147+O147+Q147+S147+U147+W147+Y147+AA147+AC147+AE147+AG147+AI147+AK147+AM147+AO147)</f>
        <v>0</v>
      </c>
      <c r="F147" s="791">
        <f t="shared" si="164"/>
        <v>0</v>
      </c>
      <c r="G147" s="620"/>
      <c r="H147" s="630"/>
      <c r="I147" s="627"/>
      <c r="J147" s="630"/>
      <c r="K147" s="627"/>
      <c r="L147" s="630"/>
      <c r="M147" s="627"/>
      <c r="N147" s="630"/>
      <c r="O147" s="621"/>
      <c r="P147" s="630"/>
      <c r="Q147" s="621"/>
      <c r="R147" s="630"/>
      <c r="S147" s="621"/>
      <c r="T147" s="630"/>
      <c r="U147" s="627"/>
      <c r="V147" s="630"/>
      <c r="W147" s="627"/>
      <c r="X147" s="630"/>
      <c r="Y147" s="627"/>
      <c r="Z147" s="630"/>
      <c r="AA147" s="627"/>
      <c r="AB147" s="630"/>
      <c r="AC147" s="627"/>
      <c r="AD147" s="630"/>
      <c r="AE147" s="627"/>
      <c r="AF147" s="630"/>
      <c r="AG147" s="627"/>
      <c r="AH147" s="630"/>
      <c r="AI147" s="627"/>
      <c r="AJ147" s="630"/>
      <c r="AK147" s="627"/>
      <c r="AL147" s="630"/>
      <c r="AM147" s="627"/>
      <c r="AN147" s="630"/>
      <c r="AO147" s="627"/>
      <c r="AP147" s="628"/>
      <c r="AQ147" s="83"/>
      <c r="AR147" s="105"/>
      <c r="AS147" s="789"/>
      <c r="AT147" s="789"/>
      <c r="AU147" s="789"/>
      <c r="AV147" s="789"/>
      <c r="AW147" s="789"/>
      <c r="AX147" s="789"/>
      <c r="AY147" t="str">
        <f t="shared" ref="AY147:AY154" si="165">CW147&amp;CX147&amp;CY147&amp;CZ147&amp;DA147&amp;DB147&amp;DC147&amp;DD147&amp;DE147</f>
        <v/>
      </c>
      <c r="CW147" s="1791" t="str">
        <f t="shared" ref="CW147:CW154" si="166">IF(AND((Y147+Z147)&gt;0,AQ147="")," * No olvide digitar la variable 12 años. Si no tiene digite Cero.",IF(AQ147&gt;(Y147+Z147),"* Las Consultas de 12 años NO DEBEN ser mayor que el total de Consultas entre 10-14 años",""))</f>
        <v/>
      </c>
      <c r="CX147" s="1791" t="str">
        <f t="shared" ref="CX147:CX154" si="167">IF(AND(F147&gt;0,AR147="")," * No olvide digitar la variable Embarazadas. Digite cero si no tiene.","")</f>
        <v/>
      </c>
      <c r="CY147" s="1791" t="str">
        <f t="shared" ref="CY147:CY154" si="168">IF(AR147&gt;F147," * Las Embarazadas NO DEBEN ser mayor al Total Mujeres. ","")</f>
        <v/>
      </c>
      <c r="CZ147" s="1791" t="str">
        <f t="shared" ref="CZ147:CZ154" si="169">IF(AND((AK147+AL147)&gt;0,AS147=""),"* No olvide digitar la variable 60 años. Si no tiene digite Cero.",IF(AS147&gt;(AK147+AL147)," * Las consultas de 60 años NO DEBEN ser mayor que el Total de consultas de entre 60-64 años",""))</f>
        <v/>
      </c>
      <c r="DA147" s="1791" t="str">
        <f t="shared" ref="DA147:DA154" si="170">IF(AND(D147&gt;0,AU147="")," * No olvide digitar la variable Usuarios con Discapacidad. Digite Cero si no tiene.",IF(AU147&gt;D147," * La variable Usuarios con Discapacidad No puede ser mayor al Total.",""))</f>
        <v/>
      </c>
      <c r="DB147" s="1791" t="str">
        <f t="shared" ref="DB147:DB154" si="171">IF(AND(D147&gt;0,AV147="")," * No olvide digitar la variable Niños, niñas adolescentes y Jóvenes SENAME. Digite Cero si no tiene.",IF(AV147&gt;D147," * La variable Niños, niñas adolescentes y Jóvenes SENAME No puede ser mayor al Total.",""))</f>
        <v/>
      </c>
      <c r="DC147" s="1791" t="str">
        <f t="shared" ref="DC147:DC154" si="172">IF(AND(D147&gt;0,AW147="")," * No olvide digitar la variable Niños, niñas adolescentes y Jóvenes Mejor Niñez. Digite Cero si no tiene.",IF(AW147&gt;D147," * La variable Niños, niñas adolescentes y Jóvenes mejor Niñez No puede ser mayor al Total.",""))</f>
        <v/>
      </c>
      <c r="DD147" s="1791" t="str">
        <f t="shared" ref="DD147:DD154" si="173">IF(AND(D147&gt;0,AX147="")," * No olvide digitar la variable Migrantes. Digite Cero si no tiene.",IF(AX147&gt;D147," * La variable Migrantes No puede ser mayor al Total.",""))</f>
        <v/>
      </c>
      <c r="DE147"/>
      <c r="DG147" s="1793">
        <f t="shared" ref="DG147:DG154" si="174">IF(AND((Y147+Z147)&gt;0,AQ147=""),1,IF(AQ147&gt;(Y147+Z147),1,0))</f>
        <v>0</v>
      </c>
      <c r="DH147" s="1793">
        <f t="shared" ref="DH147:DH154" si="175">IF(AND(F147&gt;0,AR147=""),1,0)</f>
        <v>0</v>
      </c>
      <c r="DI147" s="1793">
        <f t="shared" ref="DI147:DI154" si="176">IF(AR147&gt;F147,1,0)</f>
        <v>0</v>
      </c>
      <c r="DJ147" s="1793">
        <f t="shared" ref="DJ147:DJ154" si="177">IF(AND((AK147+AL147)&gt;0,AS147=""),1,IF(AS147&gt;(AK147+AL147),1,0))</f>
        <v>0</v>
      </c>
      <c r="DK147" s="1793">
        <f t="shared" ref="DK147:DK154" si="178">IF(AND(D147&gt;0,AU147=""),1,IF(AU147&gt;D147,1,0))</f>
        <v>0</v>
      </c>
      <c r="DL147" s="1793">
        <f t="shared" ref="DL147:DL154" si="179">IF(AND(D147&gt;0,AV147=""),1,IF(AV147&gt;D147,1,0))</f>
        <v>0</v>
      </c>
      <c r="DM147" s="1793">
        <f t="shared" ref="DM147:DM154" si="180">IF(AND(D147&gt;0,AW147=""),1,IF(AW147&gt;D147,1,0))</f>
        <v>0</v>
      </c>
      <c r="DN147" s="1793">
        <f t="shared" ref="DN147:DN154" si="181">IF(AND(D147&gt;0,AX147=""),1,IF(AX147&gt;D147,1,0))</f>
        <v>0</v>
      </c>
    </row>
    <row r="148" spans="1:118" ht="15" customHeight="1" x14ac:dyDescent="0.25">
      <c r="A148" s="7519" t="s">
        <v>829</v>
      </c>
      <c r="B148" s="7455"/>
      <c r="C148" s="7387"/>
      <c r="D148" s="4289">
        <f t="shared" si="163"/>
        <v>0</v>
      </c>
      <c r="E148" s="4289">
        <f t="shared" si="164"/>
        <v>0</v>
      </c>
      <c r="F148" s="791">
        <f t="shared" si="164"/>
        <v>0</v>
      </c>
      <c r="G148" s="620"/>
      <c r="H148" s="630"/>
      <c r="I148" s="627"/>
      <c r="J148" s="630"/>
      <c r="K148" s="627"/>
      <c r="L148" s="630"/>
      <c r="M148" s="627"/>
      <c r="N148" s="630"/>
      <c r="O148" s="621"/>
      <c r="P148" s="630"/>
      <c r="Q148" s="621"/>
      <c r="R148" s="630"/>
      <c r="S148" s="621"/>
      <c r="T148" s="630"/>
      <c r="U148" s="627"/>
      <c r="V148" s="630"/>
      <c r="W148" s="627"/>
      <c r="X148" s="630"/>
      <c r="Y148" s="627"/>
      <c r="Z148" s="630"/>
      <c r="AA148" s="627"/>
      <c r="AB148" s="630"/>
      <c r="AC148" s="627"/>
      <c r="AD148" s="630"/>
      <c r="AE148" s="627"/>
      <c r="AF148" s="630"/>
      <c r="AG148" s="627"/>
      <c r="AH148" s="630"/>
      <c r="AI148" s="627"/>
      <c r="AJ148" s="630"/>
      <c r="AK148" s="627"/>
      <c r="AL148" s="630"/>
      <c r="AM148" s="627"/>
      <c r="AN148" s="630"/>
      <c r="AO148" s="627"/>
      <c r="AP148" s="628"/>
      <c r="AQ148" s="83"/>
      <c r="AR148" s="105"/>
      <c r="AS148" s="789"/>
      <c r="AT148" s="789"/>
      <c r="AU148" s="789"/>
      <c r="AV148" s="789"/>
      <c r="AW148" s="789"/>
      <c r="AX148" s="789"/>
      <c r="AY148" t="str">
        <f t="shared" si="165"/>
        <v/>
      </c>
      <c r="CW148" s="1791" t="str">
        <f t="shared" si="166"/>
        <v/>
      </c>
      <c r="CX148" s="1791" t="str">
        <f t="shared" si="167"/>
        <v/>
      </c>
      <c r="CY148" s="1791" t="str">
        <f t="shared" si="168"/>
        <v/>
      </c>
      <c r="CZ148" s="1791" t="str">
        <f t="shared" si="169"/>
        <v/>
      </c>
      <c r="DA148" s="1791" t="str">
        <f t="shared" si="170"/>
        <v/>
      </c>
      <c r="DB148" s="1791" t="str">
        <f t="shared" si="171"/>
        <v/>
      </c>
      <c r="DC148" s="1791" t="str">
        <f t="shared" si="172"/>
        <v/>
      </c>
      <c r="DD148" s="1791" t="str">
        <f t="shared" si="173"/>
        <v/>
      </c>
      <c r="DE148"/>
      <c r="DG148" s="1793">
        <f t="shared" si="174"/>
        <v>0</v>
      </c>
      <c r="DH148" s="1793">
        <f t="shared" si="175"/>
        <v>0</v>
      </c>
      <c r="DI148" s="1793">
        <f t="shared" si="176"/>
        <v>0</v>
      </c>
      <c r="DJ148" s="1793">
        <f t="shared" si="177"/>
        <v>0</v>
      </c>
      <c r="DK148" s="1793">
        <f t="shared" si="178"/>
        <v>0</v>
      </c>
      <c r="DL148" s="1793">
        <f t="shared" si="179"/>
        <v>0</v>
      </c>
      <c r="DM148" s="1793">
        <f t="shared" si="180"/>
        <v>0</v>
      </c>
      <c r="DN148" s="1793">
        <f t="shared" si="181"/>
        <v>0</v>
      </c>
    </row>
    <row r="149" spans="1:118" ht="15" customHeight="1" x14ac:dyDescent="0.25">
      <c r="A149" s="7519" t="s">
        <v>830</v>
      </c>
      <c r="B149" s="7455"/>
      <c r="C149" s="7387"/>
      <c r="D149" s="4289">
        <f t="shared" si="163"/>
        <v>0</v>
      </c>
      <c r="E149" s="4289">
        <f t="shared" si="164"/>
        <v>0</v>
      </c>
      <c r="F149" s="791">
        <f t="shared" si="164"/>
        <v>0</v>
      </c>
      <c r="G149" s="620"/>
      <c r="H149" s="630"/>
      <c r="I149" s="627"/>
      <c r="J149" s="630"/>
      <c r="K149" s="627"/>
      <c r="L149" s="630"/>
      <c r="M149" s="627"/>
      <c r="N149" s="630"/>
      <c r="O149" s="621"/>
      <c r="P149" s="630"/>
      <c r="Q149" s="621"/>
      <c r="R149" s="630"/>
      <c r="S149" s="621"/>
      <c r="T149" s="630"/>
      <c r="U149" s="627"/>
      <c r="V149" s="630"/>
      <c r="W149" s="627"/>
      <c r="X149" s="630"/>
      <c r="Y149" s="627"/>
      <c r="Z149" s="630"/>
      <c r="AA149" s="627"/>
      <c r="AB149" s="630"/>
      <c r="AC149" s="627"/>
      <c r="AD149" s="630"/>
      <c r="AE149" s="627"/>
      <c r="AF149" s="630"/>
      <c r="AG149" s="627"/>
      <c r="AH149" s="630"/>
      <c r="AI149" s="627"/>
      <c r="AJ149" s="630"/>
      <c r="AK149" s="627"/>
      <c r="AL149" s="630"/>
      <c r="AM149" s="627"/>
      <c r="AN149" s="630"/>
      <c r="AO149" s="627"/>
      <c r="AP149" s="628"/>
      <c r="AQ149" s="83"/>
      <c r="AR149" s="105"/>
      <c r="AS149" s="789"/>
      <c r="AT149" s="789"/>
      <c r="AU149" s="789"/>
      <c r="AV149" s="789"/>
      <c r="AW149" s="789"/>
      <c r="AX149" s="789"/>
      <c r="AY149" t="str">
        <f t="shared" si="165"/>
        <v/>
      </c>
      <c r="CW149" s="1791" t="str">
        <f t="shared" si="166"/>
        <v/>
      </c>
      <c r="CX149" s="1791" t="str">
        <f t="shared" si="167"/>
        <v/>
      </c>
      <c r="CY149" s="1791" t="str">
        <f t="shared" si="168"/>
        <v/>
      </c>
      <c r="CZ149" s="1791" t="str">
        <f t="shared" si="169"/>
        <v/>
      </c>
      <c r="DA149" s="1791" t="str">
        <f t="shared" si="170"/>
        <v/>
      </c>
      <c r="DB149" s="1791" t="str">
        <f t="shared" si="171"/>
        <v/>
      </c>
      <c r="DC149" s="1791" t="str">
        <f t="shared" si="172"/>
        <v/>
      </c>
      <c r="DD149" s="1791" t="str">
        <f t="shared" si="173"/>
        <v/>
      </c>
      <c r="DE149"/>
      <c r="DG149" s="1793">
        <f t="shared" si="174"/>
        <v>0</v>
      </c>
      <c r="DH149" s="1793">
        <f t="shared" si="175"/>
        <v>0</v>
      </c>
      <c r="DI149" s="1793">
        <f t="shared" si="176"/>
        <v>0</v>
      </c>
      <c r="DJ149" s="1793">
        <f t="shared" si="177"/>
        <v>0</v>
      </c>
      <c r="DK149" s="1793">
        <f t="shared" si="178"/>
        <v>0</v>
      </c>
      <c r="DL149" s="1793">
        <f t="shared" si="179"/>
        <v>0</v>
      </c>
      <c r="DM149" s="1793">
        <f t="shared" si="180"/>
        <v>0</v>
      </c>
      <c r="DN149" s="1793">
        <f t="shared" si="181"/>
        <v>0</v>
      </c>
    </row>
    <row r="150" spans="1:118" ht="15" customHeight="1" x14ac:dyDescent="0.25">
      <c r="A150" s="7541" t="s">
        <v>831</v>
      </c>
      <c r="B150" s="7542"/>
      <c r="C150" s="7443"/>
      <c r="D150" s="4289">
        <f t="shared" si="163"/>
        <v>0</v>
      </c>
      <c r="E150" s="4289">
        <f t="shared" si="164"/>
        <v>0</v>
      </c>
      <c r="F150" s="791">
        <f t="shared" si="164"/>
        <v>0</v>
      </c>
      <c r="G150" s="620"/>
      <c r="H150" s="630"/>
      <c r="I150" s="627"/>
      <c r="J150" s="630"/>
      <c r="K150" s="627"/>
      <c r="L150" s="630"/>
      <c r="M150" s="627"/>
      <c r="N150" s="630"/>
      <c r="O150" s="621"/>
      <c r="P150" s="630"/>
      <c r="Q150" s="621"/>
      <c r="R150" s="630"/>
      <c r="S150" s="621"/>
      <c r="T150" s="630"/>
      <c r="U150" s="627"/>
      <c r="V150" s="630"/>
      <c r="W150" s="627"/>
      <c r="X150" s="630"/>
      <c r="Y150" s="627"/>
      <c r="Z150" s="630"/>
      <c r="AA150" s="627"/>
      <c r="AB150" s="630"/>
      <c r="AC150" s="627"/>
      <c r="AD150" s="630"/>
      <c r="AE150" s="627"/>
      <c r="AF150" s="630"/>
      <c r="AG150" s="627"/>
      <c r="AH150" s="630"/>
      <c r="AI150" s="627"/>
      <c r="AJ150" s="630"/>
      <c r="AK150" s="627"/>
      <c r="AL150" s="630"/>
      <c r="AM150" s="627"/>
      <c r="AN150" s="630"/>
      <c r="AO150" s="627"/>
      <c r="AP150" s="628"/>
      <c r="AQ150" s="83"/>
      <c r="AR150" s="105"/>
      <c r="AS150" s="789"/>
      <c r="AT150" s="789"/>
      <c r="AU150" s="789"/>
      <c r="AV150" s="789"/>
      <c r="AW150" s="789"/>
      <c r="AX150" s="789"/>
      <c r="AY150" t="str">
        <f t="shared" si="165"/>
        <v/>
      </c>
      <c r="CW150" s="1791" t="str">
        <f t="shared" si="166"/>
        <v/>
      </c>
      <c r="CX150" s="1791" t="str">
        <f t="shared" si="167"/>
        <v/>
      </c>
      <c r="CY150" s="1791" t="str">
        <f t="shared" si="168"/>
        <v/>
      </c>
      <c r="CZ150" s="1791" t="str">
        <f t="shared" si="169"/>
        <v/>
      </c>
      <c r="DA150" s="1791" t="str">
        <f t="shared" si="170"/>
        <v/>
      </c>
      <c r="DB150" s="1791" t="str">
        <f t="shared" si="171"/>
        <v/>
      </c>
      <c r="DC150" s="1791" t="str">
        <f t="shared" si="172"/>
        <v/>
      </c>
      <c r="DD150" s="1791" t="str">
        <f t="shared" si="173"/>
        <v/>
      </c>
      <c r="DE150"/>
      <c r="DG150" s="1793">
        <f t="shared" si="174"/>
        <v>0</v>
      </c>
      <c r="DH150" s="1793">
        <f t="shared" si="175"/>
        <v>0</v>
      </c>
      <c r="DI150" s="1793">
        <f t="shared" si="176"/>
        <v>0</v>
      </c>
      <c r="DJ150" s="1793">
        <f t="shared" si="177"/>
        <v>0</v>
      </c>
      <c r="DK150" s="1793">
        <f t="shared" si="178"/>
        <v>0</v>
      </c>
      <c r="DL150" s="1793">
        <f t="shared" si="179"/>
        <v>0</v>
      </c>
      <c r="DM150" s="1793">
        <f t="shared" si="180"/>
        <v>0</v>
      </c>
      <c r="DN150" s="1793">
        <f t="shared" si="181"/>
        <v>0</v>
      </c>
    </row>
    <row r="151" spans="1:118" ht="15" customHeight="1" x14ac:dyDescent="0.25">
      <c r="A151" s="7541" t="s">
        <v>832</v>
      </c>
      <c r="B151" s="7542"/>
      <c r="C151" s="7443"/>
      <c r="D151" s="4289">
        <f t="shared" si="163"/>
        <v>0</v>
      </c>
      <c r="E151" s="4289">
        <f t="shared" si="164"/>
        <v>0</v>
      </c>
      <c r="F151" s="791">
        <f t="shared" si="164"/>
        <v>0</v>
      </c>
      <c r="G151" s="620"/>
      <c r="H151" s="630"/>
      <c r="I151" s="627"/>
      <c r="J151" s="630"/>
      <c r="K151" s="627"/>
      <c r="L151" s="630"/>
      <c r="M151" s="627"/>
      <c r="N151" s="630"/>
      <c r="O151" s="621"/>
      <c r="P151" s="630"/>
      <c r="Q151" s="621"/>
      <c r="R151" s="630"/>
      <c r="S151" s="621"/>
      <c r="T151" s="630"/>
      <c r="U151" s="627"/>
      <c r="V151" s="630"/>
      <c r="W151" s="627"/>
      <c r="X151" s="630"/>
      <c r="Y151" s="627"/>
      <c r="Z151" s="630"/>
      <c r="AA151" s="627"/>
      <c r="AB151" s="630"/>
      <c r="AC151" s="627"/>
      <c r="AD151" s="630"/>
      <c r="AE151" s="627"/>
      <c r="AF151" s="630"/>
      <c r="AG151" s="627"/>
      <c r="AH151" s="630"/>
      <c r="AI151" s="627"/>
      <c r="AJ151" s="630"/>
      <c r="AK151" s="627"/>
      <c r="AL151" s="630"/>
      <c r="AM151" s="627"/>
      <c r="AN151" s="630"/>
      <c r="AO151" s="627"/>
      <c r="AP151" s="628"/>
      <c r="AQ151" s="83"/>
      <c r="AR151" s="105"/>
      <c r="AS151" s="789"/>
      <c r="AT151" s="789"/>
      <c r="AU151" s="789"/>
      <c r="AV151" s="789"/>
      <c r="AW151" s="789"/>
      <c r="AX151" s="789"/>
      <c r="AY151" t="str">
        <f t="shared" si="165"/>
        <v/>
      </c>
      <c r="CW151" s="1791" t="str">
        <f t="shared" si="166"/>
        <v/>
      </c>
      <c r="CX151" s="1791" t="str">
        <f t="shared" si="167"/>
        <v/>
      </c>
      <c r="CY151" s="1791" t="str">
        <f t="shared" si="168"/>
        <v/>
      </c>
      <c r="CZ151" s="1791" t="str">
        <f t="shared" si="169"/>
        <v/>
      </c>
      <c r="DA151" s="1791" t="str">
        <f t="shared" si="170"/>
        <v/>
      </c>
      <c r="DB151" s="1791" t="str">
        <f t="shared" si="171"/>
        <v/>
      </c>
      <c r="DC151" s="1791" t="str">
        <f t="shared" si="172"/>
        <v/>
      </c>
      <c r="DD151" s="1791" t="str">
        <f t="shared" si="173"/>
        <v/>
      </c>
      <c r="DE151"/>
      <c r="DG151" s="1793">
        <f t="shared" si="174"/>
        <v>0</v>
      </c>
      <c r="DH151" s="1793">
        <f t="shared" si="175"/>
        <v>0</v>
      </c>
      <c r="DI151" s="1793">
        <f t="shared" si="176"/>
        <v>0</v>
      </c>
      <c r="DJ151" s="1793">
        <f t="shared" si="177"/>
        <v>0</v>
      </c>
      <c r="DK151" s="1793">
        <f t="shared" si="178"/>
        <v>0</v>
      </c>
      <c r="DL151" s="1793">
        <f t="shared" si="179"/>
        <v>0</v>
      </c>
      <c r="DM151" s="1793">
        <f t="shared" si="180"/>
        <v>0</v>
      </c>
      <c r="DN151" s="1793">
        <f t="shared" si="181"/>
        <v>0</v>
      </c>
    </row>
    <row r="152" spans="1:118" ht="15" customHeight="1" x14ac:dyDescent="0.25">
      <c r="A152" s="7541" t="s">
        <v>833</v>
      </c>
      <c r="B152" s="7542"/>
      <c r="C152" s="7443"/>
      <c r="D152" s="4289">
        <f t="shared" si="163"/>
        <v>0</v>
      </c>
      <c r="E152" s="4289">
        <f t="shared" si="164"/>
        <v>0</v>
      </c>
      <c r="F152" s="791">
        <f t="shared" si="164"/>
        <v>0</v>
      </c>
      <c r="G152" s="620"/>
      <c r="H152" s="630"/>
      <c r="I152" s="627"/>
      <c r="J152" s="630"/>
      <c r="K152" s="627"/>
      <c r="L152" s="630"/>
      <c r="M152" s="627"/>
      <c r="N152" s="630"/>
      <c r="O152" s="621"/>
      <c r="P152" s="630"/>
      <c r="Q152" s="621"/>
      <c r="R152" s="630"/>
      <c r="S152" s="621"/>
      <c r="T152" s="630"/>
      <c r="U152" s="627"/>
      <c r="V152" s="630"/>
      <c r="W152" s="627"/>
      <c r="X152" s="630"/>
      <c r="Y152" s="627"/>
      <c r="Z152" s="630"/>
      <c r="AA152" s="627"/>
      <c r="AB152" s="630"/>
      <c r="AC152" s="627"/>
      <c r="AD152" s="630"/>
      <c r="AE152" s="627"/>
      <c r="AF152" s="630"/>
      <c r="AG152" s="627"/>
      <c r="AH152" s="630"/>
      <c r="AI152" s="627"/>
      <c r="AJ152" s="630"/>
      <c r="AK152" s="627"/>
      <c r="AL152" s="630"/>
      <c r="AM152" s="627"/>
      <c r="AN152" s="630"/>
      <c r="AO152" s="627"/>
      <c r="AP152" s="628"/>
      <c r="AQ152" s="83"/>
      <c r="AR152" s="105"/>
      <c r="AS152" s="789"/>
      <c r="AT152" s="789"/>
      <c r="AU152" s="789"/>
      <c r="AV152" s="789"/>
      <c r="AW152" s="789"/>
      <c r="AX152" s="789"/>
      <c r="AY152" t="str">
        <f t="shared" si="165"/>
        <v/>
      </c>
      <c r="CW152" s="1791" t="str">
        <f t="shared" si="166"/>
        <v/>
      </c>
      <c r="CX152" s="1791" t="str">
        <f t="shared" si="167"/>
        <v/>
      </c>
      <c r="CY152" s="1791" t="str">
        <f t="shared" si="168"/>
        <v/>
      </c>
      <c r="CZ152" s="1791" t="str">
        <f t="shared" si="169"/>
        <v/>
      </c>
      <c r="DA152" s="1791" t="str">
        <f t="shared" si="170"/>
        <v/>
      </c>
      <c r="DB152" s="1791" t="str">
        <f t="shared" si="171"/>
        <v/>
      </c>
      <c r="DC152" s="1791" t="str">
        <f t="shared" si="172"/>
        <v/>
      </c>
      <c r="DD152" s="1791" t="str">
        <f t="shared" si="173"/>
        <v/>
      </c>
      <c r="DE152"/>
      <c r="DG152" s="1793">
        <f t="shared" si="174"/>
        <v>0</v>
      </c>
      <c r="DH152" s="1793">
        <f t="shared" si="175"/>
        <v>0</v>
      </c>
      <c r="DI152" s="1793">
        <f t="shared" si="176"/>
        <v>0</v>
      </c>
      <c r="DJ152" s="1793">
        <f t="shared" si="177"/>
        <v>0</v>
      </c>
      <c r="DK152" s="1793">
        <f t="shared" si="178"/>
        <v>0</v>
      </c>
      <c r="DL152" s="1793">
        <f t="shared" si="179"/>
        <v>0</v>
      </c>
      <c r="DM152" s="1793">
        <f t="shared" si="180"/>
        <v>0</v>
      </c>
      <c r="DN152" s="1793">
        <f t="shared" si="181"/>
        <v>0</v>
      </c>
    </row>
    <row r="153" spans="1:118" ht="15" customHeight="1" x14ac:dyDescent="0.25">
      <c r="A153" s="7519" t="s">
        <v>834</v>
      </c>
      <c r="B153" s="7455"/>
      <c r="C153" s="7387"/>
      <c r="D153" s="4289">
        <f t="shared" si="163"/>
        <v>0</v>
      </c>
      <c r="E153" s="4289">
        <f t="shared" si="164"/>
        <v>0</v>
      </c>
      <c r="F153" s="791">
        <f t="shared" si="164"/>
        <v>0</v>
      </c>
      <c r="G153" s="620"/>
      <c r="H153" s="630"/>
      <c r="I153" s="627"/>
      <c r="J153" s="630"/>
      <c r="K153" s="627"/>
      <c r="L153" s="630"/>
      <c r="M153" s="627"/>
      <c r="N153" s="630"/>
      <c r="O153" s="621"/>
      <c r="P153" s="630"/>
      <c r="Q153" s="621"/>
      <c r="R153" s="630"/>
      <c r="S153" s="621"/>
      <c r="T153" s="630"/>
      <c r="U153" s="627"/>
      <c r="V153" s="630"/>
      <c r="W153" s="627"/>
      <c r="X153" s="630"/>
      <c r="Y153" s="627"/>
      <c r="Z153" s="630"/>
      <c r="AA153" s="627"/>
      <c r="AB153" s="630"/>
      <c r="AC153" s="627"/>
      <c r="AD153" s="630"/>
      <c r="AE153" s="627"/>
      <c r="AF153" s="630"/>
      <c r="AG153" s="627"/>
      <c r="AH153" s="630"/>
      <c r="AI153" s="627"/>
      <c r="AJ153" s="630"/>
      <c r="AK153" s="627"/>
      <c r="AL153" s="630"/>
      <c r="AM153" s="627"/>
      <c r="AN153" s="630"/>
      <c r="AO153" s="627"/>
      <c r="AP153" s="628"/>
      <c r="AQ153" s="83"/>
      <c r="AR153" s="105"/>
      <c r="AS153" s="789"/>
      <c r="AT153" s="789"/>
      <c r="AU153" s="789"/>
      <c r="AV153" s="789"/>
      <c r="AW153" s="789"/>
      <c r="AX153" s="789"/>
      <c r="AY153" t="str">
        <f t="shared" si="165"/>
        <v/>
      </c>
      <c r="CW153" s="1791" t="str">
        <f t="shared" si="166"/>
        <v/>
      </c>
      <c r="CX153" s="1791" t="str">
        <f t="shared" si="167"/>
        <v/>
      </c>
      <c r="CY153" s="1791" t="str">
        <f t="shared" si="168"/>
        <v/>
      </c>
      <c r="CZ153" s="1791" t="str">
        <f t="shared" si="169"/>
        <v/>
      </c>
      <c r="DA153" s="1791" t="str">
        <f t="shared" si="170"/>
        <v/>
      </c>
      <c r="DB153" s="1791" t="str">
        <f t="shared" si="171"/>
        <v/>
      </c>
      <c r="DC153" s="1791" t="str">
        <f t="shared" si="172"/>
        <v/>
      </c>
      <c r="DD153" s="1791" t="str">
        <f t="shared" si="173"/>
        <v/>
      </c>
      <c r="DE153"/>
      <c r="DG153" s="1793">
        <f t="shared" si="174"/>
        <v>0</v>
      </c>
      <c r="DH153" s="1793">
        <f t="shared" si="175"/>
        <v>0</v>
      </c>
      <c r="DI153" s="1793">
        <f t="shared" si="176"/>
        <v>0</v>
      </c>
      <c r="DJ153" s="1793">
        <f t="shared" si="177"/>
        <v>0</v>
      </c>
      <c r="DK153" s="1793">
        <f t="shared" si="178"/>
        <v>0</v>
      </c>
      <c r="DL153" s="1793">
        <f t="shared" si="179"/>
        <v>0</v>
      </c>
      <c r="DM153" s="1793">
        <f t="shared" si="180"/>
        <v>0</v>
      </c>
      <c r="DN153" s="1793">
        <f t="shared" si="181"/>
        <v>0</v>
      </c>
    </row>
    <row r="154" spans="1:118" ht="15" customHeight="1" x14ac:dyDescent="0.25">
      <c r="A154" s="7577" t="s">
        <v>835</v>
      </c>
      <c r="B154" s="7577"/>
      <c r="C154" s="7578"/>
      <c r="D154" s="4289">
        <f t="shared" si="163"/>
        <v>0</v>
      </c>
      <c r="E154" s="4289">
        <f>SUM(G154+I154+K154+M154+O154+Q154+S154+U154+W154+Y154+AA154+AC154+AE154+AG154+AI154+AK154+AM154+AO154)</f>
        <v>0</v>
      </c>
      <c r="F154" s="791">
        <f t="shared" si="164"/>
        <v>0</v>
      </c>
      <c r="G154" s="114"/>
      <c r="H154" s="116"/>
      <c r="I154" s="121"/>
      <c r="J154" s="116"/>
      <c r="K154" s="121"/>
      <c r="L154" s="116"/>
      <c r="M154" s="121"/>
      <c r="N154" s="116"/>
      <c r="O154" s="115"/>
      <c r="P154" s="116"/>
      <c r="Q154" s="115"/>
      <c r="R154" s="116"/>
      <c r="S154" s="115"/>
      <c r="T154" s="116"/>
      <c r="U154" s="121"/>
      <c r="V154" s="116"/>
      <c r="W154" s="121"/>
      <c r="X154" s="116"/>
      <c r="Y154" s="121"/>
      <c r="Z154" s="116"/>
      <c r="AA154" s="121"/>
      <c r="AB154" s="116"/>
      <c r="AC154" s="121"/>
      <c r="AD154" s="116"/>
      <c r="AE154" s="121"/>
      <c r="AF154" s="116"/>
      <c r="AG154" s="121"/>
      <c r="AH154" s="116"/>
      <c r="AI154" s="121"/>
      <c r="AJ154" s="116"/>
      <c r="AK154" s="121"/>
      <c r="AL154" s="116"/>
      <c r="AM154" s="121"/>
      <c r="AN154" s="116"/>
      <c r="AO154" s="121"/>
      <c r="AP154" s="162"/>
      <c r="AQ154" s="91"/>
      <c r="AR154" s="83"/>
      <c r="AS154" s="648"/>
      <c r="AT154" s="158"/>
      <c r="AU154" s="158"/>
      <c r="AV154" s="158"/>
      <c r="AW154" s="158"/>
      <c r="AX154" s="158"/>
      <c r="AY154" t="str">
        <f t="shared" si="165"/>
        <v/>
      </c>
      <c r="CW154" s="1791" t="str">
        <f t="shared" si="166"/>
        <v/>
      </c>
      <c r="CX154" s="1791" t="str">
        <f t="shared" si="167"/>
        <v/>
      </c>
      <c r="CY154" s="1791" t="str">
        <f t="shared" si="168"/>
        <v/>
      </c>
      <c r="CZ154" s="1791" t="str">
        <f t="shared" si="169"/>
        <v/>
      </c>
      <c r="DA154" s="1791" t="str">
        <f t="shared" si="170"/>
        <v/>
      </c>
      <c r="DB154" s="1791" t="str">
        <f t="shared" si="171"/>
        <v/>
      </c>
      <c r="DC154" s="1791" t="str">
        <f t="shared" si="172"/>
        <v/>
      </c>
      <c r="DD154" s="1791" t="str">
        <f t="shared" si="173"/>
        <v/>
      </c>
      <c r="DE154"/>
      <c r="DG154" s="1793">
        <f t="shared" si="174"/>
        <v>0</v>
      </c>
      <c r="DH154" s="1793">
        <f t="shared" si="175"/>
        <v>0</v>
      </c>
      <c r="DI154" s="1793">
        <f t="shared" si="176"/>
        <v>0</v>
      </c>
      <c r="DJ154" s="1793">
        <f t="shared" si="177"/>
        <v>0</v>
      </c>
      <c r="DK154" s="1793">
        <f t="shared" si="178"/>
        <v>0</v>
      </c>
      <c r="DL154" s="1793">
        <f t="shared" si="179"/>
        <v>0</v>
      </c>
      <c r="DM154" s="1793">
        <f t="shared" si="180"/>
        <v>0</v>
      </c>
      <c r="DN154" s="1793">
        <f t="shared" si="181"/>
        <v>0</v>
      </c>
    </row>
    <row r="155" spans="1:118" x14ac:dyDescent="0.25">
      <c r="A155" s="7487" t="s">
        <v>24</v>
      </c>
      <c r="B155" s="7503"/>
      <c r="C155" s="7504"/>
      <c r="D155" s="4810">
        <f>SUM(D146:D154)</f>
        <v>0</v>
      </c>
      <c r="E155" s="4869">
        <f>SUM(E146:E154)</f>
        <v>0</v>
      </c>
      <c r="F155" s="664">
        <f>SUM(F146:F154)</f>
        <v>0</v>
      </c>
      <c r="G155" s="643">
        <f t="shared" ref="G155:AT155" si="182">SUM(G146:G154)</f>
        <v>0</v>
      </c>
      <c r="H155" s="664">
        <f t="shared" si="182"/>
        <v>0</v>
      </c>
      <c r="I155" s="643">
        <f t="shared" si="182"/>
        <v>0</v>
      </c>
      <c r="J155" s="662">
        <f t="shared" si="182"/>
        <v>0</v>
      </c>
      <c r="K155" s="643">
        <f t="shared" si="182"/>
        <v>0</v>
      </c>
      <c r="L155" s="662">
        <f t="shared" si="182"/>
        <v>0</v>
      </c>
      <c r="M155" s="643">
        <f t="shared" si="182"/>
        <v>0</v>
      </c>
      <c r="N155" s="664">
        <f t="shared" si="182"/>
        <v>0</v>
      </c>
      <c r="O155" s="643">
        <f t="shared" si="182"/>
        <v>0</v>
      </c>
      <c r="P155" s="664">
        <f t="shared" si="182"/>
        <v>0</v>
      </c>
      <c r="Q155" s="643">
        <f t="shared" si="182"/>
        <v>0</v>
      </c>
      <c r="R155" s="664">
        <f t="shared" si="182"/>
        <v>0</v>
      </c>
      <c r="S155" s="643">
        <f t="shared" si="182"/>
        <v>0</v>
      </c>
      <c r="T155" s="664">
        <f t="shared" si="182"/>
        <v>0</v>
      </c>
      <c r="U155" s="643">
        <f t="shared" si="182"/>
        <v>0</v>
      </c>
      <c r="V155" s="664">
        <f t="shared" si="182"/>
        <v>0</v>
      </c>
      <c r="W155" s="643">
        <f t="shared" si="182"/>
        <v>0</v>
      </c>
      <c r="X155" s="664">
        <f t="shared" si="182"/>
        <v>0</v>
      </c>
      <c r="Y155" s="643">
        <f t="shared" si="182"/>
        <v>0</v>
      </c>
      <c r="Z155" s="664">
        <f t="shared" si="182"/>
        <v>0</v>
      </c>
      <c r="AA155" s="643">
        <f t="shared" si="182"/>
        <v>0</v>
      </c>
      <c r="AB155" s="664">
        <f t="shared" si="182"/>
        <v>0</v>
      </c>
      <c r="AC155" s="643">
        <f t="shared" si="182"/>
        <v>0</v>
      </c>
      <c r="AD155" s="664">
        <f t="shared" si="182"/>
        <v>0</v>
      </c>
      <c r="AE155" s="643">
        <f t="shared" si="182"/>
        <v>0</v>
      </c>
      <c r="AF155" s="664">
        <f t="shared" si="182"/>
        <v>0</v>
      </c>
      <c r="AG155" s="643">
        <f t="shared" si="182"/>
        <v>0</v>
      </c>
      <c r="AH155" s="664">
        <f t="shared" si="182"/>
        <v>0</v>
      </c>
      <c r="AI155" s="643">
        <f t="shared" si="182"/>
        <v>0</v>
      </c>
      <c r="AJ155" s="664">
        <f t="shared" si="182"/>
        <v>0</v>
      </c>
      <c r="AK155" s="643">
        <f t="shared" si="182"/>
        <v>0</v>
      </c>
      <c r="AL155" s="664">
        <f t="shared" si="182"/>
        <v>0</v>
      </c>
      <c r="AM155" s="643">
        <f t="shared" si="182"/>
        <v>0</v>
      </c>
      <c r="AN155" s="664">
        <f t="shared" si="182"/>
        <v>0</v>
      </c>
      <c r="AO155" s="643">
        <f t="shared" si="182"/>
        <v>0</v>
      </c>
      <c r="AP155" s="864">
        <f t="shared" si="182"/>
        <v>0</v>
      </c>
      <c r="AQ155" s="664">
        <f t="shared" si="182"/>
        <v>0</v>
      </c>
      <c r="AR155" s="644">
        <f t="shared" si="182"/>
        <v>0</v>
      </c>
      <c r="AS155" s="664">
        <f t="shared" si="182"/>
        <v>0</v>
      </c>
      <c r="AT155" s="866">
        <f t="shared" si="182"/>
        <v>0</v>
      </c>
      <c r="AU155" s="866">
        <f>SUM(AU146:AU154)</f>
        <v>0</v>
      </c>
      <c r="AV155" s="866">
        <f>SUM(AV146:AV154)</f>
        <v>0</v>
      </c>
      <c r="AW155" s="866">
        <f>SUM(AW146:AW154)</f>
        <v>0</v>
      </c>
      <c r="AX155" s="866">
        <f>SUM(AX146:AX154)</f>
        <v>0</v>
      </c>
      <c r="CW155"/>
      <c r="CX155"/>
      <c r="CY155"/>
      <c r="CZ155"/>
      <c r="DA155"/>
      <c r="DB155"/>
      <c r="DC155"/>
      <c r="DD155"/>
      <c r="DE155"/>
      <c r="DG155"/>
      <c r="DH155"/>
      <c r="DI155"/>
      <c r="DJ155"/>
      <c r="DK155"/>
      <c r="DL155"/>
      <c r="DM155"/>
    </row>
    <row r="156" spans="1:118" ht="18" customHeight="1" x14ac:dyDescent="0.25">
      <c r="A156" s="122" t="s">
        <v>836</v>
      </c>
      <c r="B156" s="798"/>
      <c r="C156" s="798"/>
      <c r="D156" s="798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799"/>
      <c r="R156" s="163"/>
      <c r="S156" s="780"/>
      <c r="T156" s="780"/>
      <c r="U156" s="780"/>
      <c r="V156" s="780"/>
      <c r="W156" s="780"/>
      <c r="X156" s="140"/>
      <c r="Y156" s="780"/>
      <c r="Z156" s="780"/>
      <c r="AA156" s="780"/>
      <c r="AB156" s="780"/>
      <c r="AC156" s="780"/>
      <c r="AD156" s="780"/>
      <c r="AE156" s="780"/>
      <c r="AF156" s="780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CW156"/>
      <c r="CX156"/>
      <c r="CY156"/>
      <c r="CZ156"/>
      <c r="DA156"/>
      <c r="DB156"/>
      <c r="DC156"/>
      <c r="DD156"/>
      <c r="DE156"/>
      <c r="DG156"/>
      <c r="DH156"/>
      <c r="DI156"/>
      <c r="DJ156"/>
      <c r="DK156"/>
      <c r="DL156"/>
      <c r="DM156"/>
    </row>
    <row r="157" spans="1:118" x14ac:dyDescent="0.25">
      <c r="A157" s="7337" t="s">
        <v>837</v>
      </c>
      <c r="B157" s="6603"/>
      <c r="C157" s="7319"/>
      <c r="D157" s="7322" t="s">
        <v>24</v>
      </c>
      <c r="E157" s="6468"/>
      <c r="F157" s="7323"/>
      <c r="G157" s="7487" t="s">
        <v>30</v>
      </c>
      <c r="H157" s="7503"/>
      <c r="I157" s="7503"/>
      <c r="J157" s="7503"/>
      <c r="K157" s="7503"/>
      <c r="L157" s="7503"/>
      <c r="M157" s="7503"/>
      <c r="N157" s="7503"/>
      <c r="O157" s="7503"/>
      <c r="P157" s="7503"/>
      <c r="Q157" s="7503"/>
      <c r="R157" s="7503"/>
      <c r="S157" s="7503"/>
      <c r="T157" s="7503"/>
      <c r="U157" s="7503"/>
      <c r="V157" s="7503"/>
      <c r="W157" s="7503"/>
      <c r="X157" s="7503"/>
      <c r="Y157" s="7503"/>
      <c r="Z157" s="7503"/>
      <c r="AA157" s="7503"/>
      <c r="AB157" s="7503"/>
      <c r="AC157" s="7503"/>
      <c r="AD157" s="7503"/>
      <c r="AE157" s="7503"/>
      <c r="AF157" s="7503"/>
      <c r="AG157" s="7503"/>
      <c r="AH157" s="7503"/>
      <c r="AI157" s="7503"/>
      <c r="AJ157" s="7503"/>
      <c r="AK157" s="7503"/>
      <c r="AL157" s="7503"/>
      <c r="AM157" s="7503"/>
      <c r="AN157" s="7503"/>
      <c r="AO157" s="7503"/>
      <c r="AP157" s="7504"/>
      <c r="AQ157" s="7576" t="s">
        <v>702</v>
      </c>
      <c r="AR157" s="7525" t="s">
        <v>678</v>
      </c>
      <c r="AS157" s="7570" t="s">
        <v>680</v>
      </c>
      <c r="AT157" s="7570" t="s">
        <v>681</v>
      </c>
      <c r="AU157" s="7420" t="s">
        <v>3</v>
      </c>
      <c r="AV157" s="7571" t="s">
        <v>838</v>
      </c>
      <c r="AW157" s="7574" t="s">
        <v>839</v>
      </c>
      <c r="CW157"/>
      <c r="CX157"/>
      <c r="CY157"/>
      <c r="CZ157"/>
      <c r="DA157"/>
      <c r="DB157"/>
      <c r="DC157"/>
      <c r="DD157"/>
      <c r="DE157"/>
      <c r="DG157"/>
      <c r="DH157"/>
      <c r="DI157"/>
      <c r="DJ157"/>
      <c r="DK157"/>
      <c r="DL157"/>
      <c r="DM157"/>
    </row>
    <row r="158" spans="1:118" x14ac:dyDescent="0.25">
      <c r="A158" s="7359"/>
      <c r="B158" s="7360"/>
      <c r="C158" s="7320"/>
      <c r="D158" s="7406"/>
      <c r="E158" s="6471"/>
      <c r="F158" s="7332"/>
      <c r="G158" s="7501" t="s">
        <v>682</v>
      </c>
      <c r="H158" s="7502"/>
      <c r="I158" s="7487" t="s">
        <v>683</v>
      </c>
      <c r="J158" s="7504"/>
      <c r="K158" s="7503" t="s">
        <v>684</v>
      </c>
      <c r="L158" s="7504"/>
      <c r="M158" s="7487" t="s">
        <v>685</v>
      </c>
      <c r="N158" s="7504"/>
      <c r="O158" s="7487" t="s">
        <v>686</v>
      </c>
      <c r="P158" s="7504"/>
      <c r="Q158" s="7487" t="s">
        <v>687</v>
      </c>
      <c r="R158" s="7504"/>
      <c r="S158" s="7487" t="s">
        <v>688</v>
      </c>
      <c r="T158" s="7504"/>
      <c r="U158" s="7487" t="s">
        <v>689</v>
      </c>
      <c r="V158" s="7504"/>
      <c r="W158" s="7487" t="s">
        <v>690</v>
      </c>
      <c r="X158" s="7504"/>
      <c r="Y158" s="7487" t="s">
        <v>554</v>
      </c>
      <c r="Z158" s="7488"/>
      <c r="AA158" s="7487" t="s">
        <v>568</v>
      </c>
      <c r="AB158" s="7488"/>
      <c r="AC158" s="7568" t="s">
        <v>691</v>
      </c>
      <c r="AD158" s="7569"/>
      <c r="AE158" s="7568" t="s">
        <v>692</v>
      </c>
      <c r="AF158" s="7569"/>
      <c r="AG158" s="7568" t="s">
        <v>693</v>
      </c>
      <c r="AH158" s="7569"/>
      <c r="AI158" s="7568" t="s">
        <v>694</v>
      </c>
      <c r="AJ158" s="7569"/>
      <c r="AK158" s="7487" t="s">
        <v>556</v>
      </c>
      <c r="AL158" s="7488"/>
      <c r="AM158" s="7487" t="s">
        <v>695</v>
      </c>
      <c r="AN158" s="7488"/>
      <c r="AO158" s="7487" t="s">
        <v>57</v>
      </c>
      <c r="AP158" s="7488"/>
      <c r="AQ158" s="6539"/>
      <c r="AR158" s="7548"/>
      <c r="AS158" s="7570"/>
      <c r="AT158" s="7570"/>
      <c r="AU158" s="7421"/>
      <c r="AV158" s="7572"/>
      <c r="AW158" s="7575"/>
      <c r="CW158"/>
      <c r="CX158"/>
      <c r="CY158"/>
      <c r="CZ158"/>
      <c r="DA158"/>
      <c r="DB158"/>
      <c r="DC158"/>
      <c r="DD158"/>
      <c r="DE158"/>
      <c r="DG158"/>
      <c r="DH158"/>
      <c r="DI158"/>
      <c r="DJ158"/>
      <c r="DK158"/>
      <c r="DL158"/>
      <c r="DM158"/>
    </row>
    <row r="159" spans="1:118" ht="35.25" customHeight="1" x14ac:dyDescent="0.25">
      <c r="A159" s="7464"/>
      <c r="B159" s="7465"/>
      <c r="C159" s="7466"/>
      <c r="D159" s="4805" t="s">
        <v>26</v>
      </c>
      <c r="E159" s="4905" t="s">
        <v>22</v>
      </c>
      <c r="F159" s="4885" t="s">
        <v>27</v>
      </c>
      <c r="G159" s="4867" t="s">
        <v>22</v>
      </c>
      <c r="H159" s="600" t="s">
        <v>27</v>
      </c>
      <c r="I159" s="606" t="s">
        <v>22</v>
      </c>
      <c r="J159" s="600" t="s">
        <v>27</v>
      </c>
      <c r="K159" s="606" t="s">
        <v>22</v>
      </c>
      <c r="L159" s="600" t="s">
        <v>27</v>
      </c>
      <c r="M159" s="606" t="s">
        <v>22</v>
      </c>
      <c r="N159" s="600" t="s">
        <v>27</v>
      </c>
      <c r="O159" s="606" t="s">
        <v>22</v>
      </c>
      <c r="P159" s="600" t="s">
        <v>27</v>
      </c>
      <c r="Q159" s="606" t="s">
        <v>22</v>
      </c>
      <c r="R159" s="600" t="s">
        <v>27</v>
      </c>
      <c r="S159" s="606" t="s">
        <v>22</v>
      </c>
      <c r="T159" s="600" t="s">
        <v>27</v>
      </c>
      <c r="U159" s="606" t="s">
        <v>22</v>
      </c>
      <c r="V159" s="600" t="s">
        <v>27</v>
      </c>
      <c r="W159" s="606" t="s">
        <v>22</v>
      </c>
      <c r="X159" s="600" t="s">
        <v>27</v>
      </c>
      <c r="Y159" s="606" t="s">
        <v>22</v>
      </c>
      <c r="Z159" s="600" t="s">
        <v>27</v>
      </c>
      <c r="AA159" s="606" t="s">
        <v>22</v>
      </c>
      <c r="AB159" s="600" t="s">
        <v>27</v>
      </c>
      <c r="AC159" s="606" t="s">
        <v>22</v>
      </c>
      <c r="AD159" s="600" t="s">
        <v>27</v>
      </c>
      <c r="AE159" s="606" t="s">
        <v>22</v>
      </c>
      <c r="AF159" s="600" t="s">
        <v>27</v>
      </c>
      <c r="AG159" s="606" t="s">
        <v>22</v>
      </c>
      <c r="AH159" s="600" t="s">
        <v>27</v>
      </c>
      <c r="AI159" s="606" t="s">
        <v>22</v>
      </c>
      <c r="AJ159" s="600" t="s">
        <v>27</v>
      </c>
      <c r="AK159" s="606" t="s">
        <v>22</v>
      </c>
      <c r="AL159" s="600" t="s">
        <v>27</v>
      </c>
      <c r="AM159" s="606" t="s">
        <v>22</v>
      </c>
      <c r="AN159" s="600" t="s">
        <v>27</v>
      </c>
      <c r="AO159" s="606" t="s">
        <v>22</v>
      </c>
      <c r="AP159" s="600" t="s">
        <v>27</v>
      </c>
      <c r="AQ159" s="7413"/>
      <c r="AR159" s="7531"/>
      <c r="AS159" s="7570"/>
      <c r="AT159" s="7570"/>
      <c r="AU159" s="7422"/>
      <c r="AV159" s="7573"/>
      <c r="AW159" s="7472"/>
      <c r="CW159"/>
      <c r="CX159"/>
      <c r="CY159"/>
      <c r="CZ159"/>
      <c r="DA159"/>
      <c r="DB159"/>
      <c r="DC159"/>
      <c r="DD159"/>
      <c r="DE159"/>
      <c r="DG159"/>
      <c r="DH159"/>
      <c r="DI159"/>
      <c r="DJ159"/>
      <c r="DK159"/>
      <c r="DL159"/>
      <c r="DM159"/>
    </row>
    <row r="160" spans="1:118" ht="15" customHeight="1" x14ac:dyDescent="0.25">
      <c r="A160" s="7485" t="s">
        <v>840</v>
      </c>
      <c r="B160" s="7563" t="s">
        <v>841</v>
      </c>
      <c r="C160" s="7564"/>
      <c r="D160" s="4880">
        <f t="shared" ref="D160:D170" si="183">SUM(F160)</f>
        <v>0</v>
      </c>
      <c r="E160" s="4906"/>
      <c r="F160" s="4899">
        <f>SUM(AD160+AF160+AH160+AJ160+AL160+AN160+AP160)</f>
        <v>0</v>
      </c>
      <c r="G160" s="4898"/>
      <c r="H160" s="2909"/>
      <c r="I160" s="2909"/>
      <c r="J160" s="2909"/>
      <c r="K160" s="2909"/>
      <c r="L160" s="2909"/>
      <c r="M160" s="2909"/>
      <c r="N160" s="2909"/>
      <c r="O160" s="2909"/>
      <c r="P160" s="2909"/>
      <c r="Q160" s="2909"/>
      <c r="R160" s="2909"/>
      <c r="S160" s="2909"/>
      <c r="T160" s="2909"/>
      <c r="U160" s="2909"/>
      <c r="V160" s="2909"/>
      <c r="W160" s="2909"/>
      <c r="X160" s="2909"/>
      <c r="Y160" s="2909"/>
      <c r="Z160" s="2909"/>
      <c r="AA160" s="2909"/>
      <c r="AB160" s="2909"/>
      <c r="AC160" s="1444"/>
      <c r="AD160" s="185"/>
      <c r="AE160" s="4892"/>
      <c r="AF160" s="185"/>
      <c r="AG160" s="4892"/>
      <c r="AH160" s="185"/>
      <c r="AI160" s="4892"/>
      <c r="AJ160" s="185"/>
      <c r="AK160" s="4892"/>
      <c r="AL160" s="185"/>
      <c r="AM160" s="4892"/>
      <c r="AN160" s="185"/>
      <c r="AO160" s="4892"/>
      <c r="AP160" s="185"/>
      <c r="AQ160" s="619"/>
      <c r="AR160" s="185"/>
      <c r="AS160" s="501"/>
      <c r="AT160" s="501"/>
      <c r="AU160" s="500"/>
      <c r="AV160" s="870"/>
      <c r="AW160" s="870"/>
      <c r="AX160" t="str">
        <f>CW160&amp;CW160&amp;CX160&amp;CY160&amp;CZ160&amp;DA160&amp;DB160&amp;DC160</f>
        <v/>
      </c>
      <c r="CW160"/>
      <c r="CX160" s="1791" t="str">
        <f>IF(AND(D160&gt;0,AR160=""),"  * No olvide digitar la variable  Usuarios con Discapacidad. Digite Cero si no tiene.",IF(AR160&gt;D160," * La variable Usuarios con Discapacidad no pueden superar el Total Ambos Sexos.",""))</f>
        <v/>
      </c>
      <c r="CY160" s="1791" t="str">
        <f>IF(AND(D160&gt;0,AS160=""),"  * No olvide digitar la variable Niños, niñas, adolescentes y jóvenes SENAME. Digite Cero si no tiene.",IF(AS160&gt;D160," * La variable Niños, niñas, adolescentes y jóvenes SENAME no pueden superar el Total Ambos Sexos.",""))</f>
        <v/>
      </c>
      <c r="CZ160" s="1791" t="str">
        <f>IF(AND(D160&gt;0,AT160=""),"  * No olvide digitar la variable Niños, niñas, adolescentes y jóvenes Mejor Niñez. Digite Cero si no tiene.",IF(AT160&gt;D160," * La variable Niños, niñas, adolescentes y jóvenes Mejor Niñez  no pueden superar el Total Ambos Sexos.",""))</f>
        <v/>
      </c>
      <c r="DA160" s="1791" t="str">
        <f>IF(AND(D160&gt;0,AU160=""),"  * No olvide digitar la variable Migrantes. Digite Cero si no tiene.",IF(AU160&gt;D160," * La variable Migrantes no pueden superar el Total Ambos Sexos.",""))</f>
        <v/>
      </c>
      <c r="DB160" s="6045"/>
      <c r="DC160" s="6045"/>
      <c r="DD160"/>
      <c r="DE160"/>
      <c r="DG160"/>
      <c r="DH160" s="1793">
        <f>IF(AND(D160&gt;0,AR160=""),1,IF(AR160&gt;D160,1,0))</f>
        <v>0</v>
      </c>
      <c r="DI160" s="1793">
        <f>IF(AND(D160&gt;0,AS160=""),1,IF(AS160&gt;D160,1,0))</f>
        <v>0</v>
      </c>
      <c r="DJ160" s="1793">
        <f>IF(AND(D160&gt;0,AT160=""),1,IF(AT160&gt;D160,1,0))</f>
        <v>0</v>
      </c>
      <c r="DK160" s="1793">
        <f>IF(AND(D160&gt;0,AU160=""),1,IF(AU160&gt;D160,1,0))</f>
        <v>0</v>
      </c>
      <c r="DL160" s="6045"/>
      <c r="DM160" s="6045"/>
    </row>
    <row r="161" spans="1:117" ht="15" customHeight="1" x14ac:dyDescent="0.25">
      <c r="A161" s="7364"/>
      <c r="B161" s="7541" t="s">
        <v>750</v>
      </c>
      <c r="C161" s="7443"/>
      <c r="D161" s="971">
        <f t="shared" si="183"/>
        <v>0</v>
      </c>
      <c r="E161" s="4907"/>
      <c r="F161" s="4900">
        <f t="shared" ref="F161:F170" si="184">SUM(AD161+AF161+AH161+AJ161+AL161+AN161+AP161)</f>
        <v>0</v>
      </c>
      <c r="G161" s="4319"/>
      <c r="H161" s="3141"/>
      <c r="I161" s="3141"/>
      <c r="J161" s="3141"/>
      <c r="K161" s="3141"/>
      <c r="L161" s="3141"/>
      <c r="M161" s="3141"/>
      <c r="N161" s="3141"/>
      <c r="O161" s="3141"/>
      <c r="P161" s="3141"/>
      <c r="Q161" s="3141"/>
      <c r="R161" s="3141"/>
      <c r="S161" s="3141"/>
      <c r="T161" s="3141"/>
      <c r="U161" s="3141"/>
      <c r="V161" s="3141"/>
      <c r="W161" s="3141"/>
      <c r="X161" s="3141"/>
      <c r="Y161" s="3141"/>
      <c r="Z161" s="3141"/>
      <c r="AA161" s="3141"/>
      <c r="AB161" s="3141"/>
      <c r="AC161" s="4886"/>
      <c r="AD161" s="590"/>
      <c r="AE161" s="2053"/>
      <c r="AF161" s="590"/>
      <c r="AG161" s="2053"/>
      <c r="AH161" s="590"/>
      <c r="AI161" s="2053"/>
      <c r="AJ161" s="590"/>
      <c r="AK161" s="2053"/>
      <c r="AL161" s="590"/>
      <c r="AM161" s="2053"/>
      <c r="AN161" s="590"/>
      <c r="AO161" s="2053"/>
      <c r="AP161" s="590"/>
      <c r="AQ161" s="772"/>
      <c r="AR161" s="590"/>
      <c r="AS161" s="105"/>
      <c r="AT161" s="105"/>
      <c r="AU161" s="648"/>
      <c r="AV161" s="872"/>
      <c r="AW161" s="789"/>
      <c r="AX161" t="str">
        <f t="shared" ref="AX161:AX163" si="185">CW161&amp;CW161&amp;CX161&amp;CY161&amp;CZ161&amp;DA161&amp;DB161&amp;DC161</f>
        <v/>
      </c>
      <c r="CW161"/>
      <c r="CX161" s="1791" t="str">
        <f t="shared" ref="CX161:CX163" si="186">IF(AND(D161&gt;0,AR161=""),"  * No olvide digitar la variable  Usuarios con Discapacidad. Digite Cero si no tiene.",IF(AR161&gt;D161," * La variable Usuarios con Discapacidad no pueden superar el Total Ambos Sexos.",""))</f>
        <v/>
      </c>
      <c r="CY161" s="1791" t="str">
        <f t="shared" ref="CY161:CY163" si="187">IF(AND(D161&gt;0,AS161=""),"  * No olvide digitar la variable Niños, niñas, adolescentes y jóvenes SENAME. Digite Cero si no tiene.",IF(AS161&gt;D161," * La variable Niños, niñas, adolescentes y jóvenes SENAME no pueden superar el Total Ambos Sexos.",""))</f>
        <v/>
      </c>
      <c r="CZ161" s="1791" t="str">
        <f t="shared" ref="CZ161:CZ163" si="188">IF(AND(D161&gt;0,AT161=""),"  * No olvide digitar la variable Niños, niñas, adolescentes y jóvenes Mejor Niñez. Digite Cero si no tiene.",IF(AT161&gt;D161," * La variable Niños, niñas, adolescentes y jóvenes Mejor Niñez  no pueden superar el Total Ambos Sexos.",""))</f>
        <v/>
      </c>
      <c r="DA161" s="1791" t="str">
        <f t="shared" ref="DA161:DA163" si="189">IF(AND(D161&gt;0,AU161=""),"  * No olvide digitar la variable Migrantes. Digite Cero si no tiene.",IF(AU161&gt;D161," * La variable Migrantes no pueden superar el Total Ambos Sexos.",""))</f>
        <v/>
      </c>
      <c r="DB161" s="6045"/>
      <c r="DC161" s="1791" t="str">
        <f>IF(AND(D161&gt;0,AW161=""),"  * No olvide digitar la variable Paciente Diabético en control PSCV. Digite Cero si no tiene.",IF(AW161&gt;D161," * La variable Paciente Diabético en control PSCV no pueden superar el Total Ambos Sexos.",""))</f>
        <v/>
      </c>
      <c r="DD161"/>
      <c r="DE161"/>
      <c r="DG161"/>
      <c r="DH161" s="1793">
        <f t="shared" ref="DH161:DH163" si="190">IF(AND(D161&gt;0,AR161=""),1,IF(AR161&gt;D161,1,0))</f>
        <v>0</v>
      </c>
      <c r="DI161" s="1793">
        <f t="shared" ref="DI161:DI163" si="191">IF(AND(D161&gt;0,AS161=""),1,IF(AS161&gt;D161,1,0))</f>
        <v>0</v>
      </c>
      <c r="DJ161" s="1793">
        <f t="shared" ref="DJ161:DJ163" si="192">IF(AND(D161&gt;0,AT161=""),1,IF(AT161&gt;D161,1,0))</f>
        <v>0</v>
      </c>
      <c r="DK161" s="1793">
        <f t="shared" ref="DK161:DK163" si="193">IF(AND(D161&gt;0,AU161=""),1,IF(AU161&gt;D161,1,0))</f>
        <v>0</v>
      </c>
      <c r="DL161" s="6045"/>
      <c r="DM161" s="1793">
        <f>IF(AND(D161&gt;0,AW161=""),1,IF(AW161&gt;D161,1,0))</f>
        <v>0</v>
      </c>
    </row>
    <row r="162" spans="1:117" ht="15" customHeight="1" x14ac:dyDescent="0.25">
      <c r="A162" s="7364"/>
      <c r="B162" s="7565" t="s">
        <v>748</v>
      </c>
      <c r="C162" s="7405"/>
      <c r="D162" s="971">
        <f t="shared" si="183"/>
        <v>0</v>
      </c>
      <c r="E162" s="4907"/>
      <c r="F162" s="4900">
        <f t="shared" si="184"/>
        <v>0</v>
      </c>
      <c r="G162" s="4319"/>
      <c r="H162" s="3141"/>
      <c r="I162" s="3141"/>
      <c r="J162" s="3141"/>
      <c r="K162" s="3141"/>
      <c r="L162" s="3141"/>
      <c r="M162" s="3141"/>
      <c r="N162" s="3141"/>
      <c r="O162" s="3141"/>
      <c r="P162" s="3141"/>
      <c r="Q162" s="3141"/>
      <c r="R162" s="3141"/>
      <c r="S162" s="3141"/>
      <c r="T162" s="3141"/>
      <c r="U162" s="3141"/>
      <c r="V162" s="3141"/>
      <c r="W162" s="3141"/>
      <c r="X162" s="3141"/>
      <c r="Y162" s="3141"/>
      <c r="Z162" s="3141"/>
      <c r="AA162" s="3141"/>
      <c r="AB162" s="3141"/>
      <c r="AC162" s="4886"/>
      <c r="AD162" s="568"/>
      <c r="AE162" s="2053"/>
      <c r="AF162" s="568"/>
      <c r="AG162" s="2053"/>
      <c r="AH162" s="568"/>
      <c r="AI162" s="2053"/>
      <c r="AJ162" s="568"/>
      <c r="AK162" s="2053"/>
      <c r="AL162" s="568"/>
      <c r="AM162" s="2053"/>
      <c r="AN162" s="568"/>
      <c r="AO162" s="2053"/>
      <c r="AP162" s="568"/>
      <c r="AQ162" s="622"/>
      <c r="AR162" s="630"/>
      <c r="AS162" s="83"/>
      <c r="AT162" s="83"/>
      <c r="AU162" s="648"/>
      <c r="AV162" s="873"/>
      <c r="AW162" s="333"/>
      <c r="AX162" t="str">
        <f t="shared" si="185"/>
        <v/>
      </c>
      <c r="CW162"/>
      <c r="CX162" s="1791" t="str">
        <f t="shared" si="186"/>
        <v/>
      </c>
      <c r="CY162" s="1791" t="str">
        <f t="shared" si="187"/>
        <v/>
      </c>
      <c r="CZ162" s="1791" t="str">
        <f t="shared" si="188"/>
        <v/>
      </c>
      <c r="DA162" s="1791" t="str">
        <f t="shared" si="189"/>
        <v/>
      </c>
      <c r="DB162" s="6045"/>
      <c r="DC162" s="1791" t="str">
        <f>IF(AND(D162&gt;0,AW162=""),"  * No olvide digitar la variable Paciente Diabético en control PSCV. Digite Cero si no tiene.",IF(AW162&gt;D162," * La variable Paciente Diabético en control PSCV no pueden superar el Total Ambos Sexos.",""))</f>
        <v/>
      </c>
      <c r="DD162"/>
      <c r="DE162"/>
      <c r="DG162"/>
      <c r="DH162" s="1793">
        <f t="shared" si="190"/>
        <v>0</v>
      </c>
      <c r="DI162" s="1793">
        <f t="shared" si="191"/>
        <v>0</v>
      </c>
      <c r="DJ162" s="1793">
        <f t="shared" si="192"/>
        <v>0</v>
      </c>
      <c r="DK162" s="1793">
        <f t="shared" si="193"/>
        <v>0</v>
      </c>
      <c r="DL162" s="6045"/>
      <c r="DM162" s="1793">
        <f>IF(AND(D162&gt;0,AW162=""),1,IF(AW162&gt;D162,1,0))</f>
        <v>0</v>
      </c>
    </row>
    <row r="163" spans="1:117" ht="15" customHeight="1" x14ac:dyDescent="0.25">
      <c r="A163" s="7364"/>
      <c r="B163" s="7566" t="s">
        <v>806</v>
      </c>
      <c r="C163" s="7567"/>
      <c r="D163" s="4881">
        <f t="shared" si="183"/>
        <v>0</v>
      </c>
      <c r="E163" s="4907"/>
      <c r="F163" s="2038">
        <f t="shared" si="184"/>
        <v>0</v>
      </c>
      <c r="G163" s="4319"/>
      <c r="H163" s="3141"/>
      <c r="I163" s="3141"/>
      <c r="J163" s="3141"/>
      <c r="K163" s="3141"/>
      <c r="L163" s="3141"/>
      <c r="M163" s="3141"/>
      <c r="N163" s="3141"/>
      <c r="O163" s="3141"/>
      <c r="P163" s="3141"/>
      <c r="Q163" s="3141"/>
      <c r="R163" s="3141"/>
      <c r="S163" s="3141"/>
      <c r="T163" s="3141"/>
      <c r="U163" s="3141"/>
      <c r="V163" s="3141"/>
      <c r="W163" s="3141"/>
      <c r="X163" s="3141"/>
      <c r="Y163" s="3141"/>
      <c r="Z163" s="3141"/>
      <c r="AA163" s="3141"/>
      <c r="AB163" s="3141"/>
      <c r="AC163" s="4886"/>
      <c r="AD163" s="116"/>
      <c r="AE163" s="2053"/>
      <c r="AF163" s="116"/>
      <c r="AG163" s="2053"/>
      <c r="AH163" s="116"/>
      <c r="AI163" s="2053"/>
      <c r="AJ163" s="116"/>
      <c r="AK163" s="2053"/>
      <c r="AL163" s="116"/>
      <c r="AM163" s="2053"/>
      <c r="AN163" s="116"/>
      <c r="AO163" s="2053"/>
      <c r="AP163" s="116"/>
      <c r="AQ163" s="775"/>
      <c r="AR163" s="116"/>
      <c r="AS163" s="117"/>
      <c r="AT163" s="117"/>
      <c r="AU163" s="153"/>
      <c r="AV163" s="875"/>
      <c r="AW163" s="875"/>
      <c r="AX163" t="str">
        <f t="shared" si="185"/>
        <v/>
      </c>
      <c r="CW163"/>
      <c r="CX163" s="1791" t="str">
        <f t="shared" si="186"/>
        <v/>
      </c>
      <c r="CY163" s="1791" t="str">
        <f t="shared" si="187"/>
        <v/>
      </c>
      <c r="CZ163" s="1791" t="str">
        <f t="shared" si="188"/>
        <v/>
      </c>
      <c r="DA163" s="1791" t="str">
        <f t="shared" si="189"/>
        <v/>
      </c>
      <c r="DB163" s="6045"/>
      <c r="DC163" s="6045"/>
      <c r="DD163"/>
      <c r="DE163"/>
      <c r="DG163"/>
      <c r="DH163" s="1793">
        <f t="shared" si="190"/>
        <v>0</v>
      </c>
      <c r="DI163" s="1793">
        <f t="shared" si="191"/>
        <v>0</v>
      </c>
      <c r="DJ163" s="1793">
        <f t="shared" si="192"/>
        <v>0</v>
      </c>
      <c r="DK163" s="1793">
        <f t="shared" si="193"/>
        <v>0</v>
      </c>
      <c r="DL163" s="6045"/>
      <c r="DM163" s="6045"/>
    </row>
    <row r="164" spans="1:117" ht="15" customHeight="1" x14ac:dyDescent="0.25">
      <c r="A164" s="7364"/>
      <c r="B164" s="7485" t="s">
        <v>842</v>
      </c>
      <c r="C164" s="574" t="s">
        <v>24</v>
      </c>
      <c r="D164" s="4882">
        <f t="shared" si="183"/>
        <v>0</v>
      </c>
      <c r="E164" s="4907"/>
      <c r="F164" s="4901">
        <f t="shared" si="184"/>
        <v>0</v>
      </c>
      <c r="G164" s="4319"/>
      <c r="H164" s="3141"/>
      <c r="I164" s="3141"/>
      <c r="J164" s="3141"/>
      <c r="K164" s="3141"/>
      <c r="L164" s="3141"/>
      <c r="M164" s="3141"/>
      <c r="N164" s="3141"/>
      <c r="O164" s="3141"/>
      <c r="P164" s="3141"/>
      <c r="Q164" s="3141"/>
      <c r="R164" s="3141"/>
      <c r="S164" s="3141"/>
      <c r="T164" s="3141"/>
      <c r="U164" s="3141"/>
      <c r="V164" s="3141"/>
      <c r="W164" s="3141"/>
      <c r="X164" s="3141"/>
      <c r="Y164" s="3141"/>
      <c r="Z164" s="3141"/>
      <c r="AA164" s="3141"/>
      <c r="AB164" s="3141"/>
      <c r="AC164" s="4886"/>
      <c r="AD164" s="579">
        <f>SUM(AD165:AD170)</f>
        <v>0</v>
      </c>
      <c r="AE164" s="2053"/>
      <c r="AF164" s="579">
        <f t="shared" ref="AF164:AW164" si="194">SUM(AF165:AF170)</f>
        <v>0</v>
      </c>
      <c r="AG164" s="2053"/>
      <c r="AH164" s="579">
        <f t="shared" si="194"/>
        <v>0</v>
      </c>
      <c r="AI164" s="2053"/>
      <c r="AJ164" s="579">
        <f t="shared" si="194"/>
        <v>0</v>
      </c>
      <c r="AK164" s="2053"/>
      <c r="AL164" s="579">
        <f t="shared" si="194"/>
        <v>0</v>
      </c>
      <c r="AM164" s="2053"/>
      <c r="AN164" s="579">
        <f t="shared" si="194"/>
        <v>0</v>
      </c>
      <c r="AO164" s="2053"/>
      <c r="AP164" s="579">
        <f t="shared" si="194"/>
        <v>0</v>
      </c>
      <c r="AQ164" s="769">
        <f>SUM(AQ165:AQ170)</f>
        <v>0</v>
      </c>
      <c r="AR164" s="579">
        <f t="shared" si="194"/>
        <v>0</v>
      </c>
      <c r="AS164" s="577">
        <f>SUM(AS165:AS170)</f>
        <v>0</v>
      </c>
      <c r="AT164" s="577">
        <f>SUM(AT165:AT170)</f>
        <v>0</v>
      </c>
      <c r="AU164" s="577">
        <f>SUM(AU165:AU170)</f>
        <v>0</v>
      </c>
      <c r="AV164" s="588">
        <f t="shared" si="194"/>
        <v>0</v>
      </c>
      <c r="AW164" s="577">
        <f t="shared" si="194"/>
        <v>0</v>
      </c>
      <c r="CW164"/>
      <c r="CX164"/>
      <c r="CY164"/>
      <c r="CZ164"/>
      <c r="DA164" s="112"/>
      <c r="DB164"/>
      <c r="DC164"/>
      <c r="DD164"/>
      <c r="DE164"/>
      <c r="DG164"/>
      <c r="DH164"/>
      <c r="DI164"/>
      <c r="DJ164"/>
      <c r="DK164"/>
      <c r="DL164"/>
      <c r="DM164"/>
    </row>
    <row r="165" spans="1:117" ht="15" customHeight="1" x14ac:dyDescent="0.25">
      <c r="A165" s="7364"/>
      <c r="B165" s="7364"/>
      <c r="C165" s="770" t="s">
        <v>843</v>
      </c>
      <c r="D165" s="917">
        <f t="shared" si="183"/>
        <v>0</v>
      </c>
      <c r="E165" s="4907"/>
      <c r="F165" s="4902">
        <f>SUM(AD165+AF165+AH165+AJ165+AL165+AN165+AP165)</f>
        <v>0</v>
      </c>
      <c r="G165" s="4319"/>
      <c r="H165" s="3141"/>
      <c r="I165" s="3141"/>
      <c r="J165" s="3141"/>
      <c r="K165" s="3141"/>
      <c r="L165" s="3141"/>
      <c r="M165" s="3141"/>
      <c r="N165" s="3141"/>
      <c r="O165" s="3141"/>
      <c r="P165" s="3141"/>
      <c r="Q165" s="3141"/>
      <c r="R165" s="3141"/>
      <c r="S165" s="3141"/>
      <c r="T165" s="3141"/>
      <c r="U165" s="3141"/>
      <c r="V165" s="3141"/>
      <c r="W165" s="3141"/>
      <c r="X165" s="3141"/>
      <c r="Y165" s="3141"/>
      <c r="Z165" s="3141"/>
      <c r="AA165" s="3141"/>
      <c r="AB165" s="3141"/>
      <c r="AC165" s="4886"/>
      <c r="AD165" s="590"/>
      <c r="AE165" s="2053"/>
      <c r="AF165" s="590"/>
      <c r="AG165" s="2053"/>
      <c r="AH165" s="590"/>
      <c r="AI165" s="2053"/>
      <c r="AJ165" s="590"/>
      <c r="AK165" s="2053"/>
      <c r="AL165" s="590"/>
      <c r="AM165" s="2053"/>
      <c r="AN165" s="590"/>
      <c r="AO165" s="2053"/>
      <c r="AP165" s="590"/>
      <c r="AQ165" s="772"/>
      <c r="AR165" s="590"/>
      <c r="AS165" s="105"/>
      <c r="AT165" s="105"/>
      <c r="AU165" s="105"/>
      <c r="AV165" s="789"/>
      <c r="AW165" s="105"/>
      <c r="AX165" t="str">
        <f t="shared" ref="AX165:AX196" si="195">CW165&amp;CX165&amp;CY165&amp;CZ165&amp;DA165&amp;DB165&amp;DC165&amp;DD165&amp;DE165</f>
        <v/>
      </c>
      <c r="CW165"/>
      <c r="CX165" s="1791" t="str">
        <f t="shared" ref="CX165:CX175" si="196">IF(AND(D165&gt;0,AR165=""),"  * No olvide digitar la variable  Usuarios con Discapacidad. Digite Cero si no tiene.",IF(AR165&gt;D165," * La variable Usuarios con Discapacidad no pueden superar el Total Ambos Sexos.",""))</f>
        <v/>
      </c>
      <c r="CY165" s="1791" t="str">
        <f t="shared" ref="CY165:CY175" si="197">IF(AND(D165&gt;0,AS165=""),"  * No olvide digitar la variable Niños, niñas, adolescentes y jóvenes SENAME. Digite Cero si no tiene.",IF(AS165&gt;D165," * La variable Niños, niñas, adolescentes y jóvenes SENAME no pueden superar el Total Ambos Sexos.",""))</f>
        <v/>
      </c>
      <c r="CZ165" s="1791" t="str">
        <f t="shared" ref="CZ165:CZ175" si="198">IF(AND(D165&gt;0,AT165=""),"  * No olvide digitar la variable Niños, niñas, adolescentes y jóvenes Mejor Niñez. Digite Cero si no tiene.",IF(AT165&gt;D165," * La variable Niños, niñas, adolescentes y jóvenes Mejor Niñez  no pueden superar el Total Ambos Sexos.",""))</f>
        <v/>
      </c>
      <c r="DA165" s="1791" t="str">
        <f t="shared" ref="DA165:DA175" si="199">IF(AND(D165&gt;0,AU165=""),"  * No olvide digitar la variable Migrantes. Digite Cero si no tiene.",IF(AU165&gt;D165," * La variable Migrantes no pueden superar el Total Ambos Sexos.",""))</f>
        <v/>
      </c>
      <c r="DB165" s="1791" t="str">
        <f>IF(AND($D165&gt;0,AV165=""),"  * No olvide digitar la variable Egreso por Abandono. Digite Cero si no tiene.",IF(AV165&gt;$D165," * La variable Egreso por Abandono no pueden superar el Total Ambos Sexos.",""))</f>
        <v/>
      </c>
      <c r="DC165" s="1791" t="str">
        <f t="shared" ref="DC165:DC175" si="200">IF(AND(D165&gt;0,AW165=""),"  * No olvide digitar la variable Paciente Diabético en control PSCV. Digite Cero si no tiene.",IF(AW165&gt;D165," * La variable Paciente Diabético en control PSCV no pueden superar el Total Ambos Sexos.",""))</f>
        <v/>
      </c>
      <c r="DD165"/>
      <c r="DE165"/>
      <c r="DG165"/>
      <c r="DH165" s="1793">
        <f>IF(AND(D165&gt;0,AR165=""),1,IF(AR165&gt;D165,1,0))</f>
        <v>0</v>
      </c>
      <c r="DI165" s="1793">
        <f>IF(AND(D165&gt;0,AS165=""),1,IF(AS165&gt;D165,1,0))</f>
        <v>0</v>
      </c>
      <c r="DJ165" s="1793">
        <f>IF(AND(D165&gt;0,AT165=""),1,IF(AT165&gt;D165,1,0))</f>
        <v>0</v>
      </c>
      <c r="DK165" s="1793">
        <f>IF(AND(D165&gt;0,AU165=""),1,IF(AU165&gt;D165,1,0))</f>
        <v>0</v>
      </c>
      <c r="DL165" s="1793">
        <f>IF(AND(D165&gt;0,AV165=""),1,IF(AV165&gt;D165,1,0))</f>
        <v>0</v>
      </c>
      <c r="DM165" s="1793">
        <f>IF(AND(D165&gt;0,AW165=""),1,IF(AW165&gt;D165,1,0))</f>
        <v>0</v>
      </c>
    </row>
    <row r="166" spans="1:117" ht="15" customHeight="1" x14ac:dyDescent="0.25">
      <c r="A166" s="7364"/>
      <c r="B166" s="7364"/>
      <c r="C166" s="609" t="s">
        <v>844</v>
      </c>
      <c r="D166" s="917">
        <f t="shared" si="183"/>
        <v>0</v>
      </c>
      <c r="E166" s="4907"/>
      <c r="F166" s="4900">
        <f t="shared" si="184"/>
        <v>0</v>
      </c>
      <c r="G166" s="4319"/>
      <c r="H166" s="3141"/>
      <c r="I166" s="3141"/>
      <c r="J166" s="3141"/>
      <c r="K166" s="3141"/>
      <c r="L166" s="3141"/>
      <c r="M166" s="3141"/>
      <c r="N166" s="3141"/>
      <c r="O166" s="3141"/>
      <c r="P166" s="3141"/>
      <c r="Q166" s="3141"/>
      <c r="R166" s="3141"/>
      <c r="S166" s="3141"/>
      <c r="T166" s="3141"/>
      <c r="U166" s="3141"/>
      <c r="V166" s="3141"/>
      <c r="W166" s="3141"/>
      <c r="X166" s="3141"/>
      <c r="Y166" s="3141"/>
      <c r="Z166" s="3141"/>
      <c r="AA166" s="3141"/>
      <c r="AB166" s="3141"/>
      <c r="AC166" s="4886"/>
      <c r="AD166" s="590"/>
      <c r="AE166" s="2053"/>
      <c r="AF166" s="590"/>
      <c r="AG166" s="2053"/>
      <c r="AH166" s="590"/>
      <c r="AI166" s="2053"/>
      <c r="AJ166" s="590"/>
      <c r="AK166" s="2053"/>
      <c r="AL166" s="590"/>
      <c r="AM166" s="2053"/>
      <c r="AN166" s="590"/>
      <c r="AO166" s="2053"/>
      <c r="AP166" s="590"/>
      <c r="AQ166" s="772"/>
      <c r="AR166" s="590"/>
      <c r="AS166" s="105"/>
      <c r="AT166" s="105"/>
      <c r="AU166" s="105"/>
      <c r="AV166" s="789"/>
      <c r="AW166" s="105"/>
      <c r="AX166" t="str">
        <f t="shared" si="195"/>
        <v/>
      </c>
      <c r="CW166"/>
      <c r="CX166" s="1791" t="str">
        <f t="shared" si="196"/>
        <v/>
      </c>
      <c r="CY166" s="1791" t="str">
        <f t="shared" si="197"/>
        <v/>
      </c>
      <c r="CZ166" s="1791" t="str">
        <f t="shared" si="198"/>
        <v/>
      </c>
      <c r="DA166" s="1791" t="str">
        <f t="shared" si="199"/>
        <v/>
      </c>
      <c r="DB166" s="1791" t="str">
        <f t="shared" ref="DB166:DB170" si="201">IF(AND($D166&gt;0,AV166=""),"  * No olvide digitar la variable Egreso por Abandono. Digite Cero si no tiene.",IF(AV166&gt;$D166," * La variable Egreso por Abandono no pueden superar el Total Ambos Sexos.",""))</f>
        <v/>
      </c>
      <c r="DC166" s="1791" t="str">
        <f t="shared" si="200"/>
        <v/>
      </c>
      <c r="DD166"/>
      <c r="DE166"/>
      <c r="DG166"/>
      <c r="DH166" s="1793">
        <f t="shared" ref="DH166:DH170" si="202">IF(AND(D166&gt;0,AR166=""),1,IF(AR166&gt;D166,1,0))</f>
        <v>0</v>
      </c>
      <c r="DI166" s="1793">
        <f t="shared" ref="DI166:DI170" si="203">IF(AND(D166&gt;0,AS166=""),1,IF(AS166&gt;D166,1,0))</f>
        <v>0</v>
      </c>
      <c r="DJ166" s="1793">
        <f t="shared" ref="DJ166:DJ170" si="204">IF(AND(D166&gt;0,AT166=""),1,IF(AT166&gt;D166,1,0))</f>
        <v>0</v>
      </c>
      <c r="DK166" s="1793">
        <f t="shared" ref="DK166:DK170" si="205">IF(AND(D166&gt;0,AU166=""),1,IF(AU166&gt;D166,1,0))</f>
        <v>0</v>
      </c>
      <c r="DL166" s="1793">
        <f t="shared" ref="DL166:DL170" si="206">IF(AND(D166&gt;0,AV166=""),1,IF(AV166&gt;D166,1,0))</f>
        <v>0</v>
      </c>
      <c r="DM166" s="1793">
        <f t="shared" ref="DM166:DM170" si="207">IF(AND(D166&gt;0,AW166=""),1,IF(AW166&gt;D166,1,0))</f>
        <v>0</v>
      </c>
    </row>
    <row r="167" spans="1:117" ht="15" customHeight="1" x14ac:dyDescent="0.25">
      <c r="A167" s="7364"/>
      <c r="B167" s="7364"/>
      <c r="C167" s="770" t="s">
        <v>845</v>
      </c>
      <c r="D167" s="917">
        <f t="shared" si="183"/>
        <v>0</v>
      </c>
      <c r="E167" s="4907"/>
      <c r="F167" s="4900">
        <f t="shared" si="184"/>
        <v>0</v>
      </c>
      <c r="G167" s="4319"/>
      <c r="H167" s="3141"/>
      <c r="I167" s="3141"/>
      <c r="J167" s="3141"/>
      <c r="K167" s="3141"/>
      <c r="L167" s="3141"/>
      <c r="M167" s="3141"/>
      <c r="N167" s="3141"/>
      <c r="O167" s="3141"/>
      <c r="P167" s="3141"/>
      <c r="Q167" s="3141"/>
      <c r="R167" s="3141"/>
      <c r="S167" s="3141"/>
      <c r="T167" s="3141"/>
      <c r="U167" s="3141"/>
      <c r="V167" s="3141"/>
      <c r="W167" s="3141"/>
      <c r="X167" s="3141"/>
      <c r="Y167" s="3141"/>
      <c r="Z167" s="3141"/>
      <c r="AA167" s="3141"/>
      <c r="AB167" s="3141"/>
      <c r="AC167" s="4886"/>
      <c r="AD167" s="590"/>
      <c r="AE167" s="2053"/>
      <c r="AF167" s="590"/>
      <c r="AG167" s="2053"/>
      <c r="AH167" s="590"/>
      <c r="AI167" s="2053"/>
      <c r="AJ167" s="590"/>
      <c r="AK167" s="2053"/>
      <c r="AL167" s="590"/>
      <c r="AM167" s="2053"/>
      <c r="AN167" s="590"/>
      <c r="AO167" s="2053"/>
      <c r="AP167" s="590"/>
      <c r="AQ167" s="772"/>
      <c r="AR167" s="590"/>
      <c r="AS167" s="105"/>
      <c r="AT167" s="105"/>
      <c r="AU167" s="105"/>
      <c r="AV167" s="789"/>
      <c r="AW167" s="105"/>
      <c r="AX167" t="str">
        <f t="shared" si="195"/>
        <v/>
      </c>
      <c r="CW167"/>
      <c r="CX167" s="1791" t="str">
        <f t="shared" si="196"/>
        <v/>
      </c>
      <c r="CY167" s="1791" t="str">
        <f t="shared" si="197"/>
        <v/>
      </c>
      <c r="CZ167" s="1791" t="str">
        <f t="shared" si="198"/>
        <v/>
      </c>
      <c r="DA167" s="1791" t="str">
        <f t="shared" si="199"/>
        <v/>
      </c>
      <c r="DB167" s="1791" t="str">
        <f t="shared" si="201"/>
        <v/>
      </c>
      <c r="DC167" s="1791" t="str">
        <f t="shared" si="200"/>
        <v/>
      </c>
      <c r="DD167"/>
      <c r="DE167"/>
      <c r="DG167"/>
      <c r="DH167" s="1793">
        <f t="shared" si="202"/>
        <v>0</v>
      </c>
      <c r="DI167" s="1793">
        <f t="shared" si="203"/>
        <v>0</v>
      </c>
      <c r="DJ167" s="1793">
        <f t="shared" si="204"/>
        <v>0</v>
      </c>
      <c r="DK167" s="1793">
        <f t="shared" si="205"/>
        <v>0</v>
      </c>
      <c r="DL167" s="1793">
        <f t="shared" si="206"/>
        <v>0</v>
      </c>
      <c r="DM167" s="1793">
        <f t="shared" si="207"/>
        <v>0</v>
      </c>
    </row>
    <row r="168" spans="1:117" ht="15" customHeight="1" x14ac:dyDescent="0.25">
      <c r="A168" s="7364"/>
      <c r="B168" s="7364"/>
      <c r="C168" s="770" t="s">
        <v>846</v>
      </c>
      <c r="D168" s="917">
        <f t="shared" si="183"/>
        <v>0</v>
      </c>
      <c r="E168" s="4907"/>
      <c r="F168" s="4900">
        <f t="shared" si="184"/>
        <v>0</v>
      </c>
      <c r="G168" s="4319"/>
      <c r="H168" s="3141"/>
      <c r="I168" s="3141"/>
      <c r="J168" s="3141"/>
      <c r="K168" s="3141"/>
      <c r="L168" s="3141"/>
      <c r="M168" s="3141"/>
      <c r="N168" s="3141"/>
      <c r="O168" s="3141"/>
      <c r="P168" s="3141"/>
      <c r="Q168" s="3141"/>
      <c r="R168" s="3141"/>
      <c r="S168" s="3141"/>
      <c r="T168" s="3141"/>
      <c r="U168" s="3141"/>
      <c r="V168" s="3141"/>
      <c r="W168" s="3141"/>
      <c r="X168" s="3141"/>
      <c r="Y168" s="3141"/>
      <c r="Z168" s="3141"/>
      <c r="AA168" s="3141"/>
      <c r="AB168" s="3141"/>
      <c r="AC168" s="4886"/>
      <c r="AD168" s="590"/>
      <c r="AE168" s="2053"/>
      <c r="AF168" s="590"/>
      <c r="AG168" s="2053"/>
      <c r="AH168" s="590"/>
      <c r="AI168" s="2053"/>
      <c r="AJ168" s="590"/>
      <c r="AK168" s="2053"/>
      <c r="AL168" s="590"/>
      <c r="AM168" s="2053"/>
      <c r="AN168" s="590"/>
      <c r="AO168" s="2053"/>
      <c r="AP168" s="590"/>
      <c r="AQ168" s="772"/>
      <c r="AR168" s="648"/>
      <c r="AS168" s="105"/>
      <c r="AT168" s="105"/>
      <c r="AU168" s="105"/>
      <c r="AV168" s="789"/>
      <c r="AW168" s="105"/>
      <c r="AX168" t="str">
        <f t="shared" si="195"/>
        <v/>
      </c>
      <c r="CW168"/>
      <c r="CX168" s="1791" t="str">
        <f t="shared" si="196"/>
        <v/>
      </c>
      <c r="CY168" s="1791" t="str">
        <f t="shared" si="197"/>
        <v/>
      </c>
      <c r="CZ168" s="1791" t="str">
        <f t="shared" si="198"/>
        <v/>
      </c>
      <c r="DA168" s="1791" t="str">
        <f t="shared" si="199"/>
        <v/>
      </c>
      <c r="DB168" s="1791" t="str">
        <f t="shared" si="201"/>
        <v/>
      </c>
      <c r="DC168" s="1791" t="str">
        <f t="shared" si="200"/>
        <v/>
      </c>
      <c r="DD168"/>
      <c r="DE168"/>
      <c r="DG168"/>
      <c r="DH168" s="1793">
        <f t="shared" si="202"/>
        <v>0</v>
      </c>
      <c r="DI168" s="1793">
        <f t="shared" si="203"/>
        <v>0</v>
      </c>
      <c r="DJ168" s="1793">
        <f t="shared" si="204"/>
        <v>0</v>
      </c>
      <c r="DK168" s="1793">
        <f t="shared" si="205"/>
        <v>0</v>
      </c>
      <c r="DL168" s="1793">
        <f t="shared" si="206"/>
        <v>0</v>
      </c>
      <c r="DM168" s="1793">
        <f t="shared" si="207"/>
        <v>0</v>
      </c>
    </row>
    <row r="169" spans="1:117" ht="15" customHeight="1" x14ac:dyDescent="0.25">
      <c r="A169" s="7364"/>
      <c r="B169" s="7364"/>
      <c r="C169" s="609" t="s">
        <v>847</v>
      </c>
      <c r="D169" s="917">
        <f t="shared" si="183"/>
        <v>0</v>
      </c>
      <c r="E169" s="4907"/>
      <c r="F169" s="4900">
        <f t="shared" si="184"/>
        <v>0</v>
      </c>
      <c r="G169" s="4319"/>
      <c r="H169" s="3141"/>
      <c r="I169" s="3141"/>
      <c r="J169" s="3141"/>
      <c r="K169" s="3141"/>
      <c r="L169" s="3141"/>
      <c r="M169" s="3141"/>
      <c r="N169" s="3141"/>
      <c r="O169" s="3141"/>
      <c r="P169" s="3141"/>
      <c r="Q169" s="3141"/>
      <c r="R169" s="3141"/>
      <c r="S169" s="3141"/>
      <c r="T169" s="3141"/>
      <c r="U169" s="3141"/>
      <c r="V169" s="3141"/>
      <c r="W169" s="3141"/>
      <c r="X169" s="3141"/>
      <c r="Y169" s="3141"/>
      <c r="Z169" s="3141"/>
      <c r="AA169" s="3141"/>
      <c r="AB169" s="3141"/>
      <c r="AC169" s="4886"/>
      <c r="AD169" s="590"/>
      <c r="AE169" s="2053"/>
      <c r="AF169" s="590"/>
      <c r="AG169" s="2053"/>
      <c r="AH169" s="590"/>
      <c r="AI169" s="2053"/>
      <c r="AJ169" s="590"/>
      <c r="AK169" s="2053"/>
      <c r="AL169" s="590"/>
      <c r="AM169" s="2053"/>
      <c r="AN169" s="590"/>
      <c r="AO169" s="2053"/>
      <c r="AP169" s="590"/>
      <c r="AQ169" s="622"/>
      <c r="AR169" s="789"/>
      <c r="AS169" s="83"/>
      <c r="AT169" s="83"/>
      <c r="AU169" s="105"/>
      <c r="AV169" s="789"/>
      <c r="AW169" s="105"/>
      <c r="AX169" t="str">
        <f t="shared" si="195"/>
        <v/>
      </c>
      <c r="CW169"/>
      <c r="CX169" s="1791" t="str">
        <f t="shared" si="196"/>
        <v/>
      </c>
      <c r="CY169" s="1791" t="str">
        <f t="shared" si="197"/>
        <v/>
      </c>
      <c r="CZ169" s="1791" t="str">
        <f t="shared" si="198"/>
        <v/>
      </c>
      <c r="DA169" s="1791" t="str">
        <f t="shared" si="199"/>
        <v/>
      </c>
      <c r="DB169" s="1791" t="str">
        <f t="shared" si="201"/>
        <v/>
      </c>
      <c r="DC169" s="1791" t="str">
        <f t="shared" si="200"/>
        <v/>
      </c>
      <c r="DD169"/>
      <c r="DE169"/>
      <c r="DG169"/>
      <c r="DH169" s="1793">
        <f t="shared" si="202"/>
        <v>0</v>
      </c>
      <c r="DI169" s="1793">
        <f t="shared" si="203"/>
        <v>0</v>
      </c>
      <c r="DJ169" s="1793">
        <f t="shared" si="204"/>
        <v>0</v>
      </c>
      <c r="DK169" s="1793">
        <f t="shared" si="205"/>
        <v>0</v>
      </c>
      <c r="DL169" s="1793">
        <f t="shared" si="206"/>
        <v>0</v>
      </c>
      <c r="DM169" s="1793">
        <f t="shared" si="207"/>
        <v>0</v>
      </c>
    </row>
    <row r="170" spans="1:117" ht="15" customHeight="1" x14ac:dyDescent="0.25">
      <c r="A170" s="7480"/>
      <c r="B170" s="7480"/>
      <c r="C170" s="770" t="s">
        <v>848</v>
      </c>
      <c r="D170" s="4881">
        <f t="shared" si="183"/>
        <v>0</v>
      </c>
      <c r="E170" s="4908"/>
      <c r="F170" s="4903">
        <f t="shared" si="184"/>
        <v>0</v>
      </c>
      <c r="G170" s="4319"/>
      <c r="H170" s="3141"/>
      <c r="I170" s="3141"/>
      <c r="J170" s="3141"/>
      <c r="K170" s="3141"/>
      <c r="L170" s="3141"/>
      <c r="M170" s="3141"/>
      <c r="N170" s="3141"/>
      <c r="O170" s="3141"/>
      <c r="P170" s="3141"/>
      <c r="Q170" s="3141"/>
      <c r="R170" s="3141"/>
      <c r="S170" s="3141"/>
      <c r="T170" s="3141"/>
      <c r="U170" s="3141"/>
      <c r="V170" s="3141"/>
      <c r="W170" s="3141"/>
      <c r="X170" s="3141"/>
      <c r="Y170" s="3141"/>
      <c r="Z170" s="3141"/>
      <c r="AA170" s="3141"/>
      <c r="AB170" s="3141"/>
      <c r="AC170" s="4887"/>
      <c r="AD170" s="568"/>
      <c r="AE170" s="3911"/>
      <c r="AF170" s="568"/>
      <c r="AG170" s="3911"/>
      <c r="AH170" s="568"/>
      <c r="AI170" s="3911"/>
      <c r="AJ170" s="568"/>
      <c r="AK170" s="3911"/>
      <c r="AL170" s="568"/>
      <c r="AM170" s="3911"/>
      <c r="AN170" s="568"/>
      <c r="AO170" s="3911"/>
      <c r="AP170" s="568"/>
      <c r="AQ170" s="877"/>
      <c r="AR170" s="568"/>
      <c r="AS170" s="878"/>
      <c r="AT170" s="878"/>
      <c r="AU170" s="878"/>
      <c r="AV170" s="333"/>
      <c r="AW170" s="153"/>
      <c r="AX170" t="str">
        <f t="shared" si="195"/>
        <v/>
      </c>
      <c r="CW170"/>
      <c r="CX170" s="1791" t="str">
        <f t="shared" si="196"/>
        <v/>
      </c>
      <c r="CY170" s="1791" t="str">
        <f t="shared" si="197"/>
        <v/>
      </c>
      <c r="CZ170" s="1791" t="str">
        <f t="shared" si="198"/>
        <v/>
      </c>
      <c r="DA170" s="1791" t="str">
        <f t="shared" si="199"/>
        <v/>
      </c>
      <c r="DB170" s="1791" t="str">
        <f t="shared" si="201"/>
        <v/>
      </c>
      <c r="DC170" s="1791" t="str">
        <f t="shared" si="200"/>
        <v/>
      </c>
      <c r="DD170"/>
      <c r="DE170"/>
      <c r="DG170"/>
      <c r="DH170" s="1793">
        <f t="shared" si="202"/>
        <v>0</v>
      </c>
      <c r="DI170" s="1793">
        <f t="shared" si="203"/>
        <v>0</v>
      </c>
      <c r="DJ170" s="1793">
        <f t="shared" si="204"/>
        <v>0</v>
      </c>
      <c r="DK170" s="1793">
        <f t="shared" si="205"/>
        <v>0</v>
      </c>
      <c r="DL170" s="1793">
        <f t="shared" si="206"/>
        <v>0</v>
      </c>
      <c r="DM170" s="1793">
        <f t="shared" si="207"/>
        <v>0</v>
      </c>
    </row>
    <row r="171" spans="1:117" ht="15" customHeight="1" x14ac:dyDescent="0.25">
      <c r="A171" s="7485" t="s">
        <v>849</v>
      </c>
      <c r="B171" s="7485" t="s">
        <v>850</v>
      </c>
      <c r="C171" s="879" t="s">
        <v>750</v>
      </c>
      <c r="D171" s="917">
        <f t="shared" ref="D171:D175" si="208">SUM(E171)</f>
        <v>0</v>
      </c>
      <c r="E171" s="4909">
        <f>SUM(AC171+AE171+AG171+AI171+AK171+AM171+AO171)</f>
        <v>0</v>
      </c>
      <c r="F171" s="4871"/>
      <c r="G171" s="2009"/>
      <c r="H171" s="4889"/>
      <c r="I171" s="4889"/>
      <c r="J171" s="4890"/>
      <c r="K171" s="4889"/>
      <c r="L171" s="4889"/>
      <c r="M171" s="4889"/>
      <c r="N171" s="4890"/>
      <c r="O171" s="4889"/>
      <c r="P171" s="4889"/>
      <c r="Q171" s="4889"/>
      <c r="R171" s="4890"/>
      <c r="S171" s="4889"/>
      <c r="T171" s="4889"/>
      <c r="U171" s="4889"/>
      <c r="V171" s="4890"/>
      <c r="W171" s="4889"/>
      <c r="X171" s="4889"/>
      <c r="Y171" s="4889"/>
      <c r="Z171" s="4890"/>
      <c r="AA171" s="4889"/>
      <c r="AB171" s="4891"/>
      <c r="AC171" s="484"/>
      <c r="AD171" s="880"/>
      <c r="AE171" s="484"/>
      <c r="AF171" s="880"/>
      <c r="AG171" s="484"/>
      <c r="AH171" s="880"/>
      <c r="AI171" s="484"/>
      <c r="AJ171" s="880"/>
      <c r="AK171" s="484"/>
      <c r="AL171" s="880"/>
      <c r="AM171" s="484"/>
      <c r="AN171" s="880"/>
      <c r="AO171" s="484"/>
      <c r="AP171" s="880"/>
      <c r="AQ171" s="619"/>
      <c r="AR171" s="501"/>
      <c r="AS171" s="501"/>
      <c r="AT171" s="501"/>
      <c r="AU171" s="501"/>
      <c r="AV171" s="870"/>
      <c r="AW171" s="105"/>
      <c r="AX171" t="str">
        <f t="shared" si="195"/>
        <v/>
      </c>
      <c r="CW171"/>
      <c r="CX171" s="1791" t="str">
        <f t="shared" si="196"/>
        <v/>
      </c>
      <c r="CY171" s="1791" t="str">
        <f t="shared" si="197"/>
        <v/>
      </c>
      <c r="CZ171" s="1791" t="str">
        <f t="shared" si="198"/>
        <v/>
      </c>
      <c r="DA171" s="1791" t="str">
        <f t="shared" si="199"/>
        <v/>
      </c>
      <c r="DB171" s="6135"/>
      <c r="DC171" s="1791" t="str">
        <f t="shared" si="200"/>
        <v/>
      </c>
      <c r="DD171"/>
      <c r="DE171"/>
      <c r="DG171"/>
      <c r="DH171" s="1793">
        <f>IF(AND(D171&gt;0,AR171=""),1,IF(AR171&gt;D171,1,0))</f>
        <v>0</v>
      </c>
      <c r="DI171" s="1793">
        <f>IF(AND(D171&gt;0,AS171=""),1,IF(AS171&gt;D171,1,0))</f>
        <v>0</v>
      </c>
      <c r="DJ171" s="1793">
        <f>IF(AND(D171&gt;0,AT171=""),1,IF(AT171&gt;D171,1,0))</f>
        <v>0</v>
      </c>
      <c r="DK171" s="1793">
        <f>IF(AND(D171&gt;0,AU171=""),1,IF(AU171&gt;D171,1,0))</f>
        <v>0</v>
      </c>
      <c r="DL171" s="6135"/>
      <c r="DM171" s="1793">
        <f>IF(AND(D171&gt;0,AW171=""),1,IF(AW171&gt;D171,1,0))</f>
        <v>0</v>
      </c>
    </row>
    <row r="172" spans="1:117" ht="15" customHeight="1" x14ac:dyDescent="0.25">
      <c r="A172" s="7364"/>
      <c r="B172" s="7364"/>
      <c r="C172" s="609" t="s">
        <v>851</v>
      </c>
      <c r="D172" s="917">
        <f t="shared" si="208"/>
        <v>0</v>
      </c>
      <c r="E172" s="4910">
        <f>SUM(AC172+AE172+AG172+AI172+AK172+AM172+AO172)</f>
        <v>0</v>
      </c>
      <c r="F172" s="4872"/>
      <c r="G172" s="4319"/>
      <c r="H172" s="3141"/>
      <c r="I172" s="3141"/>
      <c r="J172" s="4886"/>
      <c r="K172" s="3141"/>
      <c r="L172" s="3141"/>
      <c r="M172" s="3141"/>
      <c r="N172" s="4886"/>
      <c r="O172" s="3141"/>
      <c r="P172" s="3141"/>
      <c r="Q172" s="3141"/>
      <c r="R172" s="4886"/>
      <c r="S172" s="3141"/>
      <c r="T172" s="3141"/>
      <c r="U172" s="3141"/>
      <c r="V172" s="4886"/>
      <c r="W172" s="3141"/>
      <c r="X172" s="3141"/>
      <c r="Y172" s="3141"/>
      <c r="Z172" s="4886"/>
      <c r="AA172" s="3141"/>
      <c r="AB172" s="2054"/>
      <c r="AC172" s="620"/>
      <c r="AD172" s="881"/>
      <c r="AE172" s="620"/>
      <c r="AF172" s="881"/>
      <c r="AG172" s="620"/>
      <c r="AH172" s="881"/>
      <c r="AI172" s="620"/>
      <c r="AJ172" s="881"/>
      <c r="AK172" s="620"/>
      <c r="AL172" s="881"/>
      <c r="AM172" s="620"/>
      <c r="AN172" s="881"/>
      <c r="AO172" s="620"/>
      <c r="AP172" s="881"/>
      <c r="AQ172" s="622"/>
      <c r="AR172" s="105"/>
      <c r="AS172" s="83"/>
      <c r="AT172" s="83"/>
      <c r="AU172" s="105"/>
      <c r="AV172" s="789"/>
      <c r="AW172" s="105"/>
      <c r="AX172" t="str">
        <f t="shared" si="195"/>
        <v/>
      </c>
      <c r="CW172"/>
      <c r="CX172" s="1791" t="str">
        <f t="shared" si="196"/>
        <v/>
      </c>
      <c r="CY172" s="1791" t="str">
        <f t="shared" si="197"/>
        <v/>
      </c>
      <c r="CZ172" s="1791" t="str">
        <f t="shared" si="198"/>
        <v/>
      </c>
      <c r="DA172" s="1791" t="str">
        <f t="shared" si="199"/>
        <v/>
      </c>
      <c r="DB172" s="1791" t="str">
        <f>IF(AND($D172&gt;0,AV172=""),"  * No olvide digitar la variable Egreso por Abandono. Digite Cero si no tiene.",IF(AV172&gt;$D172," * La variable Egreso por Abandono no pueden superar el Total Ambos Sexos.",""))</f>
        <v/>
      </c>
      <c r="DC172" s="1791" t="str">
        <f t="shared" si="200"/>
        <v/>
      </c>
      <c r="DD172"/>
      <c r="DE172"/>
      <c r="DG172"/>
      <c r="DH172" s="1793">
        <f t="shared" ref="DH172:DH175" si="209">IF(AND(D172&gt;0,AR172=""),1,IF(AR172&gt;D172,1,0))</f>
        <v>0</v>
      </c>
      <c r="DI172" s="1793">
        <f t="shared" ref="DI172:DI175" si="210">IF(AND(D172&gt;0,AS172=""),1,IF(AS172&gt;D172,1,0))</f>
        <v>0</v>
      </c>
      <c r="DJ172" s="1793">
        <f t="shared" ref="DJ172:DJ175" si="211">IF(AND(D172&gt;0,AT172=""),1,IF(AT172&gt;D172,1,0))</f>
        <v>0</v>
      </c>
      <c r="DK172" s="1793">
        <f t="shared" ref="DK172:DK175" si="212">IF(AND(D172&gt;0,AU172=""),1,IF(AU172&gt;D172,1,0))</f>
        <v>0</v>
      </c>
      <c r="DL172" s="1793">
        <f t="shared" ref="DL172" si="213">IF(AND(D172&gt;0,AV172=""),1,IF(AV172&gt;D172,1,0))</f>
        <v>0</v>
      </c>
      <c r="DM172" s="1793">
        <f t="shared" ref="DM172:DM175" si="214">IF(AND(D172&gt;0,AW172=""),1,IF(AW172&gt;D172,1,0))</f>
        <v>0</v>
      </c>
    </row>
    <row r="173" spans="1:117" ht="15" customHeight="1" x14ac:dyDescent="0.25">
      <c r="A173" s="7364"/>
      <c r="B173" s="7364"/>
      <c r="C173" s="882" t="s">
        <v>852</v>
      </c>
      <c r="D173" s="917">
        <f t="shared" si="208"/>
        <v>0</v>
      </c>
      <c r="E173" s="4910">
        <f>SUM(AC173+AE173+AG173+AI173+AK173+AM173+AO173)</f>
        <v>0</v>
      </c>
      <c r="F173" s="3612"/>
      <c r="G173" s="4319"/>
      <c r="H173" s="3141"/>
      <c r="I173" s="3141"/>
      <c r="J173" s="4886"/>
      <c r="K173" s="3141"/>
      <c r="L173" s="3141"/>
      <c r="M173" s="3141"/>
      <c r="N173" s="4886"/>
      <c r="O173" s="3141"/>
      <c r="P173" s="3141"/>
      <c r="Q173" s="3141"/>
      <c r="R173" s="4886"/>
      <c r="S173" s="3141"/>
      <c r="T173" s="3141"/>
      <c r="U173" s="3141"/>
      <c r="V173" s="4886"/>
      <c r="W173" s="3141"/>
      <c r="X173" s="3141"/>
      <c r="Y173" s="3141"/>
      <c r="Z173" s="4886"/>
      <c r="AA173" s="3141"/>
      <c r="AB173" s="2054"/>
      <c r="AC173" s="620"/>
      <c r="AD173" s="881"/>
      <c r="AE173" s="620"/>
      <c r="AF173" s="881"/>
      <c r="AG173" s="620"/>
      <c r="AH173" s="881"/>
      <c r="AI173" s="620"/>
      <c r="AJ173" s="881"/>
      <c r="AK173" s="620"/>
      <c r="AL173" s="881"/>
      <c r="AM173" s="620"/>
      <c r="AN173" s="881"/>
      <c r="AO173" s="620"/>
      <c r="AP173" s="881"/>
      <c r="AQ173" s="622"/>
      <c r="AR173" s="83"/>
      <c r="AS173" s="83"/>
      <c r="AT173" s="83"/>
      <c r="AU173" s="105"/>
      <c r="AV173" s="872"/>
      <c r="AW173" s="105"/>
      <c r="AX173" t="str">
        <f t="shared" si="195"/>
        <v/>
      </c>
      <c r="CW173"/>
      <c r="CX173" s="1791" t="str">
        <f t="shared" si="196"/>
        <v/>
      </c>
      <c r="CY173" s="1791" t="str">
        <f t="shared" si="197"/>
        <v/>
      </c>
      <c r="CZ173" s="1791" t="str">
        <f t="shared" si="198"/>
        <v/>
      </c>
      <c r="DA173" s="1791" t="str">
        <f t="shared" si="199"/>
        <v/>
      </c>
      <c r="DB173" s="6135"/>
      <c r="DC173" s="1791" t="str">
        <f t="shared" si="200"/>
        <v/>
      </c>
      <c r="DD173"/>
      <c r="DE173"/>
      <c r="DG173"/>
      <c r="DH173" s="1793">
        <f t="shared" si="209"/>
        <v>0</v>
      </c>
      <c r="DI173" s="1793">
        <f t="shared" si="210"/>
        <v>0</v>
      </c>
      <c r="DJ173" s="1793">
        <f t="shared" si="211"/>
        <v>0</v>
      </c>
      <c r="DK173" s="1793">
        <f t="shared" si="212"/>
        <v>0</v>
      </c>
      <c r="DL173" s="6135"/>
      <c r="DM173" s="1793">
        <f t="shared" si="214"/>
        <v>0</v>
      </c>
    </row>
    <row r="174" spans="1:117" ht="15" customHeight="1" x14ac:dyDescent="0.25">
      <c r="A174" s="7364"/>
      <c r="B174" s="7364"/>
      <c r="C174" s="770" t="s">
        <v>748</v>
      </c>
      <c r="D174" s="917">
        <f t="shared" si="208"/>
        <v>0</v>
      </c>
      <c r="E174" s="4910">
        <f>SUM(AC174+AE174+AG174+AI174+AK174+AM174+AO174)</f>
        <v>0</v>
      </c>
      <c r="F174" s="3612"/>
      <c r="G174" s="4319"/>
      <c r="H174" s="3141"/>
      <c r="I174" s="3141"/>
      <c r="J174" s="4886"/>
      <c r="K174" s="3141"/>
      <c r="L174" s="3141"/>
      <c r="M174" s="3141"/>
      <c r="N174" s="4886"/>
      <c r="O174" s="3141"/>
      <c r="P174" s="3141"/>
      <c r="Q174" s="3141"/>
      <c r="R174" s="4886"/>
      <c r="S174" s="3141"/>
      <c r="T174" s="3141"/>
      <c r="U174" s="3141"/>
      <c r="V174" s="4886"/>
      <c r="W174" s="3141"/>
      <c r="X174" s="3141"/>
      <c r="Y174" s="3141"/>
      <c r="Z174" s="4886"/>
      <c r="AA174" s="3141"/>
      <c r="AB174" s="2054"/>
      <c r="AC174" s="90"/>
      <c r="AD174" s="883"/>
      <c r="AE174" s="90"/>
      <c r="AF174" s="883"/>
      <c r="AG174" s="90"/>
      <c r="AH174" s="883"/>
      <c r="AI174" s="90"/>
      <c r="AJ174" s="883"/>
      <c r="AK174" s="90"/>
      <c r="AL174" s="883"/>
      <c r="AM174" s="90"/>
      <c r="AN174" s="883"/>
      <c r="AO174" s="90"/>
      <c r="AP174" s="883"/>
      <c r="AQ174" s="884"/>
      <c r="AR174" s="91"/>
      <c r="AS174" s="91"/>
      <c r="AT174" s="91"/>
      <c r="AU174" s="878"/>
      <c r="AV174" s="873"/>
      <c r="AW174" s="878"/>
      <c r="AX174" t="str">
        <f t="shared" si="195"/>
        <v/>
      </c>
      <c r="CW174"/>
      <c r="CX174" s="1791" t="str">
        <f t="shared" si="196"/>
        <v/>
      </c>
      <c r="CY174" s="1791" t="str">
        <f t="shared" si="197"/>
        <v/>
      </c>
      <c r="CZ174" s="1791" t="str">
        <f t="shared" si="198"/>
        <v/>
      </c>
      <c r="DA174" s="1791" t="str">
        <f t="shared" si="199"/>
        <v/>
      </c>
      <c r="DB174" s="6135"/>
      <c r="DC174" s="1791" t="str">
        <f t="shared" si="200"/>
        <v/>
      </c>
      <c r="DD174"/>
      <c r="DE174"/>
      <c r="DG174"/>
      <c r="DH174" s="1793">
        <f t="shared" si="209"/>
        <v>0</v>
      </c>
      <c r="DI174" s="1793">
        <f t="shared" si="210"/>
        <v>0</v>
      </c>
      <c r="DJ174" s="1793">
        <f t="shared" si="211"/>
        <v>0</v>
      </c>
      <c r="DK174" s="1793">
        <f t="shared" si="212"/>
        <v>0</v>
      </c>
      <c r="DL174" s="6135"/>
      <c r="DM174" s="1793">
        <f t="shared" si="214"/>
        <v>0</v>
      </c>
    </row>
    <row r="175" spans="1:117" ht="15" customHeight="1" x14ac:dyDescent="0.25">
      <c r="A175" s="7480"/>
      <c r="B175" s="7364"/>
      <c r="C175" s="882" t="s">
        <v>806</v>
      </c>
      <c r="D175" s="4881">
        <f t="shared" si="208"/>
        <v>0</v>
      </c>
      <c r="E175" s="4911">
        <f>SUM(AC175+AE175+AG175+AI175+AK175+AM175+AO175)</f>
        <v>0</v>
      </c>
      <c r="F175" s="4916"/>
      <c r="G175" s="197"/>
      <c r="H175" s="3110"/>
      <c r="I175" s="3110"/>
      <c r="J175" s="4887"/>
      <c r="K175" s="3110"/>
      <c r="L175" s="3110"/>
      <c r="M175" s="3110"/>
      <c r="N175" s="4887"/>
      <c r="O175" s="3110"/>
      <c r="P175" s="3110"/>
      <c r="Q175" s="3110"/>
      <c r="R175" s="4887"/>
      <c r="S175" s="3110"/>
      <c r="T175" s="3110"/>
      <c r="U175" s="3110"/>
      <c r="V175" s="4887"/>
      <c r="W175" s="3110"/>
      <c r="X175" s="3110"/>
      <c r="Y175" s="3110"/>
      <c r="Z175" s="4887"/>
      <c r="AA175" s="3110"/>
      <c r="AB175" s="3910"/>
      <c r="AC175" s="114"/>
      <c r="AD175" s="885"/>
      <c r="AE175" s="114"/>
      <c r="AF175" s="885"/>
      <c r="AG175" s="114"/>
      <c r="AH175" s="885"/>
      <c r="AI175" s="114"/>
      <c r="AJ175" s="885"/>
      <c r="AK175" s="114"/>
      <c r="AL175" s="885"/>
      <c r="AM175" s="114"/>
      <c r="AN175" s="885"/>
      <c r="AO175" s="114"/>
      <c r="AP175" s="885"/>
      <c r="AQ175" s="775"/>
      <c r="AR175" s="117"/>
      <c r="AS175" s="117"/>
      <c r="AT175" s="117"/>
      <c r="AU175" s="117"/>
      <c r="AV175" s="886"/>
      <c r="AW175" s="117"/>
      <c r="AX175" t="str">
        <f t="shared" si="195"/>
        <v/>
      </c>
      <c r="CW175"/>
      <c r="CX175" s="1791" t="str">
        <f t="shared" si="196"/>
        <v/>
      </c>
      <c r="CY175" s="1791" t="str">
        <f t="shared" si="197"/>
        <v/>
      </c>
      <c r="CZ175" s="1791" t="str">
        <f t="shared" si="198"/>
        <v/>
      </c>
      <c r="DA175" s="1791" t="str">
        <f t="shared" si="199"/>
        <v/>
      </c>
      <c r="DB175" s="6135"/>
      <c r="DC175" s="1791" t="str">
        <f t="shared" si="200"/>
        <v/>
      </c>
      <c r="DD175"/>
      <c r="DE175"/>
      <c r="DG175"/>
      <c r="DH175" s="1793">
        <f t="shared" si="209"/>
        <v>0</v>
      </c>
      <c r="DI175" s="1793">
        <f t="shared" si="210"/>
        <v>0</v>
      </c>
      <c r="DJ175" s="1793">
        <f t="shared" si="211"/>
        <v>0</v>
      </c>
      <c r="DK175" s="1793">
        <f t="shared" si="212"/>
        <v>0</v>
      </c>
      <c r="DL175" s="6135"/>
      <c r="DM175" s="1793">
        <f t="shared" si="214"/>
        <v>0</v>
      </c>
    </row>
    <row r="176" spans="1:117" ht="15" customHeight="1" x14ac:dyDescent="0.25">
      <c r="A176" s="7561" t="s">
        <v>853</v>
      </c>
      <c r="B176" s="7486" t="s">
        <v>854</v>
      </c>
      <c r="C176" s="887" t="s">
        <v>855</v>
      </c>
      <c r="D176" s="4883">
        <f>SUM(E176:F176)</f>
        <v>0</v>
      </c>
      <c r="E176" s="4912">
        <f>+G176+I176+K176+M176+O176+Q176+S176+U176+W176+Y176+AA176+AC176+AE176+AG176+AI176+AK176+AM176+AO176</f>
        <v>0</v>
      </c>
      <c r="F176" s="4904">
        <f t="shared" ref="E176:F178" si="215">+H176+J176+L176+N176+P176+R176+T176+V176+X176+Z176+AB176+AD176+AF176+AH176+AJ176+AL176+AN176+AP176</f>
        <v>0</v>
      </c>
      <c r="G176" s="4915">
        <f>SUM(G177:G178)</f>
        <v>0</v>
      </c>
      <c r="H176" s="889">
        <f t="shared" ref="H176:AS176" si="216">SUM(H177:H178)</f>
        <v>0</v>
      </c>
      <c r="I176" s="888">
        <f t="shared" si="216"/>
        <v>0</v>
      </c>
      <c r="J176" s="889">
        <f t="shared" si="216"/>
        <v>0</v>
      </c>
      <c r="K176" s="888">
        <f>SUM(K177:K178)</f>
        <v>0</v>
      </c>
      <c r="L176" s="890">
        <f t="shared" si="216"/>
        <v>0</v>
      </c>
      <c r="M176" s="888">
        <f t="shared" si="216"/>
        <v>0</v>
      </c>
      <c r="N176" s="891">
        <f t="shared" si="216"/>
        <v>0</v>
      </c>
      <c r="O176" s="573">
        <f t="shared" si="216"/>
        <v>0</v>
      </c>
      <c r="P176" s="889">
        <f t="shared" si="216"/>
        <v>0</v>
      </c>
      <c r="Q176" s="573">
        <f t="shared" si="216"/>
        <v>0</v>
      </c>
      <c r="R176" s="889">
        <f t="shared" si="216"/>
        <v>0</v>
      </c>
      <c r="S176" s="573">
        <f t="shared" si="216"/>
        <v>0</v>
      </c>
      <c r="T176" s="889">
        <f t="shared" si="216"/>
        <v>0</v>
      </c>
      <c r="U176" s="573">
        <f t="shared" si="216"/>
        <v>0</v>
      </c>
      <c r="V176" s="889">
        <f t="shared" si="216"/>
        <v>0</v>
      </c>
      <c r="W176" s="573">
        <f t="shared" si="216"/>
        <v>0</v>
      </c>
      <c r="X176" s="889">
        <f t="shared" si="216"/>
        <v>0</v>
      </c>
      <c r="Y176" s="573">
        <f t="shared" si="216"/>
        <v>0</v>
      </c>
      <c r="Z176" s="889">
        <f t="shared" si="216"/>
        <v>0</v>
      </c>
      <c r="AA176" s="573">
        <f t="shared" si="216"/>
        <v>0</v>
      </c>
      <c r="AB176" s="889">
        <f t="shared" si="216"/>
        <v>0</v>
      </c>
      <c r="AC176" s="888">
        <f>SUM(AC177:AC178)</f>
        <v>0</v>
      </c>
      <c r="AD176" s="889">
        <f t="shared" si="216"/>
        <v>0</v>
      </c>
      <c r="AE176" s="888">
        <f t="shared" si="216"/>
        <v>0</v>
      </c>
      <c r="AF176" s="889">
        <f t="shared" si="216"/>
        <v>0</v>
      </c>
      <c r="AG176" s="888">
        <f t="shared" si="216"/>
        <v>0</v>
      </c>
      <c r="AH176" s="889">
        <f t="shared" si="216"/>
        <v>0</v>
      </c>
      <c r="AI176" s="888">
        <f t="shared" si="216"/>
        <v>0</v>
      </c>
      <c r="AJ176" s="889">
        <f t="shared" si="216"/>
        <v>0</v>
      </c>
      <c r="AK176" s="888">
        <f t="shared" si="216"/>
        <v>0</v>
      </c>
      <c r="AL176" s="889">
        <f t="shared" si="216"/>
        <v>0</v>
      </c>
      <c r="AM176" s="888">
        <f t="shared" si="216"/>
        <v>0</v>
      </c>
      <c r="AN176" s="889">
        <f t="shared" si="216"/>
        <v>0</v>
      </c>
      <c r="AO176" s="888">
        <f t="shared" si="216"/>
        <v>0</v>
      </c>
      <c r="AP176" s="889">
        <f t="shared" si="216"/>
        <v>0</v>
      </c>
      <c r="AQ176" s="892">
        <f t="shared" si="216"/>
        <v>0</v>
      </c>
      <c r="AR176" s="889">
        <f t="shared" si="216"/>
        <v>0</v>
      </c>
      <c r="AS176" s="889">
        <f t="shared" si="216"/>
        <v>0</v>
      </c>
      <c r="AT176" s="889">
        <f>SUM(AT177:AT178)</f>
        <v>0</v>
      </c>
      <c r="AU176" s="889">
        <f>SUM(AU177:AU178)</f>
        <v>0</v>
      </c>
      <c r="AV176" s="893">
        <f>SUM(AV177:AV178)</f>
        <v>0</v>
      </c>
      <c r="AW176" s="889">
        <f>SUM(AW177:AW178)</f>
        <v>0</v>
      </c>
      <c r="CW176"/>
      <c r="CX176"/>
      <c r="CY176"/>
      <c r="CZ176"/>
      <c r="DA176" s="3286"/>
      <c r="DB176"/>
      <c r="DC176"/>
      <c r="DD176"/>
      <c r="DE176"/>
      <c r="DG176"/>
      <c r="DH176"/>
      <c r="DI176"/>
      <c r="DJ176"/>
      <c r="DK176"/>
      <c r="DL176"/>
      <c r="DM176"/>
    </row>
    <row r="177" spans="1:117" ht="15" customHeight="1" x14ac:dyDescent="0.25">
      <c r="A177" s="7550"/>
      <c r="B177" s="7482"/>
      <c r="C177" s="894" t="s">
        <v>856</v>
      </c>
      <c r="D177" s="917">
        <f>SUM(E177:F177)</f>
        <v>0</v>
      </c>
      <c r="E177" s="4913">
        <f t="shared" si="215"/>
        <v>0</v>
      </c>
      <c r="F177" s="4873">
        <f t="shared" si="215"/>
        <v>0</v>
      </c>
      <c r="G177" s="4897"/>
      <c r="H177" s="185"/>
      <c r="I177" s="484"/>
      <c r="J177" s="501"/>
      <c r="K177" s="484"/>
      <c r="L177" s="560"/>
      <c r="M177" s="484"/>
      <c r="N177" s="185"/>
      <c r="O177" s="484"/>
      <c r="P177" s="105"/>
      <c r="Q177" s="484"/>
      <c r="R177" s="105"/>
      <c r="S177" s="484"/>
      <c r="T177" s="105"/>
      <c r="U177" s="484"/>
      <c r="V177" s="105"/>
      <c r="W177" s="484"/>
      <c r="X177" s="105"/>
      <c r="Y177" s="484"/>
      <c r="Z177" s="105"/>
      <c r="AA177" s="589"/>
      <c r="AB177" s="105"/>
      <c r="AC177" s="589"/>
      <c r="AD177" s="105"/>
      <c r="AE177" s="589"/>
      <c r="AF177" s="105"/>
      <c r="AG177" s="589"/>
      <c r="AH177" s="105"/>
      <c r="AI177" s="589"/>
      <c r="AJ177" s="105"/>
      <c r="AK177" s="589"/>
      <c r="AL177" s="105"/>
      <c r="AM177" s="589"/>
      <c r="AN177" s="105"/>
      <c r="AO177" s="589"/>
      <c r="AP177" s="105"/>
      <c r="AQ177" s="772"/>
      <c r="AR177" s="105"/>
      <c r="AS177" s="105"/>
      <c r="AT177" s="105"/>
      <c r="AU177" s="105"/>
      <c r="AV177" s="789"/>
      <c r="AW177" s="105"/>
      <c r="AX177" t="str">
        <f t="shared" si="195"/>
        <v/>
      </c>
      <c r="CW177"/>
      <c r="CX177" s="1791" t="str">
        <f t="shared" ref="CX177:CX191" si="217">IF(AND(D177&gt;0,AR177=""),"  * No olvide digitar la variable  Usuarios con Discapacidad. Digite Cero si no tiene.",IF(AR177&gt;D177," * La variable Usuarios con Discapacidad no pueden superar el Total Ambos Sexos.",""))</f>
        <v/>
      </c>
      <c r="CY177" s="1791" t="str">
        <f t="shared" ref="CY177:CY186" si="218">IF(AND(D177&gt;0,AS177=""),"  * No olvide digitar la variable Niños, niñas, adolescentes y jóvenes SENAME. Digite Cero si no tiene.",IF(AS177&gt;D177," * La variable Niños, niñas, adolescentes y jóvenes SENAME no pueden superar el Total Ambos Sexos.",""))</f>
        <v/>
      </c>
      <c r="CZ177" s="1791" t="str">
        <f t="shared" ref="CZ177:CZ186" si="219">IF(AND(D177&gt;0,AT177=""),"  * No olvide digitar la variable Niños, niñas, adolescentes y jóvenes Mejor Niñez. Digite Cero si no tiene.",IF(AT177&gt;D177," * La variable Niños, niñas, adolescentes y jóvenes Mejor Niñez  no pueden superar el Total Ambos Sexos.",""))</f>
        <v/>
      </c>
      <c r="DA177" s="1791" t="str">
        <f t="shared" ref="DA177:DA191" si="220">IF(AND(D177&gt;0,AU177=""),"  * No olvide digitar la variable Migrantes. Digite Cero si no tiene.",IF(AU177&gt;D177," * La variable Migrantes no pueden superar el Total Ambos Sexos.",""))</f>
        <v/>
      </c>
      <c r="DB177" s="1791" t="str">
        <f>IF(AND($D177&gt;0,AV177=""),"  * No olvide digitar la variable Egreso por Abandono. Digite Cero si no tiene.",IF(AV177&gt;$D177," * La variable Egreso por Abandono no pueden superar el Total Ambos Sexos.",""))</f>
        <v/>
      </c>
      <c r="DC177" s="1791" t="str">
        <f t="shared" ref="DC177:DC196" si="221">IF(AND(D177&gt;0,AW177=""),"  * No olvide digitar la variable Paciente Diabético en control PSCV. Digite Cero si no tiene.",IF(AW177&gt;D177," * La variable Paciente Diabético en control PSCV no pueden superar el Total Ambos Sexos.",""))</f>
        <v/>
      </c>
      <c r="DD177"/>
      <c r="DE177"/>
      <c r="DG177"/>
      <c r="DH177" s="1793">
        <f>IF(AND(D177&gt;0,AR177=""),1,IF(AR177&gt;D177,1,0))</f>
        <v>0</v>
      </c>
      <c r="DI177" s="1793">
        <f>IF(AND(D177&gt;0,AS177=""),1,IF(AS177&gt;D177,1,0))</f>
        <v>0</v>
      </c>
      <c r="DJ177" s="1793">
        <f>IF(AND(D177&gt;0,AT177=""),1,IF(AT177&gt;D177,1,0))</f>
        <v>0</v>
      </c>
      <c r="DK177" s="1793">
        <f>IF(AND(D177&gt;0,AU177=""),1,IF(AU177&gt;D177,1,0))</f>
        <v>0</v>
      </c>
      <c r="DL177" s="1793">
        <f>IF(AND(D177&gt;0,AV177=""),1,IF(AV177&gt;D177,1,0))</f>
        <v>0</v>
      </c>
      <c r="DM177" s="1793">
        <f>IF(AND(D177&gt;0,AW177=""),1,IF(AW177&gt;D177,1,0))</f>
        <v>0</v>
      </c>
    </row>
    <row r="178" spans="1:117" ht="15" customHeight="1" x14ac:dyDescent="0.25">
      <c r="A178" s="7551"/>
      <c r="B178" s="7483"/>
      <c r="C178" s="895" t="s">
        <v>857</v>
      </c>
      <c r="D178" s="4881">
        <f>SUM(E178:F178)</f>
        <v>0</v>
      </c>
      <c r="E178" s="4911">
        <f t="shared" si="215"/>
        <v>0</v>
      </c>
      <c r="F178" s="4874">
        <f t="shared" si="215"/>
        <v>0</v>
      </c>
      <c r="G178" s="121"/>
      <c r="H178" s="116"/>
      <c r="I178" s="114"/>
      <c r="J178" s="117"/>
      <c r="K178" s="114"/>
      <c r="L178" s="138"/>
      <c r="M178" s="114"/>
      <c r="N178" s="116"/>
      <c r="O178" s="114"/>
      <c r="P178" s="117"/>
      <c r="Q178" s="114"/>
      <c r="R178" s="117"/>
      <c r="S178" s="114"/>
      <c r="T178" s="117"/>
      <c r="U178" s="114"/>
      <c r="V178" s="117"/>
      <c r="W178" s="114"/>
      <c r="X178" s="117"/>
      <c r="Y178" s="114"/>
      <c r="Z178" s="117"/>
      <c r="AA178" s="114"/>
      <c r="AB178" s="117"/>
      <c r="AC178" s="114"/>
      <c r="AD178" s="117"/>
      <c r="AE178" s="114"/>
      <c r="AF178" s="117"/>
      <c r="AG178" s="114"/>
      <c r="AH178" s="117"/>
      <c r="AI178" s="114"/>
      <c r="AJ178" s="117"/>
      <c r="AK178" s="114"/>
      <c r="AL178" s="117"/>
      <c r="AM178" s="114"/>
      <c r="AN178" s="117"/>
      <c r="AO178" s="114"/>
      <c r="AP178" s="117"/>
      <c r="AQ178" s="775"/>
      <c r="AR178" s="117"/>
      <c r="AS178" s="117"/>
      <c r="AT178" s="117"/>
      <c r="AU178" s="117"/>
      <c r="AV178" s="153"/>
      <c r="AW178" s="117"/>
      <c r="AX178" t="str">
        <f t="shared" si="195"/>
        <v/>
      </c>
      <c r="CW178"/>
      <c r="CX178" s="1791" t="str">
        <f t="shared" si="217"/>
        <v/>
      </c>
      <c r="CY178" s="1791" t="str">
        <f t="shared" si="218"/>
        <v/>
      </c>
      <c r="CZ178" s="1791" t="str">
        <f t="shared" si="219"/>
        <v/>
      </c>
      <c r="DA178" s="1791" t="str">
        <f t="shared" si="220"/>
        <v/>
      </c>
      <c r="DB178" s="1791" t="str">
        <f t="shared" ref="DB178:DB194" si="222">IF(AND($D178&gt;0,AV178=""),"  * No olvide digitar la variable Egreso por Abandono. Digite Cero si no tiene.",IF(AV178&gt;$D178," * La variable Egreso por Abandono no pueden superar el Total Ambos Sexos.",""))</f>
        <v/>
      </c>
      <c r="DC178" s="1791" t="str">
        <f t="shared" si="221"/>
        <v/>
      </c>
      <c r="DD178"/>
      <c r="DE178"/>
      <c r="DG178"/>
      <c r="DH178" s="1793">
        <f t="shared" ref="DH178:DH196" si="223">IF(AND(D178&gt;0,AR178=""),1,IF(AR178&gt;D178,1,0))</f>
        <v>0</v>
      </c>
      <c r="DI178" s="1793">
        <f t="shared" ref="DI178:DI196" si="224">IF(AND(D178&gt;0,AS178=""),1,IF(AS178&gt;D178,1,0))</f>
        <v>0</v>
      </c>
      <c r="DJ178" s="1793">
        <f t="shared" ref="DJ178:DJ196" si="225">IF(AND(D178&gt;0,AT178=""),1,IF(AT178&gt;D178,1,0))</f>
        <v>0</v>
      </c>
      <c r="DK178" s="1793">
        <f t="shared" ref="DK178:DK196" si="226">IF(AND(D178&gt;0,AU178=""),1,IF(AU178&gt;D178,1,0))</f>
        <v>0</v>
      </c>
      <c r="DL178" s="1793">
        <f t="shared" ref="DL178:DL194" si="227">IF(AND(D178&gt;0,AV178=""),1,IF(AV178&gt;D178,1,0))</f>
        <v>0</v>
      </c>
      <c r="DM178" s="1793">
        <f t="shared" ref="DM178:DM196" si="228">IF(AND(D178&gt;0,AW178=""),1,IF(AW178&gt;D178,1,0))</f>
        <v>0</v>
      </c>
    </row>
    <row r="179" spans="1:117" ht="15" customHeight="1" x14ac:dyDescent="0.25">
      <c r="A179" s="7561" t="s">
        <v>858</v>
      </c>
      <c r="B179" s="7485" t="s">
        <v>859</v>
      </c>
      <c r="C179" s="608" t="s">
        <v>860</v>
      </c>
      <c r="D179" s="917">
        <f>SUM(E179+F179)</f>
        <v>0</v>
      </c>
      <c r="E179" s="4913">
        <f>SUM(AA179+AC179+AE179+AG179+AI179+AK179+AM179+AO179)</f>
        <v>0</v>
      </c>
      <c r="F179" s="4875">
        <f>SUM(AB179+AD179+AF179+AH179+AJ179+AL179+AN179+AP179)</f>
        <v>0</v>
      </c>
      <c r="G179" s="4896"/>
      <c r="H179" s="1444"/>
      <c r="I179" s="1444"/>
      <c r="J179" s="1444"/>
      <c r="K179" s="1444"/>
      <c r="L179" s="1444"/>
      <c r="M179" s="1444"/>
      <c r="N179" s="1444"/>
      <c r="O179" s="1444"/>
      <c r="P179" s="1444"/>
      <c r="Q179" s="1444"/>
      <c r="R179" s="1444"/>
      <c r="S179" s="1444"/>
      <c r="T179" s="1444"/>
      <c r="U179" s="1444"/>
      <c r="V179" s="1444"/>
      <c r="W179" s="1444"/>
      <c r="X179" s="4895"/>
      <c r="Y179" s="1444"/>
      <c r="Z179" s="1444"/>
      <c r="AA179" s="591"/>
      <c r="AB179" s="105"/>
      <c r="AC179" s="589"/>
      <c r="AD179" s="105"/>
      <c r="AE179" s="589"/>
      <c r="AF179" s="105"/>
      <c r="AG179" s="589"/>
      <c r="AH179" s="105"/>
      <c r="AI179" s="589"/>
      <c r="AJ179" s="105"/>
      <c r="AK179" s="589"/>
      <c r="AL179" s="105"/>
      <c r="AM179" s="589"/>
      <c r="AN179" s="105"/>
      <c r="AO179" s="589"/>
      <c r="AP179" s="105"/>
      <c r="AQ179" s="772"/>
      <c r="AR179" s="590"/>
      <c r="AS179" s="105"/>
      <c r="AT179" s="105"/>
      <c r="AU179" s="105"/>
      <c r="AV179" s="789"/>
      <c r="AW179" s="105"/>
      <c r="AX179" t="str">
        <f t="shared" si="195"/>
        <v/>
      </c>
      <c r="CW179"/>
      <c r="CX179" s="1791" t="str">
        <f t="shared" si="217"/>
        <v/>
      </c>
      <c r="CY179" s="1791" t="str">
        <f t="shared" si="218"/>
        <v/>
      </c>
      <c r="CZ179" s="1791" t="str">
        <f t="shared" si="219"/>
        <v/>
      </c>
      <c r="DA179" s="1791" t="str">
        <f t="shared" si="220"/>
        <v/>
      </c>
      <c r="DB179" s="1791" t="str">
        <f t="shared" si="222"/>
        <v/>
      </c>
      <c r="DC179" s="1791" t="str">
        <f t="shared" si="221"/>
        <v/>
      </c>
      <c r="DD179"/>
      <c r="DE179"/>
      <c r="DG179"/>
      <c r="DH179" s="1793">
        <f t="shared" si="223"/>
        <v>0</v>
      </c>
      <c r="DI179" s="1793">
        <f t="shared" si="224"/>
        <v>0</v>
      </c>
      <c r="DJ179" s="1793">
        <f t="shared" si="225"/>
        <v>0</v>
      </c>
      <c r="DK179" s="1793">
        <f t="shared" si="226"/>
        <v>0</v>
      </c>
      <c r="DL179" s="1793">
        <f t="shared" si="227"/>
        <v>0</v>
      </c>
      <c r="DM179" s="1793">
        <f t="shared" si="228"/>
        <v>0</v>
      </c>
    </row>
    <row r="180" spans="1:117" ht="15" customHeight="1" x14ac:dyDescent="0.25">
      <c r="A180" s="7550"/>
      <c r="B180" s="7364"/>
      <c r="C180" s="609" t="s">
        <v>861</v>
      </c>
      <c r="D180" s="1018">
        <f>SUM(E180+F180)</f>
        <v>0</v>
      </c>
      <c r="E180" s="4913">
        <f t="shared" ref="E180:F183" si="229">SUM(AA180+AC180+AE180+AG180+AI180+AK180+AM180+AO180)</f>
        <v>0</v>
      </c>
      <c r="F180" s="4875">
        <f t="shared" si="229"/>
        <v>0</v>
      </c>
      <c r="G180" s="3669"/>
      <c r="H180" s="4886"/>
      <c r="I180" s="4886"/>
      <c r="J180" s="4886"/>
      <c r="K180" s="4886"/>
      <c r="L180" s="4886"/>
      <c r="M180" s="4886"/>
      <c r="N180" s="4886"/>
      <c r="O180" s="4886"/>
      <c r="P180" s="4886"/>
      <c r="Q180" s="4886"/>
      <c r="R180" s="4886"/>
      <c r="S180" s="4886"/>
      <c r="T180" s="4886"/>
      <c r="U180" s="4886"/>
      <c r="V180" s="4886"/>
      <c r="W180" s="4886"/>
      <c r="X180" s="4893"/>
      <c r="Y180" s="4886"/>
      <c r="Z180" s="4886"/>
      <c r="AA180" s="4562"/>
      <c r="AB180" s="878"/>
      <c r="AC180" s="131"/>
      <c r="AD180" s="878"/>
      <c r="AE180" s="131"/>
      <c r="AF180" s="878"/>
      <c r="AG180" s="131"/>
      <c r="AH180" s="878"/>
      <c r="AI180" s="131"/>
      <c r="AJ180" s="878"/>
      <c r="AK180" s="131"/>
      <c r="AL180" s="878"/>
      <c r="AM180" s="131"/>
      <c r="AN180" s="878"/>
      <c r="AO180" s="131"/>
      <c r="AP180" s="878"/>
      <c r="AQ180" s="877"/>
      <c r="AR180" s="568"/>
      <c r="AS180" s="878"/>
      <c r="AT180" s="878"/>
      <c r="AU180" s="878"/>
      <c r="AV180" s="897"/>
      <c r="AW180" s="878"/>
      <c r="AX180" t="str">
        <f t="shared" si="195"/>
        <v/>
      </c>
      <c r="CW180"/>
      <c r="CX180" s="1791" t="str">
        <f t="shared" si="217"/>
        <v/>
      </c>
      <c r="CY180" s="1791" t="str">
        <f t="shared" si="218"/>
        <v/>
      </c>
      <c r="CZ180" s="1791" t="str">
        <f t="shared" si="219"/>
        <v/>
      </c>
      <c r="DA180" s="1791" t="str">
        <f t="shared" si="220"/>
        <v/>
      </c>
      <c r="DB180" s="2872"/>
      <c r="DC180" s="1791" t="str">
        <f t="shared" si="221"/>
        <v/>
      </c>
      <c r="DD180"/>
      <c r="DE180"/>
      <c r="DG180"/>
      <c r="DH180" s="1793">
        <f t="shared" si="223"/>
        <v>0</v>
      </c>
      <c r="DI180" s="1793">
        <f t="shared" si="224"/>
        <v>0</v>
      </c>
      <c r="DJ180" s="1793">
        <f t="shared" si="225"/>
        <v>0</v>
      </c>
      <c r="DK180" s="1793">
        <f t="shared" si="226"/>
        <v>0</v>
      </c>
      <c r="DL180" s="2872"/>
      <c r="DM180" s="1793">
        <f t="shared" si="228"/>
        <v>0</v>
      </c>
    </row>
    <row r="181" spans="1:117" ht="15" customHeight="1" x14ac:dyDescent="0.25">
      <c r="A181" s="7550"/>
      <c r="B181" s="7480"/>
      <c r="C181" s="898" t="s">
        <v>862</v>
      </c>
      <c r="D181" s="1018">
        <f t="shared" ref="D181:D194" si="230">SUM(E181+F181)</f>
        <v>0</v>
      </c>
      <c r="E181" s="4911">
        <f>SUM(AA181+AC181+AE181+AG181+AI181+AK181+AM181+AO181)</f>
        <v>0</v>
      </c>
      <c r="F181" s="4874">
        <f t="shared" si="229"/>
        <v>0</v>
      </c>
      <c r="G181" s="3669"/>
      <c r="H181" s="4886"/>
      <c r="I181" s="4886"/>
      <c r="J181" s="4886"/>
      <c r="K181" s="4886"/>
      <c r="L181" s="4886"/>
      <c r="M181" s="4886"/>
      <c r="N181" s="4886"/>
      <c r="O181" s="4886"/>
      <c r="P181" s="4886"/>
      <c r="Q181" s="4886"/>
      <c r="R181" s="4886"/>
      <c r="S181" s="4886"/>
      <c r="T181" s="4886"/>
      <c r="U181" s="4886"/>
      <c r="V181" s="4886"/>
      <c r="W181" s="4886"/>
      <c r="X181" s="4893"/>
      <c r="Y181" s="4886"/>
      <c r="Z181" s="4886"/>
      <c r="AA181" s="121"/>
      <c r="AB181" s="117"/>
      <c r="AC181" s="114"/>
      <c r="AD181" s="117"/>
      <c r="AE181" s="114"/>
      <c r="AF181" s="117"/>
      <c r="AG181" s="114"/>
      <c r="AH181" s="117"/>
      <c r="AI181" s="114"/>
      <c r="AJ181" s="117"/>
      <c r="AK181" s="114"/>
      <c r="AL181" s="117"/>
      <c r="AM181" s="114"/>
      <c r="AN181" s="117"/>
      <c r="AO181" s="114"/>
      <c r="AP181" s="117"/>
      <c r="AQ181" s="775"/>
      <c r="AR181" s="116"/>
      <c r="AS181" s="117"/>
      <c r="AT181" s="117"/>
      <c r="AU181" s="117"/>
      <c r="AV181" s="886"/>
      <c r="AW181" s="117"/>
      <c r="AX181" t="str">
        <f t="shared" si="195"/>
        <v/>
      </c>
      <c r="CW181"/>
      <c r="CX181" s="1791" t="str">
        <f t="shared" si="217"/>
        <v/>
      </c>
      <c r="CY181" s="1791" t="str">
        <f t="shared" si="218"/>
        <v/>
      </c>
      <c r="CZ181" s="1791" t="str">
        <f t="shared" si="219"/>
        <v/>
      </c>
      <c r="DA181" s="1791" t="str">
        <f t="shared" si="220"/>
        <v/>
      </c>
      <c r="DB181" s="2872"/>
      <c r="DC181" s="1791" t="str">
        <f t="shared" si="221"/>
        <v/>
      </c>
      <c r="DD181"/>
      <c r="DE181"/>
      <c r="DG181"/>
      <c r="DH181" s="1793">
        <f t="shared" si="223"/>
        <v>0</v>
      </c>
      <c r="DI181" s="1793">
        <f t="shared" si="224"/>
        <v>0</v>
      </c>
      <c r="DJ181" s="1793">
        <f t="shared" si="225"/>
        <v>0</v>
      </c>
      <c r="DK181" s="1793">
        <f t="shared" si="226"/>
        <v>0</v>
      </c>
      <c r="DL181" s="2872"/>
      <c r="DM181" s="1793">
        <f t="shared" si="228"/>
        <v>0</v>
      </c>
    </row>
    <row r="182" spans="1:117" ht="15" customHeight="1" x14ac:dyDescent="0.25">
      <c r="A182" s="7550"/>
      <c r="B182" s="7486" t="s">
        <v>863</v>
      </c>
      <c r="C182" s="894" t="s">
        <v>860</v>
      </c>
      <c r="D182" s="4880">
        <f t="shared" si="230"/>
        <v>0</v>
      </c>
      <c r="E182" s="4913">
        <f>SUM(AA182+AC182+AE182+AG182+AI182+AK182+AM182+AO182)</f>
        <v>0</v>
      </c>
      <c r="F182" s="4875">
        <f t="shared" si="229"/>
        <v>0</v>
      </c>
      <c r="G182" s="3669"/>
      <c r="H182" s="4886"/>
      <c r="I182" s="4886"/>
      <c r="J182" s="4886"/>
      <c r="K182" s="4886"/>
      <c r="L182" s="4886"/>
      <c r="M182" s="4886"/>
      <c r="N182" s="4886"/>
      <c r="O182" s="4886"/>
      <c r="P182" s="4886"/>
      <c r="Q182" s="4886"/>
      <c r="R182" s="4886"/>
      <c r="S182" s="4886"/>
      <c r="T182" s="4886"/>
      <c r="U182" s="4886"/>
      <c r="V182" s="4886"/>
      <c r="W182" s="4886"/>
      <c r="X182" s="4893"/>
      <c r="Y182" s="4886"/>
      <c r="Z182" s="4886"/>
      <c r="AA182" s="5419"/>
      <c r="AB182" s="5892"/>
      <c r="AC182" s="5891"/>
      <c r="AD182" s="5892"/>
      <c r="AE182" s="5891"/>
      <c r="AF182" s="5892"/>
      <c r="AG182" s="5891"/>
      <c r="AH182" s="5892"/>
      <c r="AI182" s="5891"/>
      <c r="AJ182" s="5892"/>
      <c r="AK182" s="5891"/>
      <c r="AL182" s="5892"/>
      <c r="AM182" s="5891"/>
      <c r="AN182" s="5892"/>
      <c r="AO182" s="5891"/>
      <c r="AP182" s="5892"/>
      <c r="AQ182" s="5871"/>
      <c r="AR182" s="5448"/>
      <c r="AS182" s="5892"/>
      <c r="AT182" s="5892"/>
      <c r="AU182" s="5892"/>
      <c r="AV182" s="5867"/>
      <c r="AW182" s="5892"/>
      <c r="AX182" t="str">
        <f t="shared" si="195"/>
        <v/>
      </c>
      <c r="CW182"/>
      <c r="CX182" s="1791" t="str">
        <f t="shared" si="217"/>
        <v/>
      </c>
      <c r="CY182" s="1791" t="str">
        <f t="shared" si="218"/>
        <v/>
      </c>
      <c r="CZ182" s="1791" t="str">
        <f t="shared" si="219"/>
        <v/>
      </c>
      <c r="DA182" s="1791" t="str">
        <f t="shared" si="220"/>
        <v/>
      </c>
      <c r="DB182" s="1791" t="str">
        <f t="shared" si="222"/>
        <v/>
      </c>
      <c r="DC182" s="1791" t="str">
        <f t="shared" si="221"/>
        <v/>
      </c>
      <c r="DD182"/>
      <c r="DE182"/>
      <c r="DG182"/>
      <c r="DH182" s="1793">
        <f t="shared" si="223"/>
        <v>0</v>
      </c>
      <c r="DI182" s="1793">
        <f t="shared" si="224"/>
        <v>0</v>
      </c>
      <c r="DJ182" s="1793">
        <f t="shared" si="225"/>
        <v>0</v>
      </c>
      <c r="DK182" s="1793">
        <f t="shared" si="226"/>
        <v>0</v>
      </c>
      <c r="DL182" s="1793">
        <f t="shared" si="227"/>
        <v>0</v>
      </c>
      <c r="DM182" s="1793">
        <f t="shared" si="228"/>
        <v>0</v>
      </c>
    </row>
    <row r="183" spans="1:117" ht="15" customHeight="1" x14ac:dyDescent="0.25">
      <c r="A183" s="7550"/>
      <c r="B183" s="7483"/>
      <c r="C183" s="900" t="s">
        <v>864</v>
      </c>
      <c r="D183" s="4882">
        <f t="shared" si="230"/>
        <v>0</v>
      </c>
      <c r="E183" s="4911">
        <f>SUM(AA183+AC183+AE183+AG183+AI183+AK183+AM183+AO183)</f>
        <v>0</v>
      </c>
      <c r="F183" s="4874">
        <f t="shared" si="229"/>
        <v>0</v>
      </c>
      <c r="G183" s="3669"/>
      <c r="H183" s="4886"/>
      <c r="I183" s="4886"/>
      <c r="J183" s="4886"/>
      <c r="K183" s="4886"/>
      <c r="L183" s="4886"/>
      <c r="M183" s="4886"/>
      <c r="N183" s="4886"/>
      <c r="O183" s="4886"/>
      <c r="P183" s="4886"/>
      <c r="Q183" s="4886"/>
      <c r="R183" s="4886"/>
      <c r="S183" s="4886"/>
      <c r="T183" s="4886"/>
      <c r="U183" s="4886"/>
      <c r="V183" s="4886"/>
      <c r="W183" s="4886"/>
      <c r="X183" s="4893"/>
      <c r="Y183" s="4886"/>
      <c r="Z183" s="4886"/>
      <c r="AA183" s="3109"/>
      <c r="AB183" s="2889"/>
      <c r="AC183" s="3112"/>
      <c r="AD183" s="2889"/>
      <c r="AE183" s="3112"/>
      <c r="AF183" s="2889"/>
      <c r="AG183" s="3112"/>
      <c r="AH183" s="2889"/>
      <c r="AI183" s="3112"/>
      <c r="AJ183" s="2889"/>
      <c r="AK183" s="3112"/>
      <c r="AL183" s="2889"/>
      <c r="AM183" s="3112"/>
      <c r="AN183" s="2889"/>
      <c r="AO183" s="3112"/>
      <c r="AP183" s="2889"/>
      <c r="AQ183" s="3244"/>
      <c r="AR183" s="3124"/>
      <c r="AS183" s="2889"/>
      <c r="AT183" s="2889"/>
      <c r="AU183" s="2889"/>
      <c r="AV183" s="6396"/>
      <c r="AW183" s="2889"/>
      <c r="AX183" t="str">
        <f t="shared" si="195"/>
        <v/>
      </c>
      <c r="CW183"/>
      <c r="CX183" s="1791" t="str">
        <f t="shared" si="217"/>
        <v/>
      </c>
      <c r="CY183" s="1791" t="str">
        <f t="shared" si="218"/>
        <v/>
      </c>
      <c r="CZ183" s="1791" t="str">
        <f t="shared" si="219"/>
        <v/>
      </c>
      <c r="DA183" s="1791" t="str">
        <f t="shared" si="220"/>
        <v/>
      </c>
      <c r="DB183" s="2872"/>
      <c r="DC183" s="1791" t="str">
        <f t="shared" si="221"/>
        <v/>
      </c>
      <c r="DD183"/>
      <c r="DE183"/>
      <c r="DG183"/>
      <c r="DH183" s="1793">
        <f t="shared" si="223"/>
        <v>0</v>
      </c>
      <c r="DI183" s="1793">
        <f t="shared" si="224"/>
        <v>0</v>
      </c>
      <c r="DJ183" s="1793">
        <f t="shared" si="225"/>
        <v>0</v>
      </c>
      <c r="DK183" s="1793">
        <f t="shared" si="226"/>
        <v>0</v>
      </c>
      <c r="DL183" s="2872"/>
      <c r="DM183" s="1793">
        <f t="shared" si="228"/>
        <v>0</v>
      </c>
    </row>
    <row r="184" spans="1:117" ht="15" customHeight="1" x14ac:dyDescent="0.25">
      <c r="A184" s="7550"/>
      <c r="B184" s="7389" t="s">
        <v>750</v>
      </c>
      <c r="C184" s="608" t="s">
        <v>860</v>
      </c>
      <c r="D184" s="917">
        <f t="shared" si="230"/>
        <v>0</v>
      </c>
      <c r="E184" s="4913">
        <f t="shared" ref="E184:F186" si="231">SUM(AC184+AE184+AG184+AI184+AK184+AM184+AO184)</f>
        <v>0</v>
      </c>
      <c r="F184" s="4875">
        <f t="shared" si="231"/>
        <v>0</v>
      </c>
      <c r="G184" s="3669"/>
      <c r="H184" s="4886"/>
      <c r="I184" s="4886"/>
      <c r="J184" s="4886"/>
      <c r="K184" s="4886"/>
      <c r="L184" s="4886"/>
      <c r="M184" s="4886"/>
      <c r="N184" s="4886"/>
      <c r="O184" s="4886"/>
      <c r="P184" s="4886"/>
      <c r="Q184" s="4886"/>
      <c r="R184" s="4886"/>
      <c r="S184" s="4886"/>
      <c r="T184" s="4886"/>
      <c r="U184" s="4886"/>
      <c r="V184" s="4886"/>
      <c r="W184" s="4886"/>
      <c r="X184" s="4893"/>
      <c r="Y184" s="4886"/>
      <c r="Z184" s="4886"/>
      <c r="AA184" s="1444"/>
      <c r="AB184" s="1444"/>
      <c r="AC184" s="4897"/>
      <c r="AD184" s="501"/>
      <c r="AE184" s="484"/>
      <c r="AF184" s="501"/>
      <c r="AG184" s="484"/>
      <c r="AH184" s="501"/>
      <c r="AI184" s="484"/>
      <c r="AJ184" s="501"/>
      <c r="AK184" s="484"/>
      <c r="AL184" s="501"/>
      <c r="AM184" s="484"/>
      <c r="AN184" s="501"/>
      <c r="AO184" s="484"/>
      <c r="AP184" s="501"/>
      <c r="AQ184" s="619"/>
      <c r="AR184" s="185"/>
      <c r="AS184" s="501"/>
      <c r="AT184" s="501"/>
      <c r="AU184" s="501"/>
      <c r="AV184" s="500"/>
      <c r="AW184" s="501"/>
      <c r="AX184" t="str">
        <f t="shared" si="195"/>
        <v/>
      </c>
      <c r="CW184"/>
      <c r="CX184" s="1791" t="str">
        <f t="shared" si="217"/>
        <v/>
      </c>
      <c r="CY184" s="1791" t="str">
        <f t="shared" si="218"/>
        <v/>
      </c>
      <c r="CZ184" s="1791" t="str">
        <f t="shared" si="219"/>
        <v/>
      </c>
      <c r="DA184" s="1791" t="str">
        <f t="shared" si="220"/>
        <v/>
      </c>
      <c r="DB184" s="1791" t="str">
        <f t="shared" si="222"/>
        <v/>
      </c>
      <c r="DC184" s="1791" t="str">
        <f t="shared" si="221"/>
        <v/>
      </c>
      <c r="DD184"/>
      <c r="DE184"/>
      <c r="DG184"/>
      <c r="DH184" s="1793">
        <f t="shared" si="223"/>
        <v>0</v>
      </c>
      <c r="DI184" s="1793">
        <f t="shared" si="224"/>
        <v>0</v>
      </c>
      <c r="DJ184" s="1793">
        <f t="shared" si="225"/>
        <v>0</v>
      </c>
      <c r="DK184" s="1793">
        <f t="shared" si="226"/>
        <v>0</v>
      </c>
      <c r="DL184" s="1793">
        <f t="shared" si="227"/>
        <v>0</v>
      </c>
      <c r="DM184" s="1793">
        <f t="shared" si="228"/>
        <v>0</v>
      </c>
    </row>
    <row r="185" spans="1:117" ht="15" customHeight="1" x14ac:dyDescent="0.25">
      <c r="A185" s="7550"/>
      <c r="B185" s="7391"/>
      <c r="C185" s="609" t="s">
        <v>865</v>
      </c>
      <c r="D185" s="1018">
        <f t="shared" si="230"/>
        <v>0</v>
      </c>
      <c r="E185" s="4913">
        <f t="shared" si="231"/>
        <v>0</v>
      </c>
      <c r="F185" s="4875">
        <f t="shared" si="231"/>
        <v>0</v>
      </c>
      <c r="G185" s="3669"/>
      <c r="H185" s="4886"/>
      <c r="I185" s="4886"/>
      <c r="J185" s="4886"/>
      <c r="K185" s="4886"/>
      <c r="L185" s="4886"/>
      <c r="M185" s="4886"/>
      <c r="N185" s="4886"/>
      <c r="O185" s="4886"/>
      <c r="P185" s="4886"/>
      <c r="Q185" s="4886"/>
      <c r="R185" s="4886"/>
      <c r="S185" s="4886"/>
      <c r="T185" s="4886"/>
      <c r="U185" s="4886"/>
      <c r="V185" s="4886"/>
      <c r="W185" s="4886"/>
      <c r="X185" s="4893"/>
      <c r="Y185" s="4886"/>
      <c r="Z185" s="4886"/>
      <c r="AA185" s="4886"/>
      <c r="AB185" s="4886"/>
      <c r="AC185" s="4562"/>
      <c r="AD185" s="878"/>
      <c r="AE185" s="131"/>
      <c r="AF185" s="878"/>
      <c r="AG185" s="131"/>
      <c r="AH185" s="878"/>
      <c r="AI185" s="131"/>
      <c r="AJ185" s="878"/>
      <c r="AK185" s="131"/>
      <c r="AL185" s="878"/>
      <c r="AM185" s="131"/>
      <c r="AN185" s="878"/>
      <c r="AO185" s="131"/>
      <c r="AP185" s="878"/>
      <c r="AQ185" s="877"/>
      <c r="AR185" s="568"/>
      <c r="AS185" s="878"/>
      <c r="AT185" s="878"/>
      <c r="AU185" s="878"/>
      <c r="AV185" s="873"/>
      <c r="AW185" s="878"/>
      <c r="AX185" t="str">
        <f t="shared" si="195"/>
        <v/>
      </c>
      <c r="CW185"/>
      <c r="CX185" s="1791" t="str">
        <f t="shared" si="217"/>
        <v/>
      </c>
      <c r="CY185" s="1791" t="str">
        <f t="shared" si="218"/>
        <v/>
      </c>
      <c r="CZ185" s="1791" t="str">
        <f t="shared" si="219"/>
        <v/>
      </c>
      <c r="DA185" s="1791" t="str">
        <f t="shared" si="220"/>
        <v/>
      </c>
      <c r="DB185" s="2872"/>
      <c r="DC185" s="1791" t="str">
        <f t="shared" si="221"/>
        <v/>
      </c>
      <c r="DD185"/>
      <c r="DE185"/>
      <c r="DG185"/>
      <c r="DH185" s="1793">
        <f t="shared" si="223"/>
        <v>0</v>
      </c>
      <c r="DI185" s="1793">
        <f t="shared" si="224"/>
        <v>0</v>
      </c>
      <c r="DJ185" s="1793">
        <f t="shared" si="225"/>
        <v>0</v>
      </c>
      <c r="DK185" s="1793">
        <f t="shared" si="226"/>
        <v>0</v>
      </c>
      <c r="DL185" s="2872"/>
      <c r="DM185" s="1793">
        <f t="shared" si="228"/>
        <v>0</v>
      </c>
    </row>
    <row r="186" spans="1:117" ht="15" customHeight="1" x14ac:dyDescent="0.25">
      <c r="A186" s="7551"/>
      <c r="B186" s="7562"/>
      <c r="C186" s="610" t="s">
        <v>866</v>
      </c>
      <c r="D186" s="1018">
        <f t="shared" si="230"/>
        <v>0</v>
      </c>
      <c r="E186" s="4911">
        <f t="shared" si="231"/>
        <v>0</v>
      </c>
      <c r="F186" s="4874">
        <f t="shared" si="231"/>
        <v>0</v>
      </c>
      <c r="G186" s="3669"/>
      <c r="H186" s="4886"/>
      <c r="I186" s="4886"/>
      <c r="J186" s="4886"/>
      <c r="K186" s="4886"/>
      <c r="L186" s="4886"/>
      <c r="M186" s="4886"/>
      <c r="N186" s="4886"/>
      <c r="O186" s="4886"/>
      <c r="P186" s="4886"/>
      <c r="Q186" s="4886"/>
      <c r="R186" s="4886"/>
      <c r="S186" s="4886"/>
      <c r="T186" s="4886"/>
      <c r="U186" s="4886"/>
      <c r="V186" s="4886"/>
      <c r="W186" s="4886"/>
      <c r="X186" s="4893"/>
      <c r="Y186" s="4886"/>
      <c r="Z186" s="4886"/>
      <c r="AA186" s="4886"/>
      <c r="AB186" s="4886"/>
      <c r="AC186" s="121"/>
      <c r="AD186" s="117"/>
      <c r="AE186" s="114"/>
      <c r="AF186" s="117"/>
      <c r="AG186" s="114"/>
      <c r="AH186" s="117"/>
      <c r="AI186" s="114"/>
      <c r="AJ186" s="117"/>
      <c r="AK186" s="114"/>
      <c r="AL186" s="117"/>
      <c r="AM186" s="114"/>
      <c r="AN186" s="117"/>
      <c r="AO186" s="114"/>
      <c r="AP186" s="117"/>
      <c r="AQ186" s="775"/>
      <c r="AR186" s="116"/>
      <c r="AS186" s="117"/>
      <c r="AT186" s="117"/>
      <c r="AU186" s="117"/>
      <c r="AV186" s="886"/>
      <c r="AW186" s="117"/>
      <c r="AX186" t="str">
        <f t="shared" si="195"/>
        <v/>
      </c>
      <c r="CW186"/>
      <c r="CX186" s="1791" t="str">
        <f t="shared" si="217"/>
        <v/>
      </c>
      <c r="CY186" s="1791" t="str">
        <f t="shared" si="218"/>
        <v/>
      </c>
      <c r="CZ186" s="1791" t="str">
        <f t="shared" si="219"/>
        <v/>
      </c>
      <c r="DA186" s="1791" t="str">
        <f t="shared" si="220"/>
        <v/>
      </c>
      <c r="DB186" s="2872"/>
      <c r="DC186" s="1791" t="str">
        <f t="shared" si="221"/>
        <v/>
      </c>
      <c r="DD186"/>
      <c r="DE186"/>
      <c r="DG186"/>
      <c r="DH186" s="1793">
        <f t="shared" si="223"/>
        <v>0</v>
      </c>
      <c r="DI186" s="1793">
        <f t="shared" si="224"/>
        <v>0</v>
      </c>
      <c r="DJ186" s="1793">
        <f t="shared" si="225"/>
        <v>0</v>
      </c>
      <c r="DK186" s="1793">
        <f t="shared" si="226"/>
        <v>0</v>
      </c>
      <c r="DL186" s="2872"/>
      <c r="DM186" s="1793">
        <f t="shared" si="228"/>
        <v>0</v>
      </c>
    </row>
    <row r="187" spans="1:117" ht="15" customHeight="1" x14ac:dyDescent="0.25">
      <c r="A187" s="7485" t="s">
        <v>867</v>
      </c>
      <c r="B187" s="7537" t="s">
        <v>868</v>
      </c>
      <c r="C187" s="7488"/>
      <c r="D187" s="4884">
        <f>SUM(E187+F187)</f>
        <v>0</v>
      </c>
      <c r="E187" s="4914">
        <f t="shared" ref="E187:F191" si="232">SUM(AK187)</f>
        <v>0</v>
      </c>
      <c r="F187" s="4876">
        <f t="shared" si="232"/>
        <v>0</v>
      </c>
      <c r="G187" s="4319"/>
      <c r="H187" s="3141"/>
      <c r="I187" s="3141"/>
      <c r="J187" s="3141"/>
      <c r="K187" s="3141"/>
      <c r="L187" s="3141"/>
      <c r="M187" s="3141"/>
      <c r="N187" s="3141"/>
      <c r="O187" s="3141"/>
      <c r="P187" s="3141"/>
      <c r="Q187" s="3141"/>
      <c r="R187" s="3141"/>
      <c r="S187" s="3141"/>
      <c r="T187" s="3141"/>
      <c r="U187" s="3141"/>
      <c r="V187" s="3141"/>
      <c r="W187" s="3141"/>
      <c r="X187" s="2893"/>
      <c r="Y187" s="3141"/>
      <c r="Z187" s="3141"/>
      <c r="AA187" s="3141"/>
      <c r="AB187" s="3141"/>
      <c r="AC187" s="4898"/>
      <c r="AD187" s="2909"/>
      <c r="AE187" s="2909"/>
      <c r="AF187" s="2909"/>
      <c r="AG187" s="2909"/>
      <c r="AH187" s="2909"/>
      <c r="AI187" s="2909"/>
      <c r="AJ187" s="4894"/>
      <c r="AK187" s="901"/>
      <c r="AL187" s="902"/>
      <c r="AM187" s="4888"/>
      <c r="AN187" s="2909"/>
      <c r="AO187" s="2909"/>
      <c r="AP187" s="4894"/>
      <c r="AQ187" s="903"/>
      <c r="AR187" s="592"/>
      <c r="AS187" s="3141"/>
      <c r="AT187" s="6050"/>
      <c r="AU187" s="6052"/>
      <c r="AV187" s="904"/>
      <c r="AW187" s="904"/>
      <c r="AX187" t="str">
        <f t="shared" si="195"/>
        <v/>
      </c>
      <c r="CW187"/>
      <c r="CX187" s="1791" t="str">
        <f t="shared" si="217"/>
        <v/>
      </c>
      <c r="CY187" s="2872"/>
      <c r="CZ187" s="2872"/>
      <c r="DA187" s="1791" t="str">
        <f t="shared" si="220"/>
        <v/>
      </c>
      <c r="DB187" s="1791" t="str">
        <f t="shared" si="222"/>
        <v/>
      </c>
      <c r="DC187" s="1791" t="str">
        <f t="shared" si="221"/>
        <v/>
      </c>
      <c r="DD187"/>
      <c r="DE187"/>
      <c r="DG187"/>
      <c r="DH187" s="1793">
        <f t="shared" si="223"/>
        <v>0</v>
      </c>
      <c r="DI187" s="2872"/>
      <c r="DJ187" s="2872"/>
      <c r="DK187" s="1793">
        <f t="shared" si="226"/>
        <v>0</v>
      </c>
      <c r="DL187" s="1793">
        <f t="shared" si="227"/>
        <v>0</v>
      </c>
      <c r="DM187" s="1793">
        <f t="shared" si="228"/>
        <v>0</v>
      </c>
    </row>
    <row r="188" spans="1:117" ht="15" customHeight="1" x14ac:dyDescent="0.25">
      <c r="A188" s="7364"/>
      <c r="B188" s="7364" t="s">
        <v>859</v>
      </c>
      <c r="C188" s="770" t="s">
        <v>860</v>
      </c>
      <c r="D188" s="4880">
        <f t="shared" si="230"/>
        <v>0</v>
      </c>
      <c r="E188" s="4909">
        <f t="shared" si="232"/>
        <v>0</v>
      </c>
      <c r="F188" s="4875">
        <f t="shared" si="232"/>
        <v>0</v>
      </c>
      <c r="G188" s="4319"/>
      <c r="H188" s="3141"/>
      <c r="I188" s="3141"/>
      <c r="J188" s="3141"/>
      <c r="K188" s="3141"/>
      <c r="L188" s="3141"/>
      <c r="M188" s="3141"/>
      <c r="N188" s="3141"/>
      <c r="O188" s="3141"/>
      <c r="P188" s="3141"/>
      <c r="Q188" s="3141"/>
      <c r="R188" s="3141"/>
      <c r="S188" s="3141"/>
      <c r="T188" s="3141"/>
      <c r="U188" s="3141"/>
      <c r="V188" s="3141"/>
      <c r="W188" s="3141"/>
      <c r="X188" s="2893"/>
      <c r="Y188" s="3141"/>
      <c r="Z188" s="3141"/>
      <c r="AA188" s="3141"/>
      <c r="AB188" s="3141"/>
      <c r="AC188" s="4319"/>
      <c r="AD188" s="3141"/>
      <c r="AE188" s="3141"/>
      <c r="AF188" s="3141"/>
      <c r="AG188" s="3141"/>
      <c r="AH188" s="3141"/>
      <c r="AI188" s="3141"/>
      <c r="AJ188" s="1088"/>
      <c r="AK188" s="589"/>
      <c r="AL188" s="105"/>
      <c r="AM188" s="1087"/>
      <c r="AN188" s="3141"/>
      <c r="AO188" s="3141"/>
      <c r="AP188" s="1088"/>
      <c r="AQ188" s="772"/>
      <c r="AR188" s="590"/>
      <c r="AS188" s="3141"/>
      <c r="AT188" s="6050"/>
      <c r="AU188" s="789"/>
      <c r="AV188" s="789"/>
      <c r="AW188" s="105"/>
      <c r="AX188" t="str">
        <f t="shared" si="195"/>
        <v/>
      </c>
      <c r="CW188"/>
      <c r="CX188" s="1791" t="str">
        <f t="shared" si="217"/>
        <v/>
      </c>
      <c r="CY188" s="2872"/>
      <c r="CZ188" s="2872"/>
      <c r="DA188" s="1791" t="str">
        <f t="shared" si="220"/>
        <v/>
      </c>
      <c r="DB188" s="1791" t="str">
        <f t="shared" si="222"/>
        <v/>
      </c>
      <c r="DC188" s="1791" t="str">
        <f t="shared" si="221"/>
        <v/>
      </c>
      <c r="DD188"/>
      <c r="DE188"/>
      <c r="DG188"/>
      <c r="DH188" s="1793">
        <f t="shared" si="223"/>
        <v>0</v>
      </c>
      <c r="DI188" s="2872"/>
      <c r="DJ188" s="2872"/>
      <c r="DK188" s="1793">
        <f t="shared" si="226"/>
        <v>0</v>
      </c>
      <c r="DL188" s="1793">
        <f t="shared" si="227"/>
        <v>0</v>
      </c>
      <c r="DM188" s="1793">
        <f t="shared" si="228"/>
        <v>0</v>
      </c>
    </row>
    <row r="189" spans="1:117" ht="15" customHeight="1" x14ac:dyDescent="0.25">
      <c r="A189" s="7364"/>
      <c r="B189" s="7364"/>
      <c r="C189" s="773" t="s">
        <v>869</v>
      </c>
      <c r="D189" s="4881">
        <f t="shared" si="230"/>
        <v>0</v>
      </c>
      <c r="E189" s="4911">
        <f t="shared" si="232"/>
        <v>0</v>
      </c>
      <c r="F189" s="4874">
        <f t="shared" si="232"/>
        <v>0</v>
      </c>
      <c r="G189" s="4319"/>
      <c r="H189" s="3141"/>
      <c r="I189" s="3141"/>
      <c r="J189" s="3141"/>
      <c r="K189" s="3141"/>
      <c r="L189" s="3141"/>
      <c r="M189" s="3141"/>
      <c r="N189" s="3141"/>
      <c r="O189" s="3141"/>
      <c r="P189" s="3141"/>
      <c r="Q189" s="3141"/>
      <c r="R189" s="3141"/>
      <c r="S189" s="3141"/>
      <c r="T189" s="3141"/>
      <c r="U189" s="3141"/>
      <c r="V189" s="3141"/>
      <c r="W189" s="3141"/>
      <c r="X189" s="2893"/>
      <c r="Y189" s="3141"/>
      <c r="Z189" s="3141"/>
      <c r="AA189" s="3141"/>
      <c r="AB189" s="3141"/>
      <c r="AC189" s="4319"/>
      <c r="AD189" s="3141"/>
      <c r="AE189" s="3141"/>
      <c r="AF189" s="3141"/>
      <c r="AG189" s="3141"/>
      <c r="AH189" s="3141"/>
      <c r="AI189" s="3141"/>
      <c r="AJ189" s="1088"/>
      <c r="AK189" s="131"/>
      <c r="AL189" s="878"/>
      <c r="AM189" s="1087"/>
      <c r="AN189" s="3141"/>
      <c r="AO189" s="3141"/>
      <c r="AP189" s="1088"/>
      <c r="AQ189" s="877"/>
      <c r="AR189" s="568"/>
      <c r="AS189" s="3141"/>
      <c r="AT189" s="6050"/>
      <c r="AU189" s="153"/>
      <c r="AV189" s="886"/>
      <c r="AW189" s="153"/>
      <c r="AX189" t="str">
        <f t="shared" si="195"/>
        <v/>
      </c>
      <c r="CW189"/>
      <c r="CX189" s="1791" t="str">
        <f t="shared" si="217"/>
        <v/>
      </c>
      <c r="CY189" s="2872"/>
      <c r="CZ189" s="2872"/>
      <c r="DA189" s="1791" t="str">
        <f t="shared" si="220"/>
        <v/>
      </c>
      <c r="DB189" s="2872"/>
      <c r="DC189" s="1791" t="str">
        <f t="shared" si="221"/>
        <v/>
      </c>
      <c r="DD189"/>
      <c r="DE189"/>
      <c r="DG189"/>
      <c r="DH189" s="1793">
        <f t="shared" si="223"/>
        <v>0</v>
      </c>
      <c r="DI189" s="2872"/>
      <c r="DJ189" s="2872"/>
      <c r="DK189" s="1793">
        <f t="shared" si="226"/>
        <v>0</v>
      </c>
      <c r="DL189" s="2872"/>
      <c r="DM189" s="1793">
        <f t="shared" si="228"/>
        <v>0</v>
      </c>
    </row>
    <row r="190" spans="1:117" ht="15" customHeight="1" x14ac:dyDescent="0.25">
      <c r="A190" s="7364"/>
      <c r="B190" s="7485" t="s">
        <v>750</v>
      </c>
      <c r="C190" s="608" t="s">
        <v>870</v>
      </c>
      <c r="D190" s="4880">
        <f t="shared" si="230"/>
        <v>0</v>
      </c>
      <c r="E190" s="4913">
        <f t="shared" si="232"/>
        <v>0</v>
      </c>
      <c r="F190" s="4875">
        <f t="shared" si="232"/>
        <v>0</v>
      </c>
      <c r="G190" s="4319"/>
      <c r="H190" s="3141"/>
      <c r="I190" s="3141"/>
      <c r="J190" s="3141"/>
      <c r="K190" s="3141"/>
      <c r="L190" s="3141"/>
      <c r="M190" s="3141"/>
      <c r="N190" s="3141"/>
      <c r="O190" s="3141"/>
      <c r="P190" s="3141"/>
      <c r="Q190" s="3141"/>
      <c r="R190" s="3141"/>
      <c r="S190" s="3141"/>
      <c r="T190" s="3141"/>
      <c r="U190" s="3141"/>
      <c r="V190" s="3141"/>
      <c r="W190" s="3141"/>
      <c r="X190" s="2893"/>
      <c r="Y190" s="3141"/>
      <c r="Z190" s="3141"/>
      <c r="AA190" s="3141"/>
      <c r="AB190" s="3141"/>
      <c r="AC190" s="4319"/>
      <c r="AD190" s="3141"/>
      <c r="AE190" s="3141"/>
      <c r="AF190" s="3141"/>
      <c r="AG190" s="3141"/>
      <c r="AH190" s="3141"/>
      <c r="AI190" s="3141"/>
      <c r="AJ190" s="1088"/>
      <c r="AK190" s="484"/>
      <c r="AL190" s="501"/>
      <c r="AM190" s="1087"/>
      <c r="AN190" s="3141"/>
      <c r="AO190" s="3141"/>
      <c r="AP190" s="1088"/>
      <c r="AQ190" s="619"/>
      <c r="AR190" s="185"/>
      <c r="AS190" s="3141"/>
      <c r="AT190" s="6050"/>
      <c r="AU190" s="789"/>
      <c r="AV190" s="789"/>
      <c r="AW190" s="789"/>
      <c r="AX190" t="str">
        <f t="shared" si="195"/>
        <v/>
      </c>
      <c r="CW190"/>
      <c r="CX190" s="1791" t="str">
        <f t="shared" si="217"/>
        <v/>
      </c>
      <c r="CY190" s="2872"/>
      <c r="CZ190" s="2872"/>
      <c r="DA190" s="1791" t="str">
        <f t="shared" si="220"/>
        <v/>
      </c>
      <c r="DB190" s="1791" t="str">
        <f t="shared" si="222"/>
        <v/>
      </c>
      <c r="DC190" s="1791" t="str">
        <f t="shared" si="221"/>
        <v/>
      </c>
      <c r="DD190"/>
      <c r="DE190"/>
      <c r="DG190"/>
      <c r="DH190" s="1793">
        <f t="shared" si="223"/>
        <v>0</v>
      </c>
      <c r="DI190" s="2872"/>
      <c r="DJ190" s="2872"/>
      <c r="DK190" s="1793">
        <f t="shared" si="226"/>
        <v>0</v>
      </c>
      <c r="DL190" s="1793">
        <f t="shared" si="227"/>
        <v>0</v>
      </c>
      <c r="DM190" s="1793">
        <f t="shared" si="228"/>
        <v>0</v>
      </c>
    </row>
    <row r="191" spans="1:117" ht="15" customHeight="1" x14ac:dyDescent="0.25">
      <c r="A191" s="7480"/>
      <c r="B191" s="7480"/>
      <c r="C191" s="596" t="s">
        <v>871</v>
      </c>
      <c r="D191" s="4881">
        <f t="shared" si="230"/>
        <v>0</v>
      </c>
      <c r="E191" s="4913">
        <f t="shared" si="232"/>
        <v>0</v>
      </c>
      <c r="F191" s="4875">
        <f t="shared" si="232"/>
        <v>0</v>
      </c>
      <c r="G191" s="4319"/>
      <c r="H191" s="3141"/>
      <c r="I191" s="3141"/>
      <c r="J191" s="3141"/>
      <c r="K191" s="3141"/>
      <c r="L191" s="3141"/>
      <c r="M191" s="3141"/>
      <c r="N191" s="3141"/>
      <c r="O191" s="3141"/>
      <c r="P191" s="3141"/>
      <c r="Q191" s="3141"/>
      <c r="R191" s="3141"/>
      <c r="S191" s="3141"/>
      <c r="T191" s="3141"/>
      <c r="U191" s="3141"/>
      <c r="V191" s="3141"/>
      <c r="W191" s="3141"/>
      <c r="X191" s="2893"/>
      <c r="Y191" s="3110"/>
      <c r="Z191" s="3110"/>
      <c r="AA191" s="3110"/>
      <c r="AB191" s="3110"/>
      <c r="AC191" s="197"/>
      <c r="AD191" s="3110"/>
      <c r="AE191" s="3110"/>
      <c r="AF191" s="3110"/>
      <c r="AG191" s="3110"/>
      <c r="AH191" s="3110"/>
      <c r="AI191" s="3110"/>
      <c r="AJ191" s="3111"/>
      <c r="AK191" s="623"/>
      <c r="AL191" s="625"/>
      <c r="AM191" s="3108"/>
      <c r="AN191" s="3110"/>
      <c r="AO191" s="3110"/>
      <c r="AP191" s="3111"/>
      <c r="AQ191" s="624"/>
      <c r="AR191" s="584"/>
      <c r="AS191" s="3108"/>
      <c r="AT191" s="6051"/>
      <c r="AU191" s="5620"/>
      <c r="AV191" s="886"/>
      <c r="AW191" s="117"/>
      <c r="AX191" t="str">
        <f t="shared" si="195"/>
        <v/>
      </c>
      <c r="CW191"/>
      <c r="CX191" s="1791" t="str">
        <f t="shared" si="217"/>
        <v/>
      </c>
      <c r="CY191" s="2872"/>
      <c r="CZ191" s="2872"/>
      <c r="DA191" s="1791" t="str">
        <f t="shared" si="220"/>
        <v/>
      </c>
      <c r="DB191" s="2872"/>
      <c r="DC191" s="1791" t="str">
        <f t="shared" si="221"/>
        <v/>
      </c>
      <c r="DD191"/>
      <c r="DE191"/>
      <c r="DG191"/>
      <c r="DH191" s="1793">
        <f t="shared" si="223"/>
        <v>0</v>
      </c>
      <c r="DI191" s="2872"/>
      <c r="DJ191" s="2872"/>
      <c r="DK191" s="1793">
        <f t="shared" si="226"/>
        <v>0</v>
      </c>
      <c r="DL191" s="2872"/>
      <c r="DM191" s="1793">
        <f t="shared" si="228"/>
        <v>0</v>
      </c>
    </row>
    <row r="192" spans="1:117" ht="15" customHeight="1" x14ac:dyDescent="0.25">
      <c r="A192" s="7555" t="s">
        <v>872</v>
      </c>
      <c r="B192" s="7558" t="s">
        <v>873</v>
      </c>
      <c r="C192" s="908" t="s">
        <v>874</v>
      </c>
      <c r="D192" s="4880">
        <f t="shared" si="230"/>
        <v>0</v>
      </c>
      <c r="E192" s="4909">
        <f t="shared" ref="E192:F194" si="233">SUM(Y192+AA192+AC192+AE192+AG192+AI192+AK192+AM192+AO192)</f>
        <v>0</v>
      </c>
      <c r="F192" s="4899">
        <f t="shared" si="233"/>
        <v>0</v>
      </c>
      <c r="G192" s="3669"/>
      <c r="H192" s="4886"/>
      <c r="I192" s="4886"/>
      <c r="J192" s="4886"/>
      <c r="K192" s="4886"/>
      <c r="L192" s="4886"/>
      <c r="M192" s="4886"/>
      <c r="N192" s="4886"/>
      <c r="O192" s="4886"/>
      <c r="P192" s="4886"/>
      <c r="Q192" s="4886"/>
      <c r="R192" s="4886"/>
      <c r="S192" s="4886"/>
      <c r="T192" s="4886"/>
      <c r="U192" s="4886"/>
      <c r="V192" s="4886"/>
      <c r="W192" s="4886"/>
      <c r="X192" s="2054"/>
      <c r="Y192" s="589"/>
      <c r="Z192" s="105"/>
      <c r="AA192" s="589"/>
      <c r="AB192" s="105"/>
      <c r="AC192" s="589"/>
      <c r="AD192" s="105"/>
      <c r="AE192" s="589"/>
      <c r="AF192" s="105"/>
      <c r="AG192" s="589"/>
      <c r="AH192" s="105"/>
      <c r="AI192" s="589"/>
      <c r="AJ192" s="105"/>
      <c r="AK192" s="589"/>
      <c r="AL192" s="105"/>
      <c r="AM192" s="589"/>
      <c r="AN192" s="105"/>
      <c r="AO192" s="589"/>
      <c r="AP192" s="105"/>
      <c r="AQ192" s="772"/>
      <c r="AR192" s="590"/>
      <c r="AS192" s="105"/>
      <c r="AT192" s="105"/>
      <c r="AU192" s="105"/>
      <c r="AV192" s="789"/>
      <c r="AW192" s="105"/>
      <c r="AX192" t="str">
        <f t="shared" si="195"/>
        <v/>
      </c>
      <c r="CW192"/>
      <c r="CX192" s="1791" t="str">
        <f t="shared" ref="CX192:CX196" si="234">IF(AND(D192&gt;0,AR192=""),"  * No olvide digitar la variable  Usuarios con Discapacidad. Digite Cero si no tiene.",IF(AR192&gt;D192," * La variable Usuarios con Discapacidad no pueden superar el Total Ambos Sexos.",""))</f>
        <v/>
      </c>
      <c r="CY192" s="1791" t="str">
        <f t="shared" ref="CY192:CY196" si="235">IF(AND(D192&gt;0,AS192=""),"  * No olvide digitar la variable Niños, niñas, adolescentes y jóvenes SENAME. Digite Cero si no tiene.",IF(AS192&gt;D192," * La variable Niños, niñas, adolescentes y jóvenes SENAME no pueden superar el Total Ambos Sexos.",""))</f>
        <v/>
      </c>
      <c r="CZ192" s="1791" t="str">
        <f t="shared" ref="CZ192:CZ196" si="236">IF(AND(D192&gt;0,AT192=""),"  * No olvide digitar la variable Niños, niñas, adolescentes y jóvenes Mejor Niñez. Digite Cero si no tiene.",IF(AT192&gt;D192," * La variable Niños, niñas, adolescentes y jóvenes Mejor Niñez  no pueden superar el Total Ambos Sexos.",""))</f>
        <v/>
      </c>
      <c r="DA192" s="1791" t="str">
        <f t="shared" ref="DA192:DA196" si="237">IF(AND(D192&gt;0,AU192=""),"  * No olvide digitar la variable Migrantes. Digite Cero si no tiene.",IF(AU192&gt;D192," * La variable Migrantes no pueden superar el Total Ambos Sexos.",""))</f>
        <v/>
      </c>
      <c r="DB192" s="1791" t="str">
        <f t="shared" si="222"/>
        <v/>
      </c>
      <c r="DC192" s="1791" t="str">
        <f t="shared" si="221"/>
        <v/>
      </c>
      <c r="DD192"/>
      <c r="DE192"/>
      <c r="DG192"/>
      <c r="DH192" s="1793">
        <f t="shared" si="223"/>
        <v>0</v>
      </c>
      <c r="DI192" s="1793">
        <f t="shared" si="224"/>
        <v>0</v>
      </c>
      <c r="DJ192" s="1793">
        <f t="shared" si="225"/>
        <v>0</v>
      </c>
      <c r="DK192" s="1793">
        <f t="shared" si="226"/>
        <v>0</v>
      </c>
      <c r="DL192" s="1793">
        <f t="shared" si="227"/>
        <v>0</v>
      </c>
      <c r="DM192" s="1793">
        <f t="shared" si="228"/>
        <v>0</v>
      </c>
    </row>
    <row r="193" spans="1:117" ht="15" customHeight="1" x14ac:dyDescent="0.25">
      <c r="A193" s="7556"/>
      <c r="B193" s="7559"/>
      <c r="C193" s="327" t="s">
        <v>875</v>
      </c>
      <c r="D193" s="971">
        <f t="shared" si="230"/>
        <v>0</v>
      </c>
      <c r="E193" s="4910">
        <f t="shared" si="233"/>
        <v>0</v>
      </c>
      <c r="F193" s="4900">
        <f t="shared" si="233"/>
        <v>0</v>
      </c>
      <c r="G193" s="3669"/>
      <c r="H193" s="4886"/>
      <c r="I193" s="4886"/>
      <c r="J193" s="4886"/>
      <c r="K193" s="4886"/>
      <c r="L193" s="4886"/>
      <c r="M193" s="4886"/>
      <c r="N193" s="4886"/>
      <c r="O193" s="4886"/>
      <c r="P193" s="4886"/>
      <c r="Q193" s="4886"/>
      <c r="R193" s="4886"/>
      <c r="S193" s="4886"/>
      <c r="T193" s="4886"/>
      <c r="U193" s="4886"/>
      <c r="V193" s="4886"/>
      <c r="W193" s="4886"/>
      <c r="X193" s="2054"/>
      <c r="Y193" s="131"/>
      <c r="Z193" s="878"/>
      <c r="AA193" s="131"/>
      <c r="AB193" s="878"/>
      <c r="AC193" s="131"/>
      <c r="AD193" s="878"/>
      <c r="AE193" s="131"/>
      <c r="AF193" s="878"/>
      <c r="AG193" s="131"/>
      <c r="AH193" s="878"/>
      <c r="AI193" s="131"/>
      <c r="AJ193" s="878"/>
      <c r="AK193" s="131"/>
      <c r="AL193" s="878"/>
      <c r="AM193" s="131"/>
      <c r="AN193" s="878"/>
      <c r="AO193" s="131"/>
      <c r="AP193" s="878"/>
      <c r="AQ193" s="877"/>
      <c r="AR193" s="568"/>
      <c r="AS193" s="878"/>
      <c r="AT193" s="878"/>
      <c r="AU193" s="878"/>
      <c r="AV193" s="333"/>
      <c r="AW193" s="878"/>
      <c r="AX193" t="str">
        <f t="shared" si="195"/>
        <v/>
      </c>
      <c r="CW193"/>
      <c r="CX193" s="1791" t="str">
        <f t="shared" si="234"/>
        <v/>
      </c>
      <c r="CY193" s="1791" t="str">
        <f t="shared" si="235"/>
        <v/>
      </c>
      <c r="CZ193" s="1791" t="str">
        <f t="shared" si="236"/>
        <v/>
      </c>
      <c r="DA193" s="1791" t="str">
        <f t="shared" si="237"/>
        <v/>
      </c>
      <c r="DB193" s="1791" t="str">
        <f t="shared" si="222"/>
        <v/>
      </c>
      <c r="DC193" s="1791" t="str">
        <f t="shared" si="221"/>
        <v/>
      </c>
      <c r="DD193"/>
      <c r="DE193"/>
      <c r="DG193"/>
      <c r="DH193" s="1793">
        <f t="shared" si="223"/>
        <v>0</v>
      </c>
      <c r="DI193" s="1793">
        <f t="shared" si="224"/>
        <v>0</v>
      </c>
      <c r="DJ193" s="1793">
        <f t="shared" si="225"/>
        <v>0</v>
      </c>
      <c r="DK193" s="1793">
        <f t="shared" si="226"/>
        <v>0</v>
      </c>
      <c r="DL193" s="1793">
        <f t="shared" si="227"/>
        <v>0</v>
      </c>
      <c r="DM193" s="1793">
        <f t="shared" si="228"/>
        <v>0</v>
      </c>
    </row>
    <row r="194" spans="1:117" ht="15" customHeight="1" x14ac:dyDescent="0.25">
      <c r="A194" s="7557"/>
      <c r="B194" s="7560"/>
      <c r="C194" s="909" t="s">
        <v>876</v>
      </c>
      <c r="D194" s="4881">
        <f t="shared" si="230"/>
        <v>0</v>
      </c>
      <c r="E194" s="4911">
        <f t="shared" si="233"/>
        <v>0</v>
      </c>
      <c r="F194" s="4903">
        <f t="shared" si="233"/>
        <v>0</v>
      </c>
      <c r="G194" s="3669"/>
      <c r="H194" s="4886"/>
      <c r="I194" s="4886"/>
      <c r="J194" s="4886"/>
      <c r="K194" s="4886"/>
      <c r="L194" s="4886"/>
      <c r="M194" s="4886"/>
      <c r="N194" s="4886"/>
      <c r="O194" s="4886"/>
      <c r="P194" s="4886"/>
      <c r="Q194" s="4886"/>
      <c r="R194" s="4886"/>
      <c r="S194" s="4886"/>
      <c r="T194" s="4886"/>
      <c r="U194" s="4886"/>
      <c r="V194" s="4886"/>
      <c r="W194" s="4886"/>
      <c r="X194" s="2054"/>
      <c r="Y194" s="114"/>
      <c r="Z194" s="117"/>
      <c r="AA194" s="114"/>
      <c r="AB194" s="117"/>
      <c r="AC194" s="114"/>
      <c r="AD194" s="117"/>
      <c r="AE194" s="114"/>
      <c r="AF194" s="117"/>
      <c r="AG194" s="114"/>
      <c r="AH194" s="117"/>
      <c r="AI194" s="114"/>
      <c r="AJ194" s="117"/>
      <c r="AK194" s="114"/>
      <c r="AL194" s="117"/>
      <c r="AM194" s="114"/>
      <c r="AN194" s="117"/>
      <c r="AO194" s="114"/>
      <c r="AP194" s="117"/>
      <c r="AQ194" s="775"/>
      <c r="AR194" s="117"/>
      <c r="AS194" s="117"/>
      <c r="AT194" s="117"/>
      <c r="AU194" s="117"/>
      <c r="AV194" s="153"/>
      <c r="AW194" s="117"/>
      <c r="AX194" t="str">
        <f t="shared" si="195"/>
        <v/>
      </c>
      <c r="CW194"/>
      <c r="CX194" s="1791" t="str">
        <f t="shared" si="234"/>
        <v/>
      </c>
      <c r="CY194" s="1791" t="str">
        <f t="shared" si="235"/>
        <v/>
      </c>
      <c r="CZ194" s="1791" t="str">
        <f t="shared" si="236"/>
        <v/>
      </c>
      <c r="DA194" s="1791" t="str">
        <f t="shared" si="237"/>
        <v/>
      </c>
      <c r="DB194" s="1791" t="str">
        <f t="shared" si="222"/>
        <v/>
      </c>
      <c r="DC194" s="1791" t="str">
        <f t="shared" si="221"/>
        <v/>
      </c>
      <c r="DD194"/>
      <c r="DE194"/>
      <c r="DG194"/>
      <c r="DH194" s="1793">
        <f t="shared" si="223"/>
        <v>0</v>
      </c>
      <c r="DI194" s="1793">
        <f t="shared" si="224"/>
        <v>0</v>
      </c>
      <c r="DJ194" s="1793">
        <f t="shared" si="225"/>
        <v>0</v>
      </c>
      <c r="DK194" s="1793">
        <f t="shared" si="226"/>
        <v>0</v>
      </c>
      <c r="DL194" s="1793">
        <f t="shared" si="227"/>
        <v>0</v>
      </c>
      <c r="DM194" s="1793">
        <f t="shared" si="228"/>
        <v>0</v>
      </c>
    </row>
    <row r="195" spans="1:117" ht="21.6" customHeight="1" x14ac:dyDescent="0.25">
      <c r="A195" s="7550" t="s">
        <v>877</v>
      </c>
      <c r="B195" s="7485" t="s">
        <v>878</v>
      </c>
      <c r="C195" s="612" t="s">
        <v>879</v>
      </c>
      <c r="D195" s="917">
        <f>SUM(E195+F195)</f>
        <v>0</v>
      </c>
      <c r="E195" s="4913">
        <f>SUM(AC195+AE195+AG195+AI195+AK195+AM195+AO195)</f>
        <v>0</v>
      </c>
      <c r="F195" s="4902">
        <f>SUM(AD195+AF195+AH195+AJ195+AL195+AN195+AP195)</f>
        <v>0</v>
      </c>
      <c r="G195" s="4319"/>
      <c r="H195" s="3141"/>
      <c r="I195" s="3141"/>
      <c r="J195" s="3141"/>
      <c r="K195" s="3141"/>
      <c r="L195" s="3141"/>
      <c r="M195" s="3141"/>
      <c r="N195" s="3141"/>
      <c r="O195" s="3141"/>
      <c r="P195" s="3141"/>
      <c r="Q195" s="3141"/>
      <c r="R195" s="3141"/>
      <c r="S195" s="3141"/>
      <c r="T195" s="3141"/>
      <c r="U195" s="3141"/>
      <c r="V195" s="3141"/>
      <c r="W195" s="3141"/>
      <c r="X195" s="3141"/>
      <c r="Y195" s="2909"/>
      <c r="Z195" s="2909"/>
      <c r="AA195" s="2909"/>
      <c r="AB195" s="2909"/>
      <c r="AC195" s="4897"/>
      <c r="AD195" s="501"/>
      <c r="AE195" s="484"/>
      <c r="AF195" s="501"/>
      <c r="AG195" s="484"/>
      <c r="AH195" s="501"/>
      <c r="AI195" s="484"/>
      <c r="AJ195" s="501"/>
      <c r="AK195" s="484"/>
      <c r="AL195" s="501"/>
      <c r="AM195" s="484"/>
      <c r="AN195" s="501"/>
      <c r="AO195" s="484"/>
      <c r="AP195" s="5870"/>
      <c r="AQ195" s="5871"/>
      <c r="AR195" s="501"/>
      <c r="AS195" s="501"/>
      <c r="AT195" s="501"/>
      <c r="AU195" s="501"/>
      <c r="AV195" s="912"/>
      <c r="AW195" s="501"/>
      <c r="AX195" t="str">
        <f t="shared" si="195"/>
        <v/>
      </c>
      <c r="CW195"/>
      <c r="CX195" s="1791" t="str">
        <f t="shared" si="234"/>
        <v/>
      </c>
      <c r="CY195" s="1791" t="str">
        <f t="shared" si="235"/>
        <v/>
      </c>
      <c r="CZ195" s="1791" t="str">
        <f t="shared" si="236"/>
        <v/>
      </c>
      <c r="DA195" s="1791" t="str">
        <f t="shared" si="237"/>
        <v/>
      </c>
      <c r="DB195" s="2872"/>
      <c r="DC195" s="1791" t="str">
        <f t="shared" si="221"/>
        <v/>
      </c>
      <c r="DD195"/>
      <c r="DE195"/>
      <c r="DG195"/>
      <c r="DH195" s="1793">
        <f t="shared" si="223"/>
        <v>0</v>
      </c>
      <c r="DI195" s="1793">
        <f t="shared" si="224"/>
        <v>0</v>
      </c>
      <c r="DJ195" s="1793">
        <f t="shared" si="225"/>
        <v>0</v>
      </c>
      <c r="DK195" s="1793">
        <f t="shared" si="226"/>
        <v>0</v>
      </c>
      <c r="DL195" s="2872"/>
      <c r="DM195" s="1793">
        <f t="shared" si="228"/>
        <v>0</v>
      </c>
    </row>
    <row r="196" spans="1:117" ht="20.45" customHeight="1" x14ac:dyDescent="0.25">
      <c r="A196" s="7551"/>
      <c r="B196" s="7480"/>
      <c r="C196" s="587" t="s">
        <v>880</v>
      </c>
      <c r="D196" s="4881">
        <f>SUM(E196+F196)</f>
        <v>0</v>
      </c>
      <c r="E196" s="4911">
        <f>SUM(AC196+AE196+AG196+AI196+AK196+AM196+AO196)</f>
        <v>0</v>
      </c>
      <c r="F196" s="4903">
        <f>SUM(AD196+AF196+AH196+AJ196+AL196+AN196+AP196)</f>
        <v>0</v>
      </c>
      <c r="G196" s="197"/>
      <c r="H196" s="3110"/>
      <c r="I196" s="3110"/>
      <c r="J196" s="3110"/>
      <c r="K196" s="3110"/>
      <c r="L196" s="3110"/>
      <c r="M196" s="3110"/>
      <c r="N196" s="3110"/>
      <c r="O196" s="3110"/>
      <c r="P196" s="3110"/>
      <c r="Q196" s="3110"/>
      <c r="R196" s="3110"/>
      <c r="S196" s="3110"/>
      <c r="T196" s="3110"/>
      <c r="U196" s="3110"/>
      <c r="V196" s="3110"/>
      <c r="W196" s="3110"/>
      <c r="X196" s="3110"/>
      <c r="Y196" s="3110"/>
      <c r="Z196" s="3110"/>
      <c r="AA196" s="3110"/>
      <c r="AB196" s="3110"/>
      <c r="AC196" s="121"/>
      <c r="AD196" s="117"/>
      <c r="AE196" s="114"/>
      <c r="AF196" s="117"/>
      <c r="AG196" s="114"/>
      <c r="AH196" s="117"/>
      <c r="AI196" s="114"/>
      <c r="AJ196" s="117"/>
      <c r="AK196" s="114"/>
      <c r="AL196" s="117"/>
      <c r="AM196" s="114"/>
      <c r="AN196" s="117"/>
      <c r="AO196" s="114"/>
      <c r="AP196" s="138"/>
      <c r="AQ196" s="3244"/>
      <c r="AR196" s="117"/>
      <c r="AS196" s="117"/>
      <c r="AT196" s="117"/>
      <c r="AU196" s="117"/>
      <c r="AV196" s="913"/>
      <c r="AW196" s="117"/>
      <c r="AX196" t="str">
        <f t="shared" si="195"/>
        <v/>
      </c>
      <c r="CW196"/>
      <c r="CX196" s="1791" t="str">
        <f t="shared" si="234"/>
        <v/>
      </c>
      <c r="CY196" s="1791" t="str">
        <f t="shared" si="235"/>
        <v/>
      </c>
      <c r="CZ196" s="1791" t="str">
        <f t="shared" si="236"/>
        <v/>
      </c>
      <c r="DA196" s="1791" t="str">
        <f t="shared" si="237"/>
        <v/>
      </c>
      <c r="DB196" s="2872"/>
      <c r="DC196" s="1791" t="str">
        <f t="shared" si="221"/>
        <v/>
      </c>
      <c r="DD196"/>
      <c r="DE196"/>
      <c r="DG196"/>
      <c r="DH196" s="1793">
        <f t="shared" si="223"/>
        <v>0</v>
      </c>
      <c r="DI196" s="1793">
        <f t="shared" si="224"/>
        <v>0</v>
      </c>
      <c r="DJ196" s="1793">
        <f t="shared" si="225"/>
        <v>0</v>
      </c>
      <c r="DK196" s="1793">
        <f t="shared" si="226"/>
        <v>0</v>
      </c>
      <c r="DL196" s="2872"/>
      <c r="DM196" s="1793">
        <f t="shared" si="228"/>
        <v>0</v>
      </c>
    </row>
    <row r="197" spans="1:117" ht="18" customHeight="1" x14ac:dyDescent="0.25">
      <c r="A197" s="122" t="s">
        <v>881</v>
      </c>
      <c r="B197" s="798"/>
      <c r="C197" s="798"/>
      <c r="D197" s="798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780"/>
      <c r="Z197" s="780"/>
      <c r="AA197" s="780"/>
      <c r="AB197" s="780"/>
      <c r="AC197" s="780"/>
      <c r="AD197" s="780"/>
      <c r="AE197" s="780"/>
      <c r="AF197" s="780"/>
      <c r="AG197" s="780"/>
      <c r="CW197"/>
      <c r="CX197"/>
      <c r="CY197"/>
      <c r="CZ197"/>
      <c r="DA197"/>
      <c r="DB197"/>
      <c r="DC197"/>
      <c r="DD197"/>
      <c r="DE197"/>
      <c r="DG197"/>
      <c r="DH197"/>
      <c r="DI197"/>
      <c r="DJ197"/>
      <c r="DK197"/>
      <c r="DL197"/>
      <c r="DM197"/>
    </row>
    <row r="198" spans="1:117" ht="15" customHeight="1" x14ac:dyDescent="0.25">
      <c r="A198" s="7337" t="s">
        <v>58</v>
      </c>
      <c r="B198" s="6603"/>
      <c r="C198" s="7319"/>
      <c r="D198" s="7322" t="s">
        <v>24</v>
      </c>
      <c r="E198" s="6468"/>
      <c r="F198" s="7323"/>
      <c r="G198" s="7487" t="s">
        <v>30</v>
      </c>
      <c r="H198" s="7503"/>
      <c r="I198" s="7503"/>
      <c r="J198" s="7503"/>
      <c r="K198" s="7503"/>
      <c r="L198" s="7503"/>
      <c r="M198" s="7503"/>
      <c r="N198" s="7503"/>
      <c r="O198" s="7503"/>
      <c r="P198" s="7503"/>
      <c r="Q198" s="7503"/>
      <c r="R198" s="7503"/>
      <c r="S198" s="7503"/>
      <c r="T198" s="7503"/>
      <c r="U198" s="7503"/>
      <c r="V198" s="7503"/>
      <c r="W198" s="7503"/>
      <c r="X198" s="7503"/>
      <c r="Y198" s="7503"/>
      <c r="Z198" s="7503"/>
      <c r="AA198" s="7503"/>
      <c r="AB198" s="7505"/>
      <c r="AC198" s="7552" t="s">
        <v>678</v>
      </c>
      <c r="AD198" s="7525" t="s">
        <v>50</v>
      </c>
      <c r="AE198" s="7525" t="s">
        <v>882</v>
      </c>
      <c r="AF198" s="7525" t="s">
        <v>883</v>
      </c>
      <c r="AG198" s="7525" t="s">
        <v>884</v>
      </c>
      <c r="CW198"/>
      <c r="CX198"/>
      <c r="CY198"/>
      <c r="CZ198"/>
      <c r="DA198"/>
      <c r="DB198"/>
      <c r="DC198"/>
      <c r="DD198"/>
      <c r="DE198"/>
      <c r="DG198"/>
      <c r="DH198"/>
      <c r="DI198"/>
      <c r="DJ198"/>
      <c r="DK198"/>
      <c r="DL198"/>
      <c r="DM198"/>
    </row>
    <row r="199" spans="1:117" ht="15" customHeight="1" x14ac:dyDescent="0.25">
      <c r="A199" s="7359"/>
      <c r="B199" s="7360"/>
      <c r="C199" s="6590"/>
      <c r="D199" s="7406"/>
      <c r="E199" s="6471"/>
      <c r="F199" s="6472"/>
      <c r="G199" s="7501" t="s">
        <v>682</v>
      </c>
      <c r="H199" s="7502"/>
      <c r="I199" s="7487" t="s">
        <v>683</v>
      </c>
      <c r="J199" s="7504"/>
      <c r="K199" s="7503" t="s">
        <v>684</v>
      </c>
      <c r="L199" s="7504"/>
      <c r="M199" s="7487" t="s">
        <v>685</v>
      </c>
      <c r="N199" s="7504"/>
      <c r="O199" s="7487" t="s">
        <v>686</v>
      </c>
      <c r="P199" s="7504"/>
      <c r="Q199" s="7487" t="s">
        <v>687</v>
      </c>
      <c r="R199" s="7504"/>
      <c r="S199" s="7487" t="s">
        <v>688</v>
      </c>
      <c r="T199" s="7504"/>
      <c r="U199" s="7487" t="s">
        <v>689</v>
      </c>
      <c r="V199" s="7504"/>
      <c r="W199" s="7487" t="s">
        <v>690</v>
      </c>
      <c r="X199" s="7504"/>
      <c r="Y199" s="7487" t="s">
        <v>554</v>
      </c>
      <c r="Z199" s="7488"/>
      <c r="AA199" s="7487" t="s">
        <v>568</v>
      </c>
      <c r="AB199" s="7488"/>
      <c r="AC199" s="7553"/>
      <c r="AD199" s="7548"/>
      <c r="AE199" s="7548"/>
      <c r="AF199" s="7548"/>
      <c r="AG199" s="7548"/>
      <c r="CW199"/>
      <c r="CX199"/>
      <c r="CY199"/>
      <c r="CZ199"/>
      <c r="DA199"/>
      <c r="DB199"/>
      <c r="DC199"/>
      <c r="DD199"/>
      <c r="DE199"/>
      <c r="DG199"/>
      <c r="DH199"/>
      <c r="DI199"/>
      <c r="DJ199"/>
      <c r="DK199"/>
      <c r="DL199"/>
      <c r="DM199"/>
    </row>
    <row r="200" spans="1:117" ht="15" customHeight="1" x14ac:dyDescent="0.25">
      <c r="A200" s="7464"/>
      <c r="B200" s="7465"/>
      <c r="C200" s="7466"/>
      <c r="D200" s="571" t="s">
        <v>26</v>
      </c>
      <c r="E200" s="557" t="s">
        <v>22</v>
      </c>
      <c r="F200" s="600" t="s">
        <v>27</v>
      </c>
      <c r="G200" s="598" t="s">
        <v>22</v>
      </c>
      <c r="H200" s="600" t="s">
        <v>27</v>
      </c>
      <c r="I200" s="598" t="s">
        <v>22</v>
      </c>
      <c r="J200" s="600" t="s">
        <v>27</v>
      </c>
      <c r="K200" s="606" t="s">
        <v>22</v>
      </c>
      <c r="L200" s="600" t="s">
        <v>27</v>
      </c>
      <c r="M200" s="606" t="s">
        <v>22</v>
      </c>
      <c r="N200" s="600" t="s">
        <v>27</v>
      </c>
      <c r="O200" s="606" t="s">
        <v>22</v>
      </c>
      <c r="P200" s="600" t="s">
        <v>27</v>
      </c>
      <c r="Q200" s="606" t="s">
        <v>22</v>
      </c>
      <c r="R200" s="600" t="s">
        <v>27</v>
      </c>
      <c r="S200" s="606" t="s">
        <v>22</v>
      </c>
      <c r="T200" s="600" t="s">
        <v>27</v>
      </c>
      <c r="U200" s="606" t="s">
        <v>22</v>
      </c>
      <c r="V200" s="600" t="s">
        <v>27</v>
      </c>
      <c r="W200" s="606" t="s">
        <v>22</v>
      </c>
      <c r="X200" s="600" t="s">
        <v>27</v>
      </c>
      <c r="Y200" s="606" t="s">
        <v>22</v>
      </c>
      <c r="Z200" s="600" t="s">
        <v>27</v>
      </c>
      <c r="AA200" s="606" t="s">
        <v>22</v>
      </c>
      <c r="AB200" s="600" t="s">
        <v>27</v>
      </c>
      <c r="AC200" s="7554"/>
      <c r="AD200" s="7531"/>
      <c r="AE200" s="7531"/>
      <c r="AF200" s="7531"/>
      <c r="AG200" s="7531"/>
      <c r="CW200"/>
      <c r="CX200"/>
      <c r="CY200"/>
      <c r="CZ200"/>
      <c r="DA200"/>
      <c r="DB200"/>
      <c r="DC200"/>
      <c r="DD200"/>
      <c r="DE200"/>
      <c r="DG200"/>
      <c r="DH200"/>
      <c r="DI200"/>
      <c r="DJ200"/>
      <c r="DK200"/>
      <c r="DL200"/>
      <c r="DM200"/>
    </row>
    <row r="201" spans="1:117" ht="15" customHeight="1" x14ac:dyDescent="0.25">
      <c r="A201" s="7538" t="s">
        <v>885</v>
      </c>
      <c r="B201" s="7539"/>
      <c r="C201" s="7540"/>
      <c r="D201" s="914">
        <f>SUM(E201+F201)</f>
        <v>0</v>
      </c>
      <c r="E201" s="915">
        <f>+K201+M201+O201+Q201+S201</f>
        <v>0</v>
      </c>
      <c r="F201" s="778">
        <f>+L201+N201+P201+R201+T201</f>
        <v>0</v>
      </c>
      <c r="G201" s="867"/>
      <c r="H201" s="907"/>
      <c r="I201" s="867"/>
      <c r="J201" s="907"/>
      <c r="K201" s="484"/>
      <c r="L201" s="501"/>
      <c r="M201" s="484"/>
      <c r="N201" s="501"/>
      <c r="O201" s="484"/>
      <c r="P201" s="501"/>
      <c r="Q201" s="484"/>
      <c r="R201" s="501"/>
      <c r="S201" s="484"/>
      <c r="T201" s="501"/>
      <c r="U201" s="869"/>
      <c r="V201" s="880"/>
      <c r="W201" s="869"/>
      <c r="X201" s="880"/>
      <c r="Y201" s="869"/>
      <c r="Z201" s="880"/>
      <c r="AA201" s="869"/>
      <c r="AB201" s="916"/>
      <c r="AC201" s="619"/>
      <c r="AD201" s="559">
        <f t="shared" ref="AD201:AD206" si="238">SUM(AE201:AG201)</f>
        <v>0</v>
      </c>
      <c r="AE201" s="501"/>
      <c r="AF201" s="501"/>
      <c r="AG201" s="501"/>
      <c r="AH201" t="str">
        <f>CW201&amp;CX201&amp;CY201&amp;CZ201&amp;DA201</f>
        <v/>
      </c>
      <c r="CW201"/>
      <c r="CX201" s="1791" t="str">
        <f>IF(AND(D201&gt;0,AC201=""),"  * No olvide digitar la variable  Usuarios con Discapacidad. Digite Cero si no tiene.",IF(AC201&gt;D201," * La variable Usuarios con Discapacidad no pueden superar el Total Ambos Sexos.",""))</f>
        <v/>
      </c>
      <c r="CY201"/>
      <c r="CZ201" s="1791" t="str">
        <f>IF((AE201+AF201+AG201)&gt;D201," * El total de actividades de JUNJI, INTEGRA y MINEDUC no puede ser mayor al Total Ambos Sexos.","")</f>
        <v/>
      </c>
      <c r="DA201"/>
      <c r="DB201"/>
      <c r="DC201"/>
      <c r="DD201"/>
      <c r="DE201"/>
      <c r="DG201"/>
      <c r="DH201"/>
      <c r="DI201"/>
      <c r="DJ201" s="1793">
        <f>IF((AE201+AF201+AG201)&gt;D201,1,0)</f>
        <v>0</v>
      </c>
      <c r="DK201" s="1793">
        <f>IF(AND(D201&gt;0,AC201=""),1,IF(AC201&gt;D201,1,0))</f>
        <v>0</v>
      </c>
      <c r="DL201"/>
      <c r="DM201"/>
    </row>
    <row r="202" spans="1:117" ht="15" customHeight="1" x14ac:dyDescent="0.25">
      <c r="A202" s="7541" t="s">
        <v>886</v>
      </c>
      <c r="B202" s="7542"/>
      <c r="C202" s="7443"/>
      <c r="D202" s="917">
        <f>SUM(E202+F202)</f>
        <v>0</v>
      </c>
      <c r="E202" s="918">
        <f t="shared" ref="E202:F204" si="239">+K202+M202+O202+Q202+S202</f>
        <v>0</v>
      </c>
      <c r="F202" s="142">
        <f t="shared" si="239"/>
        <v>0</v>
      </c>
      <c r="G202" s="905"/>
      <c r="H202" s="147"/>
      <c r="I202" s="905"/>
      <c r="J202" s="147"/>
      <c r="K202" s="589"/>
      <c r="L202" s="105"/>
      <c r="M202" s="589"/>
      <c r="N202" s="105"/>
      <c r="O202" s="589"/>
      <c r="P202" s="105"/>
      <c r="Q202" s="589"/>
      <c r="R202" s="105"/>
      <c r="S202" s="589"/>
      <c r="T202" s="105"/>
      <c r="U202" s="871"/>
      <c r="V202" s="881"/>
      <c r="W202" s="871"/>
      <c r="X202" s="881"/>
      <c r="Y202" s="871"/>
      <c r="Z202" s="881"/>
      <c r="AA202" s="871"/>
      <c r="AB202" s="919"/>
      <c r="AC202" s="772"/>
      <c r="AD202" s="616">
        <f t="shared" si="238"/>
        <v>0</v>
      </c>
      <c r="AE202" s="105"/>
      <c r="AF202" s="105"/>
      <c r="AG202" s="105"/>
      <c r="AH202" t="str">
        <f t="shared" ref="AH202:AH206" si="240">CW202&amp;CX202&amp;CY202&amp;CZ202&amp;DA202</f>
        <v/>
      </c>
      <c r="CW202"/>
      <c r="CX202" s="1791" t="str">
        <f t="shared" ref="CX202:CX204" si="241">IF(AND(D202&gt;0,AC202=""),"  * No olvide digitar la variable  Usuarios con Discapacidad. Digite Cero si no tiene.",IF(AC202&gt;D202," * La variable Usuarios con Discapacidad no pueden superar el Total Ambos Sexos.",""))</f>
        <v/>
      </c>
      <c r="CY202"/>
      <c r="CZ202" s="1791" t="str">
        <f t="shared" ref="CZ202:CZ203" si="242">IF((AE202+AF202+AG202)&gt;D202," * El total de actividades de JUNJI, INTEGRA y MINEDUC no puede ser mayor al Total Ambos Sexos.","")</f>
        <v/>
      </c>
      <c r="DA202"/>
      <c r="DB202"/>
      <c r="DC202"/>
      <c r="DD202"/>
      <c r="DE202"/>
      <c r="DG202"/>
      <c r="DH202"/>
      <c r="DI202"/>
      <c r="DJ202" s="1793">
        <f t="shared" ref="DJ202:DJ204" si="243">IF((AE202+AF202+AG202)&gt;D202,1,0)</f>
        <v>0</v>
      </c>
      <c r="DK202" s="1793">
        <f t="shared" ref="DK202:DK204" si="244">IF(AND(D202&gt;0,AC202=""),1,IF(AC202&gt;D202,1,0))</f>
        <v>0</v>
      </c>
      <c r="DL202"/>
      <c r="DM202"/>
    </row>
    <row r="203" spans="1:117" ht="15" customHeight="1" x14ac:dyDescent="0.25">
      <c r="A203" s="7543" t="s">
        <v>887</v>
      </c>
      <c r="B203" s="7544"/>
      <c r="C203" s="7545"/>
      <c r="D203" s="920">
        <f>SUM(E203+F203)</f>
        <v>0</v>
      </c>
      <c r="E203" s="638">
        <f t="shared" si="239"/>
        <v>0</v>
      </c>
      <c r="F203" s="154">
        <f t="shared" si="239"/>
        <v>0</v>
      </c>
      <c r="G203" s="905"/>
      <c r="H203" s="147"/>
      <c r="I203" s="905"/>
      <c r="J203" s="147"/>
      <c r="K203" s="589"/>
      <c r="L203" s="105"/>
      <c r="M203" s="589"/>
      <c r="N203" s="105"/>
      <c r="O203" s="589"/>
      <c r="P203" s="105"/>
      <c r="Q203" s="589"/>
      <c r="R203" s="105"/>
      <c r="S203" s="589"/>
      <c r="T203" s="105"/>
      <c r="U203" s="871"/>
      <c r="V203" s="881"/>
      <c r="W203" s="871"/>
      <c r="X203" s="881"/>
      <c r="Y203" s="871"/>
      <c r="Z203" s="881"/>
      <c r="AA203" s="871"/>
      <c r="AB203" s="919"/>
      <c r="AC203" s="772"/>
      <c r="AD203" s="616">
        <f t="shared" si="238"/>
        <v>0</v>
      </c>
      <c r="AE203" s="105"/>
      <c r="AF203" s="105"/>
      <c r="AG203" s="105"/>
      <c r="AH203" t="str">
        <f t="shared" si="240"/>
        <v/>
      </c>
      <c r="CW203"/>
      <c r="CX203" s="1791" t="str">
        <f t="shared" si="241"/>
        <v/>
      </c>
      <c r="CY203"/>
      <c r="CZ203" s="1791" t="str">
        <f t="shared" si="242"/>
        <v/>
      </c>
      <c r="DA203"/>
      <c r="DB203"/>
      <c r="DC203"/>
      <c r="DD203"/>
      <c r="DE203"/>
      <c r="DG203"/>
      <c r="DH203"/>
      <c r="DI203"/>
      <c r="DJ203" s="1793">
        <f t="shared" si="243"/>
        <v>0</v>
      </c>
      <c r="DK203" s="1793">
        <f t="shared" si="244"/>
        <v>0</v>
      </c>
      <c r="DL203"/>
      <c r="DM203"/>
    </row>
    <row r="204" spans="1:117" ht="15" customHeight="1" x14ac:dyDescent="0.25">
      <c r="A204" s="7541" t="s">
        <v>888</v>
      </c>
      <c r="B204" s="7542"/>
      <c r="C204" s="7443"/>
      <c r="D204" s="920">
        <f>SUM(E204+F204)</f>
        <v>0</v>
      </c>
      <c r="E204" s="638">
        <f t="shared" si="239"/>
        <v>0</v>
      </c>
      <c r="F204" s="81">
        <f t="shared" si="239"/>
        <v>0</v>
      </c>
      <c r="G204" s="794"/>
      <c r="H204" s="194"/>
      <c r="I204" s="794"/>
      <c r="J204" s="194"/>
      <c r="K204" s="620"/>
      <c r="L204" s="83"/>
      <c r="M204" s="620"/>
      <c r="N204" s="83"/>
      <c r="O204" s="620"/>
      <c r="P204" s="83"/>
      <c r="Q204" s="620"/>
      <c r="R204" s="83"/>
      <c r="S204" s="620"/>
      <c r="T204" s="83"/>
      <c r="U204" s="845"/>
      <c r="V204" s="582"/>
      <c r="W204" s="845"/>
      <c r="X204" s="582"/>
      <c r="Y204" s="845"/>
      <c r="Z204" s="582"/>
      <c r="AA204" s="845"/>
      <c r="AB204" s="583"/>
      <c r="AC204" s="622"/>
      <c r="AD204" s="616">
        <f t="shared" si="238"/>
        <v>0</v>
      </c>
      <c r="AE204" s="83"/>
      <c r="AF204" s="83"/>
      <c r="AG204" s="83"/>
      <c r="AH204" t="str">
        <f t="shared" si="240"/>
        <v/>
      </c>
      <c r="CW204"/>
      <c r="CX204" s="1791" t="str">
        <f t="shared" si="241"/>
        <v/>
      </c>
      <c r="CY204"/>
      <c r="CZ204" s="1791" t="str">
        <f>IF((AE204+AF204+AG204)&gt;D204," * El total de actividades de JUNJI, INTEGRA y MINEDUC no puede ser mayor al Total Ambos Sexos.","")</f>
        <v/>
      </c>
      <c r="DA204"/>
      <c r="DB204"/>
      <c r="DC204"/>
      <c r="DD204"/>
      <c r="DE204"/>
      <c r="DG204"/>
      <c r="DH204"/>
      <c r="DI204"/>
      <c r="DJ204" s="1793">
        <f t="shared" si="243"/>
        <v>0</v>
      </c>
      <c r="DK204" s="1793">
        <f t="shared" si="244"/>
        <v>0</v>
      </c>
      <c r="DL204"/>
      <c r="DM204"/>
    </row>
    <row r="205" spans="1:117" ht="15" customHeight="1" x14ac:dyDescent="0.25">
      <c r="A205" s="7546" t="s">
        <v>889</v>
      </c>
      <c r="B205" s="7547"/>
      <c r="C205" s="7547"/>
      <c r="D205" s="921"/>
      <c r="E205" s="922"/>
      <c r="F205" s="645"/>
      <c r="G205" s="923"/>
      <c r="H205" s="814"/>
      <c r="I205" s="813"/>
      <c r="J205" s="814"/>
      <c r="K205" s="813"/>
      <c r="L205" s="814"/>
      <c r="M205" s="813"/>
      <c r="N205" s="814"/>
      <c r="O205" s="813"/>
      <c r="P205" s="814"/>
      <c r="Q205" s="813"/>
      <c r="R205" s="814"/>
      <c r="S205" s="813"/>
      <c r="T205" s="814"/>
      <c r="U205" s="813"/>
      <c r="V205" s="814"/>
      <c r="W205" s="813"/>
      <c r="X205" s="814"/>
      <c r="Y205" s="813"/>
      <c r="Z205" s="814"/>
      <c r="AA205" s="813"/>
      <c r="AB205" s="924"/>
      <c r="AC205" s="925"/>
      <c r="AD205" s="926">
        <f t="shared" si="238"/>
        <v>0</v>
      </c>
      <c r="AE205" s="105"/>
      <c r="AF205" s="105"/>
      <c r="AG205" s="105"/>
      <c r="AH205" t="str">
        <f t="shared" si="240"/>
        <v/>
      </c>
      <c r="CW205"/>
      <c r="CX205"/>
      <c r="CY205"/>
      <c r="CZ205"/>
      <c r="DA205"/>
      <c r="DB205"/>
      <c r="DC205"/>
      <c r="DD205"/>
      <c r="DE205"/>
      <c r="DG205"/>
      <c r="DH205"/>
      <c r="DI205"/>
      <c r="DJ205"/>
      <c r="DK205"/>
      <c r="DL205"/>
      <c r="DM205"/>
    </row>
    <row r="206" spans="1:117" ht="15" customHeight="1" x14ac:dyDescent="0.25">
      <c r="A206" s="7549" t="s">
        <v>890</v>
      </c>
      <c r="B206" s="7549"/>
      <c r="C206" s="7549"/>
      <c r="D206" s="927"/>
      <c r="E206" s="928"/>
      <c r="F206" s="614"/>
      <c r="G206" s="151"/>
      <c r="H206" s="152"/>
      <c r="I206" s="151"/>
      <c r="J206" s="152"/>
      <c r="K206" s="151"/>
      <c r="L206" s="152"/>
      <c r="M206" s="151"/>
      <c r="N206" s="152"/>
      <c r="O206" s="151"/>
      <c r="P206" s="152"/>
      <c r="Q206" s="151"/>
      <c r="R206" s="152"/>
      <c r="S206" s="151"/>
      <c r="T206" s="152"/>
      <c r="U206" s="151"/>
      <c r="V206" s="152"/>
      <c r="W206" s="151"/>
      <c r="X206" s="152"/>
      <c r="Y206" s="151"/>
      <c r="Z206" s="152"/>
      <c r="AA206" s="151"/>
      <c r="AB206" s="929"/>
      <c r="AC206" s="930"/>
      <c r="AD206" s="150">
        <f t="shared" si="238"/>
        <v>0</v>
      </c>
      <c r="AE206" s="153"/>
      <c r="AF206" s="117"/>
      <c r="AG206" s="117"/>
      <c r="AH206" t="str">
        <f t="shared" si="240"/>
        <v/>
      </c>
      <c r="CW206"/>
      <c r="CX206"/>
      <c r="CY206"/>
      <c r="CZ206"/>
      <c r="DA206"/>
      <c r="DB206"/>
      <c r="DC206"/>
      <c r="DD206"/>
      <c r="DE206"/>
      <c r="DG206"/>
      <c r="DH206"/>
      <c r="DI206"/>
      <c r="DJ206"/>
      <c r="DK206"/>
      <c r="DL206"/>
      <c r="DM206"/>
    </row>
    <row r="207" spans="1:117" ht="18" customHeight="1" x14ac:dyDescent="0.25">
      <c r="A207" s="122" t="s">
        <v>891</v>
      </c>
      <c r="B207" s="2530"/>
      <c r="C207" s="2520"/>
      <c r="D207" s="163"/>
      <c r="E207" s="163"/>
      <c r="F207" s="122"/>
      <c r="G207" s="122"/>
      <c r="H207" s="122"/>
      <c r="I207" s="163"/>
      <c r="J207" s="2531"/>
      <c r="K207" s="2532"/>
      <c r="L207" s="163"/>
      <c r="M207" s="2533"/>
      <c r="N207" s="2533"/>
      <c r="O207" s="782"/>
      <c r="P207" s="782"/>
      <c r="Q207" s="782"/>
      <c r="R207" s="782"/>
      <c r="S207" s="782"/>
      <c r="T207" s="782"/>
      <c r="U207" s="782"/>
      <c r="V207" s="782"/>
      <c r="W207" s="782"/>
      <c r="X207" s="782"/>
      <c r="Y207" s="782"/>
      <c r="Z207" s="782"/>
      <c r="AA207" s="782"/>
      <c r="AB207" s="782"/>
      <c r="AC207" s="782"/>
      <c r="AD207" s="782"/>
      <c r="AE207" s="782"/>
      <c r="AF207" s="782"/>
      <c r="AG207" s="782"/>
      <c r="AH207" s="782"/>
      <c r="AI207" s="782"/>
      <c r="AJ207" s="782"/>
      <c r="AK207" s="782"/>
      <c r="AL207" s="2521"/>
      <c r="AM207" s="2521"/>
      <c r="AN207" s="2521"/>
      <c r="AO207" s="2521"/>
      <c r="AP207" s="2521"/>
      <c r="CW207"/>
      <c r="CX207"/>
      <c r="CY207"/>
      <c r="CZ207"/>
      <c r="DA207"/>
      <c r="DB207"/>
      <c r="DC207"/>
      <c r="DD207"/>
      <c r="DE207"/>
      <c r="DG207"/>
      <c r="DH207"/>
      <c r="DI207"/>
      <c r="DJ207"/>
      <c r="DK207"/>
      <c r="DL207"/>
      <c r="DM207"/>
    </row>
    <row r="208" spans="1:117" ht="15" customHeight="1" x14ac:dyDescent="0.25">
      <c r="A208" s="7337" t="s">
        <v>58</v>
      </c>
      <c r="B208" s="6603"/>
      <c r="C208" s="7319"/>
      <c r="D208" s="7322" t="s">
        <v>24</v>
      </c>
      <c r="E208" s="6468"/>
      <c r="F208" s="7330"/>
      <c r="G208" s="7536" t="s">
        <v>30</v>
      </c>
      <c r="H208" s="7503"/>
      <c r="I208" s="7503"/>
      <c r="J208" s="7503"/>
      <c r="K208" s="7503"/>
      <c r="L208" s="7503"/>
      <c r="M208" s="7503"/>
      <c r="N208" s="7503"/>
      <c r="O208" s="7503"/>
      <c r="P208" s="7503"/>
      <c r="Q208" s="7503"/>
      <c r="R208" s="7503"/>
      <c r="S208" s="7503"/>
      <c r="T208" s="7503"/>
      <c r="U208" s="7503"/>
      <c r="V208" s="7503"/>
      <c r="W208" s="7503"/>
      <c r="X208" s="7503"/>
      <c r="Y208" s="7503"/>
      <c r="Z208" s="7503"/>
      <c r="AA208" s="7503"/>
      <c r="AB208" s="7503"/>
      <c r="AC208" s="7503"/>
      <c r="AD208" s="7503"/>
      <c r="AE208" s="7503"/>
      <c r="AF208" s="7503"/>
      <c r="AG208" s="7503"/>
      <c r="AH208" s="7503"/>
      <c r="AI208" s="7503"/>
      <c r="AJ208" s="7503"/>
      <c r="AK208" s="7503"/>
      <c r="AL208" s="7503"/>
      <c r="AM208" s="7503"/>
      <c r="AN208" s="7503"/>
      <c r="AO208" s="7503"/>
      <c r="AP208" s="7504"/>
      <c r="CW208"/>
      <c r="CX208"/>
      <c r="CY208"/>
      <c r="CZ208"/>
      <c r="DA208"/>
      <c r="DB208"/>
      <c r="DC208"/>
      <c r="DD208"/>
      <c r="DE208"/>
      <c r="DG208"/>
      <c r="DH208"/>
      <c r="DI208"/>
      <c r="DJ208"/>
      <c r="DK208"/>
      <c r="DL208"/>
      <c r="DM208"/>
    </row>
    <row r="209" spans="1:117" ht="15" customHeight="1" x14ac:dyDescent="0.25">
      <c r="A209" s="7359"/>
      <c r="B209" s="7360"/>
      <c r="C209" s="7320"/>
      <c r="D209" s="7532"/>
      <c r="E209" s="7533"/>
      <c r="F209" s="7535"/>
      <c r="G209" s="7537" t="s">
        <v>682</v>
      </c>
      <c r="H209" s="7488"/>
      <c r="I209" s="7487" t="s">
        <v>683</v>
      </c>
      <c r="J209" s="7504"/>
      <c r="K209" s="7503" t="s">
        <v>684</v>
      </c>
      <c r="L209" s="7504"/>
      <c r="M209" s="7487" t="s">
        <v>685</v>
      </c>
      <c r="N209" s="7504"/>
      <c r="O209" s="7487" t="s">
        <v>686</v>
      </c>
      <c r="P209" s="7504"/>
      <c r="Q209" s="7487" t="s">
        <v>687</v>
      </c>
      <c r="R209" s="7504"/>
      <c r="S209" s="7487" t="s">
        <v>688</v>
      </c>
      <c r="T209" s="7504"/>
      <c r="U209" s="7487" t="s">
        <v>689</v>
      </c>
      <c r="V209" s="7504"/>
      <c r="W209" s="7487" t="s">
        <v>690</v>
      </c>
      <c r="X209" s="7504"/>
      <c r="Y209" s="7487" t="s">
        <v>554</v>
      </c>
      <c r="Z209" s="7488"/>
      <c r="AA209" s="7487" t="s">
        <v>568</v>
      </c>
      <c r="AB209" s="7488"/>
      <c r="AC209" s="7487" t="s">
        <v>892</v>
      </c>
      <c r="AD209" s="7488"/>
      <c r="AE209" s="7487" t="s">
        <v>494</v>
      </c>
      <c r="AF209" s="7488"/>
      <c r="AG209" s="7487" t="s">
        <v>495</v>
      </c>
      <c r="AH209" s="7488"/>
      <c r="AI209" s="7487" t="s">
        <v>893</v>
      </c>
      <c r="AJ209" s="7488"/>
      <c r="AK209" s="7487" t="s">
        <v>556</v>
      </c>
      <c r="AL209" s="7488"/>
      <c r="AM209" s="7487" t="s">
        <v>695</v>
      </c>
      <c r="AN209" s="7488"/>
      <c r="AO209" s="7487" t="s">
        <v>57</v>
      </c>
      <c r="AP209" s="7488"/>
      <c r="CW209"/>
      <c r="CX209"/>
      <c r="CY209"/>
      <c r="CZ209"/>
      <c r="DA209"/>
      <c r="DB209"/>
      <c r="DC209"/>
      <c r="DD209"/>
      <c r="DE209"/>
      <c r="DG209"/>
      <c r="DH209"/>
      <c r="DI209"/>
      <c r="DJ209"/>
      <c r="DK209"/>
      <c r="DL209"/>
      <c r="DM209"/>
    </row>
    <row r="210" spans="1:117" ht="15" customHeight="1" x14ac:dyDescent="0.25">
      <c r="A210" s="7464"/>
      <c r="B210" s="7465"/>
      <c r="C210" s="7466"/>
      <c r="D210" s="4805" t="s">
        <v>26</v>
      </c>
      <c r="E210" s="4870" t="s">
        <v>22</v>
      </c>
      <c r="F210" s="2534" t="s">
        <v>27</v>
      </c>
      <c r="G210" s="606" t="s">
        <v>22</v>
      </c>
      <c r="H210" s="600" t="s">
        <v>27</v>
      </c>
      <c r="I210" s="606" t="s">
        <v>22</v>
      </c>
      <c r="J210" s="600" t="s">
        <v>27</v>
      </c>
      <c r="K210" s="606" t="s">
        <v>22</v>
      </c>
      <c r="L210" s="600" t="s">
        <v>27</v>
      </c>
      <c r="M210" s="606" t="s">
        <v>22</v>
      </c>
      <c r="N210" s="600" t="s">
        <v>27</v>
      </c>
      <c r="O210" s="606" t="s">
        <v>22</v>
      </c>
      <c r="P210" s="600" t="s">
        <v>27</v>
      </c>
      <c r="Q210" s="606" t="s">
        <v>22</v>
      </c>
      <c r="R210" s="600" t="s">
        <v>27</v>
      </c>
      <c r="S210" s="606" t="s">
        <v>22</v>
      </c>
      <c r="T210" s="600" t="s">
        <v>27</v>
      </c>
      <c r="U210" s="606" t="s">
        <v>22</v>
      </c>
      <c r="V210" s="600" t="s">
        <v>27</v>
      </c>
      <c r="W210" s="606" t="s">
        <v>22</v>
      </c>
      <c r="X210" s="600" t="s">
        <v>27</v>
      </c>
      <c r="Y210" s="606" t="s">
        <v>22</v>
      </c>
      <c r="Z210" s="600" t="s">
        <v>27</v>
      </c>
      <c r="AA210" s="606" t="s">
        <v>22</v>
      </c>
      <c r="AB210" s="600" t="s">
        <v>27</v>
      </c>
      <c r="AC210" s="606" t="s">
        <v>22</v>
      </c>
      <c r="AD210" s="600" t="s">
        <v>27</v>
      </c>
      <c r="AE210" s="606" t="s">
        <v>22</v>
      </c>
      <c r="AF210" s="600" t="s">
        <v>27</v>
      </c>
      <c r="AG210" s="606" t="s">
        <v>22</v>
      </c>
      <c r="AH210" s="600" t="s">
        <v>27</v>
      </c>
      <c r="AI210" s="606" t="s">
        <v>22</v>
      </c>
      <c r="AJ210" s="600" t="s">
        <v>27</v>
      </c>
      <c r="AK210" s="606" t="s">
        <v>22</v>
      </c>
      <c r="AL210" s="600" t="s">
        <v>27</v>
      </c>
      <c r="AM210" s="606" t="s">
        <v>22</v>
      </c>
      <c r="AN210" s="600" t="s">
        <v>27</v>
      </c>
      <c r="AO210" s="606" t="s">
        <v>22</v>
      </c>
      <c r="AP210" s="600" t="s">
        <v>27</v>
      </c>
      <c r="CW210"/>
      <c r="CX210"/>
      <c r="CY210"/>
      <c r="CZ210"/>
      <c r="DA210"/>
      <c r="DB210"/>
      <c r="DC210"/>
      <c r="DD210"/>
      <c r="DE210"/>
      <c r="DG210"/>
      <c r="DH210"/>
      <c r="DI210"/>
      <c r="DJ210"/>
      <c r="DK210"/>
      <c r="DL210"/>
      <c r="DM210"/>
    </row>
    <row r="211" spans="1:117" ht="15" customHeight="1" x14ac:dyDescent="0.25">
      <c r="A211" s="7516" t="s">
        <v>894</v>
      </c>
      <c r="B211" s="7517"/>
      <c r="C211" s="7518"/>
      <c r="D211" s="4879">
        <f>SUM(E211:F211)</f>
        <v>0</v>
      </c>
      <c r="E211" s="4855">
        <f>SUM(G211+I211+K211+M211+O211+Q211+S211+U211+W211+Y211+AA211+AC211+AE211+AG211+AI211+AK211+AM211+AO211)</f>
        <v>0</v>
      </c>
      <c r="F211" s="931">
        <f t="shared" ref="E211:F214" si="245">SUM(H211+J211+L211+N211+P211+R211+T211+V211+X211+Z211+AB211+AD211+AF211+AH211+AJ211+AL211+AN211+AP211)</f>
        <v>0</v>
      </c>
      <c r="G211" s="561"/>
      <c r="H211" s="185"/>
      <c r="I211" s="485"/>
      <c r="J211" s="185"/>
      <c r="K211" s="485"/>
      <c r="L211" s="185"/>
      <c r="M211" s="485"/>
      <c r="N211" s="185"/>
      <c r="O211" s="485"/>
      <c r="P211" s="185"/>
      <c r="Q211" s="485"/>
      <c r="R211" s="185"/>
      <c r="S211" s="485"/>
      <c r="T211" s="185"/>
      <c r="U211" s="485"/>
      <c r="V211" s="185"/>
      <c r="W211" s="320"/>
      <c r="X211" s="185"/>
      <c r="Y211" s="485"/>
      <c r="Z211" s="185"/>
      <c r="AA211" s="485"/>
      <c r="AB211" s="185"/>
      <c r="AC211" s="485"/>
      <c r="AD211" s="185"/>
      <c r="AE211" s="485"/>
      <c r="AF211" s="185"/>
      <c r="AG211" s="485"/>
      <c r="AH211" s="185"/>
      <c r="AI211" s="485"/>
      <c r="AJ211" s="185"/>
      <c r="AK211" s="320"/>
      <c r="AL211" s="185"/>
      <c r="AM211" s="485"/>
      <c r="AN211" s="185"/>
      <c r="AO211" s="485"/>
      <c r="AP211" s="185"/>
      <c r="CW211"/>
      <c r="CX211"/>
      <c r="CY211"/>
      <c r="CZ211"/>
      <c r="DA211"/>
      <c r="DB211"/>
      <c r="DC211"/>
      <c r="DD211"/>
      <c r="DE211"/>
      <c r="DG211"/>
      <c r="DH211"/>
      <c r="DI211"/>
      <c r="DJ211"/>
      <c r="DK211"/>
      <c r="DL211"/>
      <c r="DM211"/>
    </row>
    <row r="212" spans="1:117" ht="15" customHeight="1" x14ac:dyDescent="0.25">
      <c r="A212" s="7519" t="s">
        <v>895</v>
      </c>
      <c r="B212" s="7455"/>
      <c r="C212" s="7387"/>
      <c r="D212" s="1054">
        <f>SUM(E212:F212)</f>
        <v>0</v>
      </c>
      <c r="E212" s="3280">
        <f t="shared" si="245"/>
        <v>0</v>
      </c>
      <c r="F212" s="932">
        <f t="shared" si="245"/>
        <v>0</v>
      </c>
      <c r="G212" s="933"/>
      <c r="H212" s="630"/>
      <c r="I212" s="627"/>
      <c r="J212" s="630"/>
      <c r="K212" s="627"/>
      <c r="L212" s="630"/>
      <c r="M212" s="627"/>
      <c r="N212" s="630"/>
      <c r="O212" s="627"/>
      <c r="P212" s="630"/>
      <c r="Q212" s="627"/>
      <c r="R212" s="630"/>
      <c r="S212" s="627"/>
      <c r="T212" s="630"/>
      <c r="U212" s="627"/>
      <c r="V212" s="630"/>
      <c r="W212" s="621"/>
      <c r="X212" s="630"/>
      <c r="Y212" s="627"/>
      <c r="Z212" s="630"/>
      <c r="AA212" s="627"/>
      <c r="AB212" s="630"/>
      <c r="AC212" s="627"/>
      <c r="AD212" s="630"/>
      <c r="AE212" s="627"/>
      <c r="AF212" s="630"/>
      <c r="AG212" s="627"/>
      <c r="AH212" s="630"/>
      <c r="AI212" s="627"/>
      <c r="AJ212" s="630"/>
      <c r="AK212" s="621"/>
      <c r="AL212" s="630"/>
      <c r="AM212" s="627"/>
      <c r="AN212" s="630"/>
      <c r="AO212" s="627"/>
      <c r="AP212" s="630"/>
      <c r="CW212"/>
      <c r="CX212"/>
      <c r="CY212"/>
      <c r="CZ212"/>
      <c r="DA212"/>
      <c r="DB212"/>
      <c r="DC212"/>
      <c r="DD212"/>
      <c r="DE212"/>
      <c r="DG212"/>
      <c r="DH212"/>
      <c r="DI212"/>
      <c r="DJ212"/>
      <c r="DK212"/>
      <c r="DL212"/>
      <c r="DM212"/>
    </row>
    <row r="213" spans="1:117" ht="15" customHeight="1" x14ac:dyDescent="0.25">
      <c r="A213" s="7520" t="s">
        <v>896</v>
      </c>
      <c r="B213" s="7521"/>
      <c r="C213" s="7522"/>
      <c r="D213" s="1054">
        <f>SUM(E213:F213)</f>
        <v>0</v>
      </c>
      <c r="E213" s="3280">
        <f t="shared" si="245"/>
        <v>0</v>
      </c>
      <c r="F213" s="932">
        <f t="shared" si="245"/>
        <v>0</v>
      </c>
      <c r="G213" s="933"/>
      <c r="H213" s="630"/>
      <c r="I213" s="627"/>
      <c r="J213" s="630"/>
      <c r="K213" s="627"/>
      <c r="L213" s="630"/>
      <c r="M213" s="627"/>
      <c r="N213" s="630"/>
      <c r="O213" s="627"/>
      <c r="P213" s="630"/>
      <c r="Q213" s="627"/>
      <c r="R213" s="630"/>
      <c r="S213" s="627"/>
      <c r="T213" s="630"/>
      <c r="U213" s="627"/>
      <c r="V213" s="630"/>
      <c r="W213" s="621"/>
      <c r="X213" s="630"/>
      <c r="Y213" s="627"/>
      <c r="Z213" s="630"/>
      <c r="AA213" s="627"/>
      <c r="AB213" s="630"/>
      <c r="AC213" s="627"/>
      <c r="AD213" s="630"/>
      <c r="AE213" s="627"/>
      <c r="AF213" s="630"/>
      <c r="AG213" s="627"/>
      <c r="AH213" s="630"/>
      <c r="AI213" s="627"/>
      <c r="AJ213" s="630"/>
      <c r="AK213" s="621"/>
      <c r="AL213" s="630"/>
      <c r="AM213" s="627"/>
      <c r="AN213" s="630"/>
      <c r="AO213" s="627"/>
      <c r="AP213" s="630"/>
      <c r="CW213"/>
      <c r="CX213"/>
      <c r="CY213"/>
      <c r="CZ213"/>
      <c r="DA213"/>
      <c r="DB213"/>
      <c r="DC213"/>
      <c r="DD213"/>
      <c r="DE213"/>
      <c r="DG213"/>
      <c r="DH213"/>
      <c r="DI213"/>
      <c r="DJ213"/>
      <c r="DK213"/>
      <c r="DL213"/>
      <c r="DM213"/>
    </row>
    <row r="214" spans="1:117" ht="15" customHeight="1" x14ac:dyDescent="0.25">
      <c r="A214" s="6582" t="s">
        <v>897</v>
      </c>
      <c r="B214" s="6582"/>
      <c r="C214" s="6583"/>
      <c r="D214" s="3306">
        <f>SUM(E214:F214)</f>
        <v>0</v>
      </c>
      <c r="E214" s="3983">
        <f t="shared" si="245"/>
        <v>0</v>
      </c>
      <c r="F214" s="935">
        <f t="shared" si="245"/>
        <v>0</v>
      </c>
      <c r="G214" s="563"/>
      <c r="H214" s="116"/>
      <c r="I214" s="121"/>
      <c r="J214" s="116"/>
      <c r="K214" s="121"/>
      <c r="L214" s="116"/>
      <c r="M214" s="121"/>
      <c r="N214" s="116"/>
      <c r="O214" s="121"/>
      <c r="P214" s="116"/>
      <c r="Q214" s="121"/>
      <c r="R214" s="116"/>
      <c r="S214" s="121"/>
      <c r="T214" s="116"/>
      <c r="U214" s="121"/>
      <c r="V214" s="116"/>
      <c r="W214" s="115"/>
      <c r="X214" s="116"/>
      <c r="Y214" s="121"/>
      <c r="Z214" s="116"/>
      <c r="AA214" s="121"/>
      <c r="AB214" s="116"/>
      <c r="AC214" s="121"/>
      <c r="AD214" s="116"/>
      <c r="AE214" s="121"/>
      <c r="AF214" s="116"/>
      <c r="AG214" s="121"/>
      <c r="AH214" s="116"/>
      <c r="AI214" s="121"/>
      <c r="AJ214" s="116"/>
      <c r="AK214" s="115"/>
      <c r="AL214" s="116"/>
      <c r="AM214" s="121"/>
      <c r="AN214" s="116"/>
      <c r="AO214" s="121"/>
      <c r="AP214" s="116"/>
      <c r="CW214"/>
      <c r="CX214"/>
      <c r="CY214"/>
      <c r="CZ214"/>
      <c r="DA214"/>
      <c r="DB214"/>
      <c r="DC214"/>
      <c r="DD214"/>
      <c r="DE214"/>
      <c r="DG214"/>
      <c r="DH214"/>
      <c r="DI214"/>
      <c r="DJ214"/>
      <c r="DK214"/>
      <c r="DL214"/>
      <c r="DM214"/>
    </row>
    <row r="215" spans="1:117" ht="18" customHeight="1" x14ac:dyDescent="0.25">
      <c r="A215" s="122" t="s">
        <v>3863</v>
      </c>
      <c r="B215" s="936"/>
      <c r="C215" s="936"/>
      <c r="D215" s="937"/>
      <c r="E215" s="937"/>
      <c r="F215" s="937"/>
      <c r="G215" s="938"/>
      <c r="H215" s="938"/>
      <c r="I215" s="938"/>
      <c r="J215" s="939"/>
      <c r="K215" s="940"/>
      <c r="L215" s="938"/>
      <c r="M215" s="940"/>
      <c r="N215" s="941"/>
      <c r="O215" s="780"/>
      <c r="P215" s="780"/>
      <c r="Q215" s="780"/>
      <c r="R215" s="780"/>
      <c r="S215" s="780"/>
      <c r="T215" s="780"/>
      <c r="U215" s="780"/>
      <c r="V215" s="780"/>
      <c r="W215" s="780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CW215"/>
      <c r="CX215"/>
      <c r="CY215"/>
      <c r="CZ215"/>
      <c r="DA215"/>
      <c r="DB215"/>
      <c r="DC215"/>
      <c r="DD215"/>
      <c r="DE215"/>
      <c r="DG215"/>
      <c r="DH215"/>
      <c r="DI215"/>
      <c r="DJ215"/>
      <c r="DK215"/>
      <c r="DL215"/>
      <c r="DM215"/>
    </row>
    <row r="216" spans="1:117" x14ac:dyDescent="0.25">
      <c r="A216" s="7523" t="s">
        <v>898</v>
      </c>
      <c r="B216" s="7524"/>
      <c r="C216" s="7525"/>
      <c r="D216" s="7322" t="s">
        <v>899</v>
      </c>
      <c r="E216" s="6468"/>
      <c r="F216" s="7323"/>
      <c r="G216" s="7487" t="s">
        <v>30</v>
      </c>
      <c r="H216" s="7503"/>
      <c r="I216" s="7503"/>
      <c r="J216" s="7503"/>
      <c r="K216" s="7503"/>
      <c r="L216" s="7503"/>
      <c r="M216" s="7503"/>
      <c r="N216" s="7503"/>
      <c r="O216" s="7503"/>
      <c r="P216" s="7503"/>
      <c r="Q216" s="7503"/>
      <c r="R216" s="7503"/>
      <c r="S216" s="7503"/>
      <c r="T216" s="7503"/>
      <c r="U216" s="7503"/>
      <c r="V216" s="7503"/>
      <c r="W216" s="7503"/>
      <c r="X216" s="7503"/>
      <c r="Y216" s="7503"/>
      <c r="Z216" s="7503"/>
      <c r="AA216" s="7503"/>
      <c r="AB216" s="7503"/>
      <c r="AC216" s="7503"/>
      <c r="AD216" s="7503"/>
      <c r="AE216" s="7503"/>
      <c r="AF216" s="7503"/>
      <c r="AG216" s="7503"/>
      <c r="AH216" s="7503"/>
      <c r="AI216" s="7503"/>
      <c r="AJ216" s="7503"/>
      <c r="AK216" s="7503"/>
      <c r="AL216" s="7503"/>
      <c r="AM216" s="7503"/>
      <c r="AN216" s="7505"/>
      <c r="AO216" s="7506" t="s">
        <v>327</v>
      </c>
      <c r="AP216" s="7378" t="s">
        <v>900</v>
      </c>
      <c r="AQ216" s="7510" t="s">
        <v>901</v>
      </c>
      <c r="AR216" s="7500"/>
      <c r="AS216" s="7511" t="s">
        <v>29</v>
      </c>
      <c r="AT216" s="7489" t="s">
        <v>702</v>
      </c>
      <c r="AU216" s="7489" t="s">
        <v>902</v>
      </c>
      <c r="AV216" s="7492" t="s">
        <v>678</v>
      </c>
      <c r="AW216" s="7492" t="s">
        <v>903</v>
      </c>
      <c r="AX216" s="7500" t="s">
        <v>3</v>
      </c>
      <c r="CW216"/>
      <c r="CX216"/>
      <c r="CY216"/>
      <c r="CZ216"/>
      <c r="DA216"/>
      <c r="DB216"/>
      <c r="DC216"/>
      <c r="DD216"/>
      <c r="DE216"/>
      <c r="DG216"/>
      <c r="DH216"/>
      <c r="DI216"/>
      <c r="DJ216"/>
      <c r="DK216"/>
      <c r="DL216"/>
      <c r="DM216"/>
    </row>
    <row r="217" spans="1:117" x14ac:dyDescent="0.25">
      <c r="A217" s="7526"/>
      <c r="B217" s="7527"/>
      <c r="C217" s="7528"/>
      <c r="D217" s="7532"/>
      <c r="E217" s="7533"/>
      <c r="F217" s="7534"/>
      <c r="G217" s="7501" t="s">
        <v>771</v>
      </c>
      <c r="H217" s="7502"/>
      <c r="I217" s="7503" t="s">
        <v>684</v>
      </c>
      <c r="J217" s="7504"/>
      <c r="K217" s="7487" t="s">
        <v>685</v>
      </c>
      <c r="L217" s="7504"/>
      <c r="M217" s="7487" t="s">
        <v>686</v>
      </c>
      <c r="N217" s="7504"/>
      <c r="O217" s="7487" t="s">
        <v>687</v>
      </c>
      <c r="P217" s="7504"/>
      <c r="Q217" s="7487" t="s">
        <v>688</v>
      </c>
      <c r="R217" s="7504"/>
      <c r="S217" s="7487" t="s">
        <v>689</v>
      </c>
      <c r="T217" s="7504"/>
      <c r="U217" s="7487" t="s">
        <v>690</v>
      </c>
      <c r="V217" s="7504"/>
      <c r="W217" s="7487" t="s">
        <v>554</v>
      </c>
      <c r="X217" s="7488"/>
      <c r="Y217" s="7487" t="s">
        <v>568</v>
      </c>
      <c r="Z217" s="7488"/>
      <c r="AA217" s="7487" t="s">
        <v>892</v>
      </c>
      <c r="AB217" s="7488"/>
      <c r="AC217" s="7487" t="s">
        <v>494</v>
      </c>
      <c r="AD217" s="7488"/>
      <c r="AE217" s="7487" t="s">
        <v>495</v>
      </c>
      <c r="AF217" s="7488"/>
      <c r="AG217" s="7487" t="s">
        <v>893</v>
      </c>
      <c r="AH217" s="7488"/>
      <c r="AI217" s="7487" t="s">
        <v>556</v>
      </c>
      <c r="AJ217" s="7488"/>
      <c r="AK217" s="7487" t="s">
        <v>695</v>
      </c>
      <c r="AL217" s="7488"/>
      <c r="AM217" s="7487" t="s">
        <v>57</v>
      </c>
      <c r="AN217" s="7488"/>
      <c r="AO217" s="6541"/>
      <c r="AP217" s="7508"/>
      <c r="AQ217" s="7409" t="s">
        <v>904</v>
      </c>
      <c r="AR217" s="7514" t="s">
        <v>905</v>
      </c>
      <c r="AS217" s="6555"/>
      <c r="AT217" s="7490"/>
      <c r="AU217" s="7490"/>
      <c r="AV217" s="7493"/>
      <c r="AW217" s="7493"/>
      <c r="AX217" s="7500"/>
      <c r="CW217"/>
      <c r="CX217"/>
      <c r="CY217"/>
      <c r="CZ217"/>
      <c r="DA217"/>
      <c r="DB217"/>
      <c r="DC217"/>
      <c r="DD217"/>
      <c r="DE217"/>
      <c r="DG217"/>
      <c r="DH217"/>
      <c r="DI217"/>
      <c r="DJ217"/>
      <c r="DK217"/>
      <c r="DL217"/>
      <c r="DM217"/>
    </row>
    <row r="218" spans="1:117" x14ac:dyDescent="0.25">
      <c r="A218" s="7529"/>
      <c r="B218" s="7530"/>
      <c r="C218" s="7531"/>
      <c r="D218" s="942" t="s">
        <v>26</v>
      </c>
      <c r="E218" s="597" t="s">
        <v>22</v>
      </c>
      <c r="F218" s="76" t="s">
        <v>27</v>
      </c>
      <c r="G218" s="606" t="s">
        <v>22</v>
      </c>
      <c r="H218" s="600" t="s">
        <v>27</v>
      </c>
      <c r="I218" s="606" t="s">
        <v>22</v>
      </c>
      <c r="J218" s="600" t="s">
        <v>27</v>
      </c>
      <c r="K218" s="606" t="s">
        <v>22</v>
      </c>
      <c r="L218" s="600" t="s">
        <v>27</v>
      </c>
      <c r="M218" s="606" t="s">
        <v>22</v>
      </c>
      <c r="N218" s="600" t="s">
        <v>27</v>
      </c>
      <c r="O218" s="606" t="s">
        <v>22</v>
      </c>
      <c r="P218" s="600" t="s">
        <v>27</v>
      </c>
      <c r="Q218" s="606" t="s">
        <v>22</v>
      </c>
      <c r="R218" s="600" t="s">
        <v>27</v>
      </c>
      <c r="S218" s="606" t="s">
        <v>22</v>
      </c>
      <c r="T218" s="600" t="s">
        <v>27</v>
      </c>
      <c r="U218" s="606" t="s">
        <v>22</v>
      </c>
      <c r="V218" s="600" t="s">
        <v>27</v>
      </c>
      <c r="W218" s="606" t="s">
        <v>22</v>
      </c>
      <c r="X218" s="600" t="s">
        <v>27</v>
      </c>
      <c r="Y218" s="606" t="s">
        <v>22</v>
      </c>
      <c r="Z218" s="600" t="s">
        <v>27</v>
      </c>
      <c r="AA218" s="606" t="s">
        <v>22</v>
      </c>
      <c r="AB218" s="600" t="s">
        <v>27</v>
      </c>
      <c r="AC218" s="606" t="s">
        <v>22</v>
      </c>
      <c r="AD218" s="600" t="s">
        <v>27</v>
      </c>
      <c r="AE218" s="606" t="s">
        <v>22</v>
      </c>
      <c r="AF218" s="600" t="s">
        <v>27</v>
      </c>
      <c r="AG218" s="606" t="s">
        <v>22</v>
      </c>
      <c r="AH218" s="600" t="s">
        <v>27</v>
      </c>
      <c r="AI218" s="606" t="s">
        <v>22</v>
      </c>
      <c r="AJ218" s="600" t="s">
        <v>27</v>
      </c>
      <c r="AK218" s="606" t="s">
        <v>22</v>
      </c>
      <c r="AL218" s="600" t="s">
        <v>27</v>
      </c>
      <c r="AM218" s="606" t="s">
        <v>22</v>
      </c>
      <c r="AN218" s="600" t="s">
        <v>27</v>
      </c>
      <c r="AO218" s="7507"/>
      <c r="AP218" s="7509"/>
      <c r="AQ218" s="7513"/>
      <c r="AR218" s="7515"/>
      <c r="AS218" s="7512"/>
      <c r="AT218" s="7491"/>
      <c r="AU218" s="7491"/>
      <c r="AV218" s="7494"/>
      <c r="AW218" s="7494"/>
      <c r="AX218" s="7500"/>
      <c r="CW218"/>
      <c r="CX218"/>
      <c r="CY218"/>
      <c r="CZ218"/>
      <c r="DA218"/>
      <c r="DB218"/>
      <c r="DC218"/>
      <c r="DD218"/>
      <c r="DE218"/>
      <c r="DG218"/>
      <c r="DH218"/>
      <c r="DI218"/>
      <c r="DJ218"/>
      <c r="DK218"/>
      <c r="DL218"/>
      <c r="DM218"/>
    </row>
    <row r="219" spans="1:117" ht="15" customHeight="1" x14ac:dyDescent="0.25">
      <c r="A219" s="7495" t="s">
        <v>906</v>
      </c>
      <c r="B219" s="7496" t="s">
        <v>907</v>
      </c>
      <c r="C219" s="7497"/>
      <c r="D219" s="943">
        <f t="shared" ref="D219:D263" si="246">SUM(E219+F219)</f>
        <v>0</v>
      </c>
      <c r="E219" s="826">
        <f t="shared" ref="E219:F234" si="247">SUM(G219+I219+K219+M219+O219+Q219+S219+U219+W219+Y219+AA219+AC219+AE219+AG219+AI219+AK219+AM219)</f>
        <v>0</v>
      </c>
      <c r="F219" s="801">
        <f t="shared" si="247"/>
        <v>0</v>
      </c>
      <c r="G219" s="944"/>
      <c r="H219" s="945"/>
      <c r="I219" s="946"/>
      <c r="J219" s="945"/>
      <c r="K219" s="946"/>
      <c r="L219" s="945"/>
      <c r="M219" s="946"/>
      <c r="N219" s="945"/>
      <c r="O219" s="946"/>
      <c r="P219" s="945"/>
      <c r="Q219" s="946"/>
      <c r="R219" s="945"/>
      <c r="S219" s="946"/>
      <c r="T219" s="945"/>
      <c r="U219" s="946"/>
      <c r="V219" s="947"/>
      <c r="W219" s="946"/>
      <c r="X219" s="947"/>
      <c r="Y219" s="946"/>
      <c r="Z219" s="947"/>
      <c r="AA219" s="946"/>
      <c r="AB219" s="947"/>
      <c r="AC219" s="946"/>
      <c r="AD219" s="947"/>
      <c r="AE219" s="946"/>
      <c r="AF219" s="947"/>
      <c r="AG219" s="946"/>
      <c r="AH219" s="947"/>
      <c r="AI219" s="946"/>
      <c r="AJ219" s="947"/>
      <c r="AK219" s="946"/>
      <c r="AL219" s="947"/>
      <c r="AM219" s="946"/>
      <c r="AN219" s="947"/>
      <c r="AO219" s="948"/>
      <c r="AP219" s="949"/>
      <c r="AQ219" s="950"/>
      <c r="AR219" s="951"/>
      <c r="AS219" s="952"/>
      <c r="AT219" s="946"/>
      <c r="AU219" s="946"/>
      <c r="AV219" s="953"/>
      <c r="AW219" s="953"/>
      <c r="AX219" s="947"/>
      <c r="AY219" t="str">
        <f>CW219&amp;CX219&amp;CY219&amp;CZ219&amp;DA219&amp;DB219&amp;DC219</f>
        <v/>
      </c>
      <c r="CW219" s="1791" t="str">
        <f>IF(AND(F219&gt;0,AO219=""),"  * No olvide digitar Embarazadas. Digite Cero si no tiene.",IF(AO219&gt;F219," * Las Embarazadas no pueden superar el Total Mujeres.",""))</f>
        <v/>
      </c>
      <c r="CX219" s="1791" t="str">
        <f>IF(AND(D219&gt;0,AV219="")," * No olvide ingresar datos en Usuarios con Discapacidad. (Digite cero si no tiene).",IF(AV219&gt;D219," * La variable Usuarios con discapacidad No puede ser mayor al Total.",""))</f>
        <v/>
      </c>
      <c r="CY219" s="1791" t="str">
        <f>IF(AND(D219&gt;0,AW219="")," * No olvide ingresar datos en Usuarios Oncológicos. (Digite cero si no tiene).",IF(AW219&gt;D219," * La variable Usuarios oncológicos No puede ser mayor al Total.",""))</f>
        <v/>
      </c>
      <c r="CZ219" s="1791" t="str">
        <f>IF(AND((AI219+AJ219)&gt;0,AP219="")," * No olvide digitar la variable 60 años. Si no tiene digite Cero.",IF(AP219&gt;(AI219+AJ219), "* El número de pacientes de 60 años NO DEBE ser mayor a lo registrado en el grupo etario de 60 a 64 años.",""))</f>
        <v/>
      </c>
      <c r="DA219" s="1791" t="str">
        <f t="shared" ref="DA219" si="248">IF(AND(D219&gt;0,AX219="")," * No olvide ingresar datos en Usuarios Migrantes. (Digite cero si no tiene).","")</f>
        <v/>
      </c>
      <c r="DB219" s="1791" t="str">
        <f t="shared" ref="DB219" si="249">IF(AX219&gt;D219, "* Migrantes no puede ser mayor al Total","")</f>
        <v/>
      </c>
      <c r="DC219"/>
      <c r="DD219"/>
      <c r="DE219"/>
      <c r="DG219" s="1793">
        <f>IF(AND(F219&gt;0,AO219=""),1,IF(AO219&gt;F219,1,0))</f>
        <v>0</v>
      </c>
      <c r="DH219" s="1793">
        <f>IF(AND(D219&gt;0,AV219=""),1,IF(AV219&gt;D219,1,0))</f>
        <v>0</v>
      </c>
      <c r="DI219" s="1793">
        <f>IF(AND(D219&gt;0,AW219=""),1,IF(AW219&gt;D219,1,0))</f>
        <v>0</v>
      </c>
      <c r="DJ219" s="1793">
        <f>IF(AND((AI219+AJ219)&gt;0,AP219=""),1,IF(AP219&gt;(AI219+AJ219),1,0))</f>
        <v>0</v>
      </c>
      <c r="DK219" s="1793">
        <f>IF(AND(D219&gt;0,AX219=""),1,0)</f>
        <v>0</v>
      </c>
      <c r="DL219" s="1793">
        <f>IF(AX219&gt;D219,1,0)</f>
        <v>0</v>
      </c>
      <c r="DM219"/>
    </row>
    <row r="220" spans="1:117" ht="15" customHeight="1" x14ac:dyDescent="0.25">
      <c r="A220" s="6607"/>
      <c r="B220" s="7498" t="s">
        <v>908</v>
      </c>
      <c r="C220" s="7499"/>
      <c r="D220" s="954">
        <f>SUM(E220+F220)</f>
        <v>0</v>
      </c>
      <c r="E220" s="823">
        <f t="shared" si="247"/>
        <v>0</v>
      </c>
      <c r="F220" s="824">
        <f t="shared" si="247"/>
        <v>0</v>
      </c>
      <c r="G220" s="955"/>
      <c r="H220" s="956"/>
      <c r="I220" s="957"/>
      <c r="J220" s="956"/>
      <c r="K220" s="957"/>
      <c r="L220" s="956"/>
      <c r="M220" s="957"/>
      <c r="N220" s="956"/>
      <c r="O220" s="957"/>
      <c r="P220" s="956"/>
      <c r="Q220" s="957"/>
      <c r="R220" s="956"/>
      <c r="S220" s="957"/>
      <c r="T220" s="956"/>
      <c r="U220" s="957"/>
      <c r="V220" s="958"/>
      <c r="W220" s="957"/>
      <c r="X220" s="958"/>
      <c r="Y220" s="957"/>
      <c r="Z220" s="958"/>
      <c r="AA220" s="957"/>
      <c r="AB220" s="958"/>
      <c r="AC220" s="957"/>
      <c r="AD220" s="958"/>
      <c r="AE220" s="957"/>
      <c r="AF220" s="958"/>
      <c r="AG220" s="957"/>
      <c r="AH220" s="958"/>
      <c r="AI220" s="957"/>
      <c r="AJ220" s="958"/>
      <c r="AK220" s="957"/>
      <c r="AL220" s="958"/>
      <c r="AM220" s="957"/>
      <c r="AN220" s="958"/>
      <c r="AO220" s="959"/>
      <c r="AP220" s="960"/>
      <c r="AQ220" s="950"/>
      <c r="AR220" s="951"/>
      <c r="AS220" s="952"/>
      <c r="AT220" s="957"/>
      <c r="AU220" s="957"/>
      <c r="AV220" s="961"/>
      <c r="AW220" s="961"/>
      <c r="AX220" s="958"/>
      <c r="AY220" t="str">
        <f t="shared" ref="AY220:AY283" si="250">CW220&amp;CX220&amp;CY220&amp;CZ220&amp;DA220&amp;DB220&amp;DC220</f>
        <v/>
      </c>
      <c r="CW220" s="1791" t="str">
        <f t="shared" ref="CW220:CW283" si="251">IF(AND(F220&gt;0,AO220=""),"  * No olvide digitar Embarazadas. Digite Cero si no tiene.",IF(AO220&gt;F220," * Las Embarazadas no pueden superar el Total Mujeres.",""))</f>
        <v/>
      </c>
      <c r="CX220" s="1791" t="str">
        <f t="shared" ref="CX220:CX283" si="252">IF(AND(D220&gt;0,AV220="")," * No olvide ingresar datos en Usuarios con Discapacidad. (Digite cero si no tiene).",IF(AV220&gt;D220," * La variable Usuarios con discapacidad No puede ser mayor al Total.",""))</f>
        <v/>
      </c>
      <c r="CY220" s="1791" t="str">
        <f t="shared" ref="CY220:CY283" si="253">IF(AND(D220&gt;0,AW220="")," * No olvide ingresar datos en Usuarios Oncológicos. (Digite cero si no tiene).",IF(AW220&gt;D220," * La variable Usuarios oncológicos No puede ser mayor al Total.",""))</f>
        <v/>
      </c>
      <c r="CZ220" s="1791" t="str">
        <f t="shared" ref="CZ220:CZ283" si="254">IF(AND((AI220+AJ220)&gt;0,AP220="")," * No olvide digitar la variable 60 años. Si no tiene digite Cero.",IF(AP220&gt;(AI220+AJ220), "* El número de pacientes de 60 años NO DEBE ser mayor a lo registrado en el grupo etario de 60 a 64 años.",""))</f>
        <v/>
      </c>
      <c r="DA220" s="1791" t="str">
        <f t="shared" ref="DA220:DA283" si="255">IF(AND(D220&gt;0,AX220="")," * No olvide ingresar datos en Usuarios Migrantes. (Digite cero si no tiene).","")</f>
        <v/>
      </c>
      <c r="DB220" s="1791" t="str">
        <f t="shared" ref="DB220:DB283" si="256">IF(AX220&gt;D220, "* Migrantes no puede ser mayor al Total","")</f>
        <v/>
      </c>
      <c r="DC220"/>
      <c r="DD220"/>
      <c r="DE220"/>
      <c r="DG220" s="1793">
        <f t="shared" ref="DG220:DG283" si="257">IF(AND(F220&gt;0,AO220=""),1,IF(AO220&gt;F220,1,0))</f>
        <v>0</v>
      </c>
      <c r="DH220" s="1793">
        <f t="shared" ref="DH220:DH283" si="258">IF(AND(D220&gt;0,AV220=""),1,IF(AV220&gt;D220,1,0))</f>
        <v>0</v>
      </c>
      <c r="DI220" s="1793">
        <f t="shared" ref="DI220:DI283" si="259">IF(AND(D220&gt;0,AW220=""),1,IF(AW220&gt;D220,1,0))</f>
        <v>0</v>
      </c>
      <c r="DJ220" s="1793">
        <f t="shared" ref="DJ220:DJ283" si="260">IF(AND((AI220+AJ220)&gt;0,AP220=""),1,IF(AP220&gt;(AI220+AJ220),1,0))</f>
        <v>0</v>
      </c>
      <c r="DK220" s="1793">
        <f t="shared" ref="DK220:DK283" si="261">IF(AND(D220&gt;0,AX220=""),1,0)</f>
        <v>0</v>
      </c>
      <c r="DL220" s="1793">
        <f t="shared" ref="DL220:DL283" si="262">IF(AX220&gt;D220,1,0)</f>
        <v>0</v>
      </c>
      <c r="DM220"/>
    </row>
    <row r="221" spans="1:117" ht="15" customHeight="1" x14ac:dyDescent="0.25">
      <c r="A221" s="7364" t="s">
        <v>909</v>
      </c>
      <c r="B221" s="7440" t="s">
        <v>910</v>
      </c>
      <c r="C221" s="7440"/>
      <c r="D221" s="917">
        <f t="shared" si="246"/>
        <v>0</v>
      </c>
      <c r="E221" s="962">
        <f t="shared" si="247"/>
        <v>0</v>
      </c>
      <c r="F221" s="963">
        <f t="shared" si="247"/>
        <v>0</v>
      </c>
      <c r="G221" s="964"/>
      <c r="H221" s="965"/>
      <c r="I221" s="966"/>
      <c r="J221" s="965"/>
      <c r="K221" s="966"/>
      <c r="L221" s="965"/>
      <c r="M221" s="966"/>
      <c r="N221" s="965"/>
      <c r="O221" s="966"/>
      <c r="P221" s="965"/>
      <c r="Q221" s="966"/>
      <c r="R221" s="965"/>
      <c r="S221" s="966"/>
      <c r="T221" s="965"/>
      <c r="U221" s="966"/>
      <c r="V221" s="967"/>
      <c r="W221" s="966"/>
      <c r="X221" s="967"/>
      <c r="Y221" s="966"/>
      <c r="Z221" s="967"/>
      <c r="AA221" s="966"/>
      <c r="AB221" s="967"/>
      <c r="AC221" s="966"/>
      <c r="AD221" s="967"/>
      <c r="AE221" s="966"/>
      <c r="AF221" s="967"/>
      <c r="AG221" s="966"/>
      <c r="AH221" s="967"/>
      <c r="AI221" s="966"/>
      <c r="AJ221" s="967"/>
      <c r="AK221" s="966"/>
      <c r="AL221" s="967"/>
      <c r="AM221" s="966"/>
      <c r="AN221" s="967"/>
      <c r="AO221" s="968"/>
      <c r="AP221" s="969"/>
      <c r="AQ221" s="964"/>
      <c r="AR221" s="965"/>
      <c r="AS221" s="946"/>
      <c r="AT221" s="966"/>
      <c r="AU221" s="966"/>
      <c r="AV221" s="970"/>
      <c r="AW221" s="970"/>
      <c r="AX221" s="965"/>
      <c r="AY221" t="str">
        <f t="shared" si="250"/>
        <v/>
      </c>
      <c r="CW221" s="1791" t="str">
        <f t="shared" si="251"/>
        <v/>
      </c>
      <c r="CX221" s="1791" t="str">
        <f t="shared" si="252"/>
        <v/>
      </c>
      <c r="CY221" s="1791" t="str">
        <f t="shared" si="253"/>
        <v/>
      </c>
      <c r="CZ221" s="1791" t="str">
        <f t="shared" si="254"/>
        <v/>
      </c>
      <c r="DA221" s="1791" t="str">
        <f t="shared" si="255"/>
        <v/>
      </c>
      <c r="DB221" s="1791" t="str">
        <f t="shared" si="256"/>
        <v/>
      </c>
      <c r="DC221"/>
      <c r="DD221"/>
      <c r="DE221"/>
      <c r="DG221" s="1793">
        <f t="shared" si="257"/>
        <v>0</v>
      </c>
      <c r="DH221" s="1793">
        <f t="shared" si="258"/>
        <v>0</v>
      </c>
      <c r="DI221" s="1793">
        <f t="shared" si="259"/>
        <v>0</v>
      </c>
      <c r="DJ221" s="1793">
        <f t="shared" si="260"/>
        <v>0</v>
      </c>
      <c r="DK221" s="1793">
        <f t="shared" si="261"/>
        <v>0</v>
      </c>
      <c r="DL221" s="1793">
        <f t="shared" si="262"/>
        <v>0</v>
      </c>
      <c r="DM221"/>
    </row>
    <row r="222" spans="1:117" ht="15" customHeight="1" x14ac:dyDescent="0.25">
      <c r="A222" s="7364"/>
      <c r="B222" s="7441" t="s">
        <v>911</v>
      </c>
      <c r="C222" s="7441"/>
      <c r="D222" s="971">
        <f t="shared" si="246"/>
        <v>0</v>
      </c>
      <c r="E222" s="972">
        <f t="shared" si="247"/>
        <v>0</v>
      </c>
      <c r="F222" s="973">
        <f t="shared" si="247"/>
        <v>0</v>
      </c>
      <c r="G222" s="974"/>
      <c r="H222" s="975"/>
      <c r="I222" s="976"/>
      <c r="J222" s="975"/>
      <c r="K222" s="976"/>
      <c r="L222" s="975"/>
      <c r="M222" s="976"/>
      <c r="N222" s="975"/>
      <c r="O222" s="976"/>
      <c r="P222" s="975"/>
      <c r="Q222" s="976"/>
      <c r="R222" s="975"/>
      <c r="S222" s="976"/>
      <c r="T222" s="975"/>
      <c r="U222" s="976"/>
      <c r="V222" s="977"/>
      <c r="W222" s="976"/>
      <c r="X222" s="977"/>
      <c r="Y222" s="976"/>
      <c r="Z222" s="977"/>
      <c r="AA222" s="976"/>
      <c r="AB222" s="977"/>
      <c r="AC222" s="976"/>
      <c r="AD222" s="977"/>
      <c r="AE222" s="976"/>
      <c r="AF222" s="977"/>
      <c r="AG222" s="976"/>
      <c r="AH222" s="977"/>
      <c r="AI222" s="976"/>
      <c r="AJ222" s="977"/>
      <c r="AK222" s="976"/>
      <c r="AL222" s="977"/>
      <c r="AM222" s="976"/>
      <c r="AN222" s="977"/>
      <c r="AO222" s="978"/>
      <c r="AP222" s="979"/>
      <c r="AQ222" s="950"/>
      <c r="AR222" s="951"/>
      <c r="AS222" s="966"/>
      <c r="AT222" s="976"/>
      <c r="AU222" s="976"/>
      <c r="AV222" s="980"/>
      <c r="AW222" s="980"/>
      <c r="AX222" s="975"/>
      <c r="AY222" t="str">
        <f t="shared" si="250"/>
        <v/>
      </c>
      <c r="CW222" s="1791" t="str">
        <f t="shared" si="251"/>
        <v/>
      </c>
      <c r="CX222" s="1791" t="str">
        <f t="shared" si="252"/>
        <v/>
      </c>
      <c r="CY222" s="1791" t="str">
        <f t="shared" si="253"/>
        <v/>
      </c>
      <c r="CZ222" s="1791" t="str">
        <f t="shared" si="254"/>
        <v/>
      </c>
      <c r="DA222" s="1791" t="str">
        <f t="shared" si="255"/>
        <v/>
      </c>
      <c r="DB222" s="1791" t="str">
        <f t="shared" si="256"/>
        <v/>
      </c>
      <c r="DC222"/>
      <c r="DD222"/>
      <c r="DE222"/>
      <c r="DG222" s="1793">
        <f t="shared" si="257"/>
        <v>0</v>
      </c>
      <c r="DH222" s="1793">
        <f t="shared" si="258"/>
        <v>0</v>
      </c>
      <c r="DI222" s="1793">
        <f t="shared" si="259"/>
        <v>0</v>
      </c>
      <c r="DJ222" s="1793">
        <f t="shared" si="260"/>
        <v>0</v>
      </c>
      <c r="DK222" s="1793">
        <f t="shared" si="261"/>
        <v>0</v>
      </c>
      <c r="DL222" s="1793">
        <f t="shared" si="262"/>
        <v>0</v>
      </c>
      <c r="DM222"/>
    </row>
    <row r="223" spans="1:117" ht="15" customHeight="1" x14ac:dyDescent="0.25">
      <c r="A223" s="7364"/>
      <c r="B223" s="7441" t="s">
        <v>912</v>
      </c>
      <c r="C223" s="7441"/>
      <c r="D223" s="971">
        <f t="shared" si="246"/>
        <v>0</v>
      </c>
      <c r="E223" s="972">
        <f t="shared" si="247"/>
        <v>0</v>
      </c>
      <c r="F223" s="973">
        <f t="shared" si="247"/>
        <v>0</v>
      </c>
      <c r="G223" s="974"/>
      <c r="H223" s="975"/>
      <c r="I223" s="976"/>
      <c r="J223" s="975"/>
      <c r="K223" s="976"/>
      <c r="L223" s="975"/>
      <c r="M223" s="976"/>
      <c r="N223" s="975"/>
      <c r="O223" s="976"/>
      <c r="P223" s="975"/>
      <c r="Q223" s="976"/>
      <c r="R223" s="975"/>
      <c r="S223" s="976"/>
      <c r="T223" s="975"/>
      <c r="U223" s="976"/>
      <c r="V223" s="977"/>
      <c r="W223" s="976"/>
      <c r="X223" s="977"/>
      <c r="Y223" s="976"/>
      <c r="Z223" s="977"/>
      <c r="AA223" s="976"/>
      <c r="AB223" s="977"/>
      <c r="AC223" s="976"/>
      <c r="AD223" s="977"/>
      <c r="AE223" s="976"/>
      <c r="AF223" s="977"/>
      <c r="AG223" s="976"/>
      <c r="AH223" s="977"/>
      <c r="AI223" s="976"/>
      <c r="AJ223" s="977"/>
      <c r="AK223" s="976"/>
      <c r="AL223" s="977"/>
      <c r="AM223" s="976"/>
      <c r="AN223" s="977"/>
      <c r="AO223" s="978"/>
      <c r="AP223" s="979"/>
      <c r="AQ223" s="950"/>
      <c r="AR223" s="951"/>
      <c r="AS223" s="952"/>
      <c r="AT223" s="976"/>
      <c r="AU223" s="976"/>
      <c r="AV223" s="980"/>
      <c r="AW223" s="980"/>
      <c r="AX223" s="975"/>
      <c r="AY223" t="str">
        <f t="shared" si="250"/>
        <v/>
      </c>
      <c r="CW223" s="1791" t="str">
        <f t="shared" si="251"/>
        <v/>
      </c>
      <c r="CX223" s="1791" t="str">
        <f t="shared" si="252"/>
        <v/>
      </c>
      <c r="CY223" s="1791" t="str">
        <f t="shared" si="253"/>
        <v/>
      </c>
      <c r="CZ223" s="1791" t="str">
        <f t="shared" si="254"/>
        <v/>
      </c>
      <c r="DA223" s="1791" t="str">
        <f t="shared" si="255"/>
        <v/>
      </c>
      <c r="DB223" s="1791" t="str">
        <f t="shared" si="256"/>
        <v/>
      </c>
      <c r="DC223"/>
      <c r="DD223"/>
      <c r="DE223"/>
      <c r="DG223" s="1793">
        <f t="shared" si="257"/>
        <v>0</v>
      </c>
      <c r="DH223" s="1793">
        <f t="shared" si="258"/>
        <v>0</v>
      </c>
      <c r="DI223" s="1793">
        <f t="shared" si="259"/>
        <v>0</v>
      </c>
      <c r="DJ223" s="1793">
        <f t="shared" si="260"/>
        <v>0</v>
      </c>
      <c r="DK223" s="1793">
        <f t="shared" si="261"/>
        <v>0</v>
      </c>
      <c r="DL223" s="1793">
        <f t="shared" si="262"/>
        <v>0</v>
      </c>
      <c r="DM223"/>
    </row>
    <row r="224" spans="1:117" ht="15" customHeight="1" x14ac:dyDescent="0.25">
      <c r="A224" s="7364"/>
      <c r="B224" s="7442" t="s">
        <v>913</v>
      </c>
      <c r="C224" s="7443"/>
      <c r="D224" s="971">
        <f t="shared" si="246"/>
        <v>0</v>
      </c>
      <c r="E224" s="972">
        <f t="shared" si="247"/>
        <v>0</v>
      </c>
      <c r="F224" s="973">
        <f t="shared" si="247"/>
        <v>0</v>
      </c>
      <c r="G224" s="981"/>
      <c r="H224" s="982"/>
      <c r="I224" s="983"/>
      <c r="J224" s="982"/>
      <c r="K224" s="983"/>
      <c r="L224" s="982"/>
      <c r="M224" s="983"/>
      <c r="N224" s="982"/>
      <c r="O224" s="983"/>
      <c r="P224" s="982"/>
      <c r="Q224" s="983"/>
      <c r="R224" s="982"/>
      <c r="S224" s="983"/>
      <c r="T224" s="982"/>
      <c r="U224" s="983"/>
      <c r="V224" s="984"/>
      <c r="W224" s="983"/>
      <c r="X224" s="984"/>
      <c r="Y224" s="983"/>
      <c r="Z224" s="984"/>
      <c r="AA224" s="983"/>
      <c r="AB224" s="984"/>
      <c r="AC224" s="983"/>
      <c r="AD224" s="984"/>
      <c r="AE224" s="983"/>
      <c r="AF224" s="984"/>
      <c r="AG224" s="983"/>
      <c r="AH224" s="984"/>
      <c r="AI224" s="983"/>
      <c r="AJ224" s="984"/>
      <c r="AK224" s="983"/>
      <c r="AL224" s="984"/>
      <c r="AM224" s="983"/>
      <c r="AN224" s="984"/>
      <c r="AO224" s="985"/>
      <c r="AP224" s="986"/>
      <c r="AQ224" s="987"/>
      <c r="AR224" s="988"/>
      <c r="AS224" s="989"/>
      <c r="AT224" s="983"/>
      <c r="AU224" s="983"/>
      <c r="AV224" s="990"/>
      <c r="AW224" s="990"/>
      <c r="AX224" s="982"/>
      <c r="AY224" t="str">
        <f t="shared" si="250"/>
        <v/>
      </c>
      <c r="CW224" s="1791" t="str">
        <f t="shared" si="251"/>
        <v/>
      </c>
      <c r="CX224" s="1791" t="str">
        <f t="shared" si="252"/>
        <v/>
      </c>
      <c r="CY224" s="1791" t="str">
        <f t="shared" si="253"/>
        <v/>
      </c>
      <c r="CZ224" s="1791" t="str">
        <f t="shared" si="254"/>
        <v/>
      </c>
      <c r="DA224" s="1791" t="str">
        <f t="shared" si="255"/>
        <v/>
      </c>
      <c r="DB224" s="1791" t="str">
        <f t="shared" si="256"/>
        <v/>
      </c>
      <c r="DC224"/>
      <c r="DD224"/>
      <c r="DE224"/>
      <c r="DG224" s="1793">
        <f t="shared" si="257"/>
        <v>0</v>
      </c>
      <c r="DH224" s="1793">
        <f t="shared" si="258"/>
        <v>0</v>
      </c>
      <c r="DI224" s="1793">
        <f t="shared" si="259"/>
        <v>0</v>
      </c>
      <c r="DJ224" s="1793">
        <f t="shared" si="260"/>
        <v>0</v>
      </c>
      <c r="DK224" s="1793">
        <f t="shared" si="261"/>
        <v>0</v>
      </c>
      <c r="DL224" s="1793">
        <f t="shared" si="262"/>
        <v>0</v>
      </c>
      <c r="DM224"/>
    </row>
    <row r="225" spans="1:117" ht="15" customHeight="1" x14ac:dyDescent="0.25">
      <c r="A225" s="7364"/>
      <c r="B225" s="7442" t="s">
        <v>914</v>
      </c>
      <c r="C225" s="7443"/>
      <c r="D225" s="971">
        <f t="shared" si="246"/>
        <v>0</v>
      </c>
      <c r="E225" s="972">
        <f t="shared" si="247"/>
        <v>0</v>
      </c>
      <c r="F225" s="973">
        <f t="shared" si="247"/>
        <v>0</v>
      </c>
      <c r="G225" s="981"/>
      <c r="H225" s="982"/>
      <c r="I225" s="983"/>
      <c r="J225" s="982"/>
      <c r="K225" s="983"/>
      <c r="L225" s="982"/>
      <c r="M225" s="983"/>
      <c r="N225" s="982"/>
      <c r="O225" s="983"/>
      <c r="P225" s="982"/>
      <c r="Q225" s="983"/>
      <c r="R225" s="982"/>
      <c r="S225" s="983"/>
      <c r="T225" s="982"/>
      <c r="U225" s="983"/>
      <c r="V225" s="984"/>
      <c r="W225" s="983"/>
      <c r="X225" s="984"/>
      <c r="Y225" s="983"/>
      <c r="Z225" s="984"/>
      <c r="AA225" s="983"/>
      <c r="AB225" s="984"/>
      <c r="AC225" s="983"/>
      <c r="AD225" s="984"/>
      <c r="AE225" s="983"/>
      <c r="AF225" s="984"/>
      <c r="AG225" s="983"/>
      <c r="AH225" s="984"/>
      <c r="AI225" s="983"/>
      <c r="AJ225" s="984"/>
      <c r="AK225" s="983"/>
      <c r="AL225" s="984"/>
      <c r="AM225" s="983"/>
      <c r="AN225" s="984"/>
      <c r="AO225" s="985"/>
      <c r="AP225" s="986"/>
      <c r="AQ225" s="987"/>
      <c r="AR225" s="988"/>
      <c r="AS225" s="989"/>
      <c r="AT225" s="983"/>
      <c r="AU225" s="983"/>
      <c r="AV225" s="990"/>
      <c r="AW225" s="990"/>
      <c r="AX225" s="982"/>
      <c r="AY225" t="str">
        <f t="shared" si="250"/>
        <v/>
      </c>
      <c r="CW225" s="1791" t="str">
        <f t="shared" si="251"/>
        <v/>
      </c>
      <c r="CX225" s="1791" t="str">
        <f t="shared" si="252"/>
        <v/>
      </c>
      <c r="CY225" s="1791" t="str">
        <f t="shared" si="253"/>
        <v/>
      </c>
      <c r="CZ225" s="1791" t="str">
        <f t="shared" si="254"/>
        <v/>
      </c>
      <c r="DA225" s="1791" t="str">
        <f t="shared" si="255"/>
        <v/>
      </c>
      <c r="DB225" s="1791" t="str">
        <f t="shared" si="256"/>
        <v/>
      </c>
      <c r="DC225"/>
      <c r="DD225"/>
      <c r="DE225"/>
      <c r="DG225" s="1793">
        <f t="shared" si="257"/>
        <v>0</v>
      </c>
      <c r="DH225" s="1793">
        <f t="shared" si="258"/>
        <v>0</v>
      </c>
      <c r="DI225" s="1793">
        <f t="shared" si="259"/>
        <v>0</v>
      </c>
      <c r="DJ225" s="1793">
        <f t="shared" si="260"/>
        <v>0</v>
      </c>
      <c r="DK225" s="1793">
        <f t="shared" si="261"/>
        <v>0</v>
      </c>
      <c r="DL225" s="1793">
        <f t="shared" si="262"/>
        <v>0</v>
      </c>
      <c r="DM225"/>
    </row>
    <row r="226" spans="1:117" ht="15" customHeight="1" x14ac:dyDescent="0.25">
      <c r="A226" s="7480"/>
      <c r="B226" s="7460" t="s">
        <v>915</v>
      </c>
      <c r="C226" s="7460"/>
      <c r="D226" s="991">
        <f t="shared" si="246"/>
        <v>0</v>
      </c>
      <c r="E226" s="95">
        <f>SUM(I226+K226+M226+O226+Q226+S226+U226+W226+Y226+AA226+AC226+AE226+AG226+AI226+AK226+AM226)</f>
        <v>0</v>
      </c>
      <c r="F226" s="208">
        <f>SUM(J226+L226+N226+P226+R226+T226+V226+X226+Z226+AB226+AD226+AF226+AH226+AJ226+AL226+AN226)</f>
        <v>0</v>
      </c>
      <c r="G226" s="151"/>
      <c r="H226" s="152"/>
      <c r="I226" s="957"/>
      <c r="J226" s="956"/>
      <c r="K226" s="957"/>
      <c r="L226" s="956"/>
      <c r="M226" s="957"/>
      <c r="N226" s="956"/>
      <c r="O226" s="957"/>
      <c r="P226" s="956"/>
      <c r="Q226" s="957"/>
      <c r="R226" s="956"/>
      <c r="S226" s="957"/>
      <c r="T226" s="956"/>
      <c r="U226" s="957"/>
      <c r="V226" s="958"/>
      <c r="W226" s="957"/>
      <c r="X226" s="958"/>
      <c r="Y226" s="957"/>
      <c r="Z226" s="958"/>
      <c r="AA226" s="957"/>
      <c r="AB226" s="958"/>
      <c r="AC226" s="957"/>
      <c r="AD226" s="958"/>
      <c r="AE226" s="957"/>
      <c r="AF226" s="958"/>
      <c r="AG226" s="957"/>
      <c r="AH226" s="958"/>
      <c r="AI226" s="957"/>
      <c r="AJ226" s="958"/>
      <c r="AK226" s="957"/>
      <c r="AL226" s="958"/>
      <c r="AM226" s="957"/>
      <c r="AN226" s="958"/>
      <c r="AO226" s="959"/>
      <c r="AP226" s="960"/>
      <c r="AQ226" s="992"/>
      <c r="AR226" s="993"/>
      <c r="AS226" s="994"/>
      <c r="AT226" s="957"/>
      <c r="AU226" s="957"/>
      <c r="AV226" s="961"/>
      <c r="AW226" s="961"/>
      <c r="AX226" s="956"/>
      <c r="AY226" t="str">
        <f t="shared" si="250"/>
        <v/>
      </c>
      <c r="CW226" s="1791" t="str">
        <f t="shared" si="251"/>
        <v/>
      </c>
      <c r="CX226" s="1791" t="str">
        <f t="shared" si="252"/>
        <v/>
      </c>
      <c r="CY226" s="1791" t="str">
        <f t="shared" si="253"/>
        <v/>
      </c>
      <c r="CZ226" s="1791" t="str">
        <f t="shared" si="254"/>
        <v/>
      </c>
      <c r="DA226" s="1791" t="str">
        <f t="shared" si="255"/>
        <v/>
      </c>
      <c r="DB226" s="1791" t="str">
        <f t="shared" si="256"/>
        <v/>
      </c>
      <c r="DC226"/>
      <c r="DD226"/>
      <c r="DE226"/>
      <c r="DG226" s="1793">
        <f t="shared" si="257"/>
        <v>0</v>
      </c>
      <c r="DH226" s="1793">
        <f t="shared" si="258"/>
        <v>0</v>
      </c>
      <c r="DI226" s="1793">
        <f t="shared" si="259"/>
        <v>0</v>
      </c>
      <c r="DJ226" s="1793">
        <f t="shared" si="260"/>
        <v>0</v>
      </c>
      <c r="DK226" s="1793">
        <f t="shared" si="261"/>
        <v>0</v>
      </c>
      <c r="DL226" s="1793">
        <f t="shared" si="262"/>
        <v>0</v>
      </c>
      <c r="DM226"/>
    </row>
    <row r="227" spans="1:117" ht="15" customHeight="1" x14ac:dyDescent="0.25">
      <c r="A227" s="7485" t="s">
        <v>916</v>
      </c>
      <c r="B227" s="7440" t="s">
        <v>910</v>
      </c>
      <c r="C227" s="7440"/>
      <c r="D227" s="914">
        <f t="shared" si="246"/>
        <v>0</v>
      </c>
      <c r="E227" s="213">
        <f t="shared" si="247"/>
        <v>0</v>
      </c>
      <c r="F227" s="995">
        <f t="shared" si="247"/>
        <v>0</v>
      </c>
      <c r="G227" s="944"/>
      <c r="H227" s="945"/>
      <c r="I227" s="946"/>
      <c r="J227" s="945"/>
      <c r="K227" s="946"/>
      <c r="L227" s="945"/>
      <c r="M227" s="946"/>
      <c r="N227" s="945"/>
      <c r="O227" s="946"/>
      <c r="P227" s="945"/>
      <c r="Q227" s="946"/>
      <c r="R227" s="945"/>
      <c r="S227" s="946"/>
      <c r="T227" s="945"/>
      <c r="U227" s="946"/>
      <c r="V227" s="947"/>
      <c r="W227" s="946"/>
      <c r="X227" s="947"/>
      <c r="Y227" s="946"/>
      <c r="Z227" s="947"/>
      <c r="AA227" s="946"/>
      <c r="AB227" s="947"/>
      <c r="AC227" s="946"/>
      <c r="AD227" s="947"/>
      <c r="AE227" s="946"/>
      <c r="AF227" s="947"/>
      <c r="AG227" s="946"/>
      <c r="AH227" s="947"/>
      <c r="AI227" s="946"/>
      <c r="AJ227" s="947"/>
      <c r="AK227" s="946"/>
      <c r="AL227" s="947"/>
      <c r="AM227" s="946"/>
      <c r="AN227" s="947"/>
      <c r="AO227" s="968"/>
      <c r="AP227" s="969"/>
      <c r="AQ227" s="944"/>
      <c r="AR227" s="965"/>
      <c r="AS227" s="946"/>
      <c r="AT227" s="966"/>
      <c r="AU227" s="966"/>
      <c r="AV227" s="970"/>
      <c r="AW227" s="970"/>
      <c r="AX227" s="965"/>
      <c r="AY227" t="str">
        <f t="shared" si="250"/>
        <v/>
      </c>
      <c r="CW227" s="1791" t="str">
        <f t="shared" si="251"/>
        <v/>
      </c>
      <c r="CX227" s="1791" t="str">
        <f t="shared" si="252"/>
        <v/>
      </c>
      <c r="CY227" s="1791" t="str">
        <f t="shared" si="253"/>
        <v/>
      </c>
      <c r="CZ227" s="1791" t="str">
        <f t="shared" si="254"/>
        <v/>
      </c>
      <c r="DA227" s="1791" t="str">
        <f t="shared" si="255"/>
        <v/>
      </c>
      <c r="DB227" s="1791" t="str">
        <f t="shared" si="256"/>
        <v/>
      </c>
      <c r="DC227"/>
      <c r="DD227"/>
      <c r="DE227"/>
      <c r="DG227" s="1793">
        <f t="shared" si="257"/>
        <v>0</v>
      </c>
      <c r="DH227" s="1793">
        <f t="shared" si="258"/>
        <v>0</v>
      </c>
      <c r="DI227" s="1793">
        <f t="shared" si="259"/>
        <v>0</v>
      </c>
      <c r="DJ227" s="1793">
        <f t="shared" si="260"/>
        <v>0</v>
      </c>
      <c r="DK227" s="1793">
        <f t="shared" si="261"/>
        <v>0</v>
      </c>
      <c r="DL227" s="1793">
        <f t="shared" si="262"/>
        <v>0</v>
      </c>
      <c r="DM227"/>
    </row>
    <row r="228" spans="1:117" ht="15" customHeight="1" x14ac:dyDescent="0.25">
      <c r="A228" s="7364"/>
      <c r="B228" s="7441" t="s">
        <v>911</v>
      </c>
      <c r="C228" s="7441"/>
      <c r="D228" s="971">
        <f t="shared" si="246"/>
        <v>0</v>
      </c>
      <c r="E228" s="972">
        <f t="shared" si="247"/>
        <v>0</v>
      </c>
      <c r="F228" s="973">
        <f t="shared" si="247"/>
        <v>0</v>
      </c>
      <c r="G228" s="974"/>
      <c r="H228" s="975"/>
      <c r="I228" s="976"/>
      <c r="J228" s="975"/>
      <c r="K228" s="976"/>
      <c r="L228" s="975"/>
      <c r="M228" s="976"/>
      <c r="N228" s="975"/>
      <c r="O228" s="976"/>
      <c r="P228" s="975"/>
      <c r="Q228" s="976"/>
      <c r="R228" s="975"/>
      <c r="S228" s="976"/>
      <c r="T228" s="975"/>
      <c r="U228" s="976"/>
      <c r="V228" s="977"/>
      <c r="W228" s="976"/>
      <c r="X228" s="977"/>
      <c r="Y228" s="976"/>
      <c r="Z228" s="977"/>
      <c r="AA228" s="976"/>
      <c r="AB228" s="977"/>
      <c r="AC228" s="976"/>
      <c r="AD228" s="977"/>
      <c r="AE228" s="976"/>
      <c r="AF228" s="977"/>
      <c r="AG228" s="976"/>
      <c r="AH228" s="977"/>
      <c r="AI228" s="976"/>
      <c r="AJ228" s="977"/>
      <c r="AK228" s="976"/>
      <c r="AL228" s="977"/>
      <c r="AM228" s="976"/>
      <c r="AN228" s="977"/>
      <c r="AO228" s="978"/>
      <c r="AP228" s="979"/>
      <c r="AQ228" s="950"/>
      <c r="AR228" s="951"/>
      <c r="AS228" s="966"/>
      <c r="AT228" s="976"/>
      <c r="AU228" s="976"/>
      <c r="AV228" s="980"/>
      <c r="AW228" s="980"/>
      <c r="AX228" s="975"/>
      <c r="AY228" t="str">
        <f t="shared" si="250"/>
        <v/>
      </c>
      <c r="CW228" s="1791" t="str">
        <f t="shared" si="251"/>
        <v/>
      </c>
      <c r="CX228" s="1791" t="str">
        <f t="shared" si="252"/>
        <v/>
      </c>
      <c r="CY228" s="1791" t="str">
        <f t="shared" si="253"/>
        <v/>
      </c>
      <c r="CZ228" s="1791" t="str">
        <f t="shared" si="254"/>
        <v/>
      </c>
      <c r="DA228" s="1791" t="str">
        <f t="shared" si="255"/>
        <v/>
      </c>
      <c r="DB228" s="1791" t="str">
        <f t="shared" si="256"/>
        <v/>
      </c>
      <c r="DC228"/>
      <c r="DD228"/>
      <c r="DE228"/>
      <c r="DG228" s="1793">
        <f t="shared" si="257"/>
        <v>0</v>
      </c>
      <c r="DH228" s="1793">
        <f t="shared" si="258"/>
        <v>0</v>
      </c>
      <c r="DI228" s="1793">
        <f t="shared" si="259"/>
        <v>0</v>
      </c>
      <c r="DJ228" s="1793">
        <f t="shared" si="260"/>
        <v>0</v>
      </c>
      <c r="DK228" s="1793">
        <f t="shared" si="261"/>
        <v>0</v>
      </c>
      <c r="DL228" s="1793">
        <f t="shared" si="262"/>
        <v>0</v>
      </c>
      <c r="DM228"/>
    </row>
    <row r="229" spans="1:117" ht="15" customHeight="1" x14ac:dyDescent="0.25">
      <c r="A229" s="7364"/>
      <c r="B229" s="7441" t="s">
        <v>912</v>
      </c>
      <c r="C229" s="7441"/>
      <c r="D229" s="971">
        <f t="shared" si="246"/>
        <v>0</v>
      </c>
      <c r="E229" s="972">
        <f t="shared" si="247"/>
        <v>0</v>
      </c>
      <c r="F229" s="973">
        <f t="shared" si="247"/>
        <v>0</v>
      </c>
      <c r="G229" s="974"/>
      <c r="H229" s="975"/>
      <c r="I229" s="976"/>
      <c r="J229" s="975"/>
      <c r="K229" s="976"/>
      <c r="L229" s="975"/>
      <c r="M229" s="976"/>
      <c r="N229" s="975"/>
      <c r="O229" s="976"/>
      <c r="P229" s="975"/>
      <c r="Q229" s="976"/>
      <c r="R229" s="975"/>
      <c r="S229" s="976"/>
      <c r="T229" s="975"/>
      <c r="U229" s="976"/>
      <c r="V229" s="977"/>
      <c r="W229" s="976"/>
      <c r="X229" s="977"/>
      <c r="Y229" s="976"/>
      <c r="Z229" s="977"/>
      <c r="AA229" s="976"/>
      <c r="AB229" s="977"/>
      <c r="AC229" s="976"/>
      <c r="AD229" s="977"/>
      <c r="AE229" s="976"/>
      <c r="AF229" s="977"/>
      <c r="AG229" s="976"/>
      <c r="AH229" s="977"/>
      <c r="AI229" s="976"/>
      <c r="AJ229" s="977"/>
      <c r="AK229" s="976"/>
      <c r="AL229" s="977"/>
      <c r="AM229" s="976"/>
      <c r="AN229" s="977"/>
      <c r="AO229" s="978"/>
      <c r="AP229" s="979"/>
      <c r="AQ229" s="950"/>
      <c r="AR229" s="951"/>
      <c r="AS229" s="996"/>
      <c r="AT229" s="976"/>
      <c r="AU229" s="976"/>
      <c r="AV229" s="980"/>
      <c r="AW229" s="980"/>
      <c r="AX229" s="975"/>
      <c r="AY229" t="str">
        <f t="shared" si="250"/>
        <v/>
      </c>
      <c r="CW229" s="1791" t="str">
        <f t="shared" si="251"/>
        <v/>
      </c>
      <c r="CX229" s="1791" t="str">
        <f t="shared" si="252"/>
        <v/>
      </c>
      <c r="CY229" s="1791" t="str">
        <f t="shared" si="253"/>
        <v/>
      </c>
      <c r="CZ229" s="1791" t="str">
        <f t="shared" si="254"/>
        <v/>
      </c>
      <c r="DA229" s="1791" t="str">
        <f t="shared" si="255"/>
        <v/>
      </c>
      <c r="DB229" s="1791" t="str">
        <f t="shared" si="256"/>
        <v/>
      </c>
      <c r="DC229"/>
      <c r="DD229"/>
      <c r="DE229"/>
      <c r="DG229" s="1793">
        <f t="shared" si="257"/>
        <v>0</v>
      </c>
      <c r="DH229" s="1793">
        <f t="shared" si="258"/>
        <v>0</v>
      </c>
      <c r="DI229" s="1793">
        <f t="shared" si="259"/>
        <v>0</v>
      </c>
      <c r="DJ229" s="1793">
        <f t="shared" si="260"/>
        <v>0</v>
      </c>
      <c r="DK229" s="1793">
        <f t="shared" si="261"/>
        <v>0</v>
      </c>
      <c r="DL229" s="1793">
        <f t="shared" si="262"/>
        <v>0</v>
      </c>
      <c r="DM229"/>
    </row>
    <row r="230" spans="1:117" ht="15" customHeight="1" x14ac:dyDescent="0.25">
      <c r="A230" s="7364"/>
      <c r="B230" s="7442" t="s">
        <v>913</v>
      </c>
      <c r="C230" s="7443"/>
      <c r="D230" s="971">
        <f t="shared" si="246"/>
        <v>0</v>
      </c>
      <c r="E230" s="972">
        <f t="shared" si="247"/>
        <v>0</v>
      </c>
      <c r="F230" s="973">
        <f t="shared" si="247"/>
        <v>0</v>
      </c>
      <c r="G230" s="981"/>
      <c r="H230" s="982"/>
      <c r="I230" s="983"/>
      <c r="J230" s="982"/>
      <c r="K230" s="983"/>
      <c r="L230" s="982"/>
      <c r="M230" s="983"/>
      <c r="N230" s="982"/>
      <c r="O230" s="983"/>
      <c r="P230" s="982"/>
      <c r="Q230" s="983"/>
      <c r="R230" s="982"/>
      <c r="S230" s="983"/>
      <c r="T230" s="982"/>
      <c r="U230" s="983"/>
      <c r="V230" s="984"/>
      <c r="W230" s="983"/>
      <c r="X230" s="984"/>
      <c r="Y230" s="983"/>
      <c r="Z230" s="984"/>
      <c r="AA230" s="983"/>
      <c r="AB230" s="984"/>
      <c r="AC230" s="983"/>
      <c r="AD230" s="984"/>
      <c r="AE230" s="983"/>
      <c r="AF230" s="984"/>
      <c r="AG230" s="983"/>
      <c r="AH230" s="984"/>
      <c r="AI230" s="983"/>
      <c r="AJ230" s="984"/>
      <c r="AK230" s="983"/>
      <c r="AL230" s="984"/>
      <c r="AM230" s="983"/>
      <c r="AN230" s="984"/>
      <c r="AO230" s="985"/>
      <c r="AP230" s="986"/>
      <c r="AQ230" s="950"/>
      <c r="AR230" s="951"/>
      <c r="AS230" s="996"/>
      <c r="AT230" s="983"/>
      <c r="AU230" s="983"/>
      <c r="AV230" s="990"/>
      <c r="AW230" s="990"/>
      <c r="AX230" s="982"/>
      <c r="AY230" t="str">
        <f t="shared" si="250"/>
        <v/>
      </c>
      <c r="CW230" s="1791" t="str">
        <f t="shared" si="251"/>
        <v/>
      </c>
      <c r="CX230" s="1791" t="str">
        <f t="shared" si="252"/>
        <v/>
      </c>
      <c r="CY230" s="1791" t="str">
        <f t="shared" si="253"/>
        <v/>
      </c>
      <c r="CZ230" s="1791" t="str">
        <f t="shared" si="254"/>
        <v/>
      </c>
      <c r="DA230" s="1791" t="str">
        <f t="shared" si="255"/>
        <v/>
      </c>
      <c r="DB230" s="1791" t="str">
        <f t="shared" si="256"/>
        <v/>
      </c>
      <c r="DC230"/>
      <c r="DD230"/>
      <c r="DE230"/>
      <c r="DG230" s="1793">
        <f t="shared" si="257"/>
        <v>0</v>
      </c>
      <c r="DH230" s="1793">
        <f t="shared" si="258"/>
        <v>0</v>
      </c>
      <c r="DI230" s="1793">
        <f t="shared" si="259"/>
        <v>0</v>
      </c>
      <c r="DJ230" s="1793">
        <f t="shared" si="260"/>
        <v>0</v>
      </c>
      <c r="DK230" s="1793">
        <f t="shared" si="261"/>
        <v>0</v>
      </c>
      <c r="DL230" s="1793">
        <f t="shared" si="262"/>
        <v>0</v>
      </c>
      <c r="DM230"/>
    </row>
    <row r="231" spans="1:117" ht="15" customHeight="1" x14ac:dyDescent="0.25">
      <c r="A231" s="7364"/>
      <c r="B231" s="7442" t="s">
        <v>914</v>
      </c>
      <c r="C231" s="7443"/>
      <c r="D231" s="971">
        <f t="shared" si="246"/>
        <v>0</v>
      </c>
      <c r="E231" s="972">
        <f t="shared" si="247"/>
        <v>0</v>
      </c>
      <c r="F231" s="973">
        <f t="shared" si="247"/>
        <v>0</v>
      </c>
      <c r="G231" s="981"/>
      <c r="H231" s="982"/>
      <c r="I231" s="983"/>
      <c r="J231" s="982"/>
      <c r="K231" s="983"/>
      <c r="L231" s="982"/>
      <c r="M231" s="983"/>
      <c r="N231" s="982"/>
      <c r="O231" s="983"/>
      <c r="P231" s="982"/>
      <c r="Q231" s="983"/>
      <c r="R231" s="982"/>
      <c r="S231" s="983"/>
      <c r="T231" s="982"/>
      <c r="U231" s="983"/>
      <c r="V231" s="984"/>
      <c r="W231" s="983"/>
      <c r="X231" s="984"/>
      <c r="Y231" s="983"/>
      <c r="Z231" s="984"/>
      <c r="AA231" s="983"/>
      <c r="AB231" s="984"/>
      <c r="AC231" s="983"/>
      <c r="AD231" s="984"/>
      <c r="AE231" s="983"/>
      <c r="AF231" s="984"/>
      <c r="AG231" s="983"/>
      <c r="AH231" s="984"/>
      <c r="AI231" s="983"/>
      <c r="AJ231" s="984"/>
      <c r="AK231" s="983"/>
      <c r="AL231" s="984"/>
      <c r="AM231" s="983"/>
      <c r="AN231" s="984"/>
      <c r="AO231" s="985"/>
      <c r="AP231" s="986"/>
      <c r="AQ231" s="987"/>
      <c r="AR231" s="988"/>
      <c r="AS231" s="989"/>
      <c r="AT231" s="983"/>
      <c r="AU231" s="983"/>
      <c r="AV231" s="990"/>
      <c r="AW231" s="990"/>
      <c r="AX231" s="982"/>
      <c r="AY231" t="str">
        <f t="shared" si="250"/>
        <v/>
      </c>
      <c r="CW231" s="1791" t="str">
        <f t="shared" si="251"/>
        <v/>
      </c>
      <c r="CX231" s="1791" t="str">
        <f t="shared" si="252"/>
        <v/>
      </c>
      <c r="CY231" s="1791" t="str">
        <f t="shared" si="253"/>
        <v/>
      </c>
      <c r="CZ231" s="1791" t="str">
        <f t="shared" si="254"/>
        <v/>
      </c>
      <c r="DA231" s="1791" t="str">
        <f t="shared" si="255"/>
        <v/>
      </c>
      <c r="DB231" s="1791" t="str">
        <f t="shared" si="256"/>
        <v/>
      </c>
      <c r="DC231"/>
      <c r="DD231"/>
      <c r="DE231"/>
      <c r="DG231" s="1793">
        <f t="shared" si="257"/>
        <v>0</v>
      </c>
      <c r="DH231" s="1793">
        <f t="shared" si="258"/>
        <v>0</v>
      </c>
      <c r="DI231" s="1793">
        <f t="shared" si="259"/>
        <v>0</v>
      </c>
      <c r="DJ231" s="1793">
        <f t="shared" si="260"/>
        <v>0</v>
      </c>
      <c r="DK231" s="1793">
        <f t="shared" si="261"/>
        <v>0</v>
      </c>
      <c r="DL231" s="1793">
        <f t="shared" si="262"/>
        <v>0</v>
      </c>
      <c r="DM231"/>
    </row>
    <row r="232" spans="1:117" ht="15" customHeight="1" x14ac:dyDescent="0.25">
      <c r="A232" s="7480"/>
      <c r="B232" s="7460" t="s">
        <v>915</v>
      </c>
      <c r="C232" s="7460"/>
      <c r="D232" s="991">
        <f t="shared" si="246"/>
        <v>0</v>
      </c>
      <c r="E232" s="95">
        <f>SUM(I232+K232+M232+O232+Q232+S232+U232+W232+Y232+AA232+AC232+AE232+AG232+AI232+AK232+AM232)</f>
        <v>0</v>
      </c>
      <c r="F232" s="208">
        <f>SUM(J232+L232+N232+P232+R232+T232+V232+X232+Z232+AB232+AD232+AF232+AH232+AJ232+AL232+AN232)</f>
        <v>0</v>
      </c>
      <c r="G232" s="151"/>
      <c r="H232" s="152"/>
      <c r="I232" s="957"/>
      <c r="J232" s="956"/>
      <c r="K232" s="957"/>
      <c r="L232" s="956"/>
      <c r="M232" s="957"/>
      <c r="N232" s="956"/>
      <c r="O232" s="957"/>
      <c r="P232" s="956"/>
      <c r="Q232" s="957"/>
      <c r="R232" s="956"/>
      <c r="S232" s="957"/>
      <c r="T232" s="956"/>
      <c r="U232" s="957"/>
      <c r="V232" s="958"/>
      <c r="W232" s="957"/>
      <c r="X232" s="958"/>
      <c r="Y232" s="957"/>
      <c r="Z232" s="958"/>
      <c r="AA232" s="957"/>
      <c r="AB232" s="958"/>
      <c r="AC232" s="957"/>
      <c r="AD232" s="958"/>
      <c r="AE232" s="957"/>
      <c r="AF232" s="958"/>
      <c r="AG232" s="957"/>
      <c r="AH232" s="958"/>
      <c r="AI232" s="957"/>
      <c r="AJ232" s="958"/>
      <c r="AK232" s="957"/>
      <c r="AL232" s="958"/>
      <c r="AM232" s="957"/>
      <c r="AN232" s="958"/>
      <c r="AO232" s="959"/>
      <c r="AP232" s="960"/>
      <c r="AQ232" s="992"/>
      <c r="AR232" s="993"/>
      <c r="AS232" s="994"/>
      <c r="AT232" s="957"/>
      <c r="AU232" s="957"/>
      <c r="AV232" s="961"/>
      <c r="AW232" s="961"/>
      <c r="AX232" s="956"/>
      <c r="AY232" t="str">
        <f t="shared" si="250"/>
        <v/>
      </c>
      <c r="CW232" s="1791" t="str">
        <f t="shared" si="251"/>
        <v/>
      </c>
      <c r="CX232" s="1791" t="str">
        <f t="shared" si="252"/>
        <v/>
      </c>
      <c r="CY232" s="1791" t="str">
        <f t="shared" si="253"/>
        <v/>
      </c>
      <c r="CZ232" s="1791" t="str">
        <f t="shared" si="254"/>
        <v/>
      </c>
      <c r="DA232" s="1791" t="str">
        <f t="shared" si="255"/>
        <v/>
      </c>
      <c r="DB232" s="1791" t="str">
        <f t="shared" si="256"/>
        <v/>
      </c>
      <c r="DC232"/>
      <c r="DD232"/>
      <c r="DE232"/>
      <c r="DG232" s="1793">
        <f t="shared" si="257"/>
        <v>0</v>
      </c>
      <c r="DH232" s="1793">
        <f t="shared" si="258"/>
        <v>0</v>
      </c>
      <c r="DI232" s="1793">
        <f t="shared" si="259"/>
        <v>0</v>
      </c>
      <c r="DJ232" s="1793">
        <f t="shared" si="260"/>
        <v>0</v>
      </c>
      <c r="DK232" s="1793">
        <f t="shared" si="261"/>
        <v>0</v>
      </c>
      <c r="DL232" s="1793">
        <f t="shared" si="262"/>
        <v>0</v>
      </c>
      <c r="DM232"/>
    </row>
    <row r="233" spans="1:117" ht="15" customHeight="1" x14ac:dyDescent="0.25">
      <c r="A233" s="7485" t="s">
        <v>748</v>
      </c>
      <c r="B233" s="7440" t="s">
        <v>910</v>
      </c>
      <c r="C233" s="7440"/>
      <c r="D233" s="914">
        <f t="shared" si="246"/>
        <v>0</v>
      </c>
      <c r="E233" s="213">
        <f t="shared" si="247"/>
        <v>0</v>
      </c>
      <c r="F233" s="995">
        <f t="shared" si="247"/>
        <v>0</v>
      </c>
      <c r="G233" s="944"/>
      <c r="H233" s="945"/>
      <c r="I233" s="946"/>
      <c r="J233" s="945"/>
      <c r="K233" s="946"/>
      <c r="L233" s="945"/>
      <c r="M233" s="946"/>
      <c r="N233" s="945"/>
      <c r="O233" s="946"/>
      <c r="P233" s="945"/>
      <c r="Q233" s="946"/>
      <c r="R233" s="945"/>
      <c r="S233" s="946"/>
      <c r="T233" s="945"/>
      <c r="U233" s="946"/>
      <c r="V233" s="947"/>
      <c r="W233" s="946"/>
      <c r="X233" s="947"/>
      <c r="Y233" s="946"/>
      <c r="Z233" s="947"/>
      <c r="AA233" s="946"/>
      <c r="AB233" s="947"/>
      <c r="AC233" s="946"/>
      <c r="AD233" s="947"/>
      <c r="AE233" s="946"/>
      <c r="AF233" s="947"/>
      <c r="AG233" s="946"/>
      <c r="AH233" s="947"/>
      <c r="AI233" s="946"/>
      <c r="AJ233" s="947"/>
      <c r="AK233" s="946"/>
      <c r="AL233" s="947"/>
      <c r="AM233" s="946"/>
      <c r="AN233" s="947"/>
      <c r="AO233" s="968"/>
      <c r="AP233" s="969"/>
      <c r="AQ233" s="944"/>
      <c r="AR233" s="965"/>
      <c r="AS233" s="946"/>
      <c r="AT233" s="966"/>
      <c r="AU233" s="966"/>
      <c r="AV233" s="970"/>
      <c r="AW233" s="970"/>
      <c r="AX233" s="965"/>
      <c r="AY233" t="str">
        <f t="shared" si="250"/>
        <v/>
      </c>
      <c r="CW233" s="1791" t="str">
        <f t="shared" si="251"/>
        <v/>
      </c>
      <c r="CX233" s="1791" t="str">
        <f t="shared" si="252"/>
        <v/>
      </c>
      <c r="CY233" s="1791" t="str">
        <f t="shared" si="253"/>
        <v/>
      </c>
      <c r="CZ233" s="1791" t="str">
        <f t="shared" si="254"/>
        <v/>
      </c>
      <c r="DA233" s="1791" t="str">
        <f t="shared" si="255"/>
        <v/>
      </c>
      <c r="DB233" s="1791" t="str">
        <f t="shared" si="256"/>
        <v/>
      </c>
      <c r="DC233"/>
      <c r="DD233"/>
      <c r="DE233"/>
      <c r="DG233" s="1793">
        <f t="shared" si="257"/>
        <v>0</v>
      </c>
      <c r="DH233" s="1793">
        <f t="shared" si="258"/>
        <v>0</v>
      </c>
      <c r="DI233" s="1793">
        <f t="shared" si="259"/>
        <v>0</v>
      </c>
      <c r="DJ233" s="1793">
        <f t="shared" si="260"/>
        <v>0</v>
      </c>
      <c r="DK233" s="1793">
        <f t="shared" si="261"/>
        <v>0</v>
      </c>
      <c r="DL233" s="1793">
        <f t="shared" si="262"/>
        <v>0</v>
      </c>
      <c r="DM233"/>
    </row>
    <row r="234" spans="1:117" ht="15" customHeight="1" x14ac:dyDescent="0.25">
      <c r="A234" s="7364"/>
      <c r="B234" s="7441" t="s">
        <v>911</v>
      </c>
      <c r="C234" s="7441"/>
      <c r="D234" s="971">
        <f t="shared" si="246"/>
        <v>0</v>
      </c>
      <c r="E234" s="972">
        <f t="shared" si="247"/>
        <v>0</v>
      </c>
      <c r="F234" s="973">
        <f t="shared" si="247"/>
        <v>0</v>
      </c>
      <c r="G234" s="974"/>
      <c r="H234" s="975"/>
      <c r="I234" s="976"/>
      <c r="J234" s="975"/>
      <c r="K234" s="976"/>
      <c r="L234" s="975"/>
      <c r="M234" s="976"/>
      <c r="N234" s="975"/>
      <c r="O234" s="976"/>
      <c r="P234" s="975"/>
      <c r="Q234" s="976"/>
      <c r="R234" s="975"/>
      <c r="S234" s="976"/>
      <c r="T234" s="975"/>
      <c r="U234" s="976"/>
      <c r="V234" s="977"/>
      <c r="W234" s="976"/>
      <c r="X234" s="977"/>
      <c r="Y234" s="976"/>
      <c r="Z234" s="977"/>
      <c r="AA234" s="976"/>
      <c r="AB234" s="977"/>
      <c r="AC234" s="976"/>
      <c r="AD234" s="977"/>
      <c r="AE234" s="976"/>
      <c r="AF234" s="977"/>
      <c r="AG234" s="976"/>
      <c r="AH234" s="977"/>
      <c r="AI234" s="976"/>
      <c r="AJ234" s="977"/>
      <c r="AK234" s="976"/>
      <c r="AL234" s="977"/>
      <c r="AM234" s="976"/>
      <c r="AN234" s="977"/>
      <c r="AO234" s="978"/>
      <c r="AP234" s="979"/>
      <c r="AQ234" s="950"/>
      <c r="AR234" s="951"/>
      <c r="AS234" s="966"/>
      <c r="AT234" s="976"/>
      <c r="AU234" s="976"/>
      <c r="AV234" s="980"/>
      <c r="AW234" s="980"/>
      <c r="AX234" s="975"/>
      <c r="AY234" t="str">
        <f t="shared" si="250"/>
        <v/>
      </c>
      <c r="CW234" s="1791" t="str">
        <f t="shared" si="251"/>
        <v/>
      </c>
      <c r="CX234" s="1791" t="str">
        <f t="shared" si="252"/>
        <v/>
      </c>
      <c r="CY234" s="1791" t="str">
        <f t="shared" si="253"/>
        <v/>
      </c>
      <c r="CZ234" s="1791" t="str">
        <f t="shared" si="254"/>
        <v/>
      </c>
      <c r="DA234" s="1791" t="str">
        <f t="shared" si="255"/>
        <v/>
      </c>
      <c r="DB234" s="1791" t="str">
        <f t="shared" si="256"/>
        <v/>
      </c>
      <c r="DC234"/>
      <c r="DD234"/>
      <c r="DE234"/>
      <c r="DG234" s="1793">
        <f t="shared" si="257"/>
        <v>0</v>
      </c>
      <c r="DH234" s="1793">
        <f t="shared" si="258"/>
        <v>0</v>
      </c>
      <c r="DI234" s="1793">
        <f t="shared" si="259"/>
        <v>0</v>
      </c>
      <c r="DJ234" s="1793">
        <f t="shared" si="260"/>
        <v>0</v>
      </c>
      <c r="DK234" s="1793">
        <f t="shared" si="261"/>
        <v>0</v>
      </c>
      <c r="DL234" s="1793">
        <f t="shared" si="262"/>
        <v>0</v>
      </c>
      <c r="DM234"/>
    </row>
    <row r="235" spans="1:117" ht="15" customHeight="1" x14ac:dyDescent="0.25">
      <c r="A235" s="7364"/>
      <c r="B235" s="7441" t="s">
        <v>912</v>
      </c>
      <c r="C235" s="7441"/>
      <c r="D235" s="971">
        <f t="shared" si="246"/>
        <v>0</v>
      </c>
      <c r="E235" s="972">
        <f t="shared" ref="E235:F262" si="263">SUM(G235+I235+K235+M235+O235+Q235+S235+U235+W235+Y235+AA235+AC235+AE235+AG235+AI235+AK235+AM235)</f>
        <v>0</v>
      </c>
      <c r="F235" s="973">
        <f t="shared" si="263"/>
        <v>0</v>
      </c>
      <c r="G235" s="974"/>
      <c r="H235" s="975"/>
      <c r="I235" s="976"/>
      <c r="J235" s="975"/>
      <c r="K235" s="976"/>
      <c r="L235" s="975"/>
      <c r="M235" s="976"/>
      <c r="N235" s="975"/>
      <c r="O235" s="976"/>
      <c r="P235" s="975"/>
      <c r="Q235" s="976"/>
      <c r="R235" s="975"/>
      <c r="S235" s="976"/>
      <c r="T235" s="975"/>
      <c r="U235" s="976"/>
      <c r="V235" s="977"/>
      <c r="W235" s="976"/>
      <c r="X235" s="977"/>
      <c r="Y235" s="976"/>
      <c r="Z235" s="977"/>
      <c r="AA235" s="976"/>
      <c r="AB235" s="977"/>
      <c r="AC235" s="976"/>
      <c r="AD235" s="977"/>
      <c r="AE235" s="976"/>
      <c r="AF235" s="977"/>
      <c r="AG235" s="976"/>
      <c r="AH235" s="977"/>
      <c r="AI235" s="976"/>
      <c r="AJ235" s="977"/>
      <c r="AK235" s="976"/>
      <c r="AL235" s="977"/>
      <c r="AM235" s="976"/>
      <c r="AN235" s="977"/>
      <c r="AO235" s="978"/>
      <c r="AP235" s="979"/>
      <c r="AQ235" s="950"/>
      <c r="AR235" s="951"/>
      <c r="AS235" s="996"/>
      <c r="AT235" s="976"/>
      <c r="AU235" s="976"/>
      <c r="AV235" s="980"/>
      <c r="AW235" s="980"/>
      <c r="AX235" s="975"/>
      <c r="AY235" t="str">
        <f t="shared" si="250"/>
        <v/>
      </c>
      <c r="CW235" s="1791" t="str">
        <f t="shared" si="251"/>
        <v/>
      </c>
      <c r="CX235" s="1791" t="str">
        <f t="shared" si="252"/>
        <v/>
      </c>
      <c r="CY235" s="1791" t="str">
        <f t="shared" si="253"/>
        <v/>
      </c>
      <c r="CZ235" s="1791" t="str">
        <f t="shared" si="254"/>
        <v/>
      </c>
      <c r="DA235" s="1791" t="str">
        <f t="shared" si="255"/>
        <v/>
      </c>
      <c r="DB235" s="1791" t="str">
        <f t="shared" si="256"/>
        <v/>
      </c>
      <c r="DC235"/>
      <c r="DD235"/>
      <c r="DE235"/>
      <c r="DG235" s="1793">
        <f t="shared" si="257"/>
        <v>0</v>
      </c>
      <c r="DH235" s="1793">
        <f t="shared" si="258"/>
        <v>0</v>
      </c>
      <c r="DI235" s="1793">
        <f t="shared" si="259"/>
        <v>0</v>
      </c>
      <c r="DJ235" s="1793">
        <f t="shared" si="260"/>
        <v>0</v>
      </c>
      <c r="DK235" s="1793">
        <f t="shared" si="261"/>
        <v>0</v>
      </c>
      <c r="DL235" s="1793">
        <f t="shared" si="262"/>
        <v>0</v>
      </c>
      <c r="DM235"/>
    </row>
    <row r="236" spans="1:117" ht="15" customHeight="1" x14ac:dyDescent="0.25">
      <c r="A236" s="7364"/>
      <c r="B236" s="7442" t="s">
        <v>913</v>
      </c>
      <c r="C236" s="7443"/>
      <c r="D236" s="971">
        <f t="shared" si="246"/>
        <v>0</v>
      </c>
      <c r="E236" s="972">
        <f t="shared" si="263"/>
        <v>0</v>
      </c>
      <c r="F236" s="973">
        <f t="shared" si="263"/>
        <v>0</v>
      </c>
      <c r="G236" s="981"/>
      <c r="H236" s="982"/>
      <c r="I236" s="983"/>
      <c r="J236" s="982"/>
      <c r="K236" s="983"/>
      <c r="L236" s="982"/>
      <c r="M236" s="983"/>
      <c r="N236" s="982"/>
      <c r="O236" s="983"/>
      <c r="P236" s="982"/>
      <c r="Q236" s="983"/>
      <c r="R236" s="982"/>
      <c r="S236" s="983"/>
      <c r="T236" s="982"/>
      <c r="U236" s="983"/>
      <c r="V236" s="984"/>
      <c r="W236" s="983"/>
      <c r="X236" s="984"/>
      <c r="Y236" s="983"/>
      <c r="Z236" s="984"/>
      <c r="AA236" s="983"/>
      <c r="AB236" s="984"/>
      <c r="AC236" s="983"/>
      <c r="AD236" s="984"/>
      <c r="AE236" s="983"/>
      <c r="AF236" s="984"/>
      <c r="AG236" s="983"/>
      <c r="AH236" s="984"/>
      <c r="AI236" s="983"/>
      <c r="AJ236" s="984"/>
      <c r="AK236" s="983"/>
      <c r="AL236" s="984"/>
      <c r="AM236" s="983"/>
      <c r="AN236" s="984"/>
      <c r="AO236" s="985"/>
      <c r="AP236" s="986"/>
      <c r="AQ236" s="950"/>
      <c r="AR236" s="951"/>
      <c r="AS236" s="996"/>
      <c r="AT236" s="983"/>
      <c r="AU236" s="983"/>
      <c r="AV236" s="990"/>
      <c r="AW236" s="990"/>
      <c r="AX236" s="982"/>
      <c r="AY236" t="str">
        <f t="shared" si="250"/>
        <v/>
      </c>
      <c r="CW236" s="1791" t="str">
        <f t="shared" si="251"/>
        <v/>
      </c>
      <c r="CX236" s="1791" t="str">
        <f t="shared" si="252"/>
        <v/>
      </c>
      <c r="CY236" s="1791" t="str">
        <f t="shared" si="253"/>
        <v/>
      </c>
      <c r="CZ236" s="1791" t="str">
        <f t="shared" si="254"/>
        <v/>
      </c>
      <c r="DA236" s="1791" t="str">
        <f t="shared" si="255"/>
        <v/>
      </c>
      <c r="DB236" s="1791" t="str">
        <f t="shared" si="256"/>
        <v/>
      </c>
      <c r="DC236"/>
      <c r="DD236"/>
      <c r="DE236"/>
      <c r="DG236" s="1793">
        <f t="shared" si="257"/>
        <v>0</v>
      </c>
      <c r="DH236" s="1793">
        <f t="shared" si="258"/>
        <v>0</v>
      </c>
      <c r="DI236" s="1793">
        <f t="shared" si="259"/>
        <v>0</v>
      </c>
      <c r="DJ236" s="1793">
        <f t="shared" si="260"/>
        <v>0</v>
      </c>
      <c r="DK236" s="1793">
        <f t="shared" si="261"/>
        <v>0</v>
      </c>
      <c r="DL236" s="1793">
        <f t="shared" si="262"/>
        <v>0</v>
      </c>
      <c r="DM236"/>
    </row>
    <row r="237" spans="1:117" ht="15" customHeight="1" x14ac:dyDescent="0.25">
      <c r="A237" s="7364"/>
      <c r="B237" s="7442" t="s">
        <v>914</v>
      </c>
      <c r="C237" s="7443"/>
      <c r="D237" s="971">
        <f t="shared" si="246"/>
        <v>0</v>
      </c>
      <c r="E237" s="972">
        <f t="shared" si="263"/>
        <v>0</v>
      </c>
      <c r="F237" s="973">
        <f t="shared" si="263"/>
        <v>0</v>
      </c>
      <c r="G237" s="981"/>
      <c r="H237" s="982"/>
      <c r="I237" s="983"/>
      <c r="J237" s="982"/>
      <c r="K237" s="983"/>
      <c r="L237" s="982"/>
      <c r="M237" s="983"/>
      <c r="N237" s="982"/>
      <c r="O237" s="983"/>
      <c r="P237" s="982"/>
      <c r="Q237" s="983"/>
      <c r="R237" s="982"/>
      <c r="S237" s="983"/>
      <c r="T237" s="982"/>
      <c r="U237" s="983"/>
      <c r="V237" s="984"/>
      <c r="W237" s="983"/>
      <c r="X237" s="984"/>
      <c r="Y237" s="983"/>
      <c r="Z237" s="984"/>
      <c r="AA237" s="983"/>
      <c r="AB237" s="984"/>
      <c r="AC237" s="983"/>
      <c r="AD237" s="984"/>
      <c r="AE237" s="983"/>
      <c r="AF237" s="984"/>
      <c r="AG237" s="983"/>
      <c r="AH237" s="984"/>
      <c r="AI237" s="983"/>
      <c r="AJ237" s="984"/>
      <c r="AK237" s="983"/>
      <c r="AL237" s="984"/>
      <c r="AM237" s="983"/>
      <c r="AN237" s="984"/>
      <c r="AO237" s="985"/>
      <c r="AP237" s="986"/>
      <c r="AQ237" s="987"/>
      <c r="AR237" s="988"/>
      <c r="AS237" s="989"/>
      <c r="AT237" s="983"/>
      <c r="AU237" s="983"/>
      <c r="AV237" s="990"/>
      <c r="AW237" s="990"/>
      <c r="AX237" s="982"/>
      <c r="AY237" t="str">
        <f t="shared" si="250"/>
        <v/>
      </c>
      <c r="CW237" s="1791" t="str">
        <f t="shared" si="251"/>
        <v/>
      </c>
      <c r="CX237" s="1791" t="str">
        <f t="shared" si="252"/>
        <v/>
      </c>
      <c r="CY237" s="1791" t="str">
        <f t="shared" si="253"/>
        <v/>
      </c>
      <c r="CZ237" s="1791" t="str">
        <f t="shared" si="254"/>
        <v/>
      </c>
      <c r="DA237" s="1791" t="str">
        <f t="shared" si="255"/>
        <v/>
      </c>
      <c r="DB237" s="1791" t="str">
        <f t="shared" si="256"/>
        <v/>
      </c>
      <c r="DC237"/>
      <c r="DD237"/>
      <c r="DE237"/>
      <c r="DG237" s="1793">
        <f t="shared" si="257"/>
        <v>0</v>
      </c>
      <c r="DH237" s="1793">
        <f t="shared" si="258"/>
        <v>0</v>
      </c>
      <c r="DI237" s="1793">
        <f t="shared" si="259"/>
        <v>0</v>
      </c>
      <c r="DJ237" s="1793">
        <f t="shared" si="260"/>
        <v>0</v>
      </c>
      <c r="DK237" s="1793">
        <f t="shared" si="261"/>
        <v>0</v>
      </c>
      <c r="DL237" s="1793">
        <f t="shared" si="262"/>
        <v>0</v>
      </c>
      <c r="DM237"/>
    </row>
    <row r="238" spans="1:117" ht="15" customHeight="1" x14ac:dyDescent="0.25">
      <c r="A238" s="7480"/>
      <c r="B238" s="7460" t="s">
        <v>915</v>
      </c>
      <c r="C238" s="7460"/>
      <c r="D238" s="991">
        <f t="shared" si="246"/>
        <v>0</v>
      </c>
      <c r="E238" s="95">
        <f>SUM(I238+K238+M238+O238+Q238+S238+U238+W238+Y238+AA238+AC238+AE238+AG238+AI238+AK238+AM238)</f>
        <v>0</v>
      </c>
      <c r="F238" s="208">
        <f>SUM(J238+L238+N238+P238+R238+T238+V238+X238+Z238+AB238+AD238+AF238+AH238+AJ238+AL238+AN238)</f>
        <v>0</v>
      </c>
      <c r="G238" s="151"/>
      <c r="H238" s="152"/>
      <c r="I238" s="957"/>
      <c r="J238" s="956"/>
      <c r="K238" s="957"/>
      <c r="L238" s="956"/>
      <c r="M238" s="957"/>
      <c r="N238" s="956"/>
      <c r="O238" s="957"/>
      <c r="P238" s="956"/>
      <c r="Q238" s="957"/>
      <c r="R238" s="956"/>
      <c r="S238" s="957"/>
      <c r="T238" s="956"/>
      <c r="U238" s="957"/>
      <c r="V238" s="958"/>
      <c r="W238" s="957"/>
      <c r="X238" s="958"/>
      <c r="Y238" s="957"/>
      <c r="Z238" s="958"/>
      <c r="AA238" s="957"/>
      <c r="AB238" s="958"/>
      <c r="AC238" s="957"/>
      <c r="AD238" s="958"/>
      <c r="AE238" s="957"/>
      <c r="AF238" s="958"/>
      <c r="AG238" s="957"/>
      <c r="AH238" s="958"/>
      <c r="AI238" s="957"/>
      <c r="AJ238" s="958"/>
      <c r="AK238" s="957"/>
      <c r="AL238" s="958"/>
      <c r="AM238" s="957"/>
      <c r="AN238" s="958"/>
      <c r="AO238" s="959"/>
      <c r="AP238" s="960"/>
      <c r="AQ238" s="992"/>
      <c r="AR238" s="993"/>
      <c r="AS238" s="994"/>
      <c r="AT238" s="957"/>
      <c r="AU238" s="957"/>
      <c r="AV238" s="961"/>
      <c r="AW238" s="961"/>
      <c r="AX238" s="956"/>
      <c r="AY238" t="str">
        <f t="shared" si="250"/>
        <v/>
      </c>
      <c r="CW238" s="1791" t="str">
        <f t="shared" si="251"/>
        <v/>
      </c>
      <c r="CX238" s="1791" t="str">
        <f t="shared" si="252"/>
        <v/>
      </c>
      <c r="CY238" s="1791" t="str">
        <f t="shared" si="253"/>
        <v/>
      </c>
      <c r="CZ238" s="1791" t="str">
        <f t="shared" si="254"/>
        <v/>
      </c>
      <c r="DA238" s="1791" t="str">
        <f t="shared" si="255"/>
        <v/>
      </c>
      <c r="DB238" s="1791" t="str">
        <f t="shared" si="256"/>
        <v/>
      </c>
      <c r="DC238"/>
      <c r="DD238"/>
      <c r="DE238"/>
      <c r="DG238" s="1793">
        <f t="shared" si="257"/>
        <v>0</v>
      </c>
      <c r="DH238" s="1793">
        <f t="shared" si="258"/>
        <v>0</v>
      </c>
      <c r="DI238" s="1793">
        <f t="shared" si="259"/>
        <v>0</v>
      </c>
      <c r="DJ238" s="1793">
        <f t="shared" si="260"/>
        <v>0</v>
      </c>
      <c r="DK238" s="1793">
        <f t="shared" si="261"/>
        <v>0</v>
      </c>
      <c r="DL238" s="1793">
        <f t="shared" si="262"/>
        <v>0</v>
      </c>
      <c r="DM238"/>
    </row>
    <row r="239" spans="1:117" ht="15" customHeight="1" x14ac:dyDescent="0.25">
      <c r="A239" s="7485" t="s">
        <v>753</v>
      </c>
      <c r="B239" s="7440" t="s">
        <v>910</v>
      </c>
      <c r="C239" s="7440"/>
      <c r="D239" s="914">
        <f>SUM(E239+F239)</f>
        <v>0</v>
      </c>
      <c r="E239" s="213">
        <f t="shared" si="263"/>
        <v>0</v>
      </c>
      <c r="F239" s="995">
        <f t="shared" si="263"/>
        <v>0</v>
      </c>
      <c r="G239" s="944"/>
      <c r="H239" s="945"/>
      <c r="I239" s="946"/>
      <c r="J239" s="945"/>
      <c r="K239" s="946"/>
      <c r="L239" s="945"/>
      <c r="M239" s="946"/>
      <c r="N239" s="945"/>
      <c r="O239" s="946"/>
      <c r="P239" s="945"/>
      <c r="Q239" s="946"/>
      <c r="R239" s="945"/>
      <c r="S239" s="946"/>
      <c r="T239" s="945"/>
      <c r="U239" s="946"/>
      <c r="V239" s="945"/>
      <c r="W239" s="946"/>
      <c r="X239" s="945"/>
      <c r="Y239" s="946"/>
      <c r="Z239" s="945"/>
      <c r="AA239" s="946"/>
      <c r="AB239" s="945"/>
      <c r="AC239" s="946"/>
      <c r="AD239" s="945"/>
      <c r="AE239" s="946"/>
      <c r="AF239" s="945"/>
      <c r="AG239" s="946"/>
      <c r="AH239" s="945"/>
      <c r="AI239" s="946"/>
      <c r="AJ239" s="945"/>
      <c r="AK239" s="946"/>
      <c r="AL239" s="945"/>
      <c r="AM239" s="946"/>
      <c r="AN239" s="945"/>
      <c r="AO239" s="948"/>
      <c r="AP239" s="997"/>
      <c r="AQ239" s="944"/>
      <c r="AR239" s="965"/>
      <c r="AS239" s="946"/>
      <c r="AT239" s="966"/>
      <c r="AU239" s="966"/>
      <c r="AV239" s="970"/>
      <c r="AW239" s="970"/>
      <c r="AX239" s="965"/>
      <c r="AY239" t="str">
        <f t="shared" si="250"/>
        <v/>
      </c>
      <c r="CW239" s="1791" t="str">
        <f t="shared" si="251"/>
        <v/>
      </c>
      <c r="CX239" s="1791" t="str">
        <f t="shared" si="252"/>
        <v/>
      </c>
      <c r="CY239" s="1791" t="str">
        <f t="shared" si="253"/>
        <v/>
      </c>
      <c r="CZ239" s="2872"/>
      <c r="DA239" s="1791" t="str">
        <f t="shared" si="255"/>
        <v/>
      </c>
      <c r="DB239" s="1791" t="str">
        <f t="shared" si="256"/>
        <v/>
      </c>
      <c r="DC239"/>
      <c r="DD239"/>
      <c r="DE239"/>
      <c r="DG239" s="1793">
        <f t="shared" si="257"/>
        <v>0</v>
      </c>
      <c r="DH239" s="1793">
        <f t="shared" si="258"/>
        <v>0</v>
      </c>
      <c r="DI239" s="1793">
        <f t="shared" si="259"/>
        <v>0</v>
      </c>
      <c r="DJ239" s="2872"/>
      <c r="DK239" s="1793">
        <f t="shared" si="261"/>
        <v>0</v>
      </c>
      <c r="DL239" s="1793">
        <f t="shared" si="262"/>
        <v>0</v>
      </c>
      <c r="DM239"/>
    </row>
    <row r="240" spans="1:117" ht="15" customHeight="1" x14ac:dyDescent="0.25">
      <c r="A240" s="7364"/>
      <c r="B240" s="7441" t="s">
        <v>911</v>
      </c>
      <c r="C240" s="7441"/>
      <c r="D240" s="971">
        <f t="shared" si="246"/>
        <v>0</v>
      </c>
      <c r="E240" s="972">
        <f t="shared" si="263"/>
        <v>0</v>
      </c>
      <c r="F240" s="973">
        <f t="shared" si="263"/>
        <v>0</v>
      </c>
      <c r="G240" s="974"/>
      <c r="H240" s="975"/>
      <c r="I240" s="976"/>
      <c r="J240" s="975"/>
      <c r="K240" s="976"/>
      <c r="L240" s="975"/>
      <c r="M240" s="976"/>
      <c r="N240" s="975"/>
      <c r="O240" s="976"/>
      <c r="P240" s="975"/>
      <c r="Q240" s="976"/>
      <c r="R240" s="975"/>
      <c r="S240" s="976"/>
      <c r="T240" s="975"/>
      <c r="U240" s="976"/>
      <c r="V240" s="975"/>
      <c r="W240" s="976"/>
      <c r="X240" s="975"/>
      <c r="Y240" s="976"/>
      <c r="Z240" s="975"/>
      <c r="AA240" s="976"/>
      <c r="AB240" s="975"/>
      <c r="AC240" s="976"/>
      <c r="AD240" s="975"/>
      <c r="AE240" s="976"/>
      <c r="AF240" s="975"/>
      <c r="AG240" s="976"/>
      <c r="AH240" s="975"/>
      <c r="AI240" s="976"/>
      <c r="AJ240" s="975"/>
      <c r="AK240" s="976"/>
      <c r="AL240" s="975"/>
      <c r="AM240" s="976"/>
      <c r="AN240" s="975"/>
      <c r="AO240" s="978"/>
      <c r="AP240" s="998"/>
      <c r="AQ240" s="950"/>
      <c r="AR240" s="951"/>
      <c r="AS240" s="966"/>
      <c r="AT240" s="976"/>
      <c r="AU240" s="976"/>
      <c r="AV240" s="980"/>
      <c r="AW240" s="980"/>
      <c r="AX240" s="975"/>
      <c r="AY240" t="str">
        <f t="shared" si="250"/>
        <v/>
      </c>
      <c r="CW240" s="1791" t="str">
        <f t="shared" si="251"/>
        <v/>
      </c>
      <c r="CX240" s="1791" t="str">
        <f t="shared" si="252"/>
        <v/>
      </c>
      <c r="CY240" s="1791" t="str">
        <f t="shared" si="253"/>
        <v/>
      </c>
      <c r="CZ240" s="2872"/>
      <c r="DA240" s="1791" t="str">
        <f t="shared" si="255"/>
        <v/>
      </c>
      <c r="DB240" s="1791" t="str">
        <f t="shared" si="256"/>
        <v/>
      </c>
      <c r="DC240"/>
      <c r="DD240"/>
      <c r="DE240"/>
      <c r="DG240" s="1793">
        <f t="shared" si="257"/>
        <v>0</v>
      </c>
      <c r="DH240" s="1793">
        <f t="shared" si="258"/>
        <v>0</v>
      </c>
      <c r="DI240" s="1793">
        <f t="shared" si="259"/>
        <v>0</v>
      </c>
      <c r="DJ240" s="2872"/>
      <c r="DK240" s="1793">
        <f t="shared" si="261"/>
        <v>0</v>
      </c>
      <c r="DL240" s="1793">
        <f t="shared" si="262"/>
        <v>0</v>
      </c>
      <c r="DM240"/>
    </row>
    <row r="241" spans="1:117" ht="15" customHeight="1" x14ac:dyDescent="0.25">
      <c r="A241" s="7364"/>
      <c r="B241" s="7441" t="s">
        <v>912</v>
      </c>
      <c r="C241" s="7441"/>
      <c r="D241" s="971">
        <f t="shared" si="246"/>
        <v>0</v>
      </c>
      <c r="E241" s="972">
        <f t="shared" si="263"/>
        <v>0</v>
      </c>
      <c r="F241" s="973">
        <f t="shared" si="263"/>
        <v>0</v>
      </c>
      <c r="G241" s="974"/>
      <c r="H241" s="975"/>
      <c r="I241" s="976"/>
      <c r="J241" s="975"/>
      <c r="K241" s="976"/>
      <c r="L241" s="975"/>
      <c r="M241" s="976"/>
      <c r="N241" s="975"/>
      <c r="O241" s="976"/>
      <c r="P241" s="975"/>
      <c r="Q241" s="976"/>
      <c r="R241" s="975"/>
      <c r="S241" s="976"/>
      <c r="T241" s="975"/>
      <c r="U241" s="976"/>
      <c r="V241" s="975"/>
      <c r="W241" s="976"/>
      <c r="X241" s="975"/>
      <c r="Y241" s="976"/>
      <c r="Z241" s="975"/>
      <c r="AA241" s="976"/>
      <c r="AB241" s="975"/>
      <c r="AC241" s="976"/>
      <c r="AD241" s="975"/>
      <c r="AE241" s="976"/>
      <c r="AF241" s="975"/>
      <c r="AG241" s="976"/>
      <c r="AH241" s="975"/>
      <c r="AI241" s="976"/>
      <c r="AJ241" s="975"/>
      <c r="AK241" s="976"/>
      <c r="AL241" s="975"/>
      <c r="AM241" s="976"/>
      <c r="AN241" s="975"/>
      <c r="AO241" s="978"/>
      <c r="AP241" s="998"/>
      <c r="AQ241" s="950"/>
      <c r="AR241" s="951"/>
      <c r="AS241" s="996"/>
      <c r="AT241" s="976"/>
      <c r="AU241" s="976"/>
      <c r="AV241" s="980"/>
      <c r="AW241" s="980"/>
      <c r="AX241" s="975"/>
      <c r="AY241" t="str">
        <f t="shared" si="250"/>
        <v/>
      </c>
      <c r="CW241" s="1791" t="str">
        <f t="shared" si="251"/>
        <v/>
      </c>
      <c r="CX241" s="1791" t="str">
        <f t="shared" si="252"/>
        <v/>
      </c>
      <c r="CY241" s="1791" t="str">
        <f t="shared" si="253"/>
        <v/>
      </c>
      <c r="CZ241" s="2872"/>
      <c r="DA241" s="1791" t="str">
        <f t="shared" si="255"/>
        <v/>
      </c>
      <c r="DB241" s="1791" t="str">
        <f t="shared" si="256"/>
        <v/>
      </c>
      <c r="DC241"/>
      <c r="DD241"/>
      <c r="DE241"/>
      <c r="DG241" s="1793">
        <f t="shared" si="257"/>
        <v>0</v>
      </c>
      <c r="DH241" s="1793">
        <f t="shared" si="258"/>
        <v>0</v>
      </c>
      <c r="DI241" s="1793">
        <f t="shared" si="259"/>
        <v>0</v>
      </c>
      <c r="DJ241" s="2872"/>
      <c r="DK241" s="1793">
        <f t="shared" si="261"/>
        <v>0</v>
      </c>
      <c r="DL241" s="1793">
        <f t="shared" si="262"/>
        <v>0</v>
      </c>
      <c r="DM241"/>
    </row>
    <row r="242" spans="1:117" ht="15" customHeight="1" x14ac:dyDescent="0.25">
      <c r="A242" s="7364"/>
      <c r="B242" s="7442" t="s">
        <v>913</v>
      </c>
      <c r="C242" s="7443"/>
      <c r="D242" s="971">
        <f t="shared" si="246"/>
        <v>0</v>
      </c>
      <c r="E242" s="972">
        <f t="shared" si="263"/>
        <v>0</v>
      </c>
      <c r="F242" s="973">
        <f t="shared" si="263"/>
        <v>0</v>
      </c>
      <c r="G242" s="981"/>
      <c r="H242" s="982"/>
      <c r="I242" s="983"/>
      <c r="J242" s="982"/>
      <c r="K242" s="983"/>
      <c r="L242" s="982"/>
      <c r="M242" s="983"/>
      <c r="N242" s="982"/>
      <c r="O242" s="983"/>
      <c r="P242" s="982"/>
      <c r="Q242" s="983"/>
      <c r="R242" s="982"/>
      <c r="S242" s="983"/>
      <c r="T242" s="982"/>
      <c r="U242" s="983"/>
      <c r="V242" s="982"/>
      <c r="W242" s="983"/>
      <c r="X242" s="982"/>
      <c r="Y242" s="983"/>
      <c r="Z242" s="982"/>
      <c r="AA242" s="983"/>
      <c r="AB242" s="982"/>
      <c r="AC242" s="983"/>
      <c r="AD242" s="982"/>
      <c r="AE242" s="983"/>
      <c r="AF242" s="982"/>
      <c r="AG242" s="983"/>
      <c r="AH242" s="982"/>
      <c r="AI242" s="983"/>
      <c r="AJ242" s="982"/>
      <c r="AK242" s="983"/>
      <c r="AL242" s="982"/>
      <c r="AM242" s="983"/>
      <c r="AN242" s="982"/>
      <c r="AO242" s="978"/>
      <c r="AP242" s="998"/>
      <c r="AQ242" s="950"/>
      <c r="AR242" s="951"/>
      <c r="AS242" s="996"/>
      <c r="AT242" s="983"/>
      <c r="AU242" s="983"/>
      <c r="AV242" s="990"/>
      <c r="AW242" s="990"/>
      <c r="AX242" s="982"/>
      <c r="AY242" t="str">
        <f t="shared" si="250"/>
        <v/>
      </c>
      <c r="CW242" s="1791" t="str">
        <f t="shared" si="251"/>
        <v/>
      </c>
      <c r="CX242" s="1791" t="str">
        <f t="shared" si="252"/>
        <v/>
      </c>
      <c r="CY242" s="1791" t="str">
        <f t="shared" si="253"/>
        <v/>
      </c>
      <c r="CZ242" s="2872"/>
      <c r="DA242" s="1791" t="str">
        <f t="shared" si="255"/>
        <v/>
      </c>
      <c r="DB242" s="1791" t="str">
        <f t="shared" si="256"/>
        <v/>
      </c>
      <c r="DC242"/>
      <c r="DD242"/>
      <c r="DE242"/>
      <c r="DG242" s="1793">
        <f t="shared" si="257"/>
        <v>0</v>
      </c>
      <c r="DH242" s="1793">
        <f t="shared" si="258"/>
        <v>0</v>
      </c>
      <c r="DI242" s="1793">
        <f t="shared" si="259"/>
        <v>0</v>
      </c>
      <c r="DJ242" s="2872"/>
      <c r="DK242" s="1793">
        <f t="shared" si="261"/>
        <v>0</v>
      </c>
      <c r="DL242" s="1793">
        <f t="shared" si="262"/>
        <v>0</v>
      </c>
      <c r="DM242"/>
    </row>
    <row r="243" spans="1:117" ht="15" customHeight="1" x14ac:dyDescent="0.25">
      <c r="A243" s="7364"/>
      <c r="B243" s="7442" t="s">
        <v>914</v>
      </c>
      <c r="C243" s="7443"/>
      <c r="D243" s="971">
        <f t="shared" si="246"/>
        <v>0</v>
      </c>
      <c r="E243" s="972">
        <f t="shared" si="263"/>
        <v>0</v>
      </c>
      <c r="F243" s="973">
        <f t="shared" si="263"/>
        <v>0</v>
      </c>
      <c r="G243" s="981"/>
      <c r="H243" s="982"/>
      <c r="I243" s="983"/>
      <c r="J243" s="982"/>
      <c r="K243" s="983"/>
      <c r="L243" s="982"/>
      <c r="M243" s="983"/>
      <c r="N243" s="982"/>
      <c r="O243" s="983"/>
      <c r="P243" s="982"/>
      <c r="Q243" s="983"/>
      <c r="R243" s="982"/>
      <c r="S243" s="983"/>
      <c r="T243" s="982"/>
      <c r="U243" s="983"/>
      <c r="V243" s="982"/>
      <c r="W243" s="983"/>
      <c r="X243" s="982"/>
      <c r="Y243" s="983"/>
      <c r="Z243" s="982"/>
      <c r="AA243" s="983"/>
      <c r="AB243" s="982"/>
      <c r="AC243" s="983"/>
      <c r="AD243" s="982"/>
      <c r="AE243" s="983"/>
      <c r="AF243" s="982"/>
      <c r="AG243" s="983"/>
      <c r="AH243" s="982"/>
      <c r="AI243" s="983"/>
      <c r="AJ243" s="982"/>
      <c r="AK243" s="983"/>
      <c r="AL243" s="982"/>
      <c r="AM243" s="983"/>
      <c r="AN243" s="982"/>
      <c r="AO243" s="985"/>
      <c r="AP243" s="998"/>
      <c r="AQ243" s="950"/>
      <c r="AR243" s="951"/>
      <c r="AS243" s="989"/>
      <c r="AT243" s="983"/>
      <c r="AU243" s="983"/>
      <c r="AV243" s="990"/>
      <c r="AW243" s="990"/>
      <c r="AX243" s="982"/>
      <c r="AY243" t="str">
        <f t="shared" si="250"/>
        <v/>
      </c>
      <c r="CW243" s="1791" t="str">
        <f t="shared" si="251"/>
        <v/>
      </c>
      <c r="CX243" s="1791" t="str">
        <f t="shared" si="252"/>
        <v/>
      </c>
      <c r="CY243" s="1791" t="str">
        <f t="shared" si="253"/>
        <v/>
      </c>
      <c r="CZ243" s="2872"/>
      <c r="DA243" s="1791" t="str">
        <f t="shared" si="255"/>
        <v/>
      </c>
      <c r="DB243" s="1791" t="str">
        <f t="shared" si="256"/>
        <v/>
      </c>
      <c r="DC243"/>
      <c r="DD243"/>
      <c r="DE243"/>
      <c r="DG243" s="1793">
        <f t="shared" si="257"/>
        <v>0</v>
      </c>
      <c r="DH243" s="1793">
        <f t="shared" si="258"/>
        <v>0</v>
      </c>
      <c r="DI243" s="1793">
        <f t="shared" si="259"/>
        <v>0</v>
      </c>
      <c r="DJ243" s="2872"/>
      <c r="DK243" s="1793">
        <f t="shared" si="261"/>
        <v>0</v>
      </c>
      <c r="DL243" s="1793">
        <f t="shared" si="262"/>
        <v>0</v>
      </c>
      <c r="DM243"/>
    </row>
    <row r="244" spans="1:117" ht="15" customHeight="1" x14ac:dyDescent="0.25">
      <c r="A244" s="7480"/>
      <c r="B244" s="7460" t="s">
        <v>915</v>
      </c>
      <c r="C244" s="7460"/>
      <c r="D244" s="991">
        <f t="shared" si="246"/>
        <v>0</v>
      </c>
      <c r="E244" s="95">
        <f>SUM(I244+K244+M244+O244+Q244+S244+U244+W244+Y244+AA244+AC244+AE244+AG244+AI244+AK244+AM244)</f>
        <v>0</v>
      </c>
      <c r="F244" s="208">
        <f>SUM(J244+L244+N244+P244+R244+T244+V244+X244+Z244+AB244+AD244+AF244+AH244+AJ244+AL244+AN244)</f>
        <v>0</v>
      </c>
      <c r="G244" s="151"/>
      <c r="H244" s="152"/>
      <c r="I244" s="957"/>
      <c r="J244" s="956"/>
      <c r="K244" s="957"/>
      <c r="L244" s="956"/>
      <c r="M244" s="957"/>
      <c r="N244" s="956"/>
      <c r="O244" s="957"/>
      <c r="P244" s="956"/>
      <c r="Q244" s="957"/>
      <c r="R244" s="956"/>
      <c r="S244" s="957"/>
      <c r="T244" s="956"/>
      <c r="U244" s="957"/>
      <c r="V244" s="956"/>
      <c r="W244" s="957"/>
      <c r="X244" s="956"/>
      <c r="Y244" s="957"/>
      <c r="Z244" s="956"/>
      <c r="AA244" s="957"/>
      <c r="AB244" s="956"/>
      <c r="AC244" s="957"/>
      <c r="AD244" s="956"/>
      <c r="AE244" s="957"/>
      <c r="AF244" s="956"/>
      <c r="AG244" s="957"/>
      <c r="AH244" s="956"/>
      <c r="AI244" s="957"/>
      <c r="AJ244" s="956"/>
      <c r="AK244" s="957"/>
      <c r="AL244" s="956"/>
      <c r="AM244" s="957"/>
      <c r="AN244" s="956"/>
      <c r="AO244" s="959"/>
      <c r="AP244" s="999"/>
      <c r="AQ244" s="992"/>
      <c r="AR244" s="993"/>
      <c r="AS244" s="994"/>
      <c r="AT244" s="957"/>
      <c r="AU244" s="957"/>
      <c r="AV244" s="961"/>
      <c r="AW244" s="961"/>
      <c r="AX244" s="956"/>
      <c r="AY244" t="str">
        <f t="shared" si="250"/>
        <v/>
      </c>
      <c r="CW244" s="1791" t="str">
        <f t="shared" si="251"/>
        <v/>
      </c>
      <c r="CX244" s="1791" t="str">
        <f t="shared" si="252"/>
        <v/>
      </c>
      <c r="CY244" s="1791" t="str">
        <f t="shared" si="253"/>
        <v/>
      </c>
      <c r="CZ244" s="2872"/>
      <c r="DA244" s="1791" t="str">
        <f t="shared" si="255"/>
        <v/>
      </c>
      <c r="DB244" s="1791" t="str">
        <f t="shared" si="256"/>
        <v/>
      </c>
      <c r="DC244"/>
      <c r="DD244"/>
      <c r="DE244"/>
      <c r="DG244" s="1793">
        <f t="shared" si="257"/>
        <v>0</v>
      </c>
      <c r="DH244" s="1793">
        <f t="shared" si="258"/>
        <v>0</v>
      </c>
      <c r="DI244" s="1793">
        <f t="shared" si="259"/>
        <v>0</v>
      </c>
      <c r="DJ244" s="2872"/>
      <c r="DK244" s="1793">
        <f t="shared" si="261"/>
        <v>0</v>
      </c>
      <c r="DL244" s="1793">
        <f t="shared" si="262"/>
        <v>0</v>
      </c>
      <c r="DM244"/>
    </row>
    <row r="245" spans="1:117" ht="15" customHeight="1" x14ac:dyDescent="0.25">
      <c r="A245" s="7485" t="s">
        <v>917</v>
      </c>
      <c r="B245" s="7440" t="s">
        <v>910</v>
      </c>
      <c r="C245" s="7440"/>
      <c r="D245" s="914">
        <f t="shared" si="246"/>
        <v>0</v>
      </c>
      <c r="E245" s="213">
        <f t="shared" si="263"/>
        <v>0</v>
      </c>
      <c r="F245" s="995">
        <f t="shared" si="263"/>
        <v>0</v>
      </c>
      <c r="G245" s="964"/>
      <c r="H245" s="965"/>
      <c r="I245" s="966"/>
      <c r="J245" s="965"/>
      <c r="K245" s="966"/>
      <c r="L245" s="965"/>
      <c r="M245" s="966"/>
      <c r="N245" s="965"/>
      <c r="O245" s="966"/>
      <c r="P245" s="965"/>
      <c r="Q245" s="966"/>
      <c r="R245" s="965"/>
      <c r="S245" s="966"/>
      <c r="T245" s="965"/>
      <c r="U245" s="966"/>
      <c r="V245" s="967"/>
      <c r="W245" s="966"/>
      <c r="X245" s="967"/>
      <c r="Y245" s="946"/>
      <c r="Z245" s="947"/>
      <c r="AA245" s="946"/>
      <c r="AB245" s="947"/>
      <c r="AC245" s="946"/>
      <c r="AD245" s="947"/>
      <c r="AE245" s="946"/>
      <c r="AF245" s="947"/>
      <c r="AG245" s="946"/>
      <c r="AH245" s="947"/>
      <c r="AI245" s="946"/>
      <c r="AJ245" s="947"/>
      <c r="AK245" s="946"/>
      <c r="AL245" s="947"/>
      <c r="AM245" s="946"/>
      <c r="AN245" s="947"/>
      <c r="AO245" s="1000"/>
      <c r="AP245" s="997"/>
      <c r="AQ245" s="944"/>
      <c r="AR245" s="965"/>
      <c r="AS245" s="946"/>
      <c r="AT245" s="966"/>
      <c r="AU245" s="966"/>
      <c r="AV245" s="970"/>
      <c r="AW245" s="970"/>
      <c r="AX245" s="965"/>
      <c r="AY245" t="str">
        <f t="shared" si="250"/>
        <v/>
      </c>
      <c r="CW245" s="2872"/>
      <c r="CX245" s="1791" t="str">
        <f t="shared" si="252"/>
        <v/>
      </c>
      <c r="CY245" s="1791" t="str">
        <f t="shared" si="253"/>
        <v/>
      </c>
      <c r="CZ245" s="2872"/>
      <c r="DA245" s="1791" t="str">
        <f t="shared" si="255"/>
        <v/>
      </c>
      <c r="DB245" s="1791" t="str">
        <f t="shared" si="256"/>
        <v/>
      </c>
      <c r="DC245"/>
      <c r="DD245"/>
      <c r="DE245"/>
      <c r="DG245" s="2872"/>
      <c r="DH245" s="1793">
        <f t="shared" si="258"/>
        <v>0</v>
      </c>
      <c r="DI245" s="1793">
        <f t="shared" si="259"/>
        <v>0</v>
      </c>
      <c r="DJ245" s="2872"/>
      <c r="DK245" s="1793">
        <f t="shared" si="261"/>
        <v>0</v>
      </c>
      <c r="DL245" s="1793">
        <f t="shared" si="262"/>
        <v>0</v>
      </c>
      <c r="DM245"/>
    </row>
    <row r="246" spans="1:117" ht="15" customHeight="1" x14ac:dyDescent="0.25">
      <c r="A246" s="7364"/>
      <c r="B246" s="7441" t="s">
        <v>911</v>
      </c>
      <c r="C246" s="7441"/>
      <c r="D246" s="971">
        <f t="shared" si="246"/>
        <v>0</v>
      </c>
      <c r="E246" s="972">
        <f t="shared" si="263"/>
        <v>0</v>
      </c>
      <c r="F246" s="973">
        <f t="shared" si="263"/>
        <v>0</v>
      </c>
      <c r="G246" s="974"/>
      <c r="H246" s="975"/>
      <c r="I246" s="976"/>
      <c r="J246" s="975"/>
      <c r="K246" s="976"/>
      <c r="L246" s="975"/>
      <c r="M246" s="976"/>
      <c r="N246" s="975"/>
      <c r="O246" s="976"/>
      <c r="P246" s="975"/>
      <c r="Q246" s="976"/>
      <c r="R246" s="975"/>
      <c r="S246" s="976"/>
      <c r="T246" s="975"/>
      <c r="U246" s="976"/>
      <c r="V246" s="977"/>
      <c r="W246" s="976"/>
      <c r="X246" s="977"/>
      <c r="Y246" s="976"/>
      <c r="Z246" s="977"/>
      <c r="AA246" s="976"/>
      <c r="AB246" s="977"/>
      <c r="AC246" s="976"/>
      <c r="AD246" s="977"/>
      <c r="AE246" s="976"/>
      <c r="AF246" s="977"/>
      <c r="AG246" s="976"/>
      <c r="AH246" s="977"/>
      <c r="AI246" s="976"/>
      <c r="AJ246" s="977"/>
      <c r="AK246" s="976"/>
      <c r="AL246" s="977"/>
      <c r="AM246" s="976"/>
      <c r="AN246" s="977"/>
      <c r="AO246" s="1001"/>
      <c r="AP246" s="998"/>
      <c r="AQ246" s="950"/>
      <c r="AR246" s="951"/>
      <c r="AS246" s="966"/>
      <c r="AT246" s="976"/>
      <c r="AU246" s="976"/>
      <c r="AV246" s="980"/>
      <c r="AW246" s="980"/>
      <c r="AX246" s="975"/>
      <c r="AY246" t="str">
        <f t="shared" si="250"/>
        <v/>
      </c>
      <c r="CW246" s="2872"/>
      <c r="CX246" s="1791" t="str">
        <f t="shared" si="252"/>
        <v/>
      </c>
      <c r="CY246" s="1791" t="str">
        <f t="shared" si="253"/>
        <v/>
      </c>
      <c r="CZ246" s="2872"/>
      <c r="DA246" s="1791" t="str">
        <f t="shared" si="255"/>
        <v/>
      </c>
      <c r="DB246" s="1791" t="str">
        <f t="shared" si="256"/>
        <v/>
      </c>
      <c r="DC246"/>
      <c r="DD246"/>
      <c r="DE246"/>
      <c r="DG246" s="2872"/>
      <c r="DH246" s="1793">
        <f t="shared" si="258"/>
        <v>0</v>
      </c>
      <c r="DI246" s="1793">
        <f t="shared" si="259"/>
        <v>0</v>
      </c>
      <c r="DJ246" s="2872"/>
      <c r="DK246" s="1793">
        <f t="shared" si="261"/>
        <v>0</v>
      </c>
      <c r="DL246" s="1793">
        <f t="shared" si="262"/>
        <v>0</v>
      </c>
      <c r="DM246"/>
    </row>
    <row r="247" spans="1:117" ht="15" customHeight="1" x14ac:dyDescent="0.25">
      <c r="A247" s="7364"/>
      <c r="B247" s="7441" t="s">
        <v>912</v>
      </c>
      <c r="C247" s="7441"/>
      <c r="D247" s="971">
        <f t="shared" si="246"/>
        <v>0</v>
      </c>
      <c r="E247" s="972">
        <f t="shared" si="263"/>
        <v>0</v>
      </c>
      <c r="F247" s="973">
        <f t="shared" si="263"/>
        <v>0</v>
      </c>
      <c r="G247" s="974"/>
      <c r="H247" s="975"/>
      <c r="I247" s="976"/>
      <c r="J247" s="975"/>
      <c r="K247" s="976"/>
      <c r="L247" s="975"/>
      <c r="M247" s="976"/>
      <c r="N247" s="975"/>
      <c r="O247" s="976"/>
      <c r="P247" s="975"/>
      <c r="Q247" s="976"/>
      <c r="R247" s="975"/>
      <c r="S247" s="976"/>
      <c r="T247" s="975"/>
      <c r="U247" s="976"/>
      <c r="V247" s="977"/>
      <c r="W247" s="976"/>
      <c r="X247" s="977"/>
      <c r="Y247" s="976"/>
      <c r="Z247" s="977"/>
      <c r="AA247" s="976"/>
      <c r="AB247" s="977"/>
      <c r="AC247" s="976"/>
      <c r="AD247" s="977"/>
      <c r="AE247" s="976"/>
      <c r="AF247" s="977"/>
      <c r="AG247" s="976"/>
      <c r="AH247" s="977"/>
      <c r="AI247" s="976"/>
      <c r="AJ247" s="977"/>
      <c r="AK247" s="976"/>
      <c r="AL247" s="977"/>
      <c r="AM247" s="976"/>
      <c r="AN247" s="977"/>
      <c r="AO247" s="1001"/>
      <c r="AP247" s="998"/>
      <c r="AQ247" s="950"/>
      <c r="AR247" s="951"/>
      <c r="AS247" s="996"/>
      <c r="AT247" s="976"/>
      <c r="AU247" s="976"/>
      <c r="AV247" s="980"/>
      <c r="AW247" s="980"/>
      <c r="AX247" s="975"/>
      <c r="AY247" t="str">
        <f t="shared" si="250"/>
        <v/>
      </c>
      <c r="CW247" s="2872"/>
      <c r="CX247" s="1791" t="str">
        <f t="shared" si="252"/>
        <v/>
      </c>
      <c r="CY247" s="1791" t="str">
        <f t="shared" si="253"/>
        <v/>
      </c>
      <c r="CZ247" s="2872"/>
      <c r="DA247" s="1791" t="str">
        <f t="shared" si="255"/>
        <v/>
      </c>
      <c r="DB247" s="1791" t="str">
        <f t="shared" si="256"/>
        <v/>
      </c>
      <c r="DC247"/>
      <c r="DD247"/>
      <c r="DE247"/>
      <c r="DG247" s="2872"/>
      <c r="DH247" s="1793">
        <f t="shared" si="258"/>
        <v>0</v>
      </c>
      <c r="DI247" s="1793">
        <f t="shared" si="259"/>
        <v>0</v>
      </c>
      <c r="DJ247" s="2872"/>
      <c r="DK247" s="1793">
        <f t="shared" si="261"/>
        <v>0</v>
      </c>
      <c r="DL247" s="1793">
        <f t="shared" si="262"/>
        <v>0</v>
      </c>
      <c r="DM247"/>
    </row>
    <row r="248" spans="1:117" ht="15" customHeight="1" x14ac:dyDescent="0.25">
      <c r="A248" s="7364"/>
      <c r="B248" s="7442" t="s">
        <v>913</v>
      </c>
      <c r="C248" s="7443"/>
      <c r="D248" s="971">
        <f t="shared" si="246"/>
        <v>0</v>
      </c>
      <c r="E248" s="972">
        <f t="shared" si="263"/>
        <v>0</v>
      </c>
      <c r="F248" s="973">
        <f t="shared" si="263"/>
        <v>0</v>
      </c>
      <c r="G248" s="981"/>
      <c r="H248" s="982"/>
      <c r="I248" s="983"/>
      <c r="J248" s="982"/>
      <c r="K248" s="983"/>
      <c r="L248" s="982"/>
      <c r="M248" s="983"/>
      <c r="N248" s="982"/>
      <c r="O248" s="983"/>
      <c r="P248" s="982"/>
      <c r="Q248" s="983"/>
      <c r="R248" s="982"/>
      <c r="S248" s="983"/>
      <c r="T248" s="982"/>
      <c r="U248" s="983"/>
      <c r="V248" s="984"/>
      <c r="W248" s="983"/>
      <c r="X248" s="984"/>
      <c r="Y248" s="983"/>
      <c r="Z248" s="984"/>
      <c r="AA248" s="983"/>
      <c r="AB248" s="984"/>
      <c r="AC248" s="983"/>
      <c r="AD248" s="984"/>
      <c r="AE248" s="983"/>
      <c r="AF248" s="984"/>
      <c r="AG248" s="983"/>
      <c r="AH248" s="984"/>
      <c r="AI248" s="983"/>
      <c r="AJ248" s="984"/>
      <c r="AK248" s="983"/>
      <c r="AL248" s="984"/>
      <c r="AM248" s="983"/>
      <c r="AN248" s="984"/>
      <c r="AO248" s="1001"/>
      <c r="AP248" s="998"/>
      <c r="AQ248" s="950"/>
      <c r="AR248" s="951"/>
      <c r="AS248" s="996"/>
      <c r="AT248" s="983"/>
      <c r="AU248" s="983"/>
      <c r="AV248" s="990"/>
      <c r="AW248" s="990"/>
      <c r="AX248" s="982"/>
      <c r="AY248" t="str">
        <f t="shared" si="250"/>
        <v/>
      </c>
      <c r="CW248" s="2872"/>
      <c r="CX248" s="1791" t="str">
        <f t="shared" si="252"/>
        <v/>
      </c>
      <c r="CY248" s="1791" t="str">
        <f t="shared" si="253"/>
        <v/>
      </c>
      <c r="CZ248" s="2872"/>
      <c r="DA248" s="1791" t="str">
        <f t="shared" si="255"/>
        <v/>
      </c>
      <c r="DB248" s="1791" t="str">
        <f t="shared" si="256"/>
        <v/>
      </c>
      <c r="DC248"/>
      <c r="DD248"/>
      <c r="DE248"/>
      <c r="DG248" s="2872"/>
      <c r="DH248" s="1793">
        <f t="shared" si="258"/>
        <v>0</v>
      </c>
      <c r="DI248" s="1793">
        <f t="shared" si="259"/>
        <v>0</v>
      </c>
      <c r="DJ248" s="2872"/>
      <c r="DK248" s="1793">
        <f t="shared" si="261"/>
        <v>0</v>
      </c>
      <c r="DL248" s="1793">
        <f t="shared" si="262"/>
        <v>0</v>
      </c>
      <c r="DM248"/>
    </row>
    <row r="249" spans="1:117" ht="15" customHeight="1" x14ac:dyDescent="0.25">
      <c r="A249" s="7364"/>
      <c r="B249" s="7442" t="s">
        <v>914</v>
      </c>
      <c r="C249" s="7443"/>
      <c r="D249" s="971">
        <f t="shared" si="246"/>
        <v>0</v>
      </c>
      <c r="E249" s="972">
        <f t="shared" si="263"/>
        <v>0</v>
      </c>
      <c r="F249" s="973">
        <f t="shared" si="263"/>
        <v>0</v>
      </c>
      <c r="G249" s="981"/>
      <c r="H249" s="982"/>
      <c r="I249" s="983"/>
      <c r="J249" s="982"/>
      <c r="K249" s="983"/>
      <c r="L249" s="982"/>
      <c r="M249" s="983"/>
      <c r="N249" s="982"/>
      <c r="O249" s="983"/>
      <c r="P249" s="982"/>
      <c r="Q249" s="983"/>
      <c r="R249" s="982"/>
      <c r="S249" s="983"/>
      <c r="T249" s="982"/>
      <c r="U249" s="983"/>
      <c r="V249" s="984"/>
      <c r="W249" s="983"/>
      <c r="X249" s="984"/>
      <c r="Y249" s="983"/>
      <c r="Z249" s="984"/>
      <c r="AA249" s="983"/>
      <c r="AB249" s="984"/>
      <c r="AC249" s="983"/>
      <c r="AD249" s="984"/>
      <c r="AE249" s="983"/>
      <c r="AF249" s="984"/>
      <c r="AG249" s="983"/>
      <c r="AH249" s="984"/>
      <c r="AI249" s="983"/>
      <c r="AJ249" s="984"/>
      <c r="AK249" s="983"/>
      <c r="AL249" s="984"/>
      <c r="AM249" s="983"/>
      <c r="AN249" s="984"/>
      <c r="AO249" s="1001"/>
      <c r="AP249" s="998"/>
      <c r="AQ249" s="950"/>
      <c r="AR249" s="951"/>
      <c r="AS249" s="989"/>
      <c r="AT249" s="983"/>
      <c r="AU249" s="983"/>
      <c r="AV249" s="990"/>
      <c r="AW249" s="990"/>
      <c r="AX249" s="982"/>
      <c r="AY249" t="str">
        <f t="shared" si="250"/>
        <v/>
      </c>
      <c r="CW249" s="2872"/>
      <c r="CX249" s="1791" t="str">
        <f t="shared" si="252"/>
        <v/>
      </c>
      <c r="CY249" s="1791" t="str">
        <f t="shared" si="253"/>
        <v/>
      </c>
      <c r="CZ249" s="2872"/>
      <c r="DA249" s="1791" t="str">
        <f t="shared" si="255"/>
        <v/>
      </c>
      <c r="DB249" s="1791" t="str">
        <f t="shared" si="256"/>
        <v/>
      </c>
      <c r="DC249"/>
      <c r="DD249"/>
      <c r="DE249"/>
      <c r="DG249" s="2872"/>
      <c r="DH249" s="1793">
        <f t="shared" si="258"/>
        <v>0</v>
      </c>
      <c r="DI249" s="1793">
        <f t="shared" si="259"/>
        <v>0</v>
      </c>
      <c r="DJ249" s="2872"/>
      <c r="DK249" s="1793">
        <f t="shared" si="261"/>
        <v>0</v>
      </c>
      <c r="DL249" s="1793">
        <f t="shared" si="262"/>
        <v>0</v>
      </c>
      <c r="DM249"/>
    </row>
    <row r="250" spans="1:117" ht="15" customHeight="1" x14ac:dyDescent="0.25">
      <c r="A250" s="7480"/>
      <c r="B250" s="7460" t="s">
        <v>915</v>
      </c>
      <c r="C250" s="7460"/>
      <c r="D250" s="991">
        <f t="shared" si="246"/>
        <v>0</v>
      </c>
      <c r="E250" s="95">
        <f t="shared" si="263"/>
        <v>0</v>
      </c>
      <c r="F250" s="95">
        <f t="shared" si="263"/>
        <v>0</v>
      </c>
      <c r="G250" s="955"/>
      <c r="H250" s="956"/>
      <c r="I250" s="957"/>
      <c r="J250" s="956"/>
      <c r="K250" s="957"/>
      <c r="L250" s="956"/>
      <c r="M250" s="957"/>
      <c r="N250" s="956"/>
      <c r="O250" s="957"/>
      <c r="P250" s="956"/>
      <c r="Q250" s="957"/>
      <c r="R250" s="956"/>
      <c r="S250" s="957"/>
      <c r="T250" s="956"/>
      <c r="U250" s="957"/>
      <c r="V250" s="958"/>
      <c r="W250" s="957"/>
      <c r="X250" s="958"/>
      <c r="Y250" s="957"/>
      <c r="Z250" s="958"/>
      <c r="AA250" s="957"/>
      <c r="AB250" s="958"/>
      <c r="AC250" s="957"/>
      <c r="AD250" s="958"/>
      <c r="AE250" s="957"/>
      <c r="AF250" s="958"/>
      <c r="AG250" s="957"/>
      <c r="AH250" s="958"/>
      <c r="AI250" s="957"/>
      <c r="AJ250" s="958"/>
      <c r="AK250" s="957"/>
      <c r="AL250" s="958"/>
      <c r="AM250" s="957"/>
      <c r="AN250" s="958"/>
      <c r="AO250" s="1002"/>
      <c r="AP250" s="999"/>
      <c r="AQ250" s="992"/>
      <c r="AR250" s="993"/>
      <c r="AS250" s="994"/>
      <c r="AT250" s="957"/>
      <c r="AU250" s="957"/>
      <c r="AV250" s="961"/>
      <c r="AW250" s="961"/>
      <c r="AX250" s="956"/>
      <c r="AY250" t="str">
        <f t="shared" si="250"/>
        <v/>
      </c>
      <c r="CW250" s="2872"/>
      <c r="CX250" s="1791" t="str">
        <f t="shared" si="252"/>
        <v/>
      </c>
      <c r="CY250" s="1791" t="str">
        <f t="shared" si="253"/>
        <v/>
      </c>
      <c r="CZ250" s="2872"/>
      <c r="DA250" s="1791" t="str">
        <f t="shared" si="255"/>
        <v/>
      </c>
      <c r="DB250" s="1791" t="str">
        <f t="shared" si="256"/>
        <v/>
      </c>
      <c r="DC250"/>
      <c r="DD250"/>
      <c r="DE250"/>
      <c r="DG250" s="2872"/>
      <c r="DH250" s="1793">
        <f t="shared" si="258"/>
        <v>0</v>
      </c>
      <c r="DI250" s="1793">
        <f t="shared" si="259"/>
        <v>0</v>
      </c>
      <c r="DJ250" s="2872"/>
      <c r="DK250" s="1793">
        <f t="shared" si="261"/>
        <v>0</v>
      </c>
      <c r="DL250" s="1793">
        <f t="shared" si="262"/>
        <v>0</v>
      </c>
      <c r="DM250"/>
    </row>
    <row r="251" spans="1:117" ht="15" customHeight="1" x14ac:dyDescent="0.25">
      <c r="A251" s="7486" t="s">
        <v>918</v>
      </c>
      <c r="B251" s="7440" t="s">
        <v>910</v>
      </c>
      <c r="C251" s="7440"/>
      <c r="D251" s="914">
        <f t="shared" si="246"/>
        <v>0</v>
      </c>
      <c r="E251" s="213">
        <f t="shared" si="263"/>
        <v>0</v>
      </c>
      <c r="F251" s="963">
        <f t="shared" si="263"/>
        <v>0</v>
      </c>
      <c r="G251" s="964"/>
      <c r="H251" s="965"/>
      <c r="I251" s="966"/>
      <c r="J251" s="965"/>
      <c r="K251" s="966"/>
      <c r="L251" s="965"/>
      <c r="M251" s="966"/>
      <c r="N251" s="965"/>
      <c r="O251" s="966"/>
      <c r="P251" s="965"/>
      <c r="Q251" s="966"/>
      <c r="R251" s="965"/>
      <c r="S251" s="966"/>
      <c r="T251" s="965"/>
      <c r="U251" s="966"/>
      <c r="V251" s="967"/>
      <c r="W251" s="966"/>
      <c r="X251" s="967"/>
      <c r="Y251" s="966"/>
      <c r="Z251" s="967"/>
      <c r="AA251" s="966"/>
      <c r="AB251" s="967"/>
      <c r="AC251" s="966"/>
      <c r="AD251" s="967"/>
      <c r="AE251" s="966"/>
      <c r="AF251" s="967"/>
      <c r="AG251" s="966"/>
      <c r="AH251" s="947"/>
      <c r="AI251" s="946"/>
      <c r="AJ251" s="947"/>
      <c r="AK251" s="946"/>
      <c r="AL251" s="947"/>
      <c r="AM251" s="946"/>
      <c r="AN251" s="947"/>
      <c r="AO251" s="1003"/>
      <c r="AP251" s="1004"/>
      <c r="AQ251" s="944"/>
      <c r="AR251" s="965"/>
      <c r="AS251" s="946"/>
      <c r="AT251" s="966"/>
      <c r="AU251" s="966"/>
      <c r="AV251" s="970"/>
      <c r="AW251" s="970"/>
      <c r="AX251" s="965"/>
      <c r="AY251" t="str">
        <f t="shared" si="250"/>
        <v/>
      </c>
      <c r="CW251" s="2872"/>
      <c r="CX251" s="1791" t="str">
        <f t="shared" si="252"/>
        <v/>
      </c>
      <c r="CY251" s="1791" t="str">
        <f t="shared" si="253"/>
        <v/>
      </c>
      <c r="CZ251" s="2872"/>
      <c r="DA251" s="1791" t="str">
        <f t="shared" si="255"/>
        <v/>
      </c>
      <c r="DB251" s="1791" t="str">
        <f t="shared" si="256"/>
        <v/>
      </c>
      <c r="DC251"/>
      <c r="DD251"/>
      <c r="DE251"/>
      <c r="DG251" s="2872"/>
      <c r="DH251" s="1793">
        <f t="shared" si="258"/>
        <v>0</v>
      </c>
      <c r="DI251" s="1793">
        <f t="shared" si="259"/>
        <v>0</v>
      </c>
      <c r="DJ251" s="2872"/>
      <c r="DK251" s="1793">
        <f t="shared" si="261"/>
        <v>0</v>
      </c>
      <c r="DL251" s="1793">
        <f t="shared" si="262"/>
        <v>0</v>
      </c>
      <c r="DM251"/>
    </row>
    <row r="252" spans="1:117" ht="15" customHeight="1" x14ac:dyDescent="0.25">
      <c r="A252" s="7482"/>
      <c r="B252" s="7441" t="s">
        <v>911</v>
      </c>
      <c r="C252" s="7441"/>
      <c r="D252" s="971">
        <f t="shared" si="246"/>
        <v>0</v>
      </c>
      <c r="E252" s="972">
        <f t="shared" si="263"/>
        <v>0</v>
      </c>
      <c r="F252" s="973">
        <f t="shared" si="263"/>
        <v>0</v>
      </c>
      <c r="G252" s="974"/>
      <c r="H252" s="975"/>
      <c r="I252" s="976"/>
      <c r="J252" s="975"/>
      <c r="K252" s="976"/>
      <c r="L252" s="975"/>
      <c r="M252" s="976"/>
      <c r="N252" s="975"/>
      <c r="O252" s="976"/>
      <c r="P252" s="975"/>
      <c r="Q252" s="976"/>
      <c r="R252" s="975"/>
      <c r="S252" s="976"/>
      <c r="T252" s="975"/>
      <c r="U252" s="976"/>
      <c r="V252" s="977"/>
      <c r="W252" s="976"/>
      <c r="X252" s="977"/>
      <c r="Y252" s="976"/>
      <c r="Z252" s="977"/>
      <c r="AA252" s="976"/>
      <c r="AB252" s="977"/>
      <c r="AC252" s="976"/>
      <c r="AD252" s="977"/>
      <c r="AE252" s="976"/>
      <c r="AF252" s="977"/>
      <c r="AG252" s="976"/>
      <c r="AH252" s="977"/>
      <c r="AI252" s="976"/>
      <c r="AJ252" s="977"/>
      <c r="AK252" s="976"/>
      <c r="AL252" s="977"/>
      <c r="AM252" s="976"/>
      <c r="AN252" s="977"/>
      <c r="AO252" s="1005"/>
      <c r="AP252" s="1006"/>
      <c r="AQ252" s="950"/>
      <c r="AR252" s="951"/>
      <c r="AS252" s="966"/>
      <c r="AT252" s="976"/>
      <c r="AU252" s="976"/>
      <c r="AV252" s="980"/>
      <c r="AW252" s="980"/>
      <c r="AX252" s="975"/>
      <c r="AY252" t="str">
        <f t="shared" si="250"/>
        <v/>
      </c>
      <c r="CW252" s="2872"/>
      <c r="CX252" s="1791" t="str">
        <f t="shared" si="252"/>
        <v/>
      </c>
      <c r="CY252" s="1791" t="str">
        <f t="shared" si="253"/>
        <v/>
      </c>
      <c r="CZ252" s="2872"/>
      <c r="DA252" s="1791" t="str">
        <f t="shared" si="255"/>
        <v/>
      </c>
      <c r="DB252" s="1791" t="str">
        <f t="shared" si="256"/>
        <v/>
      </c>
      <c r="DC252"/>
      <c r="DD252"/>
      <c r="DE252"/>
      <c r="DG252" s="2872"/>
      <c r="DH252" s="1793">
        <f t="shared" si="258"/>
        <v>0</v>
      </c>
      <c r="DI252" s="1793">
        <f t="shared" si="259"/>
        <v>0</v>
      </c>
      <c r="DJ252" s="2872"/>
      <c r="DK252" s="1793">
        <f t="shared" si="261"/>
        <v>0</v>
      </c>
      <c r="DL252" s="1793">
        <f t="shared" si="262"/>
        <v>0</v>
      </c>
      <c r="DM252"/>
    </row>
    <row r="253" spans="1:117" ht="15" customHeight="1" x14ac:dyDescent="0.25">
      <c r="A253" s="7482"/>
      <c r="B253" s="7441" t="s">
        <v>912</v>
      </c>
      <c r="C253" s="7441"/>
      <c r="D253" s="971">
        <f t="shared" si="246"/>
        <v>0</v>
      </c>
      <c r="E253" s="972">
        <f t="shared" si="263"/>
        <v>0</v>
      </c>
      <c r="F253" s="973">
        <f t="shared" si="263"/>
        <v>0</v>
      </c>
      <c r="G253" s="974"/>
      <c r="H253" s="975"/>
      <c r="I253" s="976"/>
      <c r="J253" s="975"/>
      <c r="K253" s="976"/>
      <c r="L253" s="975"/>
      <c r="M253" s="976"/>
      <c r="N253" s="975"/>
      <c r="O253" s="976"/>
      <c r="P253" s="975"/>
      <c r="Q253" s="976"/>
      <c r="R253" s="975"/>
      <c r="S253" s="976"/>
      <c r="T253" s="975"/>
      <c r="U253" s="976"/>
      <c r="V253" s="977"/>
      <c r="W253" s="976"/>
      <c r="X253" s="977"/>
      <c r="Y253" s="976"/>
      <c r="Z253" s="977"/>
      <c r="AA253" s="976"/>
      <c r="AB253" s="977"/>
      <c r="AC253" s="976"/>
      <c r="AD253" s="977"/>
      <c r="AE253" s="976"/>
      <c r="AF253" s="977"/>
      <c r="AG253" s="976"/>
      <c r="AH253" s="977"/>
      <c r="AI253" s="976"/>
      <c r="AJ253" s="977"/>
      <c r="AK253" s="976"/>
      <c r="AL253" s="977"/>
      <c r="AM253" s="976"/>
      <c r="AN253" s="977"/>
      <c r="AO253" s="1005"/>
      <c r="AP253" s="1006"/>
      <c r="AQ253" s="950"/>
      <c r="AR253" s="951"/>
      <c r="AS253" s="996"/>
      <c r="AT253" s="976"/>
      <c r="AU253" s="976"/>
      <c r="AV253" s="980"/>
      <c r="AW253" s="980"/>
      <c r="AX253" s="975"/>
      <c r="AY253" t="str">
        <f t="shared" si="250"/>
        <v/>
      </c>
      <c r="CW253" s="2872"/>
      <c r="CX253" s="1791" t="str">
        <f t="shared" si="252"/>
        <v/>
      </c>
      <c r="CY253" s="1791" t="str">
        <f t="shared" si="253"/>
        <v/>
      </c>
      <c r="CZ253" s="2872"/>
      <c r="DA253" s="1791" t="str">
        <f t="shared" si="255"/>
        <v/>
      </c>
      <c r="DB253" s="1791" t="str">
        <f t="shared" si="256"/>
        <v/>
      </c>
      <c r="DC253"/>
      <c r="DD253"/>
      <c r="DE253"/>
      <c r="DG253" s="2872"/>
      <c r="DH253" s="1793">
        <f t="shared" si="258"/>
        <v>0</v>
      </c>
      <c r="DI253" s="1793">
        <f t="shared" si="259"/>
        <v>0</v>
      </c>
      <c r="DJ253" s="2872"/>
      <c r="DK253" s="1793">
        <f t="shared" si="261"/>
        <v>0</v>
      </c>
      <c r="DL253" s="1793">
        <f t="shared" si="262"/>
        <v>0</v>
      </c>
      <c r="DM253"/>
    </row>
    <row r="254" spans="1:117" ht="15" customHeight="1" x14ac:dyDescent="0.25">
      <c r="A254" s="7482"/>
      <c r="B254" s="7442" t="s">
        <v>913</v>
      </c>
      <c r="C254" s="7443"/>
      <c r="D254" s="971">
        <f t="shared" si="246"/>
        <v>0</v>
      </c>
      <c r="E254" s="972">
        <f t="shared" si="263"/>
        <v>0</v>
      </c>
      <c r="F254" s="973">
        <f t="shared" si="263"/>
        <v>0</v>
      </c>
      <c r="G254" s="981"/>
      <c r="H254" s="982"/>
      <c r="I254" s="983"/>
      <c r="J254" s="982"/>
      <c r="K254" s="983"/>
      <c r="L254" s="982"/>
      <c r="M254" s="983"/>
      <c r="N254" s="982"/>
      <c r="O254" s="983"/>
      <c r="P254" s="982"/>
      <c r="Q254" s="983"/>
      <c r="R254" s="982"/>
      <c r="S254" s="983"/>
      <c r="T254" s="982"/>
      <c r="U254" s="983"/>
      <c r="V254" s="984"/>
      <c r="W254" s="983"/>
      <c r="X254" s="984"/>
      <c r="Y254" s="976"/>
      <c r="Z254" s="977"/>
      <c r="AA254" s="976"/>
      <c r="AB254" s="977"/>
      <c r="AC254" s="976"/>
      <c r="AD254" s="977"/>
      <c r="AE254" s="976"/>
      <c r="AF254" s="977"/>
      <c r="AG254" s="976"/>
      <c r="AH254" s="977"/>
      <c r="AI254" s="976"/>
      <c r="AJ254" s="977"/>
      <c r="AK254" s="976"/>
      <c r="AL254" s="977"/>
      <c r="AM254" s="976"/>
      <c r="AN254" s="977"/>
      <c r="AO254" s="1005"/>
      <c r="AP254" s="1006"/>
      <c r="AQ254" s="950"/>
      <c r="AR254" s="951"/>
      <c r="AS254" s="996"/>
      <c r="AT254" s="976"/>
      <c r="AU254" s="976"/>
      <c r="AV254" s="980"/>
      <c r="AW254" s="980"/>
      <c r="AX254" s="975"/>
      <c r="AY254" t="str">
        <f t="shared" si="250"/>
        <v/>
      </c>
      <c r="CW254" s="2872"/>
      <c r="CX254" s="1791" t="str">
        <f t="shared" si="252"/>
        <v/>
      </c>
      <c r="CY254" s="1791" t="str">
        <f t="shared" si="253"/>
        <v/>
      </c>
      <c r="CZ254" s="2872"/>
      <c r="DA254" s="1791" t="str">
        <f t="shared" si="255"/>
        <v/>
      </c>
      <c r="DB254" s="1791" t="str">
        <f t="shared" si="256"/>
        <v/>
      </c>
      <c r="DC254"/>
      <c r="DD254"/>
      <c r="DE254"/>
      <c r="DG254" s="2872"/>
      <c r="DH254" s="1793">
        <f t="shared" si="258"/>
        <v>0</v>
      </c>
      <c r="DI254" s="1793">
        <f t="shared" si="259"/>
        <v>0</v>
      </c>
      <c r="DJ254" s="2872"/>
      <c r="DK254" s="1793">
        <f t="shared" si="261"/>
        <v>0</v>
      </c>
      <c r="DL254" s="1793">
        <f t="shared" si="262"/>
        <v>0</v>
      </c>
      <c r="DM254"/>
    </row>
    <row r="255" spans="1:117" ht="15" customHeight="1" x14ac:dyDescent="0.25">
      <c r="A255" s="7482"/>
      <c r="B255" s="7442" t="s">
        <v>914</v>
      </c>
      <c r="C255" s="7443"/>
      <c r="D255" s="971">
        <f t="shared" si="246"/>
        <v>0</v>
      </c>
      <c r="E255" s="972">
        <f t="shared" si="263"/>
        <v>0</v>
      </c>
      <c r="F255" s="973">
        <f t="shared" si="263"/>
        <v>0</v>
      </c>
      <c r="G255" s="981"/>
      <c r="H255" s="982"/>
      <c r="I255" s="983"/>
      <c r="J255" s="982"/>
      <c r="K255" s="983"/>
      <c r="L255" s="982"/>
      <c r="M255" s="983"/>
      <c r="N255" s="982"/>
      <c r="O255" s="983"/>
      <c r="P255" s="982"/>
      <c r="Q255" s="983"/>
      <c r="R255" s="982"/>
      <c r="S255" s="983"/>
      <c r="T255" s="982"/>
      <c r="U255" s="983"/>
      <c r="V255" s="984"/>
      <c r="W255" s="983"/>
      <c r="X255" s="984"/>
      <c r="Y255" s="976"/>
      <c r="Z255" s="977"/>
      <c r="AA255" s="976"/>
      <c r="AB255" s="977"/>
      <c r="AC255" s="976"/>
      <c r="AD255" s="977"/>
      <c r="AE255" s="976"/>
      <c r="AF255" s="977"/>
      <c r="AG255" s="976"/>
      <c r="AH255" s="977"/>
      <c r="AI255" s="976"/>
      <c r="AJ255" s="977"/>
      <c r="AK255" s="976"/>
      <c r="AL255" s="977"/>
      <c r="AM255" s="976"/>
      <c r="AN255" s="977"/>
      <c r="AO255" s="1005"/>
      <c r="AP255" s="1006"/>
      <c r="AQ255" s="950"/>
      <c r="AR255" s="951"/>
      <c r="AS255" s="989"/>
      <c r="AT255" s="976"/>
      <c r="AU255" s="976"/>
      <c r="AV255" s="980"/>
      <c r="AW255" s="980"/>
      <c r="AX255" s="975"/>
      <c r="AY255" t="str">
        <f t="shared" si="250"/>
        <v/>
      </c>
      <c r="CW255" s="2872"/>
      <c r="CX255" s="1791" t="str">
        <f t="shared" si="252"/>
        <v/>
      </c>
      <c r="CY255" s="1791" t="str">
        <f t="shared" si="253"/>
        <v/>
      </c>
      <c r="CZ255" s="2872"/>
      <c r="DA255" s="1791" t="str">
        <f t="shared" si="255"/>
        <v/>
      </c>
      <c r="DB255" s="1791" t="str">
        <f t="shared" si="256"/>
        <v/>
      </c>
      <c r="DC255"/>
      <c r="DD255"/>
      <c r="DE255"/>
      <c r="DG255" s="2872"/>
      <c r="DH255" s="1793">
        <f t="shared" si="258"/>
        <v>0</v>
      </c>
      <c r="DI255" s="1793">
        <f t="shared" si="259"/>
        <v>0</v>
      </c>
      <c r="DJ255" s="2872"/>
      <c r="DK255" s="1793">
        <f t="shared" si="261"/>
        <v>0</v>
      </c>
      <c r="DL255" s="1793">
        <f t="shared" si="262"/>
        <v>0</v>
      </c>
      <c r="DM255"/>
    </row>
    <row r="256" spans="1:117" ht="15" customHeight="1" x14ac:dyDescent="0.25">
      <c r="A256" s="7483"/>
      <c r="B256" s="7460" t="s">
        <v>915</v>
      </c>
      <c r="C256" s="7460"/>
      <c r="D256" s="1007">
        <f t="shared" si="246"/>
        <v>0</v>
      </c>
      <c r="E256" s="1008">
        <f t="shared" si="263"/>
        <v>0</v>
      </c>
      <c r="F256" s="1009">
        <f t="shared" si="263"/>
        <v>0</v>
      </c>
      <c r="G256" s="955"/>
      <c r="H256" s="956"/>
      <c r="I256" s="957"/>
      <c r="J256" s="956"/>
      <c r="K256" s="957"/>
      <c r="L256" s="956"/>
      <c r="M256" s="957"/>
      <c r="N256" s="956"/>
      <c r="O256" s="957"/>
      <c r="P256" s="956"/>
      <c r="Q256" s="957"/>
      <c r="R256" s="956"/>
      <c r="S256" s="957"/>
      <c r="T256" s="956"/>
      <c r="U256" s="957"/>
      <c r="V256" s="958"/>
      <c r="W256" s="957"/>
      <c r="X256" s="958"/>
      <c r="Y256" s="957"/>
      <c r="Z256" s="958"/>
      <c r="AA256" s="957"/>
      <c r="AB256" s="958"/>
      <c r="AC256" s="1010"/>
      <c r="AD256" s="1011"/>
      <c r="AE256" s="1010"/>
      <c r="AF256" s="1011"/>
      <c r="AG256" s="1010"/>
      <c r="AH256" s="1011"/>
      <c r="AI256" s="1010"/>
      <c r="AJ256" s="1011"/>
      <c r="AK256" s="1010"/>
      <c r="AL256" s="1011"/>
      <c r="AM256" s="1010"/>
      <c r="AN256" s="1011"/>
      <c r="AO256" s="1012"/>
      <c r="AP256" s="1013"/>
      <c r="AQ256" s="1014"/>
      <c r="AR256" s="1015"/>
      <c r="AS256" s="994"/>
      <c r="AT256" s="1010"/>
      <c r="AU256" s="1010"/>
      <c r="AV256" s="1016"/>
      <c r="AW256" s="1016"/>
      <c r="AX256" s="1017"/>
      <c r="AY256" t="str">
        <f t="shared" si="250"/>
        <v/>
      </c>
      <c r="CW256" s="2872"/>
      <c r="CX256" s="1791" t="str">
        <f t="shared" si="252"/>
        <v/>
      </c>
      <c r="CY256" s="1791" t="str">
        <f t="shared" si="253"/>
        <v/>
      </c>
      <c r="CZ256" s="2872"/>
      <c r="DA256" s="1791" t="str">
        <f t="shared" si="255"/>
        <v/>
      </c>
      <c r="DB256" s="1791" t="str">
        <f t="shared" si="256"/>
        <v/>
      </c>
      <c r="DC256"/>
      <c r="DD256"/>
      <c r="DE256"/>
      <c r="DG256" s="2872"/>
      <c r="DH256" s="1793">
        <f t="shared" si="258"/>
        <v>0</v>
      </c>
      <c r="DI256" s="1793">
        <f t="shared" si="259"/>
        <v>0</v>
      </c>
      <c r="DJ256" s="2872"/>
      <c r="DK256" s="1793">
        <f t="shared" si="261"/>
        <v>0</v>
      </c>
      <c r="DL256" s="1793">
        <f t="shared" si="262"/>
        <v>0</v>
      </c>
      <c r="DM256"/>
    </row>
    <row r="257" spans="1:117" ht="15" customHeight="1" x14ac:dyDescent="0.25">
      <c r="A257" s="7485" t="s">
        <v>755</v>
      </c>
      <c r="B257" s="7440" t="s">
        <v>910</v>
      </c>
      <c r="C257" s="7440"/>
      <c r="D257" s="917">
        <f t="shared" si="246"/>
        <v>0</v>
      </c>
      <c r="E257" s="962">
        <f t="shared" si="263"/>
        <v>0</v>
      </c>
      <c r="F257" s="963">
        <f t="shared" si="263"/>
        <v>0</v>
      </c>
      <c r="G257" s="964"/>
      <c r="H257" s="965"/>
      <c r="I257" s="966"/>
      <c r="J257" s="965"/>
      <c r="K257" s="966"/>
      <c r="L257" s="965"/>
      <c r="M257" s="966"/>
      <c r="N257" s="965"/>
      <c r="O257" s="966"/>
      <c r="P257" s="965"/>
      <c r="Q257" s="966"/>
      <c r="R257" s="965"/>
      <c r="S257" s="966"/>
      <c r="T257" s="965"/>
      <c r="U257" s="966"/>
      <c r="V257" s="967"/>
      <c r="W257" s="966"/>
      <c r="X257" s="967"/>
      <c r="Y257" s="966"/>
      <c r="Z257" s="967"/>
      <c r="AA257" s="966"/>
      <c r="AB257" s="967"/>
      <c r="AC257" s="966"/>
      <c r="AD257" s="967"/>
      <c r="AE257" s="966"/>
      <c r="AF257" s="967"/>
      <c r="AG257" s="966"/>
      <c r="AH257" s="967"/>
      <c r="AI257" s="966"/>
      <c r="AJ257" s="967"/>
      <c r="AK257" s="966"/>
      <c r="AL257" s="967"/>
      <c r="AM257" s="966"/>
      <c r="AN257" s="967"/>
      <c r="AO257" s="968"/>
      <c r="AP257" s="969"/>
      <c r="AQ257" s="964"/>
      <c r="AR257" s="965"/>
      <c r="AS257" s="946"/>
      <c r="AT257" s="966"/>
      <c r="AU257" s="966"/>
      <c r="AV257" s="970"/>
      <c r="AW257" s="970"/>
      <c r="AX257" s="965"/>
      <c r="AY257" t="str">
        <f t="shared" si="250"/>
        <v/>
      </c>
      <c r="CW257" s="1791" t="str">
        <f t="shared" si="251"/>
        <v/>
      </c>
      <c r="CX257" s="1791" t="str">
        <f t="shared" si="252"/>
        <v/>
      </c>
      <c r="CY257" s="1791" t="str">
        <f t="shared" si="253"/>
        <v/>
      </c>
      <c r="CZ257" s="1791" t="str">
        <f t="shared" si="254"/>
        <v/>
      </c>
      <c r="DA257" s="1791" t="str">
        <f t="shared" si="255"/>
        <v/>
      </c>
      <c r="DB257" s="1791" t="str">
        <f t="shared" si="256"/>
        <v/>
      </c>
      <c r="DC257"/>
      <c r="DD257"/>
      <c r="DE257"/>
      <c r="DG257" s="1793">
        <f t="shared" si="257"/>
        <v>0</v>
      </c>
      <c r="DH257" s="1793">
        <f t="shared" si="258"/>
        <v>0</v>
      </c>
      <c r="DI257" s="1793">
        <f t="shared" si="259"/>
        <v>0</v>
      </c>
      <c r="DJ257" s="1793">
        <f t="shared" si="260"/>
        <v>0</v>
      </c>
      <c r="DK257" s="1793">
        <f t="shared" si="261"/>
        <v>0</v>
      </c>
      <c r="DL257" s="1793">
        <f t="shared" si="262"/>
        <v>0</v>
      </c>
      <c r="DM257"/>
    </row>
    <row r="258" spans="1:117" ht="15" customHeight="1" x14ac:dyDescent="0.25">
      <c r="A258" s="7364"/>
      <c r="B258" s="7441" t="s">
        <v>911</v>
      </c>
      <c r="C258" s="7441"/>
      <c r="D258" s="971">
        <f t="shared" si="246"/>
        <v>0</v>
      </c>
      <c r="E258" s="972">
        <f t="shared" si="263"/>
        <v>0</v>
      </c>
      <c r="F258" s="973">
        <f t="shared" si="263"/>
        <v>0</v>
      </c>
      <c r="G258" s="974"/>
      <c r="H258" s="975"/>
      <c r="I258" s="976"/>
      <c r="J258" s="975"/>
      <c r="K258" s="976"/>
      <c r="L258" s="975"/>
      <c r="M258" s="976"/>
      <c r="N258" s="975"/>
      <c r="O258" s="976"/>
      <c r="P258" s="975"/>
      <c r="Q258" s="976"/>
      <c r="R258" s="975"/>
      <c r="S258" s="976"/>
      <c r="T258" s="975"/>
      <c r="U258" s="976"/>
      <c r="V258" s="977"/>
      <c r="W258" s="976"/>
      <c r="X258" s="977"/>
      <c r="Y258" s="976"/>
      <c r="Z258" s="977"/>
      <c r="AA258" s="976"/>
      <c r="AB258" s="977"/>
      <c r="AC258" s="976"/>
      <c r="AD258" s="977"/>
      <c r="AE258" s="976"/>
      <c r="AF258" s="977"/>
      <c r="AG258" s="976"/>
      <c r="AH258" s="977"/>
      <c r="AI258" s="976"/>
      <c r="AJ258" s="977"/>
      <c r="AK258" s="976"/>
      <c r="AL258" s="977"/>
      <c r="AM258" s="976"/>
      <c r="AN258" s="977"/>
      <c r="AO258" s="978"/>
      <c r="AP258" s="979"/>
      <c r="AQ258" s="950"/>
      <c r="AR258" s="951"/>
      <c r="AS258" s="966"/>
      <c r="AT258" s="976"/>
      <c r="AU258" s="976"/>
      <c r="AV258" s="980"/>
      <c r="AW258" s="980"/>
      <c r="AX258" s="975"/>
      <c r="AY258" t="str">
        <f t="shared" si="250"/>
        <v/>
      </c>
      <c r="CW258" s="1791" t="str">
        <f t="shared" si="251"/>
        <v/>
      </c>
      <c r="CX258" s="1791" t="str">
        <f t="shared" si="252"/>
        <v/>
      </c>
      <c r="CY258" s="1791" t="str">
        <f t="shared" si="253"/>
        <v/>
      </c>
      <c r="CZ258" s="1791" t="str">
        <f t="shared" si="254"/>
        <v/>
      </c>
      <c r="DA258" s="1791" t="str">
        <f t="shared" si="255"/>
        <v/>
      </c>
      <c r="DB258" s="1791" t="str">
        <f t="shared" si="256"/>
        <v/>
      </c>
      <c r="DC258"/>
      <c r="DD258"/>
      <c r="DE258"/>
      <c r="DG258" s="1793">
        <f t="shared" si="257"/>
        <v>0</v>
      </c>
      <c r="DH258" s="1793">
        <f t="shared" si="258"/>
        <v>0</v>
      </c>
      <c r="DI258" s="1793">
        <f t="shared" si="259"/>
        <v>0</v>
      </c>
      <c r="DJ258" s="1793">
        <f t="shared" si="260"/>
        <v>0</v>
      </c>
      <c r="DK258" s="1793">
        <f t="shared" si="261"/>
        <v>0</v>
      </c>
      <c r="DL258" s="1793">
        <f t="shared" si="262"/>
        <v>0</v>
      </c>
      <c r="DM258"/>
    </row>
    <row r="259" spans="1:117" ht="15" customHeight="1" x14ac:dyDescent="0.25">
      <c r="A259" s="7364"/>
      <c r="B259" s="7441" t="s">
        <v>912</v>
      </c>
      <c r="C259" s="7441"/>
      <c r="D259" s="971">
        <f t="shared" si="246"/>
        <v>0</v>
      </c>
      <c r="E259" s="972">
        <f t="shared" si="263"/>
        <v>0</v>
      </c>
      <c r="F259" s="973">
        <f t="shared" si="263"/>
        <v>0</v>
      </c>
      <c r="G259" s="974"/>
      <c r="H259" s="975"/>
      <c r="I259" s="976"/>
      <c r="J259" s="975"/>
      <c r="K259" s="976"/>
      <c r="L259" s="975"/>
      <c r="M259" s="976"/>
      <c r="N259" s="975"/>
      <c r="O259" s="976"/>
      <c r="P259" s="975"/>
      <c r="Q259" s="976"/>
      <c r="R259" s="975"/>
      <c r="S259" s="976"/>
      <c r="T259" s="975"/>
      <c r="U259" s="976"/>
      <c r="V259" s="977"/>
      <c r="W259" s="976"/>
      <c r="X259" s="977"/>
      <c r="Y259" s="976"/>
      <c r="Z259" s="977"/>
      <c r="AA259" s="976"/>
      <c r="AB259" s="977"/>
      <c r="AC259" s="976"/>
      <c r="AD259" s="977"/>
      <c r="AE259" s="976"/>
      <c r="AF259" s="977"/>
      <c r="AG259" s="976"/>
      <c r="AH259" s="977"/>
      <c r="AI259" s="976"/>
      <c r="AJ259" s="977"/>
      <c r="AK259" s="976"/>
      <c r="AL259" s="977"/>
      <c r="AM259" s="976"/>
      <c r="AN259" s="977"/>
      <c r="AO259" s="978"/>
      <c r="AP259" s="979"/>
      <c r="AQ259" s="950"/>
      <c r="AR259" s="951"/>
      <c r="AS259" s="996"/>
      <c r="AT259" s="976"/>
      <c r="AU259" s="976"/>
      <c r="AV259" s="980"/>
      <c r="AW259" s="980"/>
      <c r="AX259" s="975"/>
      <c r="AY259" t="str">
        <f t="shared" si="250"/>
        <v/>
      </c>
      <c r="CW259" s="1791" t="str">
        <f t="shared" si="251"/>
        <v/>
      </c>
      <c r="CX259" s="1791" t="str">
        <f t="shared" si="252"/>
        <v/>
      </c>
      <c r="CY259" s="1791" t="str">
        <f t="shared" si="253"/>
        <v/>
      </c>
      <c r="CZ259" s="1791" t="str">
        <f t="shared" si="254"/>
        <v/>
      </c>
      <c r="DA259" s="1791" t="str">
        <f t="shared" si="255"/>
        <v/>
      </c>
      <c r="DB259" s="1791" t="str">
        <f t="shared" si="256"/>
        <v/>
      </c>
      <c r="DC259"/>
      <c r="DD259"/>
      <c r="DE259"/>
      <c r="DG259" s="1793">
        <f t="shared" si="257"/>
        <v>0</v>
      </c>
      <c r="DH259" s="1793">
        <f t="shared" si="258"/>
        <v>0</v>
      </c>
      <c r="DI259" s="1793">
        <f t="shared" si="259"/>
        <v>0</v>
      </c>
      <c r="DJ259" s="1793">
        <f t="shared" si="260"/>
        <v>0</v>
      </c>
      <c r="DK259" s="1793">
        <f t="shared" si="261"/>
        <v>0</v>
      </c>
      <c r="DL259" s="1793">
        <f t="shared" si="262"/>
        <v>0</v>
      </c>
      <c r="DM259"/>
    </row>
    <row r="260" spans="1:117" ht="15" customHeight="1" x14ac:dyDescent="0.25">
      <c r="A260" s="7364"/>
      <c r="B260" s="7442" t="s">
        <v>913</v>
      </c>
      <c r="C260" s="7443"/>
      <c r="D260" s="971">
        <f t="shared" si="246"/>
        <v>0</v>
      </c>
      <c r="E260" s="972">
        <f t="shared" si="263"/>
        <v>0</v>
      </c>
      <c r="F260" s="973">
        <f t="shared" si="263"/>
        <v>0</v>
      </c>
      <c r="G260" s="981"/>
      <c r="H260" s="982"/>
      <c r="I260" s="983"/>
      <c r="J260" s="982"/>
      <c r="K260" s="983"/>
      <c r="L260" s="982"/>
      <c r="M260" s="983"/>
      <c r="N260" s="982"/>
      <c r="O260" s="983"/>
      <c r="P260" s="982"/>
      <c r="Q260" s="983"/>
      <c r="R260" s="982"/>
      <c r="S260" s="983"/>
      <c r="T260" s="982"/>
      <c r="U260" s="983"/>
      <c r="V260" s="984"/>
      <c r="W260" s="983"/>
      <c r="X260" s="984"/>
      <c r="Y260" s="983"/>
      <c r="Z260" s="984"/>
      <c r="AA260" s="983"/>
      <c r="AB260" s="984"/>
      <c r="AC260" s="983"/>
      <c r="AD260" s="984"/>
      <c r="AE260" s="983"/>
      <c r="AF260" s="984"/>
      <c r="AG260" s="983"/>
      <c r="AH260" s="984"/>
      <c r="AI260" s="983"/>
      <c r="AJ260" s="984"/>
      <c r="AK260" s="983"/>
      <c r="AL260" s="984"/>
      <c r="AM260" s="983"/>
      <c r="AN260" s="984"/>
      <c r="AO260" s="985"/>
      <c r="AP260" s="986"/>
      <c r="AQ260" s="987"/>
      <c r="AR260" s="988"/>
      <c r="AS260" s="996"/>
      <c r="AT260" s="983"/>
      <c r="AU260" s="983"/>
      <c r="AV260" s="990"/>
      <c r="AW260" s="990"/>
      <c r="AX260" s="982"/>
      <c r="AY260" t="str">
        <f t="shared" si="250"/>
        <v/>
      </c>
      <c r="CW260" s="1791" t="str">
        <f t="shared" si="251"/>
        <v/>
      </c>
      <c r="CX260" s="1791" t="str">
        <f t="shared" si="252"/>
        <v/>
      </c>
      <c r="CY260" s="1791" t="str">
        <f t="shared" si="253"/>
        <v/>
      </c>
      <c r="CZ260" s="1791" t="str">
        <f t="shared" si="254"/>
        <v/>
      </c>
      <c r="DA260" s="1791" t="str">
        <f t="shared" si="255"/>
        <v/>
      </c>
      <c r="DB260" s="1791" t="str">
        <f t="shared" si="256"/>
        <v/>
      </c>
      <c r="DC260"/>
      <c r="DD260"/>
      <c r="DE260"/>
      <c r="DG260" s="1793">
        <f t="shared" si="257"/>
        <v>0</v>
      </c>
      <c r="DH260" s="1793">
        <f t="shared" si="258"/>
        <v>0</v>
      </c>
      <c r="DI260" s="1793">
        <f t="shared" si="259"/>
        <v>0</v>
      </c>
      <c r="DJ260" s="1793">
        <f t="shared" si="260"/>
        <v>0</v>
      </c>
      <c r="DK260" s="1793">
        <f t="shared" si="261"/>
        <v>0</v>
      </c>
      <c r="DL260" s="1793">
        <f t="shared" si="262"/>
        <v>0</v>
      </c>
      <c r="DM260"/>
    </row>
    <row r="261" spans="1:117" ht="15" customHeight="1" x14ac:dyDescent="0.25">
      <c r="A261" s="7364"/>
      <c r="B261" s="7442" t="s">
        <v>914</v>
      </c>
      <c r="C261" s="7443"/>
      <c r="D261" s="971">
        <f t="shared" si="246"/>
        <v>0</v>
      </c>
      <c r="E261" s="972">
        <f t="shared" si="263"/>
        <v>0</v>
      </c>
      <c r="F261" s="973">
        <f t="shared" si="263"/>
        <v>0</v>
      </c>
      <c r="G261" s="981"/>
      <c r="H261" s="982"/>
      <c r="I261" s="983"/>
      <c r="J261" s="982"/>
      <c r="K261" s="983"/>
      <c r="L261" s="982"/>
      <c r="M261" s="983"/>
      <c r="N261" s="982"/>
      <c r="O261" s="983"/>
      <c r="P261" s="982"/>
      <c r="Q261" s="983"/>
      <c r="R261" s="982"/>
      <c r="S261" s="983"/>
      <c r="T261" s="982"/>
      <c r="U261" s="983"/>
      <c r="V261" s="984"/>
      <c r="W261" s="983"/>
      <c r="X261" s="984"/>
      <c r="Y261" s="983"/>
      <c r="Z261" s="984"/>
      <c r="AA261" s="983"/>
      <c r="AB261" s="984"/>
      <c r="AC261" s="983"/>
      <c r="AD261" s="984"/>
      <c r="AE261" s="983"/>
      <c r="AF261" s="984"/>
      <c r="AG261" s="983"/>
      <c r="AH261" s="984"/>
      <c r="AI261" s="983"/>
      <c r="AJ261" s="984"/>
      <c r="AK261" s="983"/>
      <c r="AL261" s="984"/>
      <c r="AM261" s="983"/>
      <c r="AN261" s="984"/>
      <c r="AO261" s="985"/>
      <c r="AP261" s="986"/>
      <c r="AQ261" s="987"/>
      <c r="AR261" s="988"/>
      <c r="AS261" s="989"/>
      <c r="AT261" s="983"/>
      <c r="AU261" s="983"/>
      <c r="AV261" s="990"/>
      <c r="AW261" s="990"/>
      <c r="AX261" s="982"/>
      <c r="AY261" t="str">
        <f t="shared" si="250"/>
        <v/>
      </c>
      <c r="CW261" s="1791" t="str">
        <f t="shared" si="251"/>
        <v/>
      </c>
      <c r="CX261" s="1791" t="str">
        <f t="shared" si="252"/>
        <v/>
      </c>
      <c r="CY261" s="1791" t="str">
        <f t="shared" si="253"/>
        <v/>
      </c>
      <c r="CZ261" s="1791" t="str">
        <f t="shared" si="254"/>
        <v/>
      </c>
      <c r="DA261" s="1791" t="str">
        <f t="shared" si="255"/>
        <v/>
      </c>
      <c r="DB261" s="1791" t="str">
        <f t="shared" si="256"/>
        <v/>
      </c>
      <c r="DC261"/>
      <c r="DD261"/>
      <c r="DE261"/>
      <c r="DG261" s="1793">
        <f t="shared" si="257"/>
        <v>0</v>
      </c>
      <c r="DH261" s="1793">
        <f t="shared" si="258"/>
        <v>0</v>
      </c>
      <c r="DI261" s="1793">
        <f t="shared" si="259"/>
        <v>0</v>
      </c>
      <c r="DJ261" s="1793">
        <f t="shared" si="260"/>
        <v>0</v>
      </c>
      <c r="DK261" s="1793">
        <f t="shared" si="261"/>
        <v>0</v>
      </c>
      <c r="DL261" s="1793">
        <f t="shared" si="262"/>
        <v>0</v>
      </c>
      <c r="DM261"/>
    </row>
    <row r="262" spans="1:117" ht="15" customHeight="1" x14ac:dyDescent="0.25">
      <c r="A262" s="7480"/>
      <c r="B262" s="7460" t="s">
        <v>915</v>
      </c>
      <c r="C262" s="7460"/>
      <c r="D262" s="1018">
        <f t="shared" si="246"/>
        <v>0</v>
      </c>
      <c r="E262" s="88">
        <f t="shared" si="263"/>
        <v>0</v>
      </c>
      <c r="F262" s="206">
        <f t="shared" si="263"/>
        <v>0</v>
      </c>
      <c r="G262" s="981"/>
      <c r="H262" s="982"/>
      <c r="I262" s="983"/>
      <c r="J262" s="982"/>
      <c r="K262" s="983"/>
      <c r="L262" s="982"/>
      <c r="M262" s="983"/>
      <c r="N262" s="982"/>
      <c r="O262" s="983"/>
      <c r="P262" s="982"/>
      <c r="Q262" s="983"/>
      <c r="R262" s="982"/>
      <c r="S262" s="983"/>
      <c r="T262" s="982"/>
      <c r="U262" s="983"/>
      <c r="V262" s="984"/>
      <c r="W262" s="983"/>
      <c r="X262" s="984"/>
      <c r="Y262" s="983"/>
      <c r="Z262" s="984"/>
      <c r="AA262" s="983"/>
      <c r="AB262" s="984"/>
      <c r="AC262" s="983"/>
      <c r="AD262" s="984"/>
      <c r="AE262" s="983"/>
      <c r="AF262" s="984"/>
      <c r="AG262" s="983"/>
      <c r="AH262" s="984"/>
      <c r="AI262" s="983"/>
      <c r="AJ262" s="984"/>
      <c r="AK262" s="983"/>
      <c r="AL262" s="984"/>
      <c r="AM262" s="983"/>
      <c r="AN262" s="984"/>
      <c r="AO262" s="959"/>
      <c r="AP262" s="960"/>
      <c r="AQ262" s="992"/>
      <c r="AR262" s="993"/>
      <c r="AS262" s="994"/>
      <c r="AT262" s="957"/>
      <c r="AU262" s="957"/>
      <c r="AV262" s="961"/>
      <c r="AW262" s="961"/>
      <c r="AX262" s="956"/>
      <c r="AY262" t="str">
        <f t="shared" si="250"/>
        <v/>
      </c>
      <c r="CW262" s="1791" t="str">
        <f t="shared" si="251"/>
        <v/>
      </c>
      <c r="CX262" s="1791" t="str">
        <f t="shared" si="252"/>
        <v/>
      </c>
      <c r="CY262" s="1791" t="str">
        <f t="shared" si="253"/>
        <v/>
      </c>
      <c r="CZ262" s="1791" t="str">
        <f t="shared" si="254"/>
        <v/>
      </c>
      <c r="DA262" s="1791" t="str">
        <f t="shared" si="255"/>
        <v/>
      </c>
      <c r="DB262" s="1791" t="str">
        <f t="shared" si="256"/>
        <v/>
      </c>
      <c r="DC262"/>
      <c r="DD262"/>
      <c r="DE262"/>
      <c r="DG262" s="1793">
        <f t="shared" si="257"/>
        <v>0</v>
      </c>
      <c r="DH262" s="1793">
        <f t="shared" si="258"/>
        <v>0</v>
      </c>
      <c r="DI262" s="1793">
        <f t="shared" si="259"/>
        <v>0</v>
      </c>
      <c r="DJ262" s="1793">
        <f t="shared" si="260"/>
        <v>0</v>
      </c>
      <c r="DK262" s="1793">
        <f t="shared" si="261"/>
        <v>0</v>
      </c>
      <c r="DL262" s="1793">
        <f t="shared" si="262"/>
        <v>0</v>
      </c>
      <c r="DM262"/>
    </row>
    <row r="263" spans="1:117" ht="15" customHeight="1" x14ac:dyDescent="0.25">
      <c r="A263" s="7485" t="s">
        <v>919</v>
      </c>
      <c r="B263" s="7440" t="s">
        <v>910</v>
      </c>
      <c r="C263" s="7440"/>
      <c r="D263" s="914">
        <f t="shared" si="246"/>
        <v>0</v>
      </c>
      <c r="E263" s="213">
        <f t="shared" ref="E263:F280" si="264">+Y263+AA263+AC263+AE263+AG263+AI263+AK263+AM263</f>
        <v>0</v>
      </c>
      <c r="F263" s="995">
        <f t="shared" si="264"/>
        <v>0</v>
      </c>
      <c r="G263" s="1019"/>
      <c r="H263" s="1020"/>
      <c r="I263" s="1021"/>
      <c r="J263" s="1020"/>
      <c r="K263" s="1021"/>
      <c r="L263" s="1020"/>
      <c r="M263" s="1022"/>
      <c r="N263" s="1023"/>
      <c r="O263" s="1024"/>
      <c r="P263" s="1023"/>
      <c r="Q263" s="1021"/>
      <c r="R263" s="1020"/>
      <c r="S263" s="1021"/>
      <c r="T263" s="1020"/>
      <c r="U263" s="1022"/>
      <c r="V263" s="1023"/>
      <c r="W263" s="1024"/>
      <c r="X263" s="1023"/>
      <c r="Y263" s="946"/>
      <c r="Z263" s="947"/>
      <c r="AA263" s="946"/>
      <c r="AB263" s="947"/>
      <c r="AC263" s="946"/>
      <c r="AD263" s="947"/>
      <c r="AE263" s="946"/>
      <c r="AF263" s="947"/>
      <c r="AG263" s="946"/>
      <c r="AH263" s="947"/>
      <c r="AI263" s="946"/>
      <c r="AJ263" s="947"/>
      <c r="AK263" s="946"/>
      <c r="AL263" s="947"/>
      <c r="AM263" s="946"/>
      <c r="AN263" s="947"/>
      <c r="AO263" s="968"/>
      <c r="AP263" s="969"/>
      <c r="AQ263" s="944"/>
      <c r="AR263" s="965"/>
      <c r="AS263" s="946"/>
      <c r="AT263" s="966"/>
      <c r="AU263" s="966"/>
      <c r="AV263" s="970"/>
      <c r="AW263" s="970"/>
      <c r="AX263" s="965"/>
      <c r="AY263" t="str">
        <f t="shared" si="250"/>
        <v/>
      </c>
      <c r="CW263" s="1791" t="str">
        <f t="shared" si="251"/>
        <v/>
      </c>
      <c r="CX263" s="1791" t="str">
        <f t="shared" si="252"/>
        <v/>
      </c>
      <c r="CY263" s="1791" t="str">
        <f t="shared" si="253"/>
        <v/>
      </c>
      <c r="CZ263" s="1791" t="str">
        <f t="shared" si="254"/>
        <v/>
      </c>
      <c r="DA263" s="1791" t="str">
        <f t="shared" si="255"/>
        <v/>
      </c>
      <c r="DB263" s="1791" t="str">
        <f t="shared" si="256"/>
        <v/>
      </c>
      <c r="DC263"/>
      <c r="DD263"/>
      <c r="DE263"/>
      <c r="DG263" s="1793">
        <f t="shared" si="257"/>
        <v>0</v>
      </c>
      <c r="DH263" s="1793">
        <f t="shared" si="258"/>
        <v>0</v>
      </c>
      <c r="DI263" s="1793">
        <f t="shared" si="259"/>
        <v>0</v>
      </c>
      <c r="DJ263" s="1793">
        <f t="shared" si="260"/>
        <v>0</v>
      </c>
      <c r="DK263" s="1793">
        <f t="shared" si="261"/>
        <v>0</v>
      </c>
      <c r="DL263" s="1793">
        <f t="shared" si="262"/>
        <v>0</v>
      </c>
      <c r="DM263"/>
    </row>
    <row r="264" spans="1:117" ht="15" customHeight="1" x14ac:dyDescent="0.25">
      <c r="A264" s="7364"/>
      <c r="B264" s="7441" t="s">
        <v>911</v>
      </c>
      <c r="C264" s="7441"/>
      <c r="D264" s="971">
        <f>SUM(E264+F264)</f>
        <v>0</v>
      </c>
      <c r="E264" s="1025">
        <f t="shared" si="264"/>
        <v>0</v>
      </c>
      <c r="F264" s="1026">
        <f t="shared" si="264"/>
        <v>0</v>
      </c>
      <c r="G264" s="1027"/>
      <c r="H264" s="1028"/>
      <c r="I264" s="1029"/>
      <c r="J264" s="1028"/>
      <c r="K264" s="1029"/>
      <c r="L264" s="1028"/>
      <c r="M264" s="996"/>
      <c r="N264" s="951"/>
      <c r="O264" s="996"/>
      <c r="P264" s="951"/>
      <c r="Q264" s="1029"/>
      <c r="R264" s="1028"/>
      <c r="S264" s="1029"/>
      <c r="T264" s="1028"/>
      <c r="U264" s="996"/>
      <c r="V264" s="951"/>
      <c r="W264" s="996"/>
      <c r="X264" s="951"/>
      <c r="Y264" s="976"/>
      <c r="Z264" s="977"/>
      <c r="AA264" s="976"/>
      <c r="AB264" s="977"/>
      <c r="AC264" s="976"/>
      <c r="AD264" s="977"/>
      <c r="AE264" s="976"/>
      <c r="AF264" s="977"/>
      <c r="AG264" s="976"/>
      <c r="AH264" s="977"/>
      <c r="AI264" s="976"/>
      <c r="AJ264" s="977"/>
      <c r="AK264" s="976"/>
      <c r="AL264" s="977"/>
      <c r="AM264" s="976"/>
      <c r="AN264" s="977"/>
      <c r="AO264" s="978"/>
      <c r="AP264" s="979"/>
      <c r="AQ264" s="950"/>
      <c r="AR264" s="951"/>
      <c r="AS264" s="966"/>
      <c r="AT264" s="976"/>
      <c r="AU264" s="976"/>
      <c r="AV264" s="980"/>
      <c r="AW264" s="980"/>
      <c r="AX264" s="975"/>
      <c r="AY264" t="str">
        <f t="shared" si="250"/>
        <v/>
      </c>
      <c r="CW264" s="1791" t="str">
        <f t="shared" si="251"/>
        <v/>
      </c>
      <c r="CX264" s="1791" t="str">
        <f t="shared" si="252"/>
        <v/>
      </c>
      <c r="CY264" s="1791" t="str">
        <f t="shared" si="253"/>
        <v/>
      </c>
      <c r="CZ264" s="1791" t="str">
        <f t="shared" si="254"/>
        <v/>
      </c>
      <c r="DA264" s="1791" t="str">
        <f t="shared" si="255"/>
        <v/>
      </c>
      <c r="DB264" s="1791" t="str">
        <f t="shared" si="256"/>
        <v/>
      </c>
      <c r="DC264"/>
      <c r="DD264"/>
      <c r="DE264"/>
      <c r="DG264" s="1793">
        <f t="shared" si="257"/>
        <v>0</v>
      </c>
      <c r="DH264" s="1793">
        <f t="shared" si="258"/>
        <v>0</v>
      </c>
      <c r="DI264" s="1793">
        <f t="shared" si="259"/>
        <v>0</v>
      </c>
      <c r="DJ264" s="1793">
        <f t="shared" si="260"/>
        <v>0</v>
      </c>
      <c r="DK264" s="1793">
        <f t="shared" si="261"/>
        <v>0</v>
      </c>
      <c r="DL264" s="1793">
        <f t="shared" si="262"/>
        <v>0</v>
      </c>
      <c r="DM264"/>
    </row>
    <row r="265" spans="1:117" ht="15" customHeight="1" x14ac:dyDescent="0.25">
      <c r="A265" s="7364"/>
      <c r="B265" s="7441" t="s">
        <v>912</v>
      </c>
      <c r="C265" s="7441"/>
      <c r="D265" s="971">
        <f t="shared" ref="D265:D304" si="265">SUM(E265+F265)</f>
        <v>0</v>
      </c>
      <c r="E265" s="1025">
        <f t="shared" si="264"/>
        <v>0</v>
      </c>
      <c r="F265" s="1026">
        <f t="shared" si="264"/>
        <v>0</v>
      </c>
      <c r="G265" s="1027"/>
      <c r="H265" s="1028"/>
      <c r="I265" s="1029"/>
      <c r="J265" s="1028"/>
      <c r="K265" s="1029"/>
      <c r="L265" s="1028"/>
      <c r="M265" s="996"/>
      <c r="N265" s="951"/>
      <c r="O265" s="996"/>
      <c r="P265" s="951"/>
      <c r="Q265" s="1029"/>
      <c r="R265" s="1028"/>
      <c r="S265" s="1029"/>
      <c r="T265" s="1028"/>
      <c r="U265" s="996"/>
      <c r="V265" s="951"/>
      <c r="W265" s="996"/>
      <c r="X265" s="951"/>
      <c r="Y265" s="976"/>
      <c r="Z265" s="977"/>
      <c r="AA265" s="976"/>
      <c r="AB265" s="977"/>
      <c r="AC265" s="976"/>
      <c r="AD265" s="977"/>
      <c r="AE265" s="976"/>
      <c r="AF265" s="977"/>
      <c r="AG265" s="976"/>
      <c r="AH265" s="977"/>
      <c r="AI265" s="976"/>
      <c r="AJ265" s="977"/>
      <c r="AK265" s="976"/>
      <c r="AL265" s="977"/>
      <c r="AM265" s="976"/>
      <c r="AN265" s="977"/>
      <c r="AO265" s="978"/>
      <c r="AP265" s="979"/>
      <c r="AQ265" s="950"/>
      <c r="AR265" s="951"/>
      <c r="AS265" s="996"/>
      <c r="AT265" s="976"/>
      <c r="AU265" s="976"/>
      <c r="AV265" s="980"/>
      <c r="AW265" s="980"/>
      <c r="AX265" s="975"/>
      <c r="AY265" t="str">
        <f t="shared" si="250"/>
        <v/>
      </c>
      <c r="CW265" s="1791" t="str">
        <f t="shared" si="251"/>
        <v/>
      </c>
      <c r="CX265" s="1791" t="str">
        <f t="shared" si="252"/>
        <v/>
      </c>
      <c r="CY265" s="1791" t="str">
        <f t="shared" si="253"/>
        <v/>
      </c>
      <c r="CZ265" s="1791" t="str">
        <f t="shared" si="254"/>
        <v/>
      </c>
      <c r="DA265" s="1791" t="str">
        <f t="shared" si="255"/>
        <v/>
      </c>
      <c r="DB265" s="1791" t="str">
        <f t="shared" si="256"/>
        <v/>
      </c>
      <c r="DC265"/>
      <c r="DD265"/>
      <c r="DE265"/>
      <c r="DG265" s="1793">
        <f t="shared" si="257"/>
        <v>0</v>
      </c>
      <c r="DH265" s="1793">
        <f t="shared" si="258"/>
        <v>0</v>
      </c>
      <c r="DI265" s="1793">
        <f t="shared" si="259"/>
        <v>0</v>
      </c>
      <c r="DJ265" s="1793">
        <f t="shared" si="260"/>
        <v>0</v>
      </c>
      <c r="DK265" s="1793">
        <f t="shared" si="261"/>
        <v>0</v>
      </c>
      <c r="DL265" s="1793">
        <f t="shared" si="262"/>
        <v>0</v>
      </c>
      <c r="DM265"/>
    </row>
    <row r="266" spans="1:117" ht="15" customHeight="1" x14ac:dyDescent="0.25">
      <c r="A266" s="7364"/>
      <c r="B266" s="7442" t="s">
        <v>913</v>
      </c>
      <c r="C266" s="7443"/>
      <c r="D266" s="971">
        <f t="shared" si="265"/>
        <v>0</v>
      </c>
      <c r="E266" s="1025">
        <f t="shared" si="264"/>
        <v>0</v>
      </c>
      <c r="F266" s="1026">
        <f t="shared" si="264"/>
        <v>0</v>
      </c>
      <c r="G266" s="1030"/>
      <c r="H266" s="1031"/>
      <c r="I266" s="1032"/>
      <c r="J266" s="1031"/>
      <c r="K266" s="1032"/>
      <c r="L266" s="1031"/>
      <c r="M266" s="950"/>
      <c r="N266" s="951"/>
      <c r="O266" s="950"/>
      <c r="P266" s="951"/>
      <c r="Q266" s="1032"/>
      <c r="R266" s="1031"/>
      <c r="S266" s="1032"/>
      <c r="T266" s="1031"/>
      <c r="U266" s="950"/>
      <c r="V266" s="951"/>
      <c r="W266" s="950"/>
      <c r="X266" s="951"/>
      <c r="Y266" s="983"/>
      <c r="Z266" s="984"/>
      <c r="AA266" s="983"/>
      <c r="AB266" s="984"/>
      <c r="AC266" s="983"/>
      <c r="AD266" s="984"/>
      <c r="AE266" s="983"/>
      <c r="AF266" s="984"/>
      <c r="AG266" s="983"/>
      <c r="AH266" s="984"/>
      <c r="AI266" s="983"/>
      <c r="AJ266" s="984"/>
      <c r="AK266" s="983"/>
      <c r="AL266" s="984"/>
      <c r="AM266" s="983"/>
      <c r="AN266" s="984"/>
      <c r="AO266" s="985"/>
      <c r="AP266" s="986"/>
      <c r="AQ266" s="950"/>
      <c r="AR266" s="951"/>
      <c r="AS266" s="996"/>
      <c r="AT266" s="983"/>
      <c r="AU266" s="983"/>
      <c r="AV266" s="990"/>
      <c r="AW266" s="990"/>
      <c r="AX266" s="982"/>
      <c r="AY266" t="str">
        <f t="shared" si="250"/>
        <v/>
      </c>
      <c r="CW266" s="1791" t="str">
        <f t="shared" si="251"/>
        <v/>
      </c>
      <c r="CX266" s="1791" t="str">
        <f t="shared" si="252"/>
        <v/>
      </c>
      <c r="CY266" s="1791" t="str">
        <f t="shared" si="253"/>
        <v/>
      </c>
      <c r="CZ266" s="1791" t="str">
        <f t="shared" si="254"/>
        <v/>
      </c>
      <c r="DA266" s="1791" t="str">
        <f t="shared" si="255"/>
        <v/>
      </c>
      <c r="DB266" s="1791" t="str">
        <f t="shared" si="256"/>
        <v/>
      </c>
      <c r="DC266"/>
      <c r="DD266"/>
      <c r="DE266"/>
      <c r="DG266" s="1793">
        <f t="shared" si="257"/>
        <v>0</v>
      </c>
      <c r="DH266" s="1793">
        <f t="shared" si="258"/>
        <v>0</v>
      </c>
      <c r="DI266" s="1793">
        <f t="shared" si="259"/>
        <v>0</v>
      </c>
      <c r="DJ266" s="1793">
        <f t="shared" si="260"/>
        <v>0</v>
      </c>
      <c r="DK266" s="1793">
        <f t="shared" si="261"/>
        <v>0</v>
      </c>
      <c r="DL266" s="1793">
        <f t="shared" si="262"/>
        <v>0</v>
      </c>
      <c r="DM266"/>
    </row>
    <row r="267" spans="1:117" ht="15" customHeight="1" x14ac:dyDescent="0.25">
      <c r="A267" s="7364"/>
      <c r="B267" s="7442" t="s">
        <v>914</v>
      </c>
      <c r="C267" s="7443"/>
      <c r="D267" s="971">
        <f t="shared" si="265"/>
        <v>0</v>
      </c>
      <c r="E267" s="1025">
        <f t="shared" si="264"/>
        <v>0</v>
      </c>
      <c r="F267" s="1026">
        <f t="shared" si="264"/>
        <v>0</v>
      </c>
      <c r="G267" s="1030"/>
      <c r="H267" s="1031"/>
      <c r="I267" s="1032"/>
      <c r="J267" s="1031"/>
      <c r="K267" s="1032"/>
      <c r="L267" s="1031"/>
      <c r="M267" s="987"/>
      <c r="N267" s="988"/>
      <c r="O267" s="987"/>
      <c r="P267" s="988"/>
      <c r="Q267" s="1032"/>
      <c r="R267" s="1031"/>
      <c r="S267" s="1032"/>
      <c r="T267" s="1031"/>
      <c r="U267" s="987"/>
      <c r="V267" s="988"/>
      <c r="W267" s="987"/>
      <c r="X267" s="988"/>
      <c r="Y267" s="983"/>
      <c r="Z267" s="984"/>
      <c r="AA267" s="983"/>
      <c r="AB267" s="984"/>
      <c r="AC267" s="983"/>
      <c r="AD267" s="984"/>
      <c r="AE267" s="983"/>
      <c r="AF267" s="984"/>
      <c r="AG267" s="983"/>
      <c r="AH267" s="984"/>
      <c r="AI267" s="983"/>
      <c r="AJ267" s="984"/>
      <c r="AK267" s="983"/>
      <c r="AL267" s="984"/>
      <c r="AM267" s="983"/>
      <c r="AN267" s="984"/>
      <c r="AO267" s="985"/>
      <c r="AP267" s="986"/>
      <c r="AQ267" s="987"/>
      <c r="AR267" s="988"/>
      <c r="AS267" s="989"/>
      <c r="AT267" s="983"/>
      <c r="AU267" s="983"/>
      <c r="AV267" s="990"/>
      <c r="AW267" s="990"/>
      <c r="AX267" s="982"/>
      <c r="AY267" t="str">
        <f t="shared" si="250"/>
        <v/>
      </c>
      <c r="CW267" s="1791" t="str">
        <f t="shared" si="251"/>
        <v/>
      </c>
      <c r="CX267" s="1791" t="str">
        <f t="shared" si="252"/>
        <v/>
      </c>
      <c r="CY267" s="1791" t="str">
        <f t="shared" si="253"/>
        <v/>
      </c>
      <c r="CZ267" s="1791" t="str">
        <f t="shared" si="254"/>
        <v/>
      </c>
      <c r="DA267" s="1791" t="str">
        <f t="shared" si="255"/>
        <v/>
      </c>
      <c r="DB267" s="1791" t="str">
        <f t="shared" si="256"/>
        <v/>
      </c>
      <c r="DC267"/>
      <c r="DD267"/>
      <c r="DE267"/>
      <c r="DG267" s="1793">
        <f t="shared" si="257"/>
        <v>0</v>
      </c>
      <c r="DH267" s="1793">
        <f t="shared" si="258"/>
        <v>0</v>
      </c>
      <c r="DI267" s="1793">
        <f t="shared" si="259"/>
        <v>0</v>
      </c>
      <c r="DJ267" s="1793">
        <f t="shared" si="260"/>
        <v>0</v>
      </c>
      <c r="DK267" s="1793">
        <f t="shared" si="261"/>
        <v>0</v>
      </c>
      <c r="DL267" s="1793">
        <f t="shared" si="262"/>
        <v>0</v>
      </c>
      <c r="DM267"/>
    </row>
    <row r="268" spans="1:117" ht="15" customHeight="1" x14ac:dyDescent="0.25">
      <c r="A268" s="7480"/>
      <c r="B268" s="7460" t="s">
        <v>915</v>
      </c>
      <c r="C268" s="7460"/>
      <c r="D268" s="991">
        <f t="shared" si="265"/>
        <v>0</v>
      </c>
      <c r="E268" s="1033">
        <f t="shared" si="264"/>
        <v>0</v>
      </c>
      <c r="F268" s="1034">
        <f t="shared" si="264"/>
        <v>0</v>
      </c>
      <c r="G268" s="1035"/>
      <c r="H268" s="1036"/>
      <c r="I268" s="1037"/>
      <c r="J268" s="1036"/>
      <c r="K268" s="1037"/>
      <c r="L268" s="1036"/>
      <c r="M268" s="1035"/>
      <c r="N268" s="1036"/>
      <c r="O268" s="1035"/>
      <c r="P268" s="1036"/>
      <c r="Q268" s="1037"/>
      <c r="R268" s="1036"/>
      <c r="S268" s="1037"/>
      <c r="T268" s="1036"/>
      <c r="U268" s="1035"/>
      <c r="V268" s="1036"/>
      <c r="W268" s="1035"/>
      <c r="X268" s="1036"/>
      <c r="Y268" s="957"/>
      <c r="Z268" s="958"/>
      <c r="AA268" s="957"/>
      <c r="AB268" s="958"/>
      <c r="AC268" s="957"/>
      <c r="AD268" s="958"/>
      <c r="AE268" s="957"/>
      <c r="AF268" s="958"/>
      <c r="AG268" s="957"/>
      <c r="AH268" s="958"/>
      <c r="AI268" s="957"/>
      <c r="AJ268" s="958"/>
      <c r="AK268" s="957"/>
      <c r="AL268" s="958"/>
      <c r="AM268" s="957"/>
      <c r="AN268" s="958"/>
      <c r="AO268" s="959"/>
      <c r="AP268" s="960"/>
      <c r="AQ268" s="992"/>
      <c r="AR268" s="993"/>
      <c r="AS268" s="994"/>
      <c r="AT268" s="957"/>
      <c r="AU268" s="957"/>
      <c r="AV268" s="961"/>
      <c r="AW268" s="961"/>
      <c r="AX268" s="956"/>
      <c r="AY268" t="str">
        <f t="shared" si="250"/>
        <v/>
      </c>
      <c r="CW268" s="1791" t="str">
        <f t="shared" si="251"/>
        <v/>
      </c>
      <c r="CX268" s="1791" t="str">
        <f t="shared" si="252"/>
        <v/>
      </c>
      <c r="CY268" s="1791" t="str">
        <f t="shared" si="253"/>
        <v/>
      </c>
      <c r="CZ268" s="1791" t="str">
        <f t="shared" si="254"/>
        <v/>
      </c>
      <c r="DA268" s="1791" t="str">
        <f t="shared" si="255"/>
        <v/>
      </c>
      <c r="DB268" s="1791" t="str">
        <f t="shared" si="256"/>
        <v/>
      </c>
      <c r="DC268"/>
      <c r="DD268"/>
      <c r="DE268"/>
      <c r="DG268" s="1793">
        <f t="shared" si="257"/>
        <v>0</v>
      </c>
      <c r="DH268" s="1793">
        <f t="shared" si="258"/>
        <v>0</v>
      </c>
      <c r="DI268" s="1793">
        <f t="shared" si="259"/>
        <v>0</v>
      </c>
      <c r="DJ268" s="1793">
        <f t="shared" si="260"/>
        <v>0</v>
      </c>
      <c r="DK268" s="1793">
        <f t="shared" si="261"/>
        <v>0</v>
      </c>
      <c r="DL268" s="1793">
        <f t="shared" si="262"/>
        <v>0</v>
      </c>
      <c r="DM268"/>
    </row>
    <row r="269" spans="1:117" ht="15" customHeight="1" x14ac:dyDescent="0.25">
      <c r="A269" s="7479" t="s">
        <v>920</v>
      </c>
      <c r="B269" s="7440" t="s">
        <v>910</v>
      </c>
      <c r="C269" s="7440"/>
      <c r="D269" s="917">
        <f t="shared" si="265"/>
        <v>0</v>
      </c>
      <c r="E269" s="1038">
        <f t="shared" si="264"/>
        <v>0</v>
      </c>
      <c r="F269" s="1039">
        <f t="shared" si="264"/>
        <v>0</v>
      </c>
      <c r="G269" s="1040"/>
      <c r="H269" s="1041"/>
      <c r="I269" s="1042"/>
      <c r="J269" s="1041"/>
      <c r="K269" s="1042"/>
      <c r="L269" s="1041"/>
      <c r="M269" s="1043"/>
      <c r="N269" s="1044"/>
      <c r="O269" s="1043"/>
      <c r="P269" s="1044"/>
      <c r="Q269" s="1042"/>
      <c r="R269" s="1041"/>
      <c r="S269" s="1042"/>
      <c r="T269" s="1041"/>
      <c r="U269" s="1043"/>
      <c r="V269" s="1044"/>
      <c r="W269" s="1043"/>
      <c r="X269" s="1044"/>
      <c r="Y269" s="966"/>
      <c r="Z269" s="967"/>
      <c r="AA269" s="966"/>
      <c r="AB269" s="967"/>
      <c r="AC269" s="966"/>
      <c r="AD269" s="967"/>
      <c r="AE269" s="966"/>
      <c r="AF269" s="967"/>
      <c r="AG269" s="966"/>
      <c r="AH269" s="967"/>
      <c r="AI269" s="966"/>
      <c r="AJ269" s="967"/>
      <c r="AK269" s="966"/>
      <c r="AL269" s="967"/>
      <c r="AM269" s="966"/>
      <c r="AN269" s="967"/>
      <c r="AO269" s="968"/>
      <c r="AP269" s="969"/>
      <c r="AQ269" s="964"/>
      <c r="AR269" s="965"/>
      <c r="AS269" s="946"/>
      <c r="AT269" s="966"/>
      <c r="AU269" s="966"/>
      <c r="AV269" s="970"/>
      <c r="AW269" s="970"/>
      <c r="AX269" s="965"/>
      <c r="AY269" t="str">
        <f t="shared" si="250"/>
        <v/>
      </c>
      <c r="CW269" s="1791" t="str">
        <f t="shared" si="251"/>
        <v/>
      </c>
      <c r="CX269" s="1791" t="str">
        <f t="shared" si="252"/>
        <v/>
      </c>
      <c r="CY269" s="1791" t="str">
        <f t="shared" si="253"/>
        <v/>
      </c>
      <c r="CZ269" s="1791" t="str">
        <f t="shared" si="254"/>
        <v/>
      </c>
      <c r="DA269" s="1791" t="str">
        <f t="shared" si="255"/>
        <v/>
      </c>
      <c r="DB269" s="1791" t="str">
        <f t="shared" si="256"/>
        <v/>
      </c>
      <c r="DC269"/>
      <c r="DD269"/>
      <c r="DE269"/>
      <c r="DG269" s="1793">
        <f t="shared" si="257"/>
        <v>0</v>
      </c>
      <c r="DH269" s="1793">
        <f t="shared" si="258"/>
        <v>0</v>
      </c>
      <c r="DI269" s="1793">
        <f t="shared" si="259"/>
        <v>0</v>
      </c>
      <c r="DJ269" s="1793">
        <f t="shared" si="260"/>
        <v>0</v>
      </c>
      <c r="DK269" s="1793">
        <f t="shared" si="261"/>
        <v>0</v>
      </c>
      <c r="DL269" s="1793">
        <f t="shared" si="262"/>
        <v>0</v>
      </c>
      <c r="DM269"/>
    </row>
    <row r="270" spans="1:117" ht="15" customHeight="1" x14ac:dyDescent="0.25">
      <c r="A270" s="7364"/>
      <c r="B270" s="7441" t="s">
        <v>911</v>
      </c>
      <c r="C270" s="7441"/>
      <c r="D270" s="971">
        <f t="shared" si="265"/>
        <v>0</v>
      </c>
      <c r="E270" s="1025">
        <f t="shared" si="264"/>
        <v>0</v>
      </c>
      <c r="F270" s="1026">
        <f t="shared" si="264"/>
        <v>0</v>
      </c>
      <c r="G270" s="1027"/>
      <c r="H270" s="1028"/>
      <c r="I270" s="1029"/>
      <c r="J270" s="1028"/>
      <c r="K270" s="1029"/>
      <c r="L270" s="1028"/>
      <c r="M270" s="996"/>
      <c r="N270" s="951"/>
      <c r="O270" s="996"/>
      <c r="P270" s="951"/>
      <c r="Q270" s="1029"/>
      <c r="R270" s="1028"/>
      <c r="S270" s="1029"/>
      <c r="T270" s="1028"/>
      <c r="U270" s="996"/>
      <c r="V270" s="951"/>
      <c r="W270" s="996"/>
      <c r="X270" s="951"/>
      <c r="Y270" s="976"/>
      <c r="Z270" s="977"/>
      <c r="AA270" s="976"/>
      <c r="AB270" s="977"/>
      <c r="AC270" s="976"/>
      <c r="AD270" s="977"/>
      <c r="AE270" s="976"/>
      <c r="AF270" s="977"/>
      <c r="AG270" s="976"/>
      <c r="AH270" s="977"/>
      <c r="AI270" s="976"/>
      <c r="AJ270" s="977"/>
      <c r="AK270" s="976"/>
      <c r="AL270" s="977"/>
      <c r="AM270" s="976"/>
      <c r="AN270" s="977"/>
      <c r="AO270" s="978"/>
      <c r="AP270" s="979"/>
      <c r="AQ270" s="950"/>
      <c r="AR270" s="951"/>
      <c r="AS270" s="966"/>
      <c r="AT270" s="976"/>
      <c r="AU270" s="976"/>
      <c r="AV270" s="980"/>
      <c r="AW270" s="980"/>
      <c r="AX270" s="975"/>
      <c r="AY270" t="str">
        <f t="shared" si="250"/>
        <v/>
      </c>
      <c r="CW270" s="1791" t="str">
        <f t="shared" si="251"/>
        <v/>
      </c>
      <c r="CX270" s="1791" t="str">
        <f t="shared" si="252"/>
        <v/>
      </c>
      <c r="CY270" s="1791" t="str">
        <f t="shared" si="253"/>
        <v/>
      </c>
      <c r="CZ270" s="1791" t="str">
        <f t="shared" si="254"/>
        <v/>
      </c>
      <c r="DA270" s="1791" t="str">
        <f t="shared" si="255"/>
        <v/>
      </c>
      <c r="DB270" s="1791" t="str">
        <f t="shared" si="256"/>
        <v/>
      </c>
      <c r="DC270"/>
      <c r="DD270"/>
      <c r="DE270"/>
      <c r="DG270" s="1793">
        <f t="shared" si="257"/>
        <v>0</v>
      </c>
      <c r="DH270" s="1793">
        <f t="shared" si="258"/>
        <v>0</v>
      </c>
      <c r="DI270" s="1793">
        <f t="shared" si="259"/>
        <v>0</v>
      </c>
      <c r="DJ270" s="1793">
        <f t="shared" si="260"/>
        <v>0</v>
      </c>
      <c r="DK270" s="1793">
        <f t="shared" si="261"/>
        <v>0</v>
      </c>
      <c r="DL270" s="1793">
        <f t="shared" si="262"/>
        <v>0</v>
      </c>
      <c r="DM270"/>
    </row>
    <row r="271" spans="1:117" ht="15" customHeight="1" x14ac:dyDescent="0.25">
      <c r="A271" s="7364"/>
      <c r="B271" s="7441" t="s">
        <v>912</v>
      </c>
      <c r="C271" s="7441"/>
      <c r="D271" s="971">
        <f t="shared" si="265"/>
        <v>0</v>
      </c>
      <c r="E271" s="1025">
        <f t="shared" si="264"/>
        <v>0</v>
      </c>
      <c r="F271" s="1026">
        <f t="shared" si="264"/>
        <v>0</v>
      </c>
      <c r="G271" s="1027"/>
      <c r="H271" s="1028"/>
      <c r="I271" s="1029"/>
      <c r="J271" s="1028"/>
      <c r="K271" s="1029"/>
      <c r="L271" s="1028"/>
      <c r="M271" s="996"/>
      <c r="N271" s="951"/>
      <c r="O271" s="996"/>
      <c r="P271" s="951"/>
      <c r="Q271" s="1029"/>
      <c r="R271" s="1028"/>
      <c r="S271" s="1029"/>
      <c r="T271" s="1028"/>
      <c r="U271" s="996"/>
      <c r="V271" s="951"/>
      <c r="W271" s="996"/>
      <c r="X271" s="951"/>
      <c r="Y271" s="976"/>
      <c r="Z271" s="977"/>
      <c r="AA271" s="976"/>
      <c r="AB271" s="977"/>
      <c r="AC271" s="976"/>
      <c r="AD271" s="977"/>
      <c r="AE271" s="976"/>
      <c r="AF271" s="977"/>
      <c r="AG271" s="976"/>
      <c r="AH271" s="977"/>
      <c r="AI271" s="976"/>
      <c r="AJ271" s="977"/>
      <c r="AK271" s="976"/>
      <c r="AL271" s="977"/>
      <c r="AM271" s="976"/>
      <c r="AN271" s="977"/>
      <c r="AO271" s="978"/>
      <c r="AP271" s="979"/>
      <c r="AQ271" s="950"/>
      <c r="AR271" s="951"/>
      <c r="AS271" s="996"/>
      <c r="AT271" s="976"/>
      <c r="AU271" s="976"/>
      <c r="AV271" s="980"/>
      <c r="AW271" s="980"/>
      <c r="AX271" s="975"/>
      <c r="AY271" t="str">
        <f t="shared" si="250"/>
        <v/>
      </c>
      <c r="CW271" s="1791" t="str">
        <f t="shared" si="251"/>
        <v/>
      </c>
      <c r="CX271" s="1791" t="str">
        <f t="shared" si="252"/>
        <v/>
      </c>
      <c r="CY271" s="1791" t="str">
        <f t="shared" si="253"/>
        <v/>
      </c>
      <c r="CZ271" s="1791" t="str">
        <f t="shared" si="254"/>
        <v/>
      </c>
      <c r="DA271" s="1791" t="str">
        <f t="shared" si="255"/>
        <v/>
      </c>
      <c r="DB271" s="1791" t="str">
        <f t="shared" si="256"/>
        <v/>
      </c>
      <c r="DC271"/>
      <c r="DD271"/>
      <c r="DE271"/>
      <c r="DG271" s="1793">
        <f t="shared" si="257"/>
        <v>0</v>
      </c>
      <c r="DH271" s="1793">
        <f t="shared" si="258"/>
        <v>0</v>
      </c>
      <c r="DI271" s="1793">
        <f t="shared" si="259"/>
        <v>0</v>
      </c>
      <c r="DJ271" s="1793">
        <f t="shared" si="260"/>
        <v>0</v>
      </c>
      <c r="DK271" s="1793">
        <f t="shared" si="261"/>
        <v>0</v>
      </c>
      <c r="DL271" s="1793">
        <f t="shared" si="262"/>
        <v>0</v>
      </c>
      <c r="DM271"/>
    </row>
    <row r="272" spans="1:117" ht="15" customHeight="1" x14ac:dyDescent="0.25">
      <c r="A272" s="7364"/>
      <c r="B272" s="7442" t="s">
        <v>913</v>
      </c>
      <c r="C272" s="7443"/>
      <c r="D272" s="971">
        <f t="shared" si="265"/>
        <v>0</v>
      </c>
      <c r="E272" s="1025">
        <f t="shared" si="264"/>
        <v>0</v>
      </c>
      <c r="F272" s="1026">
        <f t="shared" si="264"/>
        <v>0</v>
      </c>
      <c r="G272" s="1030"/>
      <c r="H272" s="1031"/>
      <c r="I272" s="1032"/>
      <c r="J272" s="1031"/>
      <c r="K272" s="1032"/>
      <c r="L272" s="1031"/>
      <c r="M272" s="950"/>
      <c r="N272" s="951"/>
      <c r="O272" s="950"/>
      <c r="P272" s="951"/>
      <c r="Q272" s="1032"/>
      <c r="R272" s="1031"/>
      <c r="S272" s="1032"/>
      <c r="T272" s="1031"/>
      <c r="U272" s="950"/>
      <c r="V272" s="951"/>
      <c r="W272" s="950"/>
      <c r="X272" s="951"/>
      <c r="Y272" s="983"/>
      <c r="Z272" s="984"/>
      <c r="AA272" s="983"/>
      <c r="AB272" s="984"/>
      <c r="AC272" s="983"/>
      <c r="AD272" s="984"/>
      <c r="AE272" s="983"/>
      <c r="AF272" s="984"/>
      <c r="AG272" s="983"/>
      <c r="AH272" s="984"/>
      <c r="AI272" s="983"/>
      <c r="AJ272" s="984"/>
      <c r="AK272" s="983"/>
      <c r="AL272" s="984"/>
      <c r="AM272" s="983"/>
      <c r="AN272" s="984"/>
      <c r="AO272" s="985"/>
      <c r="AP272" s="986"/>
      <c r="AQ272" s="950"/>
      <c r="AR272" s="951"/>
      <c r="AS272" s="996"/>
      <c r="AT272" s="983"/>
      <c r="AU272" s="983"/>
      <c r="AV272" s="990"/>
      <c r="AW272" s="990"/>
      <c r="AX272" s="982"/>
      <c r="AY272" t="str">
        <f t="shared" si="250"/>
        <v/>
      </c>
      <c r="CW272" s="1791" t="str">
        <f t="shared" si="251"/>
        <v/>
      </c>
      <c r="CX272" s="1791" t="str">
        <f t="shared" si="252"/>
        <v/>
      </c>
      <c r="CY272" s="1791" t="str">
        <f t="shared" si="253"/>
        <v/>
      </c>
      <c r="CZ272" s="1791" t="str">
        <f t="shared" si="254"/>
        <v/>
      </c>
      <c r="DA272" s="1791" t="str">
        <f t="shared" si="255"/>
        <v/>
      </c>
      <c r="DB272" s="1791" t="str">
        <f t="shared" si="256"/>
        <v/>
      </c>
      <c r="DC272"/>
      <c r="DD272"/>
      <c r="DE272"/>
      <c r="DG272" s="1793">
        <f t="shared" si="257"/>
        <v>0</v>
      </c>
      <c r="DH272" s="1793">
        <f t="shared" si="258"/>
        <v>0</v>
      </c>
      <c r="DI272" s="1793">
        <f t="shared" si="259"/>
        <v>0</v>
      </c>
      <c r="DJ272" s="1793">
        <f t="shared" si="260"/>
        <v>0</v>
      </c>
      <c r="DK272" s="1793">
        <f t="shared" si="261"/>
        <v>0</v>
      </c>
      <c r="DL272" s="1793">
        <f t="shared" si="262"/>
        <v>0</v>
      </c>
      <c r="DM272"/>
    </row>
    <row r="273" spans="1:117" ht="15" customHeight="1" x14ac:dyDescent="0.25">
      <c r="A273" s="7364"/>
      <c r="B273" s="7442" t="s">
        <v>914</v>
      </c>
      <c r="C273" s="7443"/>
      <c r="D273" s="971">
        <f t="shared" si="265"/>
        <v>0</v>
      </c>
      <c r="E273" s="1025">
        <f t="shared" si="264"/>
        <v>0</v>
      </c>
      <c r="F273" s="1026">
        <f t="shared" si="264"/>
        <v>0</v>
      </c>
      <c r="G273" s="1030"/>
      <c r="H273" s="1031"/>
      <c r="I273" s="1032"/>
      <c r="J273" s="1031"/>
      <c r="K273" s="1032"/>
      <c r="L273" s="1031"/>
      <c r="M273" s="987"/>
      <c r="N273" s="988"/>
      <c r="O273" s="987"/>
      <c r="P273" s="988"/>
      <c r="Q273" s="1032"/>
      <c r="R273" s="1031"/>
      <c r="S273" s="1032"/>
      <c r="T273" s="1031"/>
      <c r="U273" s="987"/>
      <c r="V273" s="988"/>
      <c r="W273" s="987"/>
      <c r="X273" s="988"/>
      <c r="Y273" s="983"/>
      <c r="Z273" s="984"/>
      <c r="AA273" s="983"/>
      <c r="AB273" s="984"/>
      <c r="AC273" s="983"/>
      <c r="AD273" s="984"/>
      <c r="AE273" s="983"/>
      <c r="AF273" s="984"/>
      <c r="AG273" s="983"/>
      <c r="AH273" s="984"/>
      <c r="AI273" s="983"/>
      <c r="AJ273" s="984"/>
      <c r="AK273" s="983"/>
      <c r="AL273" s="984"/>
      <c r="AM273" s="983"/>
      <c r="AN273" s="984"/>
      <c r="AO273" s="985"/>
      <c r="AP273" s="986"/>
      <c r="AQ273" s="987"/>
      <c r="AR273" s="988"/>
      <c r="AS273" s="989"/>
      <c r="AT273" s="983"/>
      <c r="AU273" s="983"/>
      <c r="AV273" s="990"/>
      <c r="AW273" s="990"/>
      <c r="AX273" s="982"/>
      <c r="AY273" t="str">
        <f t="shared" si="250"/>
        <v/>
      </c>
      <c r="CW273" s="1791" t="str">
        <f t="shared" si="251"/>
        <v/>
      </c>
      <c r="CX273" s="1791" t="str">
        <f t="shared" si="252"/>
        <v/>
      </c>
      <c r="CY273" s="1791" t="str">
        <f t="shared" si="253"/>
        <v/>
      </c>
      <c r="CZ273" s="1791" t="str">
        <f t="shared" si="254"/>
        <v/>
      </c>
      <c r="DA273" s="1791" t="str">
        <f t="shared" si="255"/>
        <v/>
      </c>
      <c r="DB273" s="1791" t="str">
        <f t="shared" si="256"/>
        <v/>
      </c>
      <c r="DC273"/>
      <c r="DD273"/>
      <c r="DE273"/>
      <c r="DG273" s="1793">
        <f t="shared" si="257"/>
        <v>0</v>
      </c>
      <c r="DH273" s="1793">
        <f t="shared" si="258"/>
        <v>0</v>
      </c>
      <c r="DI273" s="1793">
        <f t="shared" si="259"/>
        <v>0</v>
      </c>
      <c r="DJ273" s="1793">
        <f t="shared" si="260"/>
        <v>0</v>
      </c>
      <c r="DK273" s="1793">
        <f t="shared" si="261"/>
        <v>0</v>
      </c>
      <c r="DL273" s="1793">
        <f t="shared" si="262"/>
        <v>0</v>
      </c>
      <c r="DM273"/>
    </row>
    <row r="274" spans="1:117" ht="15" customHeight="1" x14ac:dyDescent="0.25">
      <c r="A274" s="7484"/>
      <c r="B274" s="7460" t="s">
        <v>915</v>
      </c>
      <c r="C274" s="7460"/>
      <c r="D274" s="991">
        <f t="shared" si="265"/>
        <v>0</v>
      </c>
      <c r="E274" s="1033">
        <f t="shared" si="264"/>
        <v>0</v>
      </c>
      <c r="F274" s="1034">
        <f t="shared" si="264"/>
        <v>0</v>
      </c>
      <c r="G274" s="1035"/>
      <c r="H274" s="1036"/>
      <c r="I274" s="1037"/>
      <c r="J274" s="1036"/>
      <c r="K274" s="1037"/>
      <c r="L274" s="1036"/>
      <c r="M274" s="1035"/>
      <c r="N274" s="1036"/>
      <c r="O274" s="1035"/>
      <c r="P274" s="1036"/>
      <c r="Q274" s="1037"/>
      <c r="R274" s="1036"/>
      <c r="S274" s="1037"/>
      <c r="T274" s="1036"/>
      <c r="U274" s="1035"/>
      <c r="V274" s="1036"/>
      <c r="W274" s="1035"/>
      <c r="X274" s="1036"/>
      <c r="Y274" s="957"/>
      <c r="Z274" s="958"/>
      <c r="AA274" s="957"/>
      <c r="AB274" s="958"/>
      <c r="AC274" s="957"/>
      <c r="AD274" s="958"/>
      <c r="AE274" s="957"/>
      <c r="AF274" s="958"/>
      <c r="AG274" s="957"/>
      <c r="AH274" s="958"/>
      <c r="AI274" s="957"/>
      <c r="AJ274" s="958"/>
      <c r="AK274" s="957"/>
      <c r="AL274" s="958"/>
      <c r="AM274" s="957"/>
      <c r="AN274" s="958"/>
      <c r="AO274" s="959"/>
      <c r="AP274" s="960"/>
      <c r="AQ274" s="992"/>
      <c r="AR274" s="993"/>
      <c r="AS274" s="994"/>
      <c r="AT274" s="957"/>
      <c r="AU274" s="957"/>
      <c r="AV274" s="961"/>
      <c r="AW274" s="961"/>
      <c r="AX274" s="956"/>
      <c r="AY274" t="str">
        <f t="shared" si="250"/>
        <v/>
      </c>
      <c r="CW274" s="1791" t="str">
        <f t="shared" si="251"/>
        <v/>
      </c>
      <c r="CX274" s="1791" t="str">
        <f t="shared" si="252"/>
        <v/>
      </c>
      <c r="CY274" s="1791" t="str">
        <f t="shared" si="253"/>
        <v/>
      </c>
      <c r="CZ274" s="1791" t="str">
        <f t="shared" si="254"/>
        <v/>
      </c>
      <c r="DA274" s="1791" t="str">
        <f t="shared" si="255"/>
        <v/>
      </c>
      <c r="DB274" s="1791" t="str">
        <f t="shared" si="256"/>
        <v/>
      </c>
      <c r="DC274"/>
      <c r="DD274"/>
      <c r="DE274"/>
      <c r="DG274" s="1793">
        <f t="shared" si="257"/>
        <v>0</v>
      </c>
      <c r="DH274" s="1793">
        <f t="shared" si="258"/>
        <v>0</v>
      </c>
      <c r="DI274" s="1793">
        <f t="shared" si="259"/>
        <v>0</v>
      </c>
      <c r="DJ274" s="1793">
        <f t="shared" si="260"/>
        <v>0</v>
      </c>
      <c r="DK274" s="1793">
        <f t="shared" si="261"/>
        <v>0</v>
      </c>
      <c r="DL274" s="1793">
        <f t="shared" si="262"/>
        <v>0</v>
      </c>
      <c r="DM274"/>
    </row>
    <row r="275" spans="1:117" ht="15" customHeight="1" x14ac:dyDescent="0.25">
      <c r="A275" s="7481" t="s">
        <v>921</v>
      </c>
      <c r="B275" s="7440" t="s">
        <v>910</v>
      </c>
      <c r="C275" s="7440"/>
      <c r="D275" s="917">
        <f t="shared" si="265"/>
        <v>0</v>
      </c>
      <c r="E275" s="1038">
        <f t="shared" si="264"/>
        <v>0</v>
      </c>
      <c r="F275" s="1039">
        <f t="shared" si="264"/>
        <v>0</v>
      </c>
      <c r="G275" s="1045"/>
      <c r="H275" s="1044"/>
      <c r="I275" s="1043"/>
      <c r="J275" s="1044"/>
      <c r="K275" s="1043"/>
      <c r="L275" s="1044"/>
      <c r="M275" s="1043"/>
      <c r="N275" s="1044"/>
      <c r="O275" s="1043"/>
      <c r="P275" s="1044"/>
      <c r="Q275" s="1043"/>
      <c r="R275" s="1044"/>
      <c r="S275" s="1043"/>
      <c r="T275" s="1044"/>
      <c r="U275" s="1043"/>
      <c r="V275" s="1044"/>
      <c r="W275" s="1043"/>
      <c r="X275" s="1044"/>
      <c r="Y275" s="966"/>
      <c r="Z275" s="967"/>
      <c r="AA275" s="966"/>
      <c r="AB275" s="967"/>
      <c r="AC275" s="966"/>
      <c r="AD275" s="967"/>
      <c r="AE275" s="966"/>
      <c r="AF275" s="967"/>
      <c r="AG275" s="966"/>
      <c r="AH275" s="967"/>
      <c r="AI275" s="966"/>
      <c r="AJ275" s="967"/>
      <c r="AK275" s="966"/>
      <c r="AL275" s="967"/>
      <c r="AM275" s="966"/>
      <c r="AN275" s="967"/>
      <c r="AO275" s="968"/>
      <c r="AP275" s="969"/>
      <c r="AQ275" s="964"/>
      <c r="AR275" s="965"/>
      <c r="AS275" s="946"/>
      <c r="AT275" s="966"/>
      <c r="AU275" s="966"/>
      <c r="AV275" s="970"/>
      <c r="AW275" s="970"/>
      <c r="AX275" s="965"/>
      <c r="AY275" t="str">
        <f t="shared" si="250"/>
        <v/>
      </c>
      <c r="CW275" s="1791" t="str">
        <f t="shared" si="251"/>
        <v/>
      </c>
      <c r="CX275" s="1791" t="str">
        <f t="shared" si="252"/>
        <v/>
      </c>
      <c r="CY275" s="1791" t="str">
        <f t="shared" si="253"/>
        <v/>
      </c>
      <c r="CZ275" s="1791" t="str">
        <f t="shared" si="254"/>
        <v/>
      </c>
      <c r="DA275" s="1791" t="str">
        <f t="shared" si="255"/>
        <v/>
      </c>
      <c r="DB275" s="1791" t="str">
        <f t="shared" si="256"/>
        <v/>
      </c>
      <c r="DC275"/>
      <c r="DD275"/>
      <c r="DE275"/>
      <c r="DG275" s="1793">
        <f t="shared" si="257"/>
        <v>0</v>
      </c>
      <c r="DH275" s="1793">
        <f t="shared" si="258"/>
        <v>0</v>
      </c>
      <c r="DI275" s="1793">
        <f t="shared" si="259"/>
        <v>0</v>
      </c>
      <c r="DJ275" s="1793">
        <f t="shared" si="260"/>
        <v>0</v>
      </c>
      <c r="DK275" s="1793">
        <f t="shared" si="261"/>
        <v>0</v>
      </c>
      <c r="DL275" s="1793">
        <f t="shared" si="262"/>
        <v>0</v>
      </c>
      <c r="DM275"/>
    </row>
    <row r="276" spans="1:117" ht="15" customHeight="1" x14ac:dyDescent="0.25">
      <c r="A276" s="7482"/>
      <c r="B276" s="7441" t="s">
        <v>911</v>
      </c>
      <c r="C276" s="7441"/>
      <c r="D276" s="971">
        <f t="shared" si="265"/>
        <v>0</v>
      </c>
      <c r="E276" s="1025">
        <f t="shared" si="264"/>
        <v>0</v>
      </c>
      <c r="F276" s="1026">
        <f t="shared" si="264"/>
        <v>0</v>
      </c>
      <c r="G276" s="950"/>
      <c r="H276" s="951"/>
      <c r="I276" s="996"/>
      <c r="J276" s="951"/>
      <c r="K276" s="996"/>
      <c r="L276" s="951"/>
      <c r="M276" s="996"/>
      <c r="N276" s="951"/>
      <c r="O276" s="996"/>
      <c r="P276" s="951"/>
      <c r="Q276" s="996"/>
      <c r="R276" s="951"/>
      <c r="S276" s="996"/>
      <c r="T276" s="951"/>
      <c r="U276" s="996"/>
      <c r="V276" s="951"/>
      <c r="W276" s="996"/>
      <c r="X276" s="951"/>
      <c r="Y276" s="976"/>
      <c r="Z276" s="977"/>
      <c r="AA276" s="976"/>
      <c r="AB276" s="977"/>
      <c r="AC276" s="976"/>
      <c r="AD276" s="977"/>
      <c r="AE276" s="976"/>
      <c r="AF276" s="977"/>
      <c r="AG276" s="976"/>
      <c r="AH276" s="977"/>
      <c r="AI276" s="976"/>
      <c r="AJ276" s="977"/>
      <c r="AK276" s="976"/>
      <c r="AL276" s="977"/>
      <c r="AM276" s="976"/>
      <c r="AN276" s="977"/>
      <c r="AO276" s="978"/>
      <c r="AP276" s="979"/>
      <c r="AQ276" s="950"/>
      <c r="AR276" s="951"/>
      <c r="AS276" s="966"/>
      <c r="AT276" s="976"/>
      <c r="AU276" s="976"/>
      <c r="AV276" s="980"/>
      <c r="AW276" s="980"/>
      <c r="AX276" s="975"/>
      <c r="AY276" t="str">
        <f t="shared" si="250"/>
        <v/>
      </c>
      <c r="CW276" s="1791" t="str">
        <f t="shared" si="251"/>
        <v/>
      </c>
      <c r="CX276" s="1791" t="str">
        <f t="shared" si="252"/>
        <v/>
      </c>
      <c r="CY276" s="1791" t="str">
        <f t="shared" si="253"/>
        <v/>
      </c>
      <c r="CZ276" s="1791" t="str">
        <f t="shared" si="254"/>
        <v/>
      </c>
      <c r="DA276" s="1791" t="str">
        <f t="shared" si="255"/>
        <v/>
      </c>
      <c r="DB276" s="1791" t="str">
        <f t="shared" si="256"/>
        <v/>
      </c>
      <c r="DC276"/>
      <c r="DD276"/>
      <c r="DE276"/>
      <c r="DG276" s="1793">
        <f t="shared" si="257"/>
        <v>0</v>
      </c>
      <c r="DH276" s="1793">
        <f t="shared" si="258"/>
        <v>0</v>
      </c>
      <c r="DI276" s="1793">
        <f t="shared" si="259"/>
        <v>0</v>
      </c>
      <c r="DJ276" s="1793">
        <f t="shared" si="260"/>
        <v>0</v>
      </c>
      <c r="DK276" s="1793">
        <f t="shared" si="261"/>
        <v>0</v>
      </c>
      <c r="DL276" s="1793">
        <f t="shared" si="262"/>
        <v>0</v>
      </c>
      <c r="DM276"/>
    </row>
    <row r="277" spans="1:117" ht="15" customHeight="1" x14ac:dyDescent="0.25">
      <c r="A277" s="7482"/>
      <c r="B277" s="7441" t="s">
        <v>912</v>
      </c>
      <c r="C277" s="7441"/>
      <c r="D277" s="971">
        <f t="shared" si="265"/>
        <v>0</v>
      </c>
      <c r="E277" s="1025">
        <f t="shared" si="264"/>
        <v>0</v>
      </c>
      <c r="F277" s="1026">
        <f t="shared" si="264"/>
        <v>0</v>
      </c>
      <c r="G277" s="950"/>
      <c r="H277" s="951"/>
      <c r="I277" s="996"/>
      <c r="J277" s="951"/>
      <c r="K277" s="996"/>
      <c r="L277" s="951"/>
      <c r="M277" s="996"/>
      <c r="N277" s="951"/>
      <c r="O277" s="996"/>
      <c r="P277" s="951"/>
      <c r="Q277" s="996"/>
      <c r="R277" s="951"/>
      <c r="S277" s="996"/>
      <c r="T277" s="951"/>
      <c r="U277" s="996"/>
      <c r="V277" s="951"/>
      <c r="W277" s="996"/>
      <c r="X277" s="951"/>
      <c r="Y277" s="976"/>
      <c r="Z277" s="977"/>
      <c r="AA277" s="976"/>
      <c r="AB277" s="977"/>
      <c r="AC277" s="976"/>
      <c r="AD277" s="977"/>
      <c r="AE277" s="976"/>
      <c r="AF277" s="977"/>
      <c r="AG277" s="976"/>
      <c r="AH277" s="977"/>
      <c r="AI277" s="976"/>
      <c r="AJ277" s="977"/>
      <c r="AK277" s="976"/>
      <c r="AL277" s="977"/>
      <c r="AM277" s="976"/>
      <c r="AN277" s="977"/>
      <c r="AO277" s="978"/>
      <c r="AP277" s="979"/>
      <c r="AQ277" s="950"/>
      <c r="AR277" s="951"/>
      <c r="AS277" s="996"/>
      <c r="AT277" s="976"/>
      <c r="AU277" s="976"/>
      <c r="AV277" s="980"/>
      <c r="AW277" s="980"/>
      <c r="AX277" s="975"/>
      <c r="AY277" t="str">
        <f t="shared" si="250"/>
        <v/>
      </c>
      <c r="CW277" s="1791" t="str">
        <f t="shared" si="251"/>
        <v/>
      </c>
      <c r="CX277" s="1791" t="str">
        <f t="shared" si="252"/>
        <v/>
      </c>
      <c r="CY277" s="1791" t="str">
        <f t="shared" si="253"/>
        <v/>
      </c>
      <c r="CZ277" s="1791" t="str">
        <f t="shared" si="254"/>
        <v/>
      </c>
      <c r="DA277" s="1791" t="str">
        <f t="shared" si="255"/>
        <v/>
      </c>
      <c r="DB277" s="1791" t="str">
        <f t="shared" si="256"/>
        <v/>
      </c>
      <c r="DC277"/>
      <c r="DD277"/>
      <c r="DE277"/>
      <c r="DG277" s="1793">
        <f t="shared" si="257"/>
        <v>0</v>
      </c>
      <c r="DH277" s="1793">
        <f t="shared" si="258"/>
        <v>0</v>
      </c>
      <c r="DI277" s="1793">
        <f t="shared" si="259"/>
        <v>0</v>
      </c>
      <c r="DJ277" s="1793">
        <f t="shared" si="260"/>
        <v>0</v>
      </c>
      <c r="DK277" s="1793">
        <f t="shared" si="261"/>
        <v>0</v>
      </c>
      <c r="DL277" s="1793">
        <f t="shared" si="262"/>
        <v>0</v>
      </c>
      <c r="DM277"/>
    </row>
    <row r="278" spans="1:117" ht="15" customHeight="1" x14ac:dyDescent="0.25">
      <c r="A278" s="7482"/>
      <c r="B278" s="7442" t="s">
        <v>913</v>
      </c>
      <c r="C278" s="7443"/>
      <c r="D278" s="971">
        <f t="shared" si="265"/>
        <v>0</v>
      </c>
      <c r="E278" s="1046">
        <f t="shared" si="264"/>
        <v>0</v>
      </c>
      <c r="F278" s="1047">
        <f t="shared" si="264"/>
        <v>0</v>
      </c>
      <c r="G278" s="950"/>
      <c r="H278" s="951"/>
      <c r="I278" s="996"/>
      <c r="J278" s="951"/>
      <c r="K278" s="996"/>
      <c r="L278" s="951"/>
      <c r="M278" s="996"/>
      <c r="N278" s="951"/>
      <c r="O278" s="996"/>
      <c r="P278" s="951"/>
      <c r="Q278" s="996"/>
      <c r="R278" s="951"/>
      <c r="S278" s="996"/>
      <c r="T278" s="951"/>
      <c r="U278" s="996"/>
      <c r="V278" s="951"/>
      <c r="W278" s="996"/>
      <c r="X278" s="951"/>
      <c r="Y278" s="976"/>
      <c r="Z278" s="977"/>
      <c r="AA278" s="976"/>
      <c r="AB278" s="977"/>
      <c r="AC278" s="976"/>
      <c r="AD278" s="977"/>
      <c r="AE278" s="976"/>
      <c r="AF278" s="977"/>
      <c r="AG278" s="976"/>
      <c r="AH278" s="977"/>
      <c r="AI278" s="976"/>
      <c r="AJ278" s="977"/>
      <c r="AK278" s="976"/>
      <c r="AL278" s="977"/>
      <c r="AM278" s="976"/>
      <c r="AN278" s="977"/>
      <c r="AO278" s="985"/>
      <c r="AP278" s="986"/>
      <c r="AQ278" s="950"/>
      <c r="AR278" s="951"/>
      <c r="AS278" s="996"/>
      <c r="AT278" s="983"/>
      <c r="AU278" s="983"/>
      <c r="AV278" s="990"/>
      <c r="AW278" s="990"/>
      <c r="AX278" s="982"/>
      <c r="AY278" t="str">
        <f t="shared" si="250"/>
        <v/>
      </c>
      <c r="CW278" s="1791" t="str">
        <f t="shared" si="251"/>
        <v/>
      </c>
      <c r="CX278" s="1791" t="str">
        <f t="shared" si="252"/>
        <v/>
      </c>
      <c r="CY278" s="1791" t="str">
        <f t="shared" si="253"/>
        <v/>
      </c>
      <c r="CZ278" s="1791" t="str">
        <f t="shared" si="254"/>
        <v/>
      </c>
      <c r="DA278" s="1791" t="str">
        <f t="shared" si="255"/>
        <v/>
      </c>
      <c r="DB278" s="1791" t="str">
        <f t="shared" si="256"/>
        <v/>
      </c>
      <c r="DC278"/>
      <c r="DD278"/>
      <c r="DE278"/>
      <c r="DG278" s="1793">
        <f t="shared" si="257"/>
        <v>0</v>
      </c>
      <c r="DH278" s="1793">
        <f t="shared" si="258"/>
        <v>0</v>
      </c>
      <c r="DI278" s="1793">
        <f t="shared" si="259"/>
        <v>0</v>
      </c>
      <c r="DJ278" s="1793">
        <f t="shared" si="260"/>
        <v>0</v>
      </c>
      <c r="DK278" s="1793">
        <f t="shared" si="261"/>
        <v>0</v>
      </c>
      <c r="DL278" s="1793">
        <f t="shared" si="262"/>
        <v>0</v>
      </c>
      <c r="DM278"/>
    </row>
    <row r="279" spans="1:117" ht="15" customHeight="1" x14ac:dyDescent="0.25">
      <c r="A279" s="7482"/>
      <c r="B279" s="7442" t="s">
        <v>914</v>
      </c>
      <c r="C279" s="7443"/>
      <c r="D279" s="971">
        <f t="shared" si="265"/>
        <v>0</v>
      </c>
      <c r="E279" s="1046">
        <f t="shared" si="264"/>
        <v>0</v>
      </c>
      <c r="F279" s="1047">
        <f t="shared" si="264"/>
        <v>0</v>
      </c>
      <c r="G279" s="1048"/>
      <c r="H279" s="1049"/>
      <c r="I279" s="1050"/>
      <c r="J279" s="1049"/>
      <c r="K279" s="1050"/>
      <c r="L279" s="1049"/>
      <c r="M279" s="1050"/>
      <c r="N279" s="1049"/>
      <c r="O279" s="1050"/>
      <c r="P279" s="1049"/>
      <c r="Q279" s="1050"/>
      <c r="R279" s="1049"/>
      <c r="S279" s="1050"/>
      <c r="T279" s="1049"/>
      <c r="U279" s="1050"/>
      <c r="V279" s="1049"/>
      <c r="W279" s="1050"/>
      <c r="X279" s="1049"/>
      <c r="Y279" s="983"/>
      <c r="Z279" s="984"/>
      <c r="AA279" s="983"/>
      <c r="AB279" s="984"/>
      <c r="AC279" s="983"/>
      <c r="AD279" s="984"/>
      <c r="AE279" s="983"/>
      <c r="AF279" s="984"/>
      <c r="AG279" s="983"/>
      <c r="AH279" s="984"/>
      <c r="AI279" s="983"/>
      <c r="AJ279" s="984"/>
      <c r="AK279" s="983"/>
      <c r="AL279" s="984"/>
      <c r="AM279" s="983"/>
      <c r="AN279" s="984"/>
      <c r="AO279" s="985"/>
      <c r="AP279" s="986"/>
      <c r="AQ279" s="987"/>
      <c r="AR279" s="988"/>
      <c r="AS279" s="989"/>
      <c r="AT279" s="983"/>
      <c r="AU279" s="983"/>
      <c r="AV279" s="990"/>
      <c r="AW279" s="990"/>
      <c r="AX279" s="982"/>
      <c r="AY279" t="str">
        <f t="shared" si="250"/>
        <v/>
      </c>
      <c r="CW279" s="1791" t="str">
        <f t="shared" si="251"/>
        <v/>
      </c>
      <c r="CX279" s="1791" t="str">
        <f t="shared" si="252"/>
        <v/>
      </c>
      <c r="CY279" s="1791" t="str">
        <f t="shared" si="253"/>
        <v/>
      </c>
      <c r="CZ279" s="1791" t="str">
        <f t="shared" si="254"/>
        <v/>
      </c>
      <c r="DA279" s="1791" t="str">
        <f t="shared" si="255"/>
        <v/>
      </c>
      <c r="DB279" s="1791" t="str">
        <f t="shared" si="256"/>
        <v/>
      </c>
      <c r="DC279"/>
      <c r="DD279"/>
      <c r="DE279"/>
      <c r="DG279" s="1793">
        <f t="shared" si="257"/>
        <v>0</v>
      </c>
      <c r="DH279" s="1793">
        <f t="shared" si="258"/>
        <v>0</v>
      </c>
      <c r="DI279" s="1793">
        <f t="shared" si="259"/>
        <v>0</v>
      </c>
      <c r="DJ279" s="1793">
        <f t="shared" si="260"/>
        <v>0</v>
      </c>
      <c r="DK279" s="1793">
        <f t="shared" si="261"/>
        <v>0</v>
      </c>
      <c r="DL279" s="1793">
        <f t="shared" si="262"/>
        <v>0</v>
      </c>
      <c r="DM279"/>
    </row>
    <row r="280" spans="1:117" ht="15" customHeight="1" x14ac:dyDescent="0.25">
      <c r="A280" s="7483"/>
      <c r="B280" s="7460" t="s">
        <v>915</v>
      </c>
      <c r="C280" s="7460"/>
      <c r="D280" s="1007">
        <f t="shared" si="265"/>
        <v>0</v>
      </c>
      <c r="E280" s="1051">
        <f t="shared" si="264"/>
        <v>0</v>
      </c>
      <c r="F280" s="1009">
        <f t="shared" si="264"/>
        <v>0</v>
      </c>
      <c r="G280" s="1014"/>
      <c r="H280" s="1052"/>
      <c r="I280" s="1053"/>
      <c r="J280" s="1052"/>
      <c r="K280" s="1053"/>
      <c r="L280" s="1052"/>
      <c r="M280" s="1053"/>
      <c r="N280" s="1052"/>
      <c r="O280" s="1053"/>
      <c r="P280" s="1052"/>
      <c r="Q280" s="1053"/>
      <c r="R280" s="1052"/>
      <c r="S280" s="1053"/>
      <c r="T280" s="1052"/>
      <c r="U280" s="1053"/>
      <c r="V280" s="1052"/>
      <c r="W280" s="1053"/>
      <c r="X280" s="1052"/>
      <c r="Y280" s="957"/>
      <c r="Z280" s="958"/>
      <c r="AA280" s="957"/>
      <c r="AB280" s="958"/>
      <c r="AC280" s="957"/>
      <c r="AD280" s="958"/>
      <c r="AE280" s="957"/>
      <c r="AF280" s="958"/>
      <c r="AG280" s="957"/>
      <c r="AH280" s="958"/>
      <c r="AI280" s="957"/>
      <c r="AJ280" s="958"/>
      <c r="AK280" s="957"/>
      <c r="AL280" s="958"/>
      <c r="AM280" s="957"/>
      <c r="AN280" s="958"/>
      <c r="AO280" s="959"/>
      <c r="AP280" s="960"/>
      <c r="AQ280" s="992"/>
      <c r="AR280" s="993"/>
      <c r="AS280" s="994"/>
      <c r="AT280" s="957"/>
      <c r="AU280" s="957"/>
      <c r="AV280" s="961"/>
      <c r="AW280" s="961"/>
      <c r="AX280" s="956"/>
      <c r="AY280" t="str">
        <f t="shared" si="250"/>
        <v/>
      </c>
      <c r="CW280" s="1791" t="str">
        <f t="shared" si="251"/>
        <v/>
      </c>
      <c r="CX280" s="1791" t="str">
        <f t="shared" si="252"/>
        <v/>
      </c>
      <c r="CY280" s="1791" t="str">
        <f t="shared" si="253"/>
        <v/>
      </c>
      <c r="CZ280" s="1791" t="str">
        <f t="shared" si="254"/>
        <v/>
      </c>
      <c r="DA280" s="1791" t="str">
        <f t="shared" si="255"/>
        <v/>
      </c>
      <c r="DB280" s="1791" t="str">
        <f t="shared" si="256"/>
        <v/>
      </c>
      <c r="DC280"/>
      <c r="DD280"/>
      <c r="DE280"/>
      <c r="DG280" s="1793">
        <f t="shared" si="257"/>
        <v>0</v>
      </c>
      <c r="DH280" s="1793">
        <f t="shared" si="258"/>
        <v>0</v>
      </c>
      <c r="DI280" s="1793">
        <f t="shared" si="259"/>
        <v>0</v>
      </c>
      <c r="DJ280" s="1793">
        <f t="shared" si="260"/>
        <v>0</v>
      </c>
      <c r="DK280" s="1793">
        <f t="shared" si="261"/>
        <v>0</v>
      </c>
      <c r="DL280" s="1793">
        <f t="shared" si="262"/>
        <v>0</v>
      </c>
      <c r="DM280"/>
    </row>
    <row r="281" spans="1:117" ht="15" customHeight="1" x14ac:dyDescent="0.25">
      <c r="A281" s="7479" t="s">
        <v>922</v>
      </c>
      <c r="B281" s="7440" t="s">
        <v>910</v>
      </c>
      <c r="C281" s="7440"/>
      <c r="D281" s="917">
        <f t="shared" si="265"/>
        <v>0</v>
      </c>
      <c r="E281" s="962">
        <f t="shared" ref="E281:F298" si="266">SUM(G281+I281+K281+M281+O281+Q281+S281+U281+W281+Y281+AA281+AC281+AE281+AG281+AI281+AK281+AM281)</f>
        <v>0</v>
      </c>
      <c r="F281" s="963">
        <f t="shared" si="266"/>
        <v>0</v>
      </c>
      <c r="G281" s="964"/>
      <c r="H281" s="965"/>
      <c r="I281" s="966"/>
      <c r="J281" s="965"/>
      <c r="K281" s="966"/>
      <c r="L281" s="965"/>
      <c r="M281" s="966"/>
      <c r="N281" s="965"/>
      <c r="O281" s="966"/>
      <c r="P281" s="965"/>
      <c r="Q281" s="966"/>
      <c r="R281" s="965"/>
      <c r="S281" s="966"/>
      <c r="T281" s="965"/>
      <c r="U281" s="966"/>
      <c r="V281" s="967"/>
      <c r="W281" s="966"/>
      <c r="X281" s="967"/>
      <c r="Y281" s="966"/>
      <c r="Z281" s="967"/>
      <c r="AA281" s="966"/>
      <c r="AB281" s="967"/>
      <c r="AC281" s="966"/>
      <c r="AD281" s="967"/>
      <c r="AE281" s="966"/>
      <c r="AF281" s="967"/>
      <c r="AG281" s="966"/>
      <c r="AH281" s="967"/>
      <c r="AI281" s="966"/>
      <c r="AJ281" s="967"/>
      <c r="AK281" s="966"/>
      <c r="AL281" s="967"/>
      <c r="AM281" s="966"/>
      <c r="AN281" s="967"/>
      <c r="AO281" s="968"/>
      <c r="AP281" s="969"/>
      <c r="AQ281" s="964"/>
      <c r="AR281" s="965"/>
      <c r="AS281" s="946"/>
      <c r="AT281" s="966"/>
      <c r="AU281" s="966"/>
      <c r="AV281" s="970"/>
      <c r="AW281" s="970"/>
      <c r="AX281" s="965"/>
      <c r="AY281" t="str">
        <f t="shared" si="250"/>
        <v/>
      </c>
      <c r="CW281" s="1791" t="str">
        <f t="shared" si="251"/>
        <v/>
      </c>
      <c r="CX281" s="1791" t="str">
        <f t="shared" si="252"/>
        <v/>
      </c>
      <c r="CY281" s="1791" t="str">
        <f t="shared" si="253"/>
        <v/>
      </c>
      <c r="CZ281" s="1791" t="str">
        <f t="shared" si="254"/>
        <v/>
      </c>
      <c r="DA281" s="1791" t="str">
        <f t="shared" si="255"/>
        <v/>
      </c>
      <c r="DB281" s="1791" t="str">
        <f t="shared" si="256"/>
        <v/>
      </c>
      <c r="DC281"/>
      <c r="DD281"/>
      <c r="DE281"/>
      <c r="DG281" s="1793">
        <f t="shared" si="257"/>
        <v>0</v>
      </c>
      <c r="DH281" s="1793">
        <f t="shared" si="258"/>
        <v>0</v>
      </c>
      <c r="DI281" s="1793">
        <f t="shared" si="259"/>
        <v>0</v>
      </c>
      <c r="DJ281" s="1793">
        <f t="shared" si="260"/>
        <v>0</v>
      </c>
      <c r="DK281" s="1793">
        <f t="shared" si="261"/>
        <v>0</v>
      </c>
      <c r="DL281" s="1793">
        <f t="shared" si="262"/>
        <v>0</v>
      </c>
      <c r="DM281"/>
    </row>
    <row r="282" spans="1:117" ht="15" customHeight="1" x14ac:dyDescent="0.25">
      <c r="A282" s="7364"/>
      <c r="B282" s="7441" t="s">
        <v>911</v>
      </c>
      <c r="C282" s="7441"/>
      <c r="D282" s="971">
        <f t="shared" si="265"/>
        <v>0</v>
      </c>
      <c r="E282" s="972">
        <f t="shared" si="266"/>
        <v>0</v>
      </c>
      <c r="F282" s="973">
        <f t="shared" si="266"/>
        <v>0</v>
      </c>
      <c r="G282" s="974"/>
      <c r="H282" s="975"/>
      <c r="I282" s="976"/>
      <c r="J282" s="975"/>
      <c r="K282" s="976"/>
      <c r="L282" s="975"/>
      <c r="M282" s="976"/>
      <c r="N282" s="975"/>
      <c r="O282" s="976"/>
      <c r="P282" s="975"/>
      <c r="Q282" s="976"/>
      <c r="R282" s="975"/>
      <c r="S282" s="976"/>
      <c r="T282" s="975"/>
      <c r="U282" s="976"/>
      <c r="V282" s="977"/>
      <c r="W282" s="976"/>
      <c r="X282" s="977"/>
      <c r="Y282" s="976"/>
      <c r="Z282" s="977"/>
      <c r="AA282" s="976"/>
      <c r="AB282" s="977"/>
      <c r="AC282" s="976"/>
      <c r="AD282" s="977"/>
      <c r="AE282" s="976"/>
      <c r="AF282" s="977"/>
      <c r="AG282" s="976"/>
      <c r="AH282" s="977"/>
      <c r="AI282" s="976"/>
      <c r="AJ282" s="977"/>
      <c r="AK282" s="976"/>
      <c r="AL282" s="977"/>
      <c r="AM282" s="976"/>
      <c r="AN282" s="977"/>
      <c r="AO282" s="978"/>
      <c r="AP282" s="979"/>
      <c r="AQ282" s="950"/>
      <c r="AR282" s="951"/>
      <c r="AS282" s="966"/>
      <c r="AT282" s="976"/>
      <c r="AU282" s="976"/>
      <c r="AV282" s="980"/>
      <c r="AW282" s="980"/>
      <c r="AX282" s="975"/>
      <c r="AY282" t="str">
        <f t="shared" si="250"/>
        <v/>
      </c>
      <c r="CW282" s="1791" t="str">
        <f t="shared" si="251"/>
        <v/>
      </c>
      <c r="CX282" s="1791" t="str">
        <f t="shared" si="252"/>
        <v/>
      </c>
      <c r="CY282" s="1791" t="str">
        <f t="shared" si="253"/>
        <v/>
      </c>
      <c r="CZ282" s="1791" t="str">
        <f t="shared" si="254"/>
        <v/>
      </c>
      <c r="DA282" s="1791" t="str">
        <f t="shared" si="255"/>
        <v/>
      </c>
      <c r="DB282" s="1791" t="str">
        <f t="shared" si="256"/>
        <v/>
      </c>
      <c r="DC282"/>
      <c r="DD282"/>
      <c r="DE282"/>
      <c r="DG282" s="1793">
        <f t="shared" si="257"/>
        <v>0</v>
      </c>
      <c r="DH282" s="1793">
        <f t="shared" si="258"/>
        <v>0</v>
      </c>
      <c r="DI282" s="1793">
        <f t="shared" si="259"/>
        <v>0</v>
      </c>
      <c r="DJ282" s="1793">
        <f t="shared" si="260"/>
        <v>0</v>
      </c>
      <c r="DK282" s="1793">
        <f t="shared" si="261"/>
        <v>0</v>
      </c>
      <c r="DL282" s="1793">
        <f t="shared" si="262"/>
        <v>0</v>
      </c>
      <c r="DM282"/>
    </row>
    <row r="283" spans="1:117" ht="15" customHeight="1" x14ac:dyDescent="0.25">
      <c r="A283" s="7364"/>
      <c r="B283" s="7441" t="s">
        <v>912</v>
      </c>
      <c r="C283" s="7441"/>
      <c r="D283" s="971">
        <f t="shared" si="265"/>
        <v>0</v>
      </c>
      <c r="E283" s="972">
        <f t="shared" si="266"/>
        <v>0</v>
      </c>
      <c r="F283" s="973">
        <f t="shared" si="266"/>
        <v>0</v>
      </c>
      <c r="G283" s="974"/>
      <c r="H283" s="975"/>
      <c r="I283" s="976"/>
      <c r="J283" s="975"/>
      <c r="K283" s="976"/>
      <c r="L283" s="975"/>
      <c r="M283" s="976"/>
      <c r="N283" s="975"/>
      <c r="O283" s="976"/>
      <c r="P283" s="975"/>
      <c r="Q283" s="976"/>
      <c r="R283" s="975"/>
      <c r="S283" s="976"/>
      <c r="T283" s="975"/>
      <c r="U283" s="976"/>
      <c r="V283" s="977"/>
      <c r="W283" s="976"/>
      <c r="X283" s="977"/>
      <c r="Y283" s="976"/>
      <c r="Z283" s="977"/>
      <c r="AA283" s="976"/>
      <c r="AB283" s="977"/>
      <c r="AC283" s="976"/>
      <c r="AD283" s="977"/>
      <c r="AE283" s="976"/>
      <c r="AF283" s="977"/>
      <c r="AG283" s="976"/>
      <c r="AH283" s="977"/>
      <c r="AI283" s="976"/>
      <c r="AJ283" s="977"/>
      <c r="AK283" s="976"/>
      <c r="AL283" s="977"/>
      <c r="AM283" s="976"/>
      <c r="AN283" s="977"/>
      <c r="AO283" s="978"/>
      <c r="AP283" s="979"/>
      <c r="AQ283" s="950"/>
      <c r="AR283" s="951"/>
      <c r="AS283" s="996"/>
      <c r="AT283" s="976"/>
      <c r="AU283" s="976"/>
      <c r="AV283" s="980"/>
      <c r="AW283" s="980"/>
      <c r="AX283" s="975"/>
      <c r="AY283" t="str">
        <f t="shared" si="250"/>
        <v/>
      </c>
      <c r="CW283" s="1791" t="str">
        <f t="shared" si="251"/>
        <v/>
      </c>
      <c r="CX283" s="1791" t="str">
        <f t="shared" si="252"/>
        <v/>
      </c>
      <c r="CY283" s="1791" t="str">
        <f t="shared" si="253"/>
        <v/>
      </c>
      <c r="CZ283" s="1791" t="str">
        <f t="shared" si="254"/>
        <v/>
      </c>
      <c r="DA283" s="1791" t="str">
        <f t="shared" si="255"/>
        <v/>
      </c>
      <c r="DB283" s="1791" t="str">
        <f t="shared" si="256"/>
        <v/>
      </c>
      <c r="DC283"/>
      <c r="DD283"/>
      <c r="DE283"/>
      <c r="DG283" s="1793">
        <f t="shared" si="257"/>
        <v>0</v>
      </c>
      <c r="DH283" s="1793">
        <f t="shared" si="258"/>
        <v>0</v>
      </c>
      <c r="DI283" s="1793">
        <f t="shared" si="259"/>
        <v>0</v>
      </c>
      <c r="DJ283" s="1793">
        <f t="shared" si="260"/>
        <v>0</v>
      </c>
      <c r="DK283" s="1793">
        <f t="shared" si="261"/>
        <v>0</v>
      </c>
      <c r="DL283" s="1793">
        <f t="shared" si="262"/>
        <v>0</v>
      </c>
      <c r="DM283"/>
    </row>
    <row r="284" spans="1:117" ht="15" customHeight="1" x14ac:dyDescent="0.25">
      <c r="A284" s="7364"/>
      <c r="B284" s="7442" t="s">
        <v>913</v>
      </c>
      <c r="C284" s="7443"/>
      <c r="D284" s="971">
        <f t="shared" si="265"/>
        <v>0</v>
      </c>
      <c r="E284" s="972">
        <f t="shared" si="266"/>
        <v>0</v>
      </c>
      <c r="F284" s="973">
        <f t="shared" si="266"/>
        <v>0</v>
      </c>
      <c r="G284" s="981"/>
      <c r="H284" s="982"/>
      <c r="I284" s="983"/>
      <c r="J284" s="982"/>
      <c r="K284" s="983"/>
      <c r="L284" s="982"/>
      <c r="M284" s="983"/>
      <c r="N284" s="982"/>
      <c r="O284" s="983"/>
      <c r="P284" s="982"/>
      <c r="Q284" s="983"/>
      <c r="R284" s="982"/>
      <c r="S284" s="983"/>
      <c r="T284" s="982"/>
      <c r="U284" s="983"/>
      <c r="V284" s="984"/>
      <c r="W284" s="983"/>
      <c r="X284" s="984"/>
      <c r="Y284" s="983"/>
      <c r="Z284" s="984"/>
      <c r="AA284" s="983"/>
      <c r="AB284" s="984"/>
      <c r="AC284" s="983"/>
      <c r="AD284" s="984"/>
      <c r="AE284" s="983"/>
      <c r="AF284" s="984"/>
      <c r="AG284" s="983"/>
      <c r="AH284" s="984"/>
      <c r="AI284" s="983"/>
      <c r="AJ284" s="984"/>
      <c r="AK284" s="983"/>
      <c r="AL284" s="984"/>
      <c r="AM284" s="983"/>
      <c r="AN284" s="984"/>
      <c r="AO284" s="985"/>
      <c r="AP284" s="986"/>
      <c r="AQ284" s="950"/>
      <c r="AR284" s="951"/>
      <c r="AS284" s="996"/>
      <c r="AT284" s="983"/>
      <c r="AU284" s="983"/>
      <c r="AV284" s="990"/>
      <c r="AW284" s="990"/>
      <c r="AX284" s="982"/>
      <c r="AY284" t="str">
        <f t="shared" ref="AY284:AY298" si="267">CW284&amp;CX284&amp;CY284&amp;CZ284&amp;DA284&amp;DB284&amp;DC284</f>
        <v/>
      </c>
      <c r="CW284" s="1791" t="str">
        <f t="shared" ref="CW284:CW298" si="268">IF(AND(F284&gt;0,AO284=""),"  * No olvide digitar Embarazadas. Digite Cero si no tiene.",IF(AO284&gt;F284," * Las Embarazadas no pueden superar el Total Mujeres.",""))</f>
        <v/>
      </c>
      <c r="CX284" s="1791" t="str">
        <f t="shared" ref="CX284:CX298" si="269">IF(AND(D284&gt;0,AV284="")," * No olvide ingresar datos en Usuarios con Discapacidad. (Digite cero si no tiene).",IF(AV284&gt;D284," * La variable Usuarios con discapacidad No puede ser mayor al Total.",""))</f>
        <v/>
      </c>
      <c r="CY284" s="1791" t="str">
        <f t="shared" ref="CY284:CY298" si="270">IF(AND(D284&gt;0,AW284="")," * No olvide ingresar datos en Usuarios Oncológicos. (Digite cero si no tiene).",IF(AW284&gt;D284," * La variable Usuarios oncológicos No puede ser mayor al Total.",""))</f>
        <v/>
      </c>
      <c r="CZ284" s="1791" t="str">
        <f t="shared" ref="CZ284:CZ298" si="271">IF(AND((AI284+AJ284)&gt;0,AP284="")," * No olvide digitar la variable 60 años. Si no tiene digite Cero.",IF(AP284&gt;(AI284+AJ284), "* El número de pacientes de 60 años NO DEBE ser mayor a lo registrado en el grupo etario de 60 a 64 años.",""))</f>
        <v/>
      </c>
      <c r="DA284" s="1791" t="str">
        <f t="shared" ref="DA284:DA298" si="272">IF(AND(D284&gt;0,AX284="")," * No olvide ingresar datos en Usuarios Migrantes. (Digite cero si no tiene).","")</f>
        <v/>
      </c>
      <c r="DB284" s="1791" t="str">
        <f t="shared" ref="DB284:DB298" si="273">IF(AX284&gt;D284, "* Migrantes no puede ser mayor al Total","")</f>
        <v/>
      </c>
      <c r="DC284"/>
      <c r="DD284"/>
      <c r="DE284"/>
      <c r="DG284" s="1793">
        <f t="shared" ref="DG284:DG298" si="274">IF(AND(F284&gt;0,AO284=""),1,IF(AO284&gt;F284,1,0))</f>
        <v>0</v>
      </c>
      <c r="DH284" s="1793">
        <f t="shared" ref="DH284:DH298" si="275">IF(AND(D284&gt;0,AV284=""),1,IF(AV284&gt;D284,1,0))</f>
        <v>0</v>
      </c>
      <c r="DI284" s="1793">
        <f t="shared" ref="DI284:DI298" si="276">IF(AND(D284&gt;0,AW284=""),1,IF(AW284&gt;D284,1,0))</f>
        <v>0</v>
      </c>
      <c r="DJ284" s="1793">
        <f t="shared" ref="DJ284:DJ298" si="277">IF(AND((AI284+AJ284)&gt;0,AP284=""),1,IF(AP284&gt;(AI284+AJ284),1,0))</f>
        <v>0</v>
      </c>
      <c r="DK284" s="1793">
        <f t="shared" ref="DK284:DK298" si="278">IF(AND(D284&gt;0,AX284=""),1,0)</f>
        <v>0</v>
      </c>
      <c r="DL284" s="1793">
        <f t="shared" ref="DL284:DL298" si="279">IF(AX284&gt;D284,1,0)</f>
        <v>0</v>
      </c>
      <c r="DM284"/>
    </row>
    <row r="285" spans="1:117" ht="15" customHeight="1" x14ac:dyDescent="0.25">
      <c r="A285" s="7364"/>
      <c r="B285" s="7442" t="s">
        <v>914</v>
      </c>
      <c r="C285" s="7443"/>
      <c r="D285" s="971">
        <f t="shared" si="265"/>
        <v>0</v>
      </c>
      <c r="E285" s="972">
        <f t="shared" si="266"/>
        <v>0</v>
      </c>
      <c r="F285" s="973">
        <f t="shared" si="266"/>
        <v>0</v>
      </c>
      <c r="G285" s="981"/>
      <c r="H285" s="982"/>
      <c r="I285" s="983"/>
      <c r="J285" s="982"/>
      <c r="K285" s="983"/>
      <c r="L285" s="982"/>
      <c r="M285" s="983"/>
      <c r="N285" s="982"/>
      <c r="O285" s="983"/>
      <c r="P285" s="982"/>
      <c r="Q285" s="983"/>
      <c r="R285" s="982"/>
      <c r="S285" s="983"/>
      <c r="T285" s="982"/>
      <c r="U285" s="983"/>
      <c r="V285" s="984"/>
      <c r="W285" s="983"/>
      <c r="X285" s="984"/>
      <c r="Y285" s="983"/>
      <c r="Z285" s="984"/>
      <c r="AA285" s="983"/>
      <c r="AB285" s="984"/>
      <c r="AC285" s="983"/>
      <c r="AD285" s="984"/>
      <c r="AE285" s="983"/>
      <c r="AF285" s="984"/>
      <c r="AG285" s="983"/>
      <c r="AH285" s="984"/>
      <c r="AI285" s="983"/>
      <c r="AJ285" s="984"/>
      <c r="AK285" s="983"/>
      <c r="AL285" s="984"/>
      <c r="AM285" s="983"/>
      <c r="AN285" s="984"/>
      <c r="AO285" s="985"/>
      <c r="AP285" s="986"/>
      <c r="AQ285" s="987"/>
      <c r="AR285" s="988"/>
      <c r="AS285" s="989"/>
      <c r="AT285" s="983"/>
      <c r="AU285" s="983"/>
      <c r="AV285" s="990"/>
      <c r="AW285" s="990"/>
      <c r="AX285" s="982"/>
      <c r="AY285" t="str">
        <f t="shared" si="267"/>
        <v/>
      </c>
      <c r="CW285" s="1791" t="str">
        <f t="shared" si="268"/>
        <v/>
      </c>
      <c r="CX285" s="1791" t="str">
        <f t="shared" si="269"/>
        <v/>
      </c>
      <c r="CY285" s="1791" t="str">
        <f t="shared" si="270"/>
        <v/>
      </c>
      <c r="CZ285" s="1791" t="str">
        <f t="shared" si="271"/>
        <v/>
      </c>
      <c r="DA285" s="1791" t="str">
        <f t="shared" si="272"/>
        <v/>
      </c>
      <c r="DB285" s="1791" t="str">
        <f t="shared" si="273"/>
        <v/>
      </c>
      <c r="DC285"/>
      <c r="DD285"/>
      <c r="DE285"/>
      <c r="DG285" s="1793">
        <f t="shared" si="274"/>
        <v>0</v>
      </c>
      <c r="DH285" s="1793">
        <f t="shared" si="275"/>
        <v>0</v>
      </c>
      <c r="DI285" s="1793">
        <f t="shared" si="276"/>
        <v>0</v>
      </c>
      <c r="DJ285" s="1793">
        <f t="shared" si="277"/>
        <v>0</v>
      </c>
      <c r="DK285" s="1793">
        <f t="shared" si="278"/>
        <v>0</v>
      </c>
      <c r="DL285" s="1793">
        <f t="shared" si="279"/>
        <v>0</v>
      </c>
      <c r="DM285"/>
    </row>
    <row r="286" spans="1:117" ht="15" customHeight="1" x14ac:dyDescent="0.25">
      <c r="A286" s="7480"/>
      <c r="B286" s="7460" t="s">
        <v>915</v>
      </c>
      <c r="C286" s="7460"/>
      <c r="D286" s="991">
        <f t="shared" si="265"/>
        <v>0</v>
      </c>
      <c r="E286" s="95">
        <f t="shared" si="266"/>
        <v>0</v>
      </c>
      <c r="F286" s="208">
        <f t="shared" si="266"/>
        <v>0</v>
      </c>
      <c r="G286" s="955"/>
      <c r="H286" s="956"/>
      <c r="I286" s="957"/>
      <c r="J286" s="956"/>
      <c r="K286" s="957"/>
      <c r="L286" s="956"/>
      <c r="M286" s="957"/>
      <c r="N286" s="956"/>
      <c r="O286" s="957"/>
      <c r="P286" s="956"/>
      <c r="Q286" s="957"/>
      <c r="R286" s="956"/>
      <c r="S286" s="957"/>
      <c r="T286" s="956"/>
      <c r="U286" s="957"/>
      <c r="V286" s="958"/>
      <c r="W286" s="957"/>
      <c r="X286" s="958"/>
      <c r="Y286" s="957"/>
      <c r="Z286" s="958"/>
      <c r="AA286" s="957"/>
      <c r="AB286" s="958"/>
      <c r="AC286" s="957"/>
      <c r="AD286" s="958"/>
      <c r="AE286" s="957"/>
      <c r="AF286" s="958"/>
      <c r="AG286" s="957"/>
      <c r="AH286" s="958"/>
      <c r="AI286" s="957"/>
      <c r="AJ286" s="958"/>
      <c r="AK286" s="957"/>
      <c r="AL286" s="958"/>
      <c r="AM286" s="957"/>
      <c r="AN286" s="958"/>
      <c r="AO286" s="959"/>
      <c r="AP286" s="960"/>
      <c r="AQ286" s="992"/>
      <c r="AR286" s="993"/>
      <c r="AS286" s="994"/>
      <c r="AT286" s="957"/>
      <c r="AU286" s="957"/>
      <c r="AV286" s="961"/>
      <c r="AW286" s="961"/>
      <c r="AX286" s="956"/>
      <c r="AY286" t="str">
        <f t="shared" si="267"/>
        <v/>
      </c>
      <c r="CW286" s="1791" t="str">
        <f t="shared" si="268"/>
        <v/>
      </c>
      <c r="CX286" s="1791" t="str">
        <f t="shared" si="269"/>
        <v/>
      </c>
      <c r="CY286" s="1791" t="str">
        <f t="shared" si="270"/>
        <v/>
      </c>
      <c r="CZ286" s="1791" t="str">
        <f t="shared" si="271"/>
        <v/>
      </c>
      <c r="DA286" s="1791" t="str">
        <f t="shared" si="272"/>
        <v/>
      </c>
      <c r="DB286" s="1791" t="str">
        <f t="shared" si="273"/>
        <v/>
      </c>
      <c r="DC286"/>
      <c r="DD286"/>
      <c r="DE286"/>
      <c r="DG286" s="1793">
        <f t="shared" si="274"/>
        <v>0</v>
      </c>
      <c r="DH286" s="1793">
        <f t="shared" si="275"/>
        <v>0</v>
      </c>
      <c r="DI286" s="1793">
        <f t="shared" si="276"/>
        <v>0</v>
      </c>
      <c r="DJ286" s="1793">
        <f t="shared" si="277"/>
        <v>0</v>
      </c>
      <c r="DK286" s="1793">
        <f t="shared" si="278"/>
        <v>0</v>
      </c>
      <c r="DL286" s="1793">
        <f t="shared" si="279"/>
        <v>0</v>
      </c>
      <c r="DM286"/>
    </row>
    <row r="287" spans="1:117" ht="15" customHeight="1" x14ac:dyDescent="0.25">
      <c r="A287" s="7479" t="s">
        <v>756</v>
      </c>
      <c r="B287" s="7440" t="s">
        <v>910</v>
      </c>
      <c r="C287" s="7440"/>
      <c r="D287" s="917">
        <f t="shared" si="265"/>
        <v>0</v>
      </c>
      <c r="E287" s="962">
        <f t="shared" si="266"/>
        <v>0</v>
      </c>
      <c r="F287" s="963">
        <f t="shared" si="266"/>
        <v>0</v>
      </c>
      <c r="G287" s="964"/>
      <c r="H287" s="965"/>
      <c r="I287" s="966"/>
      <c r="J287" s="965"/>
      <c r="K287" s="966"/>
      <c r="L287" s="965"/>
      <c r="M287" s="966"/>
      <c r="N287" s="965"/>
      <c r="O287" s="966"/>
      <c r="P287" s="965"/>
      <c r="Q287" s="966"/>
      <c r="R287" s="965"/>
      <c r="S287" s="966"/>
      <c r="T287" s="965"/>
      <c r="U287" s="966"/>
      <c r="V287" s="967"/>
      <c r="W287" s="966"/>
      <c r="X287" s="967"/>
      <c r="Y287" s="966"/>
      <c r="Z287" s="967"/>
      <c r="AA287" s="966"/>
      <c r="AB287" s="967"/>
      <c r="AC287" s="966"/>
      <c r="AD287" s="967"/>
      <c r="AE287" s="966"/>
      <c r="AF287" s="967"/>
      <c r="AG287" s="966"/>
      <c r="AH287" s="967"/>
      <c r="AI287" s="966"/>
      <c r="AJ287" s="967"/>
      <c r="AK287" s="966"/>
      <c r="AL287" s="967"/>
      <c r="AM287" s="966"/>
      <c r="AN287" s="967"/>
      <c r="AO287" s="968"/>
      <c r="AP287" s="969"/>
      <c r="AQ287" s="964"/>
      <c r="AR287" s="965"/>
      <c r="AS287" s="946"/>
      <c r="AT287" s="966"/>
      <c r="AU287" s="966"/>
      <c r="AV287" s="970"/>
      <c r="AW287" s="970"/>
      <c r="AX287" s="965"/>
      <c r="AY287" t="str">
        <f t="shared" si="267"/>
        <v/>
      </c>
      <c r="CW287" s="1791" t="str">
        <f t="shared" si="268"/>
        <v/>
      </c>
      <c r="CX287" s="1791" t="str">
        <f t="shared" si="269"/>
        <v/>
      </c>
      <c r="CY287" s="1791" t="str">
        <f t="shared" si="270"/>
        <v/>
      </c>
      <c r="CZ287" s="1791" t="str">
        <f t="shared" si="271"/>
        <v/>
      </c>
      <c r="DA287" s="1791" t="str">
        <f t="shared" si="272"/>
        <v/>
      </c>
      <c r="DB287" s="1791" t="str">
        <f t="shared" si="273"/>
        <v/>
      </c>
      <c r="DC287"/>
      <c r="DD287"/>
      <c r="DE287"/>
      <c r="DG287" s="1793">
        <f t="shared" si="274"/>
        <v>0</v>
      </c>
      <c r="DH287" s="1793">
        <f t="shared" si="275"/>
        <v>0</v>
      </c>
      <c r="DI287" s="1793">
        <f t="shared" si="276"/>
        <v>0</v>
      </c>
      <c r="DJ287" s="1793">
        <f t="shared" si="277"/>
        <v>0</v>
      </c>
      <c r="DK287" s="1793">
        <f t="shared" si="278"/>
        <v>0</v>
      </c>
      <c r="DL287" s="1793">
        <f t="shared" si="279"/>
        <v>0</v>
      </c>
      <c r="DM287"/>
    </row>
    <row r="288" spans="1:117" ht="15" customHeight="1" x14ac:dyDescent="0.25">
      <c r="A288" s="7364"/>
      <c r="B288" s="7441" t="s">
        <v>911</v>
      </c>
      <c r="C288" s="7441"/>
      <c r="D288" s="971">
        <f t="shared" si="265"/>
        <v>0</v>
      </c>
      <c r="E288" s="972">
        <f t="shared" si="266"/>
        <v>0</v>
      </c>
      <c r="F288" s="973">
        <f t="shared" si="266"/>
        <v>0</v>
      </c>
      <c r="G288" s="974"/>
      <c r="H288" s="975"/>
      <c r="I288" s="976"/>
      <c r="J288" s="975"/>
      <c r="K288" s="976"/>
      <c r="L288" s="975"/>
      <c r="M288" s="976"/>
      <c r="N288" s="975"/>
      <c r="O288" s="976"/>
      <c r="P288" s="975"/>
      <c r="Q288" s="976"/>
      <c r="R288" s="975"/>
      <c r="S288" s="976"/>
      <c r="T288" s="975"/>
      <c r="U288" s="976"/>
      <c r="V288" s="977"/>
      <c r="W288" s="976"/>
      <c r="X288" s="977"/>
      <c r="Y288" s="976"/>
      <c r="Z288" s="977"/>
      <c r="AA288" s="976"/>
      <c r="AB288" s="977"/>
      <c r="AC288" s="976"/>
      <c r="AD288" s="977"/>
      <c r="AE288" s="976"/>
      <c r="AF288" s="977"/>
      <c r="AG288" s="976"/>
      <c r="AH288" s="977"/>
      <c r="AI288" s="976"/>
      <c r="AJ288" s="977"/>
      <c r="AK288" s="976"/>
      <c r="AL288" s="977"/>
      <c r="AM288" s="976"/>
      <c r="AN288" s="977"/>
      <c r="AO288" s="978"/>
      <c r="AP288" s="979"/>
      <c r="AQ288" s="950"/>
      <c r="AR288" s="951"/>
      <c r="AS288" s="966"/>
      <c r="AT288" s="976"/>
      <c r="AU288" s="976"/>
      <c r="AV288" s="980"/>
      <c r="AW288" s="980"/>
      <c r="AX288" s="975"/>
      <c r="AY288" t="str">
        <f t="shared" si="267"/>
        <v/>
      </c>
      <c r="CW288" s="1791" t="str">
        <f t="shared" si="268"/>
        <v/>
      </c>
      <c r="CX288" s="1791" t="str">
        <f t="shared" si="269"/>
        <v/>
      </c>
      <c r="CY288" s="1791" t="str">
        <f t="shared" si="270"/>
        <v/>
      </c>
      <c r="CZ288" s="1791" t="str">
        <f t="shared" si="271"/>
        <v/>
      </c>
      <c r="DA288" s="1791" t="str">
        <f t="shared" si="272"/>
        <v/>
      </c>
      <c r="DB288" s="1791" t="str">
        <f t="shared" si="273"/>
        <v/>
      </c>
      <c r="DC288"/>
      <c r="DD288"/>
      <c r="DE288"/>
      <c r="DG288" s="1793">
        <f t="shared" si="274"/>
        <v>0</v>
      </c>
      <c r="DH288" s="1793">
        <f t="shared" si="275"/>
        <v>0</v>
      </c>
      <c r="DI288" s="1793">
        <f t="shared" si="276"/>
        <v>0</v>
      </c>
      <c r="DJ288" s="1793">
        <f t="shared" si="277"/>
        <v>0</v>
      </c>
      <c r="DK288" s="1793">
        <f t="shared" si="278"/>
        <v>0</v>
      </c>
      <c r="DL288" s="1793">
        <f t="shared" si="279"/>
        <v>0</v>
      </c>
      <c r="DM288"/>
    </row>
    <row r="289" spans="1:117" ht="15" customHeight="1" x14ac:dyDescent="0.25">
      <c r="A289" s="7364"/>
      <c r="B289" s="7441" t="s">
        <v>912</v>
      </c>
      <c r="C289" s="7441"/>
      <c r="D289" s="971">
        <f t="shared" si="265"/>
        <v>0</v>
      </c>
      <c r="E289" s="972">
        <f t="shared" si="266"/>
        <v>0</v>
      </c>
      <c r="F289" s="973">
        <f t="shared" si="266"/>
        <v>0</v>
      </c>
      <c r="G289" s="974"/>
      <c r="H289" s="975"/>
      <c r="I289" s="976"/>
      <c r="J289" s="975"/>
      <c r="K289" s="976"/>
      <c r="L289" s="975"/>
      <c r="M289" s="976"/>
      <c r="N289" s="975"/>
      <c r="O289" s="976"/>
      <c r="P289" s="975"/>
      <c r="Q289" s="976"/>
      <c r="R289" s="975"/>
      <c r="S289" s="976"/>
      <c r="T289" s="975"/>
      <c r="U289" s="976"/>
      <c r="V289" s="977"/>
      <c r="W289" s="976"/>
      <c r="X289" s="977"/>
      <c r="Y289" s="976"/>
      <c r="Z289" s="977"/>
      <c r="AA289" s="976"/>
      <c r="AB289" s="977"/>
      <c r="AC289" s="976"/>
      <c r="AD289" s="977"/>
      <c r="AE289" s="976"/>
      <c r="AF289" s="977"/>
      <c r="AG289" s="976"/>
      <c r="AH289" s="977"/>
      <c r="AI289" s="976"/>
      <c r="AJ289" s="977"/>
      <c r="AK289" s="976"/>
      <c r="AL289" s="977"/>
      <c r="AM289" s="976"/>
      <c r="AN289" s="977"/>
      <c r="AO289" s="978"/>
      <c r="AP289" s="979"/>
      <c r="AQ289" s="950"/>
      <c r="AR289" s="951"/>
      <c r="AS289" s="996"/>
      <c r="AT289" s="976"/>
      <c r="AU289" s="976"/>
      <c r="AV289" s="980"/>
      <c r="AW289" s="980"/>
      <c r="AX289" s="975"/>
      <c r="AY289" t="str">
        <f t="shared" si="267"/>
        <v/>
      </c>
      <c r="CW289" s="1791" t="str">
        <f t="shared" si="268"/>
        <v/>
      </c>
      <c r="CX289" s="1791" t="str">
        <f t="shared" si="269"/>
        <v/>
      </c>
      <c r="CY289" s="1791" t="str">
        <f t="shared" si="270"/>
        <v/>
      </c>
      <c r="CZ289" s="1791" t="str">
        <f t="shared" si="271"/>
        <v/>
      </c>
      <c r="DA289" s="1791" t="str">
        <f t="shared" si="272"/>
        <v/>
      </c>
      <c r="DB289" s="1791" t="str">
        <f t="shared" si="273"/>
        <v/>
      </c>
      <c r="DC289"/>
      <c r="DD289"/>
      <c r="DE289"/>
      <c r="DG289" s="1793">
        <f t="shared" si="274"/>
        <v>0</v>
      </c>
      <c r="DH289" s="1793">
        <f t="shared" si="275"/>
        <v>0</v>
      </c>
      <c r="DI289" s="1793">
        <f t="shared" si="276"/>
        <v>0</v>
      </c>
      <c r="DJ289" s="1793">
        <f t="shared" si="277"/>
        <v>0</v>
      </c>
      <c r="DK289" s="1793">
        <f t="shared" si="278"/>
        <v>0</v>
      </c>
      <c r="DL289" s="1793">
        <f t="shared" si="279"/>
        <v>0</v>
      </c>
      <c r="DM289"/>
    </row>
    <row r="290" spans="1:117" ht="15" customHeight="1" x14ac:dyDescent="0.25">
      <c r="A290" s="7364"/>
      <c r="B290" s="7442" t="s">
        <v>913</v>
      </c>
      <c r="C290" s="7443"/>
      <c r="D290" s="971">
        <f t="shared" si="265"/>
        <v>0</v>
      </c>
      <c r="E290" s="972">
        <f t="shared" si="266"/>
        <v>0</v>
      </c>
      <c r="F290" s="973">
        <f t="shared" si="266"/>
        <v>0</v>
      </c>
      <c r="G290" s="981"/>
      <c r="H290" s="982"/>
      <c r="I290" s="983"/>
      <c r="J290" s="982"/>
      <c r="K290" s="983"/>
      <c r="L290" s="982"/>
      <c r="M290" s="983"/>
      <c r="N290" s="982"/>
      <c r="O290" s="983"/>
      <c r="P290" s="982"/>
      <c r="Q290" s="983"/>
      <c r="R290" s="982"/>
      <c r="S290" s="983"/>
      <c r="T290" s="982"/>
      <c r="U290" s="983"/>
      <c r="V290" s="984"/>
      <c r="W290" s="983"/>
      <c r="X290" s="984"/>
      <c r="Y290" s="983"/>
      <c r="Z290" s="984"/>
      <c r="AA290" s="983"/>
      <c r="AB290" s="984"/>
      <c r="AC290" s="983"/>
      <c r="AD290" s="984"/>
      <c r="AE290" s="983"/>
      <c r="AF290" s="984"/>
      <c r="AG290" s="983"/>
      <c r="AH290" s="984"/>
      <c r="AI290" s="983"/>
      <c r="AJ290" s="984"/>
      <c r="AK290" s="983"/>
      <c r="AL290" s="984"/>
      <c r="AM290" s="983"/>
      <c r="AN290" s="984"/>
      <c r="AO290" s="985"/>
      <c r="AP290" s="986"/>
      <c r="AQ290" s="950"/>
      <c r="AR290" s="951"/>
      <c r="AS290" s="996"/>
      <c r="AT290" s="983"/>
      <c r="AU290" s="983"/>
      <c r="AV290" s="990"/>
      <c r="AW290" s="990"/>
      <c r="AX290" s="982"/>
      <c r="AY290" t="str">
        <f t="shared" si="267"/>
        <v/>
      </c>
      <c r="CW290" s="1791" t="str">
        <f t="shared" si="268"/>
        <v/>
      </c>
      <c r="CX290" s="1791" t="str">
        <f t="shared" si="269"/>
        <v/>
      </c>
      <c r="CY290" s="1791" t="str">
        <f t="shared" si="270"/>
        <v/>
      </c>
      <c r="CZ290" s="1791" t="str">
        <f t="shared" si="271"/>
        <v/>
      </c>
      <c r="DA290" s="1791" t="str">
        <f t="shared" si="272"/>
        <v/>
      </c>
      <c r="DB290" s="1791" t="str">
        <f t="shared" si="273"/>
        <v/>
      </c>
      <c r="DC290"/>
      <c r="DD290"/>
      <c r="DE290"/>
      <c r="DG290" s="1793">
        <f t="shared" si="274"/>
        <v>0</v>
      </c>
      <c r="DH290" s="1793">
        <f t="shared" si="275"/>
        <v>0</v>
      </c>
      <c r="DI290" s="1793">
        <f t="shared" si="276"/>
        <v>0</v>
      </c>
      <c r="DJ290" s="1793">
        <f t="shared" si="277"/>
        <v>0</v>
      </c>
      <c r="DK290" s="1793">
        <f t="shared" si="278"/>
        <v>0</v>
      </c>
      <c r="DL290" s="1793">
        <f t="shared" si="279"/>
        <v>0</v>
      </c>
      <c r="DM290"/>
    </row>
    <row r="291" spans="1:117" ht="15" customHeight="1" x14ac:dyDescent="0.25">
      <c r="A291" s="7364"/>
      <c r="B291" s="7442" t="s">
        <v>914</v>
      </c>
      <c r="C291" s="7443"/>
      <c r="D291" s="971">
        <f t="shared" si="265"/>
        <v>0</v>
      </c>
      <c r="E291" s="972">
        <f t="shared" si="266"/>
        <v>0</v>
      </c>
      <c r="F291" s="973">
        <f t="shared" si="266"/>
        <v>0</v>
      </c>
      <c r="G291" s="981"/>
      <c r="H291" s="982"/>
      <c r="I291" s="983"/>
      <c r="J291" s="982"/>
      <c r="K291" s="983"/>
      <c r="L291" s="982"/>
      <c r="M291" s="983"/>
      <c r="N291" s="982"/>
      <c r="O291" s="983"/>
      <c r="P291" s="982"/>
      <c r="Q291" s="983"/>
      <c r="R291" s="982"/>
      <c r="S291" s="983"/>
      <c r="T291" s="982"/>
      <c r="U291" s="983"/>
      <c r="V291" s="984"/>
      <c r="W291" s="983"/>
      <c r="X291" s="984"/>
      <c r="Y291" s="983"/>
      <c r="Z291" s="984"/>
      <c r="AA291" s="983"/>
      <c r="AB291" s="984"/>
      <c r="AC291" s="983"/>
      <c r="AD291" s="984"/>
      <c r="AE291" s="983"/>
      <c r="AF291" s="984"/>
      <c r="AG291" s="983"/>
      <c r="AH291" s="984"/>
      <c r="AI291" s="983"/>
      <c r="AJ291" s="984"/>
      <c r="AK291" s="983"/>
      <c r="AL291" s="984"/>
      <c r="AM291" s="983"/>
      <c r="AN291" s="984"/>
      <c r="AO291" s="985"/>
      <c r="AP291" s="986"/>
      <c r="AQ291" s="987"/>
      <c r="AR291" s="988"/>
      <c r="AS291" s="989"/>
      <c r="AT291" s="983"/>
      <c r="AU291" s="983"/>
      <c r="AV291" s="990"/>
      <c r="AW291" s="990"/>
      <c r="AX291" s="982"/>
      <c r="AY291" t="str">
        <f t="shared" si="267"/>
        <v/>
      </c>
      <c r="CW291" s="1791" t="str">
        <f t="shared" si="268"/>
        <v/>
      </c>
      <c r="CX291" s="1791" t="str">
        <f t="shared" si="269"/>
        <v/>
      </c>
      <c r="CY291" s="1791" t="str">
        <f t="shared" si="270"/>
        <v/>
      </c>
      <c r="CZ291" s="1791" t="str">
        <f t="shared" si="271"/>
        <v/>
      </c>
      <c r="DA291" s="1791" t="str">
        <f t="shared" si="272"/>
        <v/>
      </c>
      <c r="DB291" s="1791" t="str">
        <f t="shared" si="273"/>
        <v/>
      </c>
      <c r="DC291"/>
      <c r="DD291"/>
      <c r="DE291"/>
      <c r="DG291" s="1793">
        <f t="shared" si="274"/>
        <v>0</v>
      </c>
      <c r="DH291" s="1793">
        <f t="shared" si="275"/>
        <v>0</v>
      </c>
      <c r="DI291" s="1793">
        <f t="shared" si="276"/>
        <v>0</v>
      </c>
      <c r="DJ291" s="1793">
        <f t="shared" si="277"/>
        <v>0</v>
      </c>
      <c r="DK291" s="1793">
        <f t="shared" si="278"/>
        <v>0</v>
      </c>
      <c r="DL291" s="1793">
        <f t="shared" si="279"/>
        <v>0</v>
      </c>
      <c r="DM291"/>
    </row>
    <row r="292" spans="1:117" ht="15" customHeight="1" x14ac:dyDescent="0.25">
      <c r="A292" s="7480"/>
      <c r="B292" s="7460" t="s">
        <v>915</v>
      </c>
      <c r="C292" s="7460"/>
      <c r="D292" s="991">
        <f t="shared" si="265"/>
        <v>0</v>
      </c>
      <c r="E292" s="95">
        <f t="shared" si="266"/>
        <v>0</v>
      </c>
      <c r="F292" s="208">
        <f t="shared" si="266"/>
        <v>0</v>
      </c>
      <c r="G292" s="955"/>
      <c r="H292" s="956"/>
      <c r="I292" s="957"/>
      <c r="J292" s="956"/>
      <c r="K292" s="957"/>
      <c r="L292" s="956"/>
      <c r="M292" s="957"/>
      <c r="N292" s="956"/>
      <c r="O292" s="957"/>
      <c r="P292" s="956"/>
      <c r="Q292" s="957"/>
      <c r="R292" s="956"/>
      <c r="S292" s="957"/>
      <c r="T292" s="956"/>
      <c r="U292" s="957"/>
      <c r="V292" s="958"/>
      <c r="W292" s="957"/>
      <c r="X292" s="958"/>
      <c r="Y292" s="957"/>
      <c r="Z292" s="958"/>
      <c r="AA292" s="957"/>
      <c r="AB292" s="958"/>
      <c r="AC292" s="957"/>
      <c r="AD292" s="958"/>
      <c r="AE292" s="957"/>
      <c r="AF292" s="958"/>
      <c r="AG292" s="957"/>
      <c r="AH292" s="958"/>
      <c r="AI292" s="957"/>
      <c r="AJ292" s="958"/>
      <c r="AK292" s="957"/>
      <c r="AL292" s="958"/>
      <c r="AM292" s="957"/>
      <c r="AN292" s="958"/>
      <c r="AO292" s="959"/>
      <c r="AP292" s="960"/>
      <c r="AQ292" s="992"/>
      <c r="AR292" s="993"/>
      <c r="AS292" s="994"/>
      <c r="AT292" s="957"/>
      <c r="AU292" s="957"/>
      <c r="AV292" s="961"/>
      <c r="AW292" s="961"/>
      <c r="AX292" s="956"/>
      <c r="AY292" t="str">
        <f t="shared" si="267"/>
        <v/>
      </c>
      <c r="CW292" s="1791" t="str">
        <f t="shared" si="268"/>
        <v/>
      </c>
      <c r="CX292" s="1791" t="str">
        <f t="shared" si="269"/>
        <v/>
      </c>
      <c r="CY292" s="1791" t="str">
        <f t="shared" si="270"/>
        <v/>
      </c>
      <c r="CZ292" s="1791" t="str">
        <f t="shared" si="271"/>
        <v/>
      </c>
      <c r="DA292" s="1791" t="str">
        <f t="shared" si="272"/>
        <v/>
      </c>
      <c r="DB292" s="1791" t="str">
        <f t="shared" si="273"/>
        <v/>
      </c>
      <c r="DC292"/>
      <c r="DD292"/>
      <c r="DE292"/>
      <c r="DG292" s="1793">
        <f t="shared" si="274"/>
        <v>0</v>
      </c>
      <c r="DH292" s="1793">
        <f t="shared" si="275"/>
        <v>0</v>
      </c>
      <c r="DI292" s="1793">
        <f t="shared" si="276"/>
        <v>0</v>
      </c>
      <c r="DJ292" s="1793">
        <f t="shared" si="277"/>
        <v>0</v>
      </c>
      <c r="DK292" s="1793">
        <f t="shared" si="278"/>
        <v>0</v>
      </c>
      <c r="DL292" s="1793">
        <f t="shared" si="279"/>
        <v>0</v>
      </c>
      <c r="DM292"/>
    </row>
    <row r="293" spans="1:117" ht="15" customHeight="1" x14ac:dyDescent="0.25">
      <c r="A293" s="6577" t="s">
        <v>758</v>
      </c>
      <c r="B293" s="7475" t="s">
        <v>910</v>
      </c>
      <c r="C293" s="7475"/>
      <c r="D293" s="5428">
        <f t="shared" si="265"/>
        <v>0</v>
      </c>
      <c r="E293" s="5703">
        <f t="shared" si="266"/>
        <v>0</v>
      </c>
      <c r="F293" s="5704">
        <f t="shared" si="266"/>
        <v>0</v>
      </c>
      <c r="G293" s="5705"/>
      <c r="H293" s="5706"/>
      <c r="I293" s="5707"/>
      <c r="J293" s="5706"/>
      <c r="K293" s="5707"/>
      <c r="L293" s="5706"/>
      <c r="M293" s="5707"/>
      <c r="N293" s="5706"/>
      <c r="O293" s="5707"/>
      <c r="P293" s="5706"/>
      <c r="Q293" s="5707"/>
      <c r="R293" s="5706"/>
      <c r="S293" s="5707"/>
      <c r="T293" s="5706"/>
      <c r="U293" s="5707"/>
      <c r="V293" s="5708"/>
      <c r="W293" s="5707"/>
      <c r="X293" s="5708"/>
      <c r="Y293" s="5707"/>
      <c r="Z293" s="5708"/>
      <c r="AA293" s="5707"/>
      <c r="AB293" s="5708"/>
      <c r="AC293" s="5707"/>
      <c r="AD293" s="5708"/>
      <c r="AE293" s="5707"/>
      <c r="AF293" s="5708"/>
      <c r="AG293" s="5707"/>
      <c r="AH293" s="5708"/>
      <c r="AI293" s="5707"/>
      <c r="AJ293" s="5708"/>
      <c r="AK293" s="5707"/>
      <c r="AL293" s="5708"/>
      <c r="AM293" s="5705"/>
      <c r="AN293" s="5709"/>
      <c r="AO293" s="5707"/>
      <c r="AP293" s="5710"/>
      <c r="AQ293" s="5705"/>
      <c r="AR293" s="5711"/>
      <c r="AS293" s="5712"/>
      <c r="AT293" s="5712"/>
      <c r="AU293" s="5712"/>
      <c r="AV293" s="5713"/>
      <c r="AW293" s="5713"/>
      <c r="AX293" s="5714"/>
      <c r="AY293" t="str">
        <f t="shared" si="267"/>
        <v/>
      </c>
      <c r="CW293" s="1791" t="str">
        <f t="shared" si="268"/>
        <v/>
      </c>
      <c r="CX293" s="1791" t="str">
        <f t="shared" si="269"/>
        <v/>
      </c>
      <c r="CY293" s="1791" t="str">
        <f t="shared" si="270"/>
        <v/>
      </c>
      <c r="CZ293" s="1791" t="str">
        <f t="shared" si="271"/>
        <v/>
      </c>
      <c r="DA293" s="1791" t="str">
        <f t="shared" si="272"/>
        <v/>
      </c>
      <c r="DB293" s="1791" t="str">
        <f t="shared" si="273"/>
        <v/>
      </c>
      <c r="DC293"/>
      <c r="DD293"/>
      <c r="DE293"/>
      <c r="DG293" s="1793">
        <f t="shared" si="274"/>
        <v>0</v>
      </c>
      <c r="DH293" s="1793">
        <f t="shared" si="275"/>
        <v>0</v>
      </c>
      <c r="DI293" s="1793">
        <f t="shared" si="276"/>
        <v>0</v>
      </c>
      <c r="DJ293" s="1793">
        <f t="shared" si="277"/>
        <v>0</v>
      </c>
      <c r="DK293" s="1793">
        <f t="shared" si="278"/>
        <v>0</v>
      </c>
      <c r="DL293" s="1793">
        <f t="shared" si="279"/>
        <v>0</v>
      </c>
      <c r="DM293"/>
    </row>
    <row r="294" spans="1:117" ht="15" customHeight="1" x14ac:dyDescent="0.25">
      <c r="A294" s="7474"/>
      <c r="B294" s="7476" t="s">
        <v>911</v>
      </c>
      <c r="C294" s="7476"/>
      <c r="D294" s="1054">
        <f t="shared" si="265"/>
        <v>0</v>
      </c>
      <c r="E294" s="5715">
        <f t="shared" si="266"/>
        <v>0</v>
      </c>
      <c r="F294" s="5716">
        <f t="shared" si="266"/>
        <v>0</v>
      </c>
      <c r="G294" s="5717"/>
      <c r="H294" s="5718"/>
      <c r="I294" s="5719"/>
      <c r="J294" s="5718"/>
      <c r="K294" s="5719"/>
      <c r="L294" s="5718"/>
      <c r="M294" s="5719"/>
      <c r="N294" s="5718"/>
      <c r="O294" s="5719"/>
      <c r="P294" s="5718"/>
      <c r="Q294" s="5719"/>
      <c r="R294" s="5718"/>
      <c r="S294" s="5719"/>
      <c r="T294" s="5718"/>
      <c r="U294" s="5719"/>
      <c r="V294" s="5720"/>
      <c r="W294" s="5719"/>
      <c r="X294" s="5720"/>
      <c r="Y294" s="5719"/>
      <c r="Z294" s="5720"/>
      <c r="AA294" s="5719"/>
      <c r="AB294" s="5720"/>
      <c r="AC294" s="5719"/>
      <c r="AD294" s="5720"/>
      <c r="AE294" s="5719"/>
      <c r="AF294" s="5720"/>
      <c r="AG294" s="5719"/>
      <c r="AH294" s="5720"/>
      <c r="AI294" s="5719"/>
      <c r="AJ294" s="5720"/>
      <c r="AK294" s="5719"/>
      <c r="AL294" s="5720"/>
      <c r="AM294" s="5717"/>
      <c r="AN294" s="5721"/>
      <c r="AO294" s="5719"/>
      <c r="AP294" s="5722"/>
      <c r="AQ294" s="950"/>
      <c r="AR294" s="5723"/>
      <c r="AS294" s="966"/>
      <c r="AT294" s="5724"/>
      <c r="AU294" s="5724"/>
      <c r="AV294" s="5725"/>
      <c r="AW294" s="5725"/>
      <c r="AX294" s="5726"/>
      <c r="AY294" t="str">
        <f t="shared" si="267"/>
        <v/>
      </c>
      <c r="CW294" s="1791" t="str">
        <f t="shared" si="268"/>
        <v/>
      </c>
      <c r="CX294" s="1791" t="str">
        <f t="shared" si="269"/>
        <v/>
      </c>
      <c r="CY294" s="1791" t="str">
        <f t="shared" si="270"/>
        <v/>
      </c>
      <c r="CZ294" s="1791" t="str">
        <f t="shared" si="271"/>
        <v/>
      </c>
      <c r="DA294" s="1791" t="str">
        <f t="shared" si="272"/>
        <v/>
      </c>
      <c r="DB294" s="1791" t="str">
        <f t="shared" si="273"/>
        <v/>
      </c>
      <c r="DC294"/>
      <c r="DD294"/>
      <c r="DE294"/>
      <c r="DG294" s="1793">
        <f t="shared" si="274"/>
        <v>0</v>
      </c>
      <c r="DH294" s="1793">
        <f t="shared" si="275"/>
        <v>0</v>
      </c>
      <c r="DI294" s="1793">
        <f t="shared" si="276"/>
        <v>0</v>
      </c>
      <c r="DJ294" s="1793">
        <f t="shared" si="277"/>
        <v>0</v>
      </c>
      <c r="DK294" s="1793">
        <f t="shared" si="278"/>
        <v>0</v>
      </c>
      <c r="DL294" s="1793">
        <f t="shared" si="279"/>
        <v>0</v>
      </c>
      <c r="DM294"/>
    </row>
    <row r="295" spans="1:117" ht="15" customHeight="1" x14ac:dyDescent="0.25">
      <c r="A295" s="7474"/>
      <c r="B295" s="7476" t="s">
        <v>912</v>
      </c>
      <c r="C295" s="7476"/>
      <c r="D295" s="1054">
        <f t="shared" si="265"/>
        <v>0</v>
      </c>
      <c r="E295" s="5715">
        <f t="shared" si="266"/>
        <v>0</v>
      </c>
      <c r="F295" s="5716">
        <f t="shared" si="266"/>
        <v>0</v>
      </c>
      <c r="G295" s="5717"/>
      <c r="H295" s="5718"/>
      <c r="I295" s="5719"/>
      <c r="J295" s="5718"/>
      <c r="K295" s="5719"/>
      <c r="L295" s="5718"/>
      <c r="M295" s="5719"/>
      <c r="N295" s="5718"/>
      <c r="O295" s="5719"/>
      <c r="P295" s="5718"/>
      <c r="Q295" s="5719"/>
      <c r="R295" s="5718"/>
      <c r="S295" s="5719"/>
      <c r="T295" s="5718"/>
      <c r="U295" s="5719"/>
      <c r="V295" s="5720"/>
      <c r="W295" s="5719"/>
      <c r="X295" s="5720"/>
      <c r="Y295" s="5719"/>
      <c r="Z295" s="5720"/>
      <c r="AA295" s="5719"/>
      <c r="AB295" s="5720"/>
      <c r="AC295" s="5719"/>
      <c r="AD295" s="5720"/>
      <c r="AE295" s="5719"/>
      <c r="AF295" s="5720"/>
      <c r="AG295" s="5719"/>
      <c r="AH295" s="5720"/>
      <c r="AI295" s="5719"/>
      <c r="AJ295" s="5720"/>
      <c r="AK295" s="5719"/>
      <c r="AL295" s="5720"/>
      <c r="AM295" s="5717"/>
      <c r="AN295" s="5721"/>
      <c r="AO295" s="5719"/>
      <c r="AP295" s="5722"/>
      <c r="AQ295" s="950"/>
      <c r="AR295" s="5723"/>
      <c r="AS295" s="5727"/>
      <c r="AT295" s="5724"/>
      <c r="AU295" s="5724"/>
      <c r="AV295" s="5725"/>
      <c r="AW295" s="5725"/>
      <c r="AX295" s="5726"/>
      <c r="AY295" t="str">
        <f t="shared" si="267"/>
        <v/>
      </c>
      <c r="CW295" s="1791" t="str">
        <f t="shared" si="268"/>
        <v/>
      </c>
      <c r="CX295" s="1791" t="str">
        <f t="shared" si="269"/>
        <v/>
      </c>
      <c r="CY295" s="1791" t="str">
        <f t="shared" si="270"/>
        <v/>
      </c>
      <c r="CZ295" s="1791" t="str">
        <f t="shared" si="271"/>
        <v/>
      </c>
      <c r="DA295" s="1791" t="str">
        <f t="shared" si="272"/>
        <v/>
      </c>
      <c r="DB295" s="1791" t="str">
        <f t="shared" si="273"/>
        <v/>
      </c>
      <c r="DC295"/>
      <c r="DD295"/>
      <c r="DE295"/>
      <c r="DG295" s="1793">
        <f t="shared" si="274"/>
        <v>0</v>
      </c>
      <c r="DH295" s="1793">
        <f t="shared" si="275"/>
        <v>0</v>
      </c>
      <c r="DI295" s="1793">
        <f t="shared" si="276"/>
        <v>0</v>
      </c>
      <c r="DJ295" s="1793">
        <f t="shared" si="277"/>
        <v>0</v>
      </c>
      <c r="DK295" s="1793">
        <f t="shared" si="278"/>
        <v>0</v>
      </c>
      <c r="DL295" s="1793">
        <f t="shared" si="279"/>
        <v>0</v>
      </c>
      <c r="DM295"/>
    </row>
    <row r="296" spans="1:117" ht="15" customHeight="1" x14ac:dyDescent="0.25">
      <c r="A296" s="7474"/>
      <c r="B296" s="7477" t="s">
        <v>913</v>
      </c>
      <c r="C296" s="7478"/>
      <c r="D296" s="1054">
        <f t="shared" si="265"/>
        <v>0</v>
      </c>
      <c r="E296" s="5715">
        <f t="shared" si="266"/>
        <v>0</v>
      </c>
      <c r="F296" s="5716">
        <f t="shared" si="266"/>
        <v>0</v>
      </c>
      <c r="G296" s="5728"/>
      <c r="H296" s="5729"/>
      <c r="I296" s="5730"/>
      <c r="J296" s="5729"/>
      <c r="K296" s="5730"/>
      <c r="L296" s="5729"/>
      <c r="M296" s="5730"/>
      <c r="N296" s="5729"/>
      <c r="O296" s="5730"/>
      <c r="P296" s="5729"/>
      <c r="Q296" s="5730"/>
      <c r="R296" s="5729"/>
      <c r="S296" s="5730"/>
      <c r="T296" s="5729"/>
      <c r="U296" s="5730"/>
      <c r="V296" s="5729"/>
      <c r="W296" s="5730"/>
      <c r="X296" s="5729"/>
      <c r="Y296" s="5730"/>
      <c r="Z296" s="5729"/>
      <c r="AA296" s="5730"/>
      <c r="AB296" s="5729"/>
      <c r="AC296" s="5730"/>
      <c r="AD296" s="5729"/>
      <c r="AE296" s="5730"/>
      <c r="AF296" s="5729"/>
      <c r="AG296" s="5730"/>
      <c r="AH296" s="5729"/>
      <c r="AI296" s="5730"/>
      <c r="AJ296" s="5729"/>
      <c r="AK296" s="5730"/>
      <c r="AL296" s="5729"/>
      <c r="AM296" s="5728"/>
      <c r="AN296" s="5731"/>
      <c r="AO296" s="5732"/>
      <c r="AP296" s="5733"/>
      <c r="AQ296" s="950"/>
      <c r="AR296" s="5723"/>
      <c r="AS296" s="5727"/>
      <c r="AT296" s="5732"/>
      <c r="AU296" s="5732"/>
      <c r="AV296" s="5734"/>
      <c r="AW296" s="5734"/>
      <c r="AX296" s="5735"/>
      <c r="AY296" t="str">
        <f t="shared" si="267"/>
        <v/>
      </c>
      <c r="CW296" s="1791" t="str">
        <f t="shared" si="268"/>
        <v/>
      </c>
      <c r="CX296" s="1791" t="str">
        <f t="shared" si="269"/>
        <v/>
      </c>
      <c r="CY296" s="1791" t="str">
        <f t="shared" si="270"/>
        <v/>
      </c>
      <c r="CZ296" s="1791" t="str">
        <f t="shared" si="271"/>
        <v/>
      </c>
      <c r="DA296" s="1791" t="str">
        <f t="shared" si="272"/>
        <v/>
      </c>
      <c r="DB296" s="1791" t="str">
        <f t="shared" si="273"/>
        <v/>
      </c>
      <c r="DC296"/>
      <c r="DD296"/>
      <c r="DE296"/>
      <c r="DG296" s="1793">
        <f t="shared" si="274"/>
        <v>0</v>
      </c>
      <c r="DH296" s="1793">
        <f t="shared" si="275"/>
        <v>0</v>
      </c>
      <c r="DI296" s="1793">
        <f t="shared" si="276"/>
        <v>0</v>
      </c>
      <c r="DJ296" s="1793">
        <f t="shared" si="277"/>
        <v>0</v>
      </c>
      <c r="DK296" s="1793">
        <f t="shared" si="278"/>
        <v>0</v>
      </c>
      <c r="DL296" s="1793">
        <f t="shared" si="279"/>
        <v>0</v>
      </c>
      <c r="DM296"/>
    </row>
    <row r="297" spans="1:117" ht="15" customHeight="1" x14ac:dyDescent="0.25">
      <c r="A297" s="7474"/>
      <c r="B297" s="7477" t="s">
        <v>914</v>
      </c>
      <c r="C297" s="7478"/>
      <c r="D297" s="1054">
        <f t="shared" si="265"/>
        <v>0</v>
      </c>
      <c r="E297" s="5715">
        <f t="shared" si="266"/>
        <v>0</v>
      </c>
      <c r="F297" s="5716">
        <f t="shared" si="266"/>
        <v>0</v>
      </c>
      <c r="G297" s="5728"/>
      <c r="H297" s="5729"/>
      <c r="I297" s="5730"/>
      <c r="J297" s="5729"/>
      <c r="K297" s="5730"/>
      <c r="L297" s="5729"/>
      <c r="M297" s="5730"/>
      <c r="N297" s="5729"/>
      <c r="O297" s="5730"/>
      <c r="P297" s="5729"/>
      <c r="Q297" s="5730"/>
      <c r="R297" s="5729"/>
      <c r="S297" s="5730"/>
      <c r="T297" s="5729"/>
      <c r="U297" s="5730"/>
      <c r="V297" s="5729"/>
      <c r="W297" s="5730"/>
      <c r="X297" s="5729"/>
      <c r="Y297" s="5730"/>
      <c r="Z297" s="5729"/>
      <c r="AA297" s="5730"/>
      <c r="AB297" s="5729"/>
      <c r="AC297" s="5730"/>
      <c r="AD297" s="5729"/>
      <c r="AE297" s="5730"/>
      <c r="AF297" s="5729"/>
      <c r="AG297" s="5730"/>
      <c r="AH297" s="5729"/>
      <c r="AI297" s="5730"/>
      <c r="AJ297" s="5729"/>
      <c r="AK297" s="5730"/>
      <c r="AL297" s="5729"/>
      <c r="AM297" s="5728"/>
      <c r="AN297" s="5731"/>
      <c r="AO297" s="5736"/>
      <c r="AP297" s="5737"/>
      <c r="AQ297" s="987"/>
      <c r="AR297" s="988"/>
      <c r="AS297" s="989"/>
      <c r="AT297" s="5736"/>
      <c r="AU297" s="5736"/>
      <c r="AV297" s="5738"/>
      <c r="AW297" s="5738"/>
      <c r="AX297" s="5739"/>
      <c r="AY297" t="str">
        <f t="shared" si="267"/>
        <v/>
      </c>
      <c r="CW297" s="1791" t="str">
        <f t="shared" si="268"/>
        <v/>
      </c>
      <c r="CX297" s="1791" t="str">
        <f t="shared" si="269"/>
        <v/>
      </c>
      <c r="CY297" s="1791" t="str">
        <f t="shared" si="270"/>
        <v/>
      </c>
      <c r="CZ297" s="1791" t="str">
        <f t="shared" si="271"/>
        <v/>
      </c>
      <c r="DA297" s="1791" t="str">
        <f t="shared" si="272"/>
        <v/>
      </c>
      <c r="DB297" s="1791" t="str">
        <f t="shared" si="273"/>
        <v/>
      </c>
      <c r="DC297"/>
      <c r="DD297"/>
      <c r="DE297"/>
      <c r="DG297" s="1793">
        <f t="shared" si="274"/>
        <v>0</v>
      </c>
      <c r="DH297" s="1793">
        <f t="shared" si="275"/>
        <v>0</v>
      </c>
      <c r="DI297" s="1793">
        <f t="shared" si="276"/>
        <v>0</v>
      </c>
      <c r="DJ297" s="1793">
        <f t="shared" si="277"/>
        <v>0</v>
      </c>
      <c r="DK297" s="1793">
        <f t="shared" si="278"/>
        <v>0</v>
      </c>
      <c r="DL297" s="1793">
        <f t="shared" si="279"/>
        <v>0</v>
      </c>
      <c r="DM297"/>
    </row>
    <row r="298" spans="1:117" ht="15" customHeight="1" x14ac:dyDescent="0.25">
      <c r="A298" s="6578"/>
      <c r="B298" s="7460" t="s">
        <v>915</v>
      </c>
      <c r="C298" s="7460"/>
      <c r="D298" s="3306">
        <f t="shared" si="265"/>
        <v>0</v>
      </c>
      <c r="E298" s="5740">
        <f t="shared" si="266"/>
        <v>0</v>
      </c>
      <c r="F298" s="5741">
        <f t="shared" si="266"/>
        <v>0</v>
      </c>
      <c r="G298" s="5742"/>
      <c r="H298" s="5743"/>
      <c r="I298" s="5744"/>
      <c r="J298" s="5743"/>
      <c r="K298" s="5744"/>
      <c r="L298" s="5743"/>
      <c r="M298" s="5744"/>
      <c r="N298" s="5743"/>
      <c r="O298" s="5744"/>
      <c r="P298" s="5743"/>
      <c r="Q298" s="5744"/>
      <c r="R298" s="5743"/>
      <c r="S298" s="5744"/>
      <c r="T298" s="5743"/>
      <c r="U298" s="5742"/>
      <c r="V298" s="5743"/>
      <c r="W298" s="5742"/>
      <c r="X298" s="5743"/>
      <c r="Y298" s="5742"/>
      <c r="Z298" s="5743"/>
      <c r="AA298" s="5742"/>
      <c r="AB298" s="5743"/>
      <c r="AC298" s="5742"/>
      <c r="AD298" s="5743"/>
      <c r="AE298" s="5742"/>
      <c r="AF298" s="5743"/>
      <c r="AG298" s="5742"/>
      <c r="AH298" s="5743"/>
      <c r="AI298" s="5742"/>
      <c r="AJ298" s="5743"/>
      <c r="AK298" s="5742"/>
      <c r="AL298" s="5743"/>
      <c r="AM298" s="5742"/>
      <c r="AN298" s="5745"/>
      <c r="AO298" s="957"/>
      <c r="AP298" s="5746"/>
      <c r="AQ298" s="5747"/>
      <c r="AR298" s="5748"/>
      <c r="AS298" s="994"/>
      <c r="AT298" s="957"/>
      <c r="AU298" s="957"/>
      <c r="AV298" s="4005"/>
      <c r="AW298" s="4005"/>
      <c r="AX298" s="5749"/>
      <c r="AY298" t="str">
        <f t="shared" si="267"/>
        <v/>
      </c>
      <c r="CW298" s="1791" t="str">
        <f t="shared" si="268"/>
        <v/>
      </c>
      <c r="CX298" s="1791" t="str">
        <f t="shared" si="269"/>
        <v/>
      </c>
      <c r="CY298" s="1791" t="str">
        <f t="shared" si="270"/>
        <v/>
      </c>
      <c r="CZ298" s="1791" t="str">
        <f t="shared" si="271"/>
        <v/>
      </c>
      <c r="DA298" s="1791" t="str">
        <f t="shared" si="272"/>
        <v/>
      </c>
      <c r="DB298" s="1791" t="str">
        <f t="shared" si="273"/>
        <v/>
      </c>
      <c r="DC298"/>
      <c r="DD298"/>
      <c r="DE298"/>
      <c r="DG298" s="1793">
        <f t="shared" si="274"/>
        <v>0</v>
      </c>
      <c r="DH298" s="1793">
        <f t="shared" si="275"/>
        <v>0</v>
      </c>
      <c r="DI298" s="1793">
        <f t="shared" si="276"/>
        <v>0</v>
      </c>
      <c r="DJ298" s="1793">
        <f t="shared" si="277"/>
        <v>0</v>
      </c>
      <c r="DK298" s="1793">
        <f t="shared" si="278"/>
        <v>0</v>
      </c>
      <c r="DL298" s="1793">
        <f t="shared" si="279"/>
        <v>0</v>
      </c>
      <c r="DM298"/>
    </row>
    <row r="299" spans="1:117" ht="15" customHeight="1" x14ac:dyDescent="0.25">
      <c r="A299" s="7437" t="s">
        <v>24</v>
      </c>
      <c r="B299" s="7440" t="s">
        <v>910</v>
      </c>
      <c r="C299" s="7440"/>
      <c r="D299" s="917">
        <f t="shared" si="265"/>
        <v>0</v>
      </c>
      <c r="E299" s="4913">
        <f t="shared" ref="E299:F304" si="280">SUM(G299+I299+K299+M299+O299+Q299+S299+U299+W299+Y299+AA299+AC299+AE299+AG299+AI299+AK299+AM299)</f>
        <v>0</v>
      </c>
      <c r="F299" s="5699">
        <f t="shared" si="280"/>
        <v>0</v>
      </c>
      <c r="G299" s="917">
        <f t="shared" ref="G299:X304" si="281">+G221+G227+G233+G239+G245+G251+G257+G281+G287+G293</f>
        <v>0</v>
      </c>
      <c r="H299" s="5699">
        <f t="shared" si="281"/>
        <v>0</v>
      </c>
      <c r="I299" s="917">
        <f t="shared" si="281"/>
        <v>0</v>
      </c>
      <c r="J299" s="5699">
        <f t="shared" si="281"/>
        <v>0</v>
      </c>
      <c r="K299" s="5699">
        <f t="shared" si="281"/>
        <v>0</v>
      </c>
      <c r="L299" s="5699">
        <f t="shared" si="281"/>
        <v>0</v>
      </c>
      <c r="M299" s="5699">
        <f t="shared" si="281"/>
        <v>0</v>
      </c>
      <c r="N299" s="5699">
        <f t="shared" si="281"/>
        <v>0</v>
      </c>
      <c r="O299" s="5699">
        <f t="shared" si="281"/>
        <v>0</v>
      </c>
      <c r="P299" s="5699">
        <f t="shared" si="281"/>
        <v>0</v>
      </c>
      <c r="Q299" s="5699">
        <f t="shared" si="281"/>
        <v>0</v>
      </c>
      <c r="R299" s="5699">
        <f t="shared" si="281"/>
        <v>0</v>
      </c>
      <c r="S299" s="5699">
        <f t="shared" si="281"/>
        <v>0</v>
      </c>
      <c r="T299" s="5699">
        <f t="shared" si="281"/>
        <v>0</v>
      </c>
      <c r="U299" s="5699">
        <f t="shared" si="281"/>
        <v>0</v>
      </c>
      <c r="V299" s="5699">
        <f t="shared" si="281"/>
        <v>0</v>
      </c>
      <c r="W299" s="5699">
        <f t="shared" si="281"/>
        <v>0</v>
      </c>
      <c r="X299" s="5699">
        <f t="shared" si="281"/>
        <v>0</v>
      </c>
      <c r="Y299" s="917">
        <f>+Y221+Y227+Y233+Y239+Y245+Y251+Y257+Y263+Y269+Y275+Y281+Y287+Y293</f>
        <v>0</v>
      </c>
      <c r="Z299" s="917">
        <f t="shared" ref="Z299:AN302" si="282">+Z221+Z227+Z233+Z239+Z245+Z251+Z257+Z263+Z269+Z275+Z281+Z287+Z293</f>
        <v>0</v>
      </c>
      <c r="AA299" s="917">
        <f t="shared" si="282"/>
        <v>0</v>
      </c>
      <c r="AB299" s="917">
        <f t="shared" si="282"/>
        <v>0</v>
      </c>
      <c r="AC299" s="917">
        <f t="shared" si="282"/>
        <v>0</v>
      </c>
      <c r="AD299" s="917">
        <f t="shared" si="282"/>
        <v>0</v>
      </c>
      <c r="AE299" s="917">
        <f t="shared" si="282"/>
        <v>0</v>
      </c>
      <c r="AF299" s="917">
        <f t="shared" si="282"/>
        <v>0</v>
      </c>
      <c r="AG299" s="917">
        <f t="shared" si="282"/>
        <v>0</v>
      </c>
      <c r="AH299" s="917">
        <f t="shared" si="282"/>
        <v>0</v>
      </c>
      <c r="AI299" s="917">
        <f t="shared" si="282"/>
        <v>0</v>
      </c>
      <c r="AJ299" s="917">
        <f t="shared" si="282"/>
        <v>0</v>
      </c>
      <c r="AK299" s="917">
        <f t="shared" si="282"/>
        <v>0</v>
      </c>
      <c r="AL299" s="917">
        <f t="shared" si="282"/>
        <v>0</v>
      </c>
      <c r="AM299" s="917">
        <f t="shared" si="282"/>
        <v>0</v>
      </c>
      <c r="AN299" s="5700">
        <f t="shared" si="282"/>
        <v>0</v>
      </c>
      <c r="AO299" s="5701">
        <f t="shared" ref="AO299:AO304" si="283">+AO221+AO227+AO233+AO239+AO257+AO263+AO269+AO275+AO281+AO287+AO293</f>
        <v>0</v>
      </c>
      <c r="AP299" s="5702">
        <f>+AP221+AP227+AP233+AP257+AP263+AP269+AP275+AP281+AP287+AP293</f>
        <v>0</v>
      </c>
      <c r="AQ299" s="917">
        <f>SUM(AQ221+AQ227+AQ233+AQ239+AQ245+AQ251+AQ257+AQ263+AQ269+AQ275+AQ281+AQ287+AQ293)</f>
        <v>0</v>
      </c>
      <c r="AR299" s="4875">
        <f>SUM(AR221+AR227+AR233+AR239+AR245+AR251+AR257+AR263+AR269+AR275+AR281+AR287+AR293)</f>
        <v>0</v>
      </c>
      <c r="AS299" s="5701">
        <f t="shared" ref="AS299:AX302" si="284">+AS221+AS227+AS233+AS239+AS245+AS251+AS257+AS263+AS269+AS275+AS281+AS287+AS293</f>
        <v>0</v>
      </c>
      <c r="AT299" s="5701">
        <f t="shared" si="284"/>
        <v>0</v>
      </c>
      <c r="AU299" s="5701">
        <f t="shared" si="284"/>
        <v>0</v>
      </c>
      <c r="AV299" s="5701">
        <f t="shared" si="284"/>
        <v>0</v>
      </c>
      <c r="AW299" s="5701">
        <f t="shared" si="284"/>
        <v>0</v>
      </c>
      <c r="AX299" s="5699">
        <f t="shared" si="284"/>
        <v>0</v>
      </c>
      <c r="CW299"/>
      <c r="CX299"/>
      <c r="CY299"/>
      <c r="CZ299"/>
      <c r="DA299"/>
      <c r="DB299"/>
      <c r="DC299"/>
      <c r="DD299"/>
      <c r="DE299"/>
      <c r="DG299"/>
      <c r="DH299"/>
      <c r="DI299"/>
      <c r="DJ299"/>
      <c r="DK299"/>
      <c r="DL299"/>
      <c r="DM299"/>
    </row>
    <row r="300" spans="1:117" ht="15" customHeight="1" x14ac:dyDescent="0.25">
      <c r="A300" s="7438"/>
      <c r="B300" s="7441" t="s">
        <v>911</v>
      </c>
      <c r="C300" s="7441"/>
      <c r="D300" s="917">
        <f t="shared" si="265"/>
        <v>0</v>
      </c>
      <c r="E300" s="1055">
        <f t="shared" si="280"/>
        <v>0</v>
      </c>
      <c r="F300" s="1056">
        <f t="shared" si="280"/>
        <v>0</v>
      </c>
      <c r="G300" s="971">
        <f t="shared" si="281"/>
        <v>0</v>
      </c>
      <c r="H300" s="1057">
        <f t="shared" si="281"/>
        <v>0</v>
      </c>
      <c r="I300" s="971">
        <f t="shared" si="281"/>
        <v>0</v>
      </c>
      <c r="J300" s="1057">
        <f t="shared" si="281"/>
        <v>0</v>
      </c>
      <c r="K300" s="1057">
        <f t="shared" si="281"/>
        <v>0</v>
      </c>
      <c r="L300" s="1057">
        <f t="shared" si="281"/>
        <v>0</v>
      </c>
      <c r="M300" s="1057">
        <f t="shared" si="281"/>
        <v>0</v>
      </c>
      <c r="N300" s="1057">
        <f t="shared" si="281"/>
        <v>0</v>
      </c>
      <c r="O300" s="1057">
        <f t="shared" si="281"/>
        <v>0</v>
      </c>
      <c r="P300" s="1057">
        <f t="shared" si="281"/>
        <v>0</v>
      </c>
      <c r="Q300" s="1057">
        <f t="shared" si="281"/>
        <v>0</v>
      </c>
      <c r="R300" s="1057">
        <f t="shared" si="281"/>
        <v>0</v>
      </c>
      <c r="S300" s="1057">
        <f t="shared" si="281"/>
        <v>0</v>
      </c>
      <c r="T300" s="1057">
        <f t="shared" si="281"/>
        <v>0</v>
      </c>
      <c r="U300" s="1057">
        <f t="shared" si="281"/>
        <v>0</v>
      </c>
      <c r="V300" s="1057">
        <f t="shared" si="281"/>
        <v>0</v>
      </c>
      <c r="W300" s="1057">
        <f t="shared" si="281"/>
        <v>0</v>
      </c>
      <c r="X300" s="1057">
        <f t="shared" si="281"/>
        <v>0</v>
      </c>
      <c r="Y300" s="971">
        <f>+Y222+Y228+Y234+Y240+Y246+Y252+Y258+Y264+Y270+Y276+Y282+Y288+Y294</f>
        <v>0</v>
      </c>
      <c r="Z300" s="971">
        <f t="shared" si="282"/>
        <v>0</v>
      </c>
      <c r="AA300" s="971">
        <f t="shared" si="282"/>
        <v>0</v>
      </c>
      <c r="AB300" s="971">
        <f t="shared" si="282"/>
        <v>0</v>
      </c>
      <c r="AC300" s="971">
        <f t="shared" si="282"/>
        <v>0</v>
      </c>
      <c r="AD300" s="971">
        <f t="shared" si="282"/>
        <v>0</v>
      </c>
      <c r="AE300" s="971">
        <f t="shared" si="282"/>
        <v>0</v>
      </c>
      <c r="AF300" s="971">
        <f t="shared" si="282"/>
        <v>0</v>
      </c>
      <c r="AG300" s="971">
        <f t="shared" si="282"/>
        <v>0</v>
      </c>
      <c r="AH300" s="971">
        <f t="shared" si="282"/>
        <v>0</v>
      </c>
      <c r="AI300" s="971">
        <f t="shared" si="282"/>
        <v>0</v>
      </c>
      <c r="AJ300" s="971">
        <f t="shared" si="282"/>
        <v>0</v>
      </c>
      <c r="AK300" s="971">
        <f t="shared" si="282"/>
        <v>0</v>
      </c>
      <c r="AL300" s="971">
        <f t="shared" si="282"/>
        <v>0</v>
      </c>
      <c r="AM300" s="971">
        <f t="shared" si="282"/>
        <v>0</v>
      </c>
      <c r="AN300" s="1058">
        <f t="shared" si="282"/>
        <v>0</v>
      </c>
      <c r="AO300" s="1059">
        <f t="shared" si="283"/>
        <v>0</v>
      </c>
      <c r="AP300" s="1060">
        <f>+AP222+AP228+AP234+AP258+AP264+AP270+AP276+AP282+AP288+AP294</f>
        <v>0</v>
      </c>
      <c r="AQ300" s="1061"/>
      <c r="AR300" s="1062"/>
      <c r="AS300" s="1059">
        <f t="shared" si="284"/>
        <v>0</v>
      </c>
      <c r="AT300" s="1059">
        <f t="shared" si="284"/>
        <v>0</v>
      </c>
      <c r="AU300" s="1059">
        <f t="shared" si="284"/>
        <v>0</v>
      </c>
      <c r="AV300" s="1059">
        <f t="shared" si="284"/>
        <v>0</v>
      </c>
      <c r="AW300" s="1059">
        <f t="shared" si="284"/>
        <v>0</v>
      </c>
      <c r="AX300" s="1057">
        <f t="shared" si="284"/>
        <v>0</v>
      </c>
      <c r="CW300"/>
      <c r="CX300"/>
      <c r="CY300"/>
      <c r="CZ300"/>
      <c r="DA300"/>
      <c r="DB300"/>
      <c r="DC300"/>
      <c r="DD300"/>
      <c r="DE300"/>
      <c r="DG300"/>
      <c r="DH300"/>
      <c r="DI300"/>
      <c r="DJ300"/>
      <c r="DK300"/>
      <c r="DL300"/>
      <c r="DM300"/>
    </row>
    <row r="301" spans="1:117" ht="15" customHeight="1" x14ac:dyDescent="0.25">
      <c r="A301" s="7438"/>
      <c r="B301" s="7441" t="s">
        <v>912</v>
      </c>
      <c r="C301" s="7441"/>
      <c r="D301" s="917">
        <f t="shared" si="265"/>
        <v>0</v>
      </c>
      <c r="E301" s="1055">
        <f t="shared" si="280"/>
        <v>0</v>
      </c>
      <c r="F301" s="1056">
        <f t="shared" si="280"/>
        <v>0</v>
      </c>
      <c r="G301" s="971">
        <f t="shared" si="281"/>
        <v>0</v>
      </c>
      <c r="H301" s="1057">
        <f t="shared" si="281"/>
        <v>0</v>
      </c>
      <c r="I301" s="971">
        <f t="shared" si="281"/>
        <v>0</v>
      </c>
      <c r="J301" s="1057">
        <f t="shared" si="281"/>
        <v>0</v>
      </c>
      <c r="K301" s="1057">
        <f t="shared" si="281"/>
        <v>0</v>
      </c>
      <c r="L301" s="1057">
        <f t="shared" si="281"/>
        <v>0</v>
      </c>
      <c r="M301" s="1057">
        <f t="shared" si="281"/>
        <v>0</v>
      </c>
      <c r="N301" s="1057">
        <f t="shared" si="281"/>
        <v>0</v>
      </c>
      <c r="O301" s="1057">
        <f t="shared" si="281"/>
        <v>0</v>
      </c>
      <c r="P301" s="1057">
        <f t="shared" si="281"/>
        <v>0</v>
      </c>
      <c r="Q301" s="1057">
        <f t="shared" si="281"/>
        <v>0</v>
      </c>
      <c r="R301" s="1057">
        <f t="shared" si="281"/>
        <v>0</v>
      </c>
      <c r="S301" s="1057">
        <f t="shared" si="281"/>
        <v>0</v>
      </c>
      <c r="T301" s="1057">
        <f t="shared" si="281"/>
        <v>0</v>
      </c>
      <c r="U301" s="1057">
        <f t="shared" si="281"/>
        <v>0</v>
      </c>
      <c r="V301" s="1057">
        <f t="shared" si="281"/>
        <v>0</v>
      </c>
      <c r="W301" s="1057">
        <f t="shared" si="281"/>
        <v>0</v>
      </c>
      <c r="X301" s="1057">
        <f t="shared" si="281"/>
        <v>0</v>
      </c>
      <c r="Y301" s="971">
        <f>+Y223+Y229+Y235+Y241+Y247+Y253+Y259+Y265+Y271+Y277+Y283+Y289+Y295</f>
        <v>0</v>
      </c>
      <c r="Z301" s="971">
        <f t="shared" si="282"/>
        <v>0</v>
      </c>
      <c r="AA301" s="971">
        <f t="shared" si="282"/>
        <v>0</v>
      </c>
      <c r="AB301" s="971">
        <f t="shared" si="282"/>
        <v>0</v>
      </c>
      <c r="AC301" s="971">
        <f t="shared" si="282"/>
        <v>0</v>
      </c>
      <c r="AD301" s="971">
        <f t="shared" si="282"/>
        <v>0</v>
      </c>
      <c r="AE301" s="971">
        <f t="shared" si="282"/>
        <v>0</v>
      </c>
      <c r="AF301" s="971">
        <f t="shared" si="282"/>
        <v>0</v>
      </c>
      <c r="AG301" s="971">
        <f t="shared" si="282"/>
        <v>0</v>
      </c>
      <c r="AH301" s="971">
        <f t="shared" si="282"/>
        <v>0</v>
      </c>
      <c r="AI301" s="971">
        <f t="shared" si="282"/>
        <v>0</v>
      </c>
      <c r="AJ301" s="971">
        <f t="shared" si="282"/>
        <v>0</v>
      </c>
      <c r="AK301" s="971">
        <f t="shared" si="282"/>
        <v>0</v>
      </c>
      <c r="AL301" s="971">
        <f t="shared" si="282"/>
        <v>0</v>
      </c>
      <c r="AM301" s="971">
        <f t="shared" si="282"/>
        <v>0</v>
      </c>
      <c r="AN301" s="1058">
        <f t="shared" si="282"/>
        <v>0</v>
      </c>
      <c r="AO301" s="1059">
        <f t="shared" si="283"/>
        <v>0</v>
      </c>
      <c r="AP301" s="1060">
        <f>+AP223+AP229+AP235+AP259+AP265+AP271+AP277+AP283+AP289+AP295</f>
        <v>0</v>
      </c>
      <c r="AQ301" s="1061"/>
      <c r="AR301" s="1062"/>
      <c r="AS301" s="996"/>
      <c r="AT301" s="1059">
        <f t="shared" si="284"/>
        <v>0</v>
      </c>
      <c r="AU301" s="1059">
        <f t="shared" si="284"/>
        <v>0</v>
      </c>
      <c r="AV301" s="1059">
        <f t="shared" si="284"/>
        <v>0</v>
      </c>
      <c r="AW301" s="1059">
        <f t="shared" si="284"/>
        <v>0</v>
      </c>
      <c r="AX301" s="1057">
        <f t="shared" si="284"/>
        <v>0</v>
      </c>
      <c r="CW301"/>
      <c r="CX301"/>
      <c r="CY301"/>
      <c r="CZ301"/>
      <c r="DA301"/>
      <c r="DB301"/>
      <c r="DC301"/>
      <c r="DD301"/>
      <c r="DE301"/>
      <c r="DG301"/>
      <c r="DH301"/>
      <c r="DI301"/>
      <c r="DJ301"/>
      <c r="DK301"/>
      <c r="DL301"/>
      <c r="DM301"/>
    </row>
    <row r="302" spans="1:117" ht="15" customHeight="1" x14ac:dyDescent="0.25">
      <c r="A302" s="7438"/>
      <c r="B302" s="7442" t="s">
        <v>913</v>
      </c>
      <c r="C302" s="7443"/>
      <c r="D302" s="917">
        <f t="shared" si="265"/>
        <v>0</v>
      </c>
      <c r="E302" s="1055">
        <f t="shared" si="280"/>
        <v>0</v>
      </c>
      <c r="F302" s="1056">
        <f t="shared" si="280"/>
        <v>0</v>
      </c>
      <c r="G302" s="971">
        <f t="shared" si="281"/>
        <v>0</v>
      </c>
      <c r="H302" s="1057">
        <f t="shared" si="281"/>
        <v>0</v>
      </c>
      <c r="I302" s="971">
        <f t="shared" si="281"/>
        <v>0</v>
      </c>
      <c r="J302" s="1057">
        <f t="shared" si="281"/>
        <v>0</v>
      </c>
      <c r="K302" s="1057">
        <f t="shared" si="281"/>
        <v>0</v>
      </c>
      <c r="L302" s="1057">
        <f t="shared" si="281"/>
        <v>0</v>
      </c>
      <c r="M302" s="1057">
        <f t="shared" si="281"/>
        <v>0</v>
      </c>
      <c r="N302" s="1057">
        <f t="shared" si="281"/>
        <v>0</v>
      </c>
      <c r="O302" s="1057">
        <f t="shared" si="281"/>
        <v>0</v>
      </c>
      <c r="P302" s="1057">
        <f t="shared" si="281"/>
        <v>0</v>
      </c>
      <c r="Q302" s="1057">
        <f t="shared" si="281"/>
        <v>0</v>
      </c>
      <c r="R302" s="1057">
        <f t="shared" si="281"/>
        <v>0</v>
      </c>
      <c r="S302" s="1057">
        <f t="shared" si="281"/>
        <v>0</v>
      </c>
      <c r="T302" s="1057">
        <f t="shared" si="281"/>
        <v>0</v>
      </c>
      <c r="U302" s="1057">
        <f t="shared" si="281"/>
        <v>0</v>
      </c>
      <c r="V302" s="1057">
        <f t="shared" si="281"/>
        <v>0</v>
      </c>
      <c r="W302" s="1057">
        <f t="shared" si="281"/>
        <v>0</v>
      </c>
      <c r="X302" s="1057">
        <f t="shared" si="281"/>
        <v>0</v>
      </c>
      <c r="Y302" s="971">
        <f>+Y224+Y230+Y236+Y242+Y248+Y254+Y260+Y266+Y272+Y278+Y284+Y290+Y296</f>
        <v>0</v>
      </c>
      <c r="Z302" s="971">
        <f t="shared" si="282"/>
        <v>0</v>
      </c>
      <c r="AA302" s="971">
        <f t="shared" si="282"/>
        <v>0</v>
      </c>
      <c r="AB302" s="971">
        <f t="shared" si="282"/>
        <v>0</v>
      </c>
      <c r="AC302" s="971">
        <f t="shared" si="282"/>
        <v>0</v>
      </c>
      <c r="AD302" s="971">
        <f t="shared" si="282"/>
        <v>0</v>
      </c>
      <c r="AE302" s="971">
        <f t="shared" si="282"/>
        <v>0</v>
      </c>
      <c r="AF302" s="971">
        <f t="shared" si="282"/>
        <v>0</v>
      </c>
      <c r="AG302" s="971">
        <f t="shared" si="282"/>
        <v>0</v>
      </c>
      <c r="AH302" s="971">
        <f t="shared" si="282"/>
        <v>0</v>
      </c>
      <c r="AI302" s="971">
        <f t="shared" si="282"/>
        <v>0</v>
      </c>
      <c r="AJ302" s="971">
        <f t="shared" si="282"/>
        <v>0</v>
      </c>
      <c r="AK302" s="971">
        <f t="shared" si="282"/>
        <v>0</v>
      </c>
      <c r="AL302" s="971">
        <f t="shared" si="282"/>
        <v>0</v>
      </c>
      <c r="AM302" s="971">
        <f t="shared" si="282"/>
        <v>0</v>
      </c>
      <c r="AN302" s="1058">
        <f t="shared" si="282"/>
        <v>0</v>
      </c>
      <c r="AO302" s="1059">
        <f t="shared" si="283"/>
        <v>0</v>
      </c>
      <c r="AP302" s="1060">
        <f>+AP224+AP230+AP236+AP260+AP266+AP272+AP278+AP284+AP290+AP296</f>
        <v>0</v>
      </c>
      <c r="AQ302" s="1061"/>
      <c r="AR302" s="1062"/>
      <c r="AS302" s="996"/>
      <c r="AT302" s="1059">
        <f t="shared" si="284"/>
        <v>0</v>
      </c>
      <c r="AU302" s="1059">
        <f t="shared" si="284"/>
        <v>0</v>
      </c>
      <c r="AV302" s="1059">
        <f t="shared" si="284"/>
        <v>0</v>
      </c>
      <c r="AW302" s="1059">
        <f t="shared" si="284"/>
        <v>0</v>
      </c>
      <c r="AX302" s="1057">
        <f t="shared" si="284"/>
        <v>0</v>
      </c>
      <c r="CW302"/>
      <c r="CX302"/>
      <c r="CY302"/>
      <c r="CZ302"/>
      <c r="DA302"/>
      <c r="DB302"/>
      <c r="DC302"/>
      <c r="DD302"/>
      <c r="DE302"/>
      <c r="DG302"/>
      <c r="DH302"/>
      <c r="DI302"/>
      <c r="DJ302"/>
      <c r="DK302"/>
      <c r="DL302"/>
      <c r="DM302"/>
    </row>
    <row r="303" spans="1:117" ht="15" customHeight="1" x14ac:dyDescent="0.25">
      <c r="A303" s="7438"/>
      <c r="B303" s="7442" t="s">
        <v>914</v>
      </c>
      <c r="C303" s="7443"/>
      <c r="D303" s="917">
        <f t="shared" si="265"/>
        <v>0</v>
      </c>
      <c r="E303" s="1055">
        <f t="shared" si="280"/>
        <v>0</v>
      </c>
      <c r="F303" s="1056">
        <f t="shared" si="280"/>
        <v>0</v>
      </c>
      <c r="G303" s="971">
        <f t="shared" si="281"/>
        <v>0</v>
      </c>
      <c r="H303" s="1057">
        <f t="shared" si="281"/>
        <v>0</v>
      </c>
      <c r="I303" s="971">
        <f t="shared" si="281"/>
        <v>0</v>
      </c>
      <c r="J303" s="1057">
        <f t="shared" si="281"/>
        <v>0</v>
      </c>
      <c r="K303" s="1057">
        <f t="shared" si="281"/>
        <v>0</v>
      </c>
      <c r="L303" s="1057">
        <f t="shared" si="281"/>
        <v>0</v>
      </c>
      <c r="M303" s="1057">
        <f t="shared" si="281"/>
        <v>0</v>
      </c>
      <c r="N303" s="1057">
        <f t="shared" si="281"/>
        <v>0</v>
      </c>
      <c r="O303" s="1057">
        <f t="shared" si="281"/>
        <v>0</v>
      </c>
      <c r="P303" s="1057">
        <f t="shared" si="281"/>
        <v>0</v>
      </c>
      <c r="Q303" s="1057">
        <f t="shared" si="281"/>
        <v>0</v>
      </c>
      <c r="R303" s="1057">
        <f t="shared" si="281"/>
        <v>0</v>
      </c>
      <c r="S303" s="1057">
        <f t="shared" si="281"/>
        <v>0</v>
      </c>
      <c r="T303" s="1057">
        <f t="shared" si="281"/>
        <v>0</v>
      </c>
      <c r="U303" s="1057">
        <f t="shared" si="281"/>
        <v>0</v>
      </c>
      <c r="V303" s="1057">
        <f t="shared" si="281"/>
        <v>0</v>
      </c>
      <c r="W303" s="1057">
        <f t="shared" si="281"/>
        <v>0</v>
      </c>
      <c r="X303" s="1057">
        <f t="shared" si="281"/>
        <v>0</v>
      </c>
      <c r="Y303" s="971">
        <f>+Y225+Y231+Y237+Y243+Y249+Y255+Y261+Y279+Y273+Y267+Y285+Y291+Y297</f>
        <v>0</v>
      </c>
      <c r="Z303" s="971">
        <f t="shared" ref="Z303:AN303" si="285">+Z225+Z231+Z237+Z243+Z249+Z255+Z261+Z279+Z273+Z267+Z285+Z291+Z297</f>
        <v>0</v>
      </c>
      <c r="AA303" s="971">
        <f t="shared" si="285"/>
        <v>0</v>
      </c>
      <c r="AB303" s="971">
        <f t="shared" si="285"/>
        <v>0</v>
      </c>
      <c r="AC303" s="971">
        <f t="shared" si="285"/>
        <v>0</v>
      </c>
      <c r="AD303" s="971">
        <f t="shared" si="285"/>
        <v>0</v>
      </c>
      <c r="AE303" s="971">
        <f t="shared" si="285"/>
        <v>0</v>
      </c>
      <c r="AF303" s="971">
        <f t="shared" si="285"/>
        <v>0</v>
      </c>
      <c r="AG303" s="971">
        <f t="shared" si="285"/>
        <v>0</v>
      </c>
      <c r="AH303" s="971">
        <f t="shared" si="285"/>
        <v>0</v>
      </c>
      <c r="AI303" s="971">
        <f t="shared" si="285"/>
        <v>0</v>
      </c>
      <c r="AJ303" s="971">
        <f t="shared" si="285"/>
        <v>0</v>
      </c>
      <c r="AK303" s="971">
        <f t="shared" si="285"/>
        <v>0</v>
      </c>
      <c r="AL303" s="971">
        <f t="shared" si="285"/>
        <v>0</v>
      </c>
      <c r="AM303" s="971">
        <f t="shared" si="285"/>
        <v>0</v>
      </c>
      <c r="AN303" s="1058">
        <f t="shared" si="285"/>
        <v>0</v>
      </c>
      <c r="AO303" s="1059">
        <f t="shared" si="283"/>
        <v>0</v>
      </c>
      <c r="AP303" s="1060">
        <f>+AP225+AP231+AP237+AP261+AP279+AP273+AP267+AP285+AP291+AP297</f>
        <v>0</v>
      </c>
      <c r="AQ303" s="1061"/>
      <c r="AR303" s="1062"/>
      <c r="AS303" s="989"/>
      <c r="AT303" s="1059">
        <f>+AT225+AT231+AT237+AT243+AT249+AT255+AT261+AT279+AT273+AT267+AT285+AT291+AT297</f>
        <v>0</v>
      </c>
      <c r="AU303" s="1059">
        <f>+AU225+AU231+AU237+AU243+AU249+AU255+AU261+AU279+AU273+AU267+AU285+AU291+AU297</f>
        <v>0</v>
      </c>
      <c r="AV303" s="1059">
        <f>+AV225+AV231+AV237+AV243+AV249+AV255+AV261+AV279+AV273+AV267+AV285+AV291+AV297</f>
        <v>0</v>
      </c>
      <c r="AW303" s="1059">
        <f>+AW225+AW231+AW237+AW243+AW249+AW255+AW261+AW279+AW273+AW267+AW285+AW291+AW297</f>
        <v>0</v>
      </c>
      <c r="AX303" s="1057">
        <f>+AX225+AX231+AX237+AX243+AX249+AX255+AX261+AX279+AX273+AX267+AX285+AX291+AX297</f>
        <v>0</v>
      </c>
      <c r="CW303"/>
      <c r="CX303"/>
      <c r="CY303"/>
      <c r="CZ303"/>
      <c r="DA303"/>
      <c r="DB303"/>
      <c r="DC303"/>
      <c r="DD303"/>
      <c r="DE303"/>
      <c r="DG303"/>
      <c r="DH303"/>
      <c r="DI303"/>
      <c r="DJ303"/>
      <c r="DK303"/>
      <c r="DL303"/>
      <c r="DM303"/>
    </row>
    <row r="304" spans="1:117" ht="15" customHeight="1" x14ac:dyDescent="0.25">
      <c r="A304" s="7439"/>
      <c r="B304" s="7460" t="s">
        <v>915</v>
      </c>
      <c r="C304" s="7460"/>
      <c r="D304" s="991">
        <f t="shared" si="265"/>
        <v>0</v>
      </c>
      <c r="E304" s="1063">
        <f t="shared" si="280"/>
        <v>0</v>
      </c>
      <c r="F304" s="1064">
        <f t="shared" si="280"/>
        <v>0</v>
      </c>
      <c r="G304" s="991">
        <f t="shared" si="281"/>
        <v>0</v>
      </c>
      <c r="H304" s="1064">
        <f t="shared" si="281"/>
        <v>0</v>
      </c>
      <c r="I304" s="991">
        <f t="shared" si="281"/>
        <v>0</v>
      </c>
      <c r="J304" s="1064">
        <f t="shared" si="281"/>
        <v>0</v>
      </c>
      <c r="K304" s="1064">
        <f t="shared" si="281"/>
        <v>0</v>
      </c>
      <c r="L304" s="1064">
        <f t="shared" si="281"/>
        <v>0</v>
      </c>
      <c r="M304" s="1064">
        <f t="shared" si="281"/>
        <v>0</v>
      </c>
      <c r="N304" s="1064">
        <f t="shared" si="281"/>
        <v>0</v>
      </c>
      <c r="O304" s="1064">
        <f t="shared" si="281"/>
        <v>0</v>
      </c>
      <c r="P304" s="1064">
        <f t="shared" si="281"/>
        <v>0</v>
      </c>
      <c r="Q304" s="1064">
        <f t="shared" si="281"/>
        <v>0</v>
      </c>
      <c r="R304" s="1064">
        <f t="shared" si="281"/>
        <v>0</v>
      </c>
      <c r="S304" s="1064">
        <f t="shared" si="281"/>
        <v>0</v>
      </c>
      <c r="T304" s="1064">
        <f t="shared" si="281"/>
        <v>0</v>
      </c>
      <c r="U304" s="1064">
        <f t="shared" si="281"/>
        <v>0</v>
      </c>
      <c r="V304" s="1064">
        <f t="shared" si="281"/>
        <v>0</v>
      </c>
      <c r="W304" s="1064">
        <f t="shared" si="281"/>
        <v>0</v>
      </c>
      <c r="X304" s="1064">
        <f t="shared" si="281"/>
        <v>0</v>
      </c>
      <c r="Y304" s="991">
        <f>SUM(Y226+Y232+Y238+Y244+Y250+Y256+Y262+Y268+Y274+Y280+Y286+Y292+Y298)</f>
        <v>0</v>
      </c>
      <c r="Z304" s="991">
        <f t="shared" ref="Z304:AN304" si="286">SUM(Z226+Z232+Z238+Z244+Z250+Z256+Z262+Z268+Z274+Z280+Z286+Z292+Z298)</f>
        <v>0</v>
      </c>
      <c r="AA304" s="991">
        <f t="shared" si="286"/>
        <v>0</v>
      </c>
      <c r="AB304" s="991">
        <f t="shared" si="286"/>
        <v>0</v>
      </c>
      <c r="AC304" s="991">
        <f t="shared" si="286"/>
        <v>0</v>
      </c>
      <c r="AD304" s="991">
        <f t="shared" si="286"/>
        <v>0</v>
      </c>
      <c r="AE304" s="991">
        <f t="shared" si="286"/>
        <v>0</v>
      </c>
      <c r="AF304" s="991">
        <f t="shared" si="286"/>
        <v>0</v>
      </c>
      <c r="AG304" s="991">
        <f t="shared" si="286"/>
        <v>0</v>
      </c>
      <c r="AH304" s="991">
        <f t="shared" si="286"/>
        <v>0</v>
      </c>
      <c r="AI304" s="991">
        <f t="shared" si="286"/>
        <v>0</v>
      </c>
      <c r="AJ304" s="991">
        <f t="shared" si="286"/>
        <v>0</v>
      </c>
      <c r="AK304" s="991">
        <f t="shared" si="286"/>
        <v>0</v>
      </c>
      <c r="AL304" s="991">
        <f t="shared" si="286"/>
        <v>0</v>
      </c>
      <c r="AM304" s="991">
        <f t="shared" si="286"/>
        <v>0</v>
      </c>
      <c r="AN304" s="1065">
        <f t="shared" si="286"/>
        <v>0</v>
      </c>
      <c r="AO304" s="1066">
        <f t="shared" si="283"/>
        <v>0</v>
      </c>
      <c r="AP304" s="1067">
        <f>SUM(AP226+AP232+AP238+AP262+AP268+AP274+AP280+AP286+AP292+AP298)</f>
        <v>0</v>
      </c>
      <c r="AQ304" s="927"/>
      <c r="AR304" s="1068"/>
      <c r="AS304" s="994"/>
      <c r="AT304" s="1066">
        <f>SUM(AT226+AT232+AT238+AT244+AT250+AT256+AT262+AT268+AT274+AT280+AT286+AT292+AT298)</f>
        <v>0</v>
      </c>
      <c r="AU304" s="1066">
        <f>SUM(AU226+AU232+AU238+AU244+AU250+AU256+AU262+AU268+AU274+AU280+AU286+AU292+AU298)</f>
        <v>0</v>
      </c>
      <c r="AV304" s="1066">
        <f>SUM(AV226+AV232+AV238+AV244+AV250+AV256+AV262+AV268+AV274+AV280+AV286+AV292+AV298)</f>
        <v>0</v>
      </c>
      <c r="AW304" s="1066">
        <f>SUM(AW226+AW232+AW238+AW244+AW250+AW256+AW262+AW268+AW274+AW280+AW286+AW292+AW298)</f>
        <v>0</v>
      </c>
      <c r="AX304" s="1064">
        <f>SUM(AX226+AX232+AX238+AX244+AX250+AX256+AX262+AX268+AX274+AX280+AX286+AX292+AX298)</f>
        <v>0</v>
      </c>
      <c r="CW304"/>
      <c r="CX304"/>
      <c r="CY304"/>
      <c r="CZ304"/>
      <c r="DA304"/>
      <c r="DB304"/>
      <c r="DC304"/>
      <c r="DD304"/>
      <c r="DE304"/>
      <c r="DG304"/>
      <c r="DH304"/>
      <c r="DI304"/>
      <c r="DJ304"/>
      <c r="DK304"/>
      <c r="DL304"/>
      <c r="DM304"/>
    </row>
    <row r="305" spans="1:117" x14ac:dyDescent="0.25">
      <c r="A305" s="122" t="s">
        <v>923</v>
      </c>
      <c r="B305" s="798"/>
      <c r="C305" s="798"/>
      <c r="D305" s="101"/>
      <c r="E305" s="101"/>
      <c r="F305" s="101"/>
      <c r="G305" s="101"/>
      <c r="H305" s="101"/>
      <c r="I305" s="101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780"/>
      <c r="AM305" s="780"/>
      <c r="AN305" s="103"/>
      <c r="AO305" s="103"/>
      <c r="AP305" s="103"/>
      <c r="AQ305" s="103"/>
      <c r="AR305" s="103"/>
      <c r="CW305"/>
      <c r="CX305"/>
      <c r="CY305"/>
      <c r="CZ305"/>
      <c r="DA305"/>
      <c r="DB305"/>
      <c r="DC305"/>
      <c r="DD305"/>
      <c r="DE305"/>
      <c r="DG305"/>
      <c r="DH305"/>
      <c r="DI305"/>
      <c r="DJ305"/>
      <c r="DK305"/>
      <c r="DL305"/>
      <c r="DM305"/>
    </row>
    <row r="306" spans="1:117" x14ac:dyDescent="0.25">
      <c r="A306" s="7461" t="s">
        <v>701</v>
      </c>
      <c r="B306" s="7462"/>
      <c r="C306" s="7463"/>
      <c r="D306" s="7467" t="s">
        <v>24</v>
      </c>
      <c r="E306" s="7468"/>
      <c r="F306" s="7469"/>
      <c r="G306" s="7429" t="s">
        <v>30</v>
      </c>
      <c r="H306" s="7436"/>
      <c r="I306" s="7436"/>
      <c r="J306" s="7436"/>
      <c r="K306" s="7436"/>
      <c r="L306" s="7436"/>
      <c r="M306" s="7436"/>
      <c r="N306" s="7436"/>
      <c r="O306" s="7436"/>
      <c r="P306" s="7436"/>
      <c r="Q306" s="7436"/>
      <c r="R306" s="7436"/>
      <c r="S306" s="7436"/>
      <c r="T306" s="7436"/>
      <c r="U306" s="7436"/>
      <c r="V306" s="7436"/>
      <c r="W306" s="7436"/>
      <c r="X306" s="7436"/>
      <c r="Y306" s="7436"/>
      <c r="Z306" s="7436"/>
      <c r="AA306" s="7436"/>
      <c r="AB306" s="7436"/>
      <c r="AC306" s="7436"/>
      <c r="AD306" s="7436"/>
      <c r="AE306" s="7436"/>
      <c r="AF306" s="7436"/>
      <c r="AG306" s="7436"/>
      <c r="AH306" s="7436"/>
      <c r="AI306" s="7436"/>
      <c r="AJ306" s="7436"/>
      <c r="AK306" s="7436"/>
      <c r="AL306" s="7436"/>
      <c r="AM306" s="7436"/>
      <c r="AN306" s="7436"/>
      <c r="AO306" s="7436"/>
      <c r="AP306" s="7473"/>
      <c r="AQ306" s="7412" t="s">
        <v>327</v>
      </c>
      <c r="AR306" s="7431" t="s">
        <v>1465</v>
      </c>
      <c r="CW306"/>
      <c r="CX306"/>
      <c r="CY306"/>
      <c r="CZ306"/>
      <c r="DA306"/>
      <c r="DB306"/>
      <c r="DC306"/>
      <c r="DD306"/>
      <c r="DE306"/>
      <c r="DG306"/>
      <c r="DH306"/>
      <c r="DI306"/>
      <c r="DJ306"/>
      <c r="DK306"/>
      <c r="DL306"/>
      <c r="DM306"/>
    </row>
    <row r="307" spans="1:117" x14ac:dyDescent="0.25">
      <c r="A307" s="7359"/>
      <c r="B307" s="7360"/>
      <c r="C307" s="7320"/>
      <c r="D307" s="7470"/>
      <c r="E307" s="7471"/>
      <c r="F307" s="7472"/>
      <c r="G307" s="7433" t="s">
        <v>682</v>
      </c>
      <c r="H307" s="7434"/>
      <c r="I307" s="7429" t="s">
        <v>683</v>
      </c>
      <c r="J307" s="7435"/>
      <c r="K307" s="7436" t="s">
        <v>684</v>
      </c>
      <c r="L307" s="7435"/>
      <c r="M307" s="7429" t="s">
        <v>685</v>
      </c>
      <c r="N307" s="7435"/>
      <c r="O307" s="7429" t="s">
        <v>686</v>
      </c>
      <c r="P307" s="7435"/>
      <c r="Q307" s="7429" t="s">
        <v>687</v>
      </c>
      <c r="R307" s="7435"/>
      <c r="S307" s="7429" t="s">
        <v>688</v>
      </c>
      <c r="T307" s="7435"/>
      <c r="U307" s="7429" t="s">
        <v>689</v>
      </c>
      <c r="V307" s="7435"/>
      <c r="W307" s="7429" t="s">
        <v>690</v>
      </c>
      <c r="X307" s="7435"/>
      <c r="Y307" s="7429" t="s">
        <v>554</v>
      </c>
      <c r="Z307" s="7430"/>
      <c r="AA307" s="7429" t="s">
        <v>568</v>
      </c>
      <c r="AB307" s="7430"/>
      <c r="AC307" s="7429" t="s">
        <v>892</v>
      </c>
      <c r="AD307" s="7430"/>
      <c r="AE307" s="7429" t="s">
        <v>494</v>
      </c>
      <c r="AF307" s="7430"/>
      <c r="AG307" s="7429" t="s">
        <v>495</v>
      </c>
      <c r="AH307" s="7430"/>
      <c r="AI307" s="7429" t="s">
        <v>893</v>
      </c>
      <c r="AJ307" s="7430"/>
      <c r="AK307" s="7429" t="s">
        <v>556</v>
      </c>
      <c r="AL307" s="7430"/>
      <c r="AM307" s="7429" t="s">
        <v>695</v>
      </c>
      <c r="AN307" s="7430"/>
      <c r="AO307" s="7429" t="s">
        <v>57</v>
      </c>
      <c r="AP307" s="7430"/>
      <c r="AQ307" s="6539"/>
      <c r="AR307" s="7355"/>
      <c r="CW307"/>
      <c r="CX307"/>
      <c r="CY307"/>
      <c r="CZ307"/>
      <c r="DA307"/>
      <c r="DB307"/>
      <c r="DC307"/>
      <c r="DD307"/>
      <c r="DE307"/>
      <c r="DG307"/>
      <c r="DH307"/>
      <c r="DI307"/>
      <c r="DJ307"/>
      <c r="DK307"/>
      <c r="DL307"/>
      <c r="DM307"/>
    </row>
    <row r="308" spans="1:117" x14ac:dyDescent="0.25">
      <c r="A308" s="7464"/>
      <c r="B308" s="7465"/>
      <c r="C308" s="7466"/>
      <c r="D308" s="4805" t="s">
        <v>26</v>
      </c>
      <c r="E308" s="4785" t="s">
        <v>22</v>
      </c>
      <c r="F308" s="605" t="s">
        <v>27</v>
      </c>
      <c r="G308" s="1071" t="s">
        <v>22</v>
      </c>
      <c r="H308" s="1070" t="s">
        <v>27</v>
      </c>
      <c r="I308" s="1072" t="s">
        <v>22</v>
      </c>
      <c r="J308" s="1070" t="s">
        <v>27</v>
      </c>
      <c r="K308" s="1072" t="s">
        <v>22</v>
      </c>
      <c r="L308" s="1070" t="s">
        <v>27</v>
      </c>
      <c r="M308" s="1072" t="s">
        <v>22</v>
      </c>
      <c r="N308" s="1070" t="s">
        <v>27</v>
      </c>
      <c r="O308" s="1072" t="s">
        <v>22</v>
      </c>
      <c r="P308" s="1070" t="s">
        <v>27</v>
      </c>
      <c r="Q308" s="1072" t="s">
        <v>22</v>
      </c>
      <c r="R308" s="1070" t="s">
        <v>27</v>
      </c>
      <c r="S308" s="1072" t="s">
        <v>22</v>
      </c>
      <c r="T308" s="1070" t="s">
        <v>27</v>
      </c>
      <c r="U308" s="1072" t="s">
        <v>22</v>
      </c>
      <c r="V308" s="1070" t="s">
        <v>27</v>
      </c>
      <c r="W308" s="1072" t="s">
        <v>22</v>
      </c>
      <c r="X308" s="1070" t="s">
        <v>27</v>
      </c>
      <c r="Y308" s="1072" t="s">
        <v>22</v>
      </c>
      <c r="Z308" s="1070" t="s">
        <v>27</v>
      </c>
      <c r="AA308" s="1072" t="s">
        <v>22</v>
      </c>
      <c r="AB308" s="1070" t="s">
        <v>27</v>
      </c>
      <c r="AC308" s="1072" t="s">
        <v>22</v>
      </c>
      <c r="AD308" s="1070" t="s">
        <v>27</v>
      </c>
      <c r="AE308" s="1072" t="s">
        <v>22</v>
      </c>
      <c r="AF308" s="1070" t="s">
        <v>27</v>
      </c>
      <c r="AG308" s="1072" t="s">
        <v>22</v>
      </c>
      <c r="AH308" s="1070" t="s">
        <v>27</v>
      </c>
      <c r="AI308" s="1072" t="s">
        <v>22</v>
      </c>
      <c r="AJ308" s="1070" t="s">
        <v>27</v>
      </c>
      <c r="AK308" s="1072" t="s">
        <v>22</v>
      </c>
      <c r="AL308" s="1070" t="s">
        <v>27</v>
      </c>
      <c r="AM308" s="1072" t="s">
        <v>22</v>
      </c>
      <c r="AN308" s="1070" t="s">
        <v>27</v>
      </c>
      <c r="AO308" s="1072" t="s">
        <v>22</v>
      </c>
      <c r="AP308" s="1070" t="s">
        <v>27</v>
      </c>
      <c r="AQ308" s="7413"/>
      <c r="AR308" s="7432"/>
      <c r="CW308"/>
      <c r="CX308"/>
      <c r="CY308"/>
      <c r="CZ308"/>
      <c r="DA308"/>
      <c r="DB308"/>
      <c r="DC308"/>
      <c r="DD308"/>
      <c r="DE308"/>
      <c r="DG308"/>
      <c r="DH308"/>
      <c r="DI308"/>
      <c r="DJ308"/>
      <c r="DK308"/>
      <c r="DL308"/>
      <c r="DM308"/>
    </row>
    <row r="309" spans="1:117" ht="15" customHeight="1" x14ac:dyDescent="0.25">
      <c r="A309" s="7451" t="s">
        <v>705</v>
      </c>
      <c r="B309" s="7452"/>
      <c r="C309" s="7453"/>
      <c r="D309" s="4879">
        <f>SUM(E309:F309)</f>
        <v>0</v>
      </c>
      <c r="E309" s="4855">
        <f t="shared" ref="E309:F313" si="287">SUM(G309+I309+K309+M309+O309+Q309+S309+U309+W309+Y309+AA309+AC309+AE309+AG309+AI309+AK309+AM309+AO309)</f>
        <v>0</v>
      </c>
      <c r="F309" s="1073">
        <f t="shared" si="287"/>
        <v>0</v>
      </c>
      <c r="G309" s="1074"/>
      <c r="H309" s="185"/>
      <c r="I309" s="1074"/>
      <c r="J309" s="185"/>
      <c r="K309" s="1074"/>
      <c r="L309" s="185"/>
      <c r="M309" s="1074"/>
      <c r="N309" s="185"/>
      <c r="O309" s="1074"/>
      <c r="P309" s="185"/>
      <c r="Q309" s="1074"/>
      <c r="R309" s="185"/>
      <c r="S309" s="1074"/>
      <c r="T309" s="185"/>
      <c r="U309" s="1074"/>
      <c r="V309" s="185"/>
      <c r="W309" s="1074"/>
      <c r="X309" s="185"/>
      <c r="Y309" s="1074"/>
      <c r="Z309" s="185"/>
      <c r="AA309" s="1074"/>
      <c r="AB309" s="185"/>
      <c r="AC309" s="1074"/>
      <c r="AD309" s="185"/>
      <c r="AE309" s="1074"/>
      <c r="AF309" s="185"/>
      <c r="AG309" s="1074"/>
      <c r="AH309" s="185"/>
      <c r="AI309" s="1074"/>
      <c r="AJ309" s="185"/>
      <c r="AK309" s="1074"/>
      <c r="AL309" s="185"/>
      <c r="AM309" s="1074"/>
      <c r="AN309" s="185"/>
      <c r="AO309" s="1074"/>
      <c r="AP309" s="321"/>
      <c r="AQ309" s="877"/>
      <c r="AR309" s="568"/>
      <c r="AS309" t="str">
        <f>CV309&amp;CW309&amp;CX309</f>
        <v/>
      </c>
      <c r="CV309" s="1791" t="str">
        <f>IF(AND(F309&gt;0,AQ309="")," * No olvide digitar la variable Embarazadas. Digite cero si no tiene.","")</f>
        <v/>
      </c>
      <c r="CW309" s="1791" t="str">
        <f>IF(AQ309&gt;F309," * Las Embarazadas NO DEBEN ser mayor al total de mujeres. ","")</f>
        <v/>
      </c>
      <c r="CX309" s="1791" t="str">
        <f>IF(AND((AK309+AL309)&gt;0,AR309="")," * No olvide digitar la variable 60 años. Si no tiene digite Cero.",IF(AR309&gt;(AK309+AL309)," * Las actividades de 60 años NO DEBEN ser mayor que las actividades registradas en el rango etario de 60 a 64 años",""))</f>
        <v/>
      </c>
      <c r="CY309"/>
      <c r="CZ309"/>
      <c r="DA309"/>
      <c r="DB309"/>
      <c r="DC309"/>
      <c r="DD309"/>
      <c r="DE309"/>
      <c r="DG309" s="1793">
        <f>IF(AND(F309&gt;0,AQ309=""),1,0)</f>
        <v>0</v>
      </c>
      <c r="DH309" s="1793">
        <f>IF(AQ309&gt;F309,1,0)</f>
        <v>0</v>
      </c>
      <c r="DI309" s="1793">
        <f>IF(AND((AK309+AL309)&gt;0,AR309=""),1,IF(AR309&gt;(AK309+AL309),1,0))</f>
        <v>0</v>
      </c>
      <c r="DJ309"/>
      <c r="DK309"/>
      <c r="DL309"/>
      <c r="DM309"/>
    </row>
    <row r="310" spans="1:117" ht="15" customHeight="1" x14ac:dyDescent="0.25">
      <c r="A310" s="7454" t="s">
        <v>924</v>
      </c>
      <c r="B310" s="7455"/>
      <c r="C310" s="7387"/>
      <c r="D310" s="1054">
        <f>SUM(E310:F310)</f>
        <v>0</v>
      </c>
      <c r="E310" s="3280">
        <f t="shared" si="287"/>
        <v>0</v>
      </c>
      <c r="F310" s="1075">
        <f t="shared" si="287"/>
        <v>0</v>
      </c>
      <c r="G310" s="1076"/>
      <c r="H310" s="1077"/>
      <c r="I310" s="1076"/>
      <c r="J310" s="1077"/>
      <c r="K310" s="1076"/>
      <c r="L310" s="1077"/>
      <c r="M310" s="1076"/>
      <c r="N310" s="1077"/>
      <c r="O310" s="1076"/>
      <c r="P310" s="1077"/>
      <c r="Q310" s="1076"/>
      <c r="R310" s="1077"/>
      <c r="S310" s="1076"/>
      <c r="T310" s="1077"/>
      <c r="U310" s="1076"/>
      <c r="V310" s="1077"/>
      <c r="W310" s="1076"/>
      <c r="X310" s="1077"/>
      <c r="Y310" s="1076"/>
      <c r="Z310" s="1077"/>
      <c r="AA310" s="1076"/>
      <c r="AB310" s="1077"/>
      <c r="AC310" s="1076"/>
      <c r="AD310" s="1077"/>
      <c r="AE310" s="1076"/>
      <c r="AF310" s="1077"/>
      <c r="AG310" s="1076"/>
      <c r="AH310" s="1077"/>
      <c r="AI310" s="1076"/>
      <c r="AJ310" s="1077"/>
      <c r="AK310" s="1076"/>
      <c r="AL310" s="1077"/>
      <c r="AM310" s="1076"/>
      <c r="AN310" s="1077"/>
      <c r="AO310" s="1076"/>
      <c r="AP310" s="1078"/>
      <c r="AQ310" s="1079"/>
      <c r="AR310" s="1080"/>
      <c r="AS310" t="str">
        <f t="shared" ref="AS310:AS313" si="288">CV310&amp;CW310&amp;CX310</f>
        <v/>
      </c>
      <c r="CV310" s="1791" t="str">
        <f t="shared" ref="CV310:CV313" si="289">IF(AND(F310&gt;0,AQ310="")," * No olvide digitar la variable Embarazadas. Digite cero si no tiene.","")</f>
        <v/>
      </c>
      <c r="CW310" s="1791" t="str">
        <f t="shared" ref="CW310:CW313" si="290">IF(AQ310&gt;F310," * Las Embarazadas NO DEBEN ser mayor al total de mujeres. ","")</f>
        <v/>
      </c>
      <c r="CX310" s="1791" t="str">
        <f t="shared" ref="CX310:CX313" si="291">IF(AND((AK310+AL310)&gt;0,AR310="")," * No olvide digitar la variable 60 años. Si no tiene digite Cero.",IF(AR310&gt;(AK310+AL310)," * Las actividades de 60 años NO DEBEN ser mayor que las actividades registradas en el rango etario de 60 a 64 años",""))</f>
        <v/>
      </c>
      <c r="CY310"/>
      <c r="CZ310"/>
      <c r="DA310"/>
      <c r="DB310"/>
      <c r="DC310"/>
      <c r="DD310"/>
      <c r="DE310"/>
      <c r="DG310" s="1793">
        <f t="shared" ref="DG310:DG313" si="292">IF(AND(F310&gt;0,AQ310=""),1,0)</f>
        <v>0</v>
      </c>
      <c r="DH310" s="1793">
        <f t="shared" ref="DH310:DH313" si="293">IF(AQ310&gt;F310,1,0)</f>
        <v>0</v>
      </c>
      <c r="DI310" s="1793">
        <f t="shared" ref="DI310:DI313" si="294">IF(AND((AK310+AL310)&gt;0,AR310=""),1,IF(AR310&gt;(AK310+AL310),1,0))</f>
        <v>0</v>
      </c>
      <c r="DJ310"/>
      <c r="DK310"/>
      <c r="DL310"/>
      <c r="DM310"/>
    </row>
    <row r="311" spans="1:117" ht="15" customHeight="1" x14ac:dyDescent="0.25">
      <c r="A311" s="7454" t="s">
        <v>925</v>
      </c>
      <c r="B311" s="7455"/>
      <c r="C311" s="7387"/>
      <c r="D311" s="1054">
        <f>SUM(E311:F311)</f>
        <v>0</v>
      </c>
      <c r="E311" s="3280">
        <f t="shared" si="287"/>
        <v>0</v>
      </c>
      <c r="F311" s="1075">
        <f t="shared" si="287"/>
        <v>0</v>
      </c>
      <c r="G311" s="1076"/>
      <c r="H311" s="1077"/>
      <c r="I311" s="1076"/>
      <c r="J311" s="1077"/>
      <c r="K311" s="1076"/>
      <c r="L311" s="1077"/>
      <c r="M311" s="1076"/>
      <c r="N311" s="1077"/>
      <c r="O311" s="1076"/>
      <c r="P311" s="1077"/>
      <c r="Q311" s="1076"/>
      <c r="R311" s="1077"/>
      <c r="S311" s="1076"/>
      <c r="T311" s="1077"/>
      <c r="U311" s="1076"/>
      <c r="V311" s="1077"/>
      <c r="W311" s="1076"/>
      <c r="X311" s="1077"/>
      <c r="Y311" s="1076"/>
      <c r="Z311" s="1077"/>
      <c r="AA311" s="1076"/>
      <c r="AB311" s="1077"/>
      <c r="AC311" s="1076"/>
      <c r="AD311" s="1077"/>
      <c r="AE311" s="1076"/>
      <c r="AF311" s="1077"/>
      <c r="AG311" s="1076"/>
      <c r="AH311" s="1077"/>
      <c r="AI311" s="1076"/>
      <c r="AJ311" s="1077"/>
      <c r="AK311" s="1076"/>
      <c r="AL311" s="1077"/>
      <c r="AM311" s="1076"/>
      <c r="AN311" s="1077"/>
      <c r="AO311" s="1076"/>
      <c r="AP311" s="1078"/>
      <c r="AQ311" s="1079"/>
      <c r="AR311" s="1080"/>
      <c r="AS311" t="str">
        <f t="shared" si="288"/>
        <v/>
      </c>
      <c r="CV311" s="1791" t="str">
        <f t="shared" si="289"/>
        <v/>
      </c>
      <c r="CW311" s="1791" t="str">
        <f t="shared" si="290"/>
        <v/>
      </c>
      <c r="CX311" s="1791" t="str">
        <f t="shared" si="291"/>
        <v/>
      </c>
      <c r="CY311"/>
      <c r="CZ311"/>
      <c r="DA311"/>
      <c r="DB311"/>
      <c r="DC311"/>
      <c r="DD311"/>
      <c r="DE311"/>
      <c r="DG311" s="1793">
        <f t="shared" si="292"/>
        <v>0</v>
      </c>
      <c r="DH311" s="1793">
        <f t="shared" si="293"/>
        <v>0</v>
      </c>
      <c r="DI311" s="1793">
        <f t="shared" si="294"/>
        <v>0</v>
      </c>
      <c r="DJ311"/>
      <c r="DK311"/>
      <c r="DL311"/>
      <c r="DM311"/>
    </row>
    <row r="312" spans="1:117" ht="15" customHeight="1" x14ac:dyDescent="0.25">
      <c r="A312" s="7456" t="s">
        <v>926</v>
      </c>
      <c r="B312" s="7457"/>
      <c r="C312" s="7458"/>
      <c r="D312" s="1054">
        <f>SUM(E312:F312)</f>
        <v>0</v>
      </c>
      <c r="E312" s="3280">
        <f t="shared" si="287"/>
        <v>0</v>
      </c>
      <c r="F312" s="1075">
        <f t="shared" si="287"/>
        <v>0</v>
      </c>
      <c r="G312" s="1076"/>
      <c r="H312" s="1077"/>
      <c r="I312" s="1076"/>
      <c r="J312" s="1077"/>
      <c r="K312" s="1076"/>
      <c r="L312" s="1077"/>
      <c r="M312" s="1076"/>
      <c r="N312" s="1077"/>
      <c r="O312" s="1076"/>
      <c r="P312" s="1077"/>
      <c r="Q312" s="1076"/>
      <c r="R312" s="1077"/>
      <c r="S312" s="1076"/>
      <c r="T312" s="1077"/>
      <c r="U312" s="1076"/>
      <c r="V312" s="1077"/>
      <c r="W312" s="1076"/>
      <c r="X312" s="1077"/>
      <c r="Y312" s="1076"/>
      <c r="Z312" s="1077"/>
      <c r="AA312" s="1076"/>
      <c r="AB312" s="1077"/>
      <c r="AC312" s="1076"/>
      <c r="AD312" s="1077"/>
      <c r="AE312" s="1076"/>
      <c r="AF312" s="1077"/>
      <c r="AG312" s="1076"/>
      <c r="AH312" s="1077"/>
      <c r="AI312" s="1076"/>
      <c r="AJ312" s="1077"/>
      <c r="AK312" s="1076"/>
      <c r="AL312" s="1077"/>
      <c r="AM312" s="1076"/>
      <c r="AN312" s="1077"/>
      <c r="AO312" s="1076"/>
      <c r="AP312" s="1078"/>
      <c r="AQ312" s="884"/>
      <c r="AR312" s="158"/>
      <c r="AS312" t="str">
        <f t="shared" si="288"/>
        <v/>
      </c>
      <c r="CV312" s="1791" t="str">
        <f t="shared" si="289"/>
        <v/>
      </c>
      <c r="CW312" s="1791" t="str">
        <f t="shared" si="290"/>
        <v/>
      </c>
      <c r="CX312" s="1791" t="str">
        <f t="shared" si="291"/>
        <v/>
      </c>
      <c r="CY312"/>
      <c r="CZ312"/>
      <c r="DA312"/>
      <c r="DB312"/>
      <c r="DC312"/>
      <c r="DD312"/>
      <c r="DE312"/>
      <c r="DG312" s="1793">
        <f t="shared" si="292"/>
        <v>0</v>
      </c>
      <c r="DH312" s="1793">
        <f t="shared" si="293"/>
        <v>0</v>
      </c>
      <c r="DI312" s="1793">
        <f t="shared" si="294"/>
        <v>0</v>
      </c>
      <c r="DJ312"/>
      <c r="DK312"/>
      <c r="DL312"/>
      <c r="DM312"/>
    </row>
    <row r="313" spans="1:117" ht="15" customHeight="1" x14ac:dyDescent="0.25">
      <c r="A313" s="7459" t="s">
        <v>927</v>
      </c>
      <c r="B313" s="6582"/>
      <c r="C313" s="6583"/>
      <c r="D313" s="3306">
        <f>SUM(E313:F313)</f>
        <v>0</v>
      </c>
      <c r="E313" s="3983">
        <f t="shared" si="287"/>
        <v>0</v>
      </c>
      <c r="F313" s="150">
        <f t="shared" si="287"/>
        <v>0</v>
      </c>
      <c r="G313" s="121"/>
      <c r="H313" s="116"/>
      <c r="I313" s="121"/>
      <c r="J313" s="116"/>
      <c r="K313" s="121"/>
      <c r="L313" s="116"/>
      <c r="M313" s="121"/>
      <c r="N313" s="116"/>
      <c r="O313" s="121"/>
      <c r="P313" s="116"/>
      <c r="Q313" s="121"/>
      <c r="R313" s="116"/>
      <c r="S313" s="121"/>
      <c r="T313" s="116"/>
      <c r="U313" s="121"/>
      <c r="V313" s="116"/>
      <c r="W313" s="121"/>
      <c r="X313" s="116"/>
      <c r="Y313" s="121"/>
      <c r="Z313" s="116"/>
      <c r="AA313" s="121"/>
      <c r="AB313" s="116"/>
      <c r="AC313" s="121"/>
      <c r="AD313" s="116"/>
      <c r="AE313" s="121"/>
      <c r="AF313" s="116"/>
      <c r="AG313" s="121"/>
      <c r="AH313" s="116"/>
      <c r="AI313" s="121"/>
      <c r="AJ313" s="116"/>
      <c r="AK313" s="121"/>
      <c r="AL313" s="116"/>
      <c r="AM313" s="121"/>
      <c r="AN313" s="116"/>
      <c r="AO313" s="121"/>
      <c r="AP313" s="162"/>
      <c r="AQ313" s="775"/>
      <c r="AR313" s="153"/>
      <c r="AS313" t="str">
        <f t="shared" si="288"/>
        <v/>
      </c>
      <c r="CV313" s="1791" t="str">
        <f t="shared" si="289"/>
        <v/>
      </c>
      <c r="CW313" s="1791" t="str">
        <f t="shared" si="290"/>
        <v/>
      </c>
      <c r="CX313" s="1791" t="str">
        <f t="shared" si="291"/>
        <v/>
      </c>
      <c r="CY313"/>
      <c r="CZ313"/>
      <c r="DA313"/>
      <c r="DB313"/>
      <c r="DC313"/>
      <c r="DD313"/>
      <c r="DE313"/>
      <c r="DG313" s="1793">
        <f t="shared" si="292"/>
        <v>0</v>
      </c>
      <c r="DH313" s="1793">
        <f t="shared" si="293"/>
        <v>0</v>
      </c>
      <c r="DI313" s="1793">
        <f t="shared" si="294"/>
        <v>0</v>
      </c>
      <c r="DJ313"/>
      <c r="DK313"/>
      <c r="DL313"/>
      <c r="DM313"/>
    </row>
    <row r="314" spans="1:117" ht="18" customHeight="1" x14ac:dyDescent="0.25">
      <c r="A314" s="210" t="s">
        <v>928</v>
      </c>
      <c r="B314" s="1081"/>
      <c r="C314" s="1081"/>
      <c r="D314" s="1082"/>
      <c r="E314" s="419"/>
      <c r="CW314"/>
      <c r="CX314"/>
      <c r="CY314"/>
      <c r="CZ314"/>
      <c r="DA314"/>
      <c r="DB314"/>
      <c r="DC314"/>
      <c r="DD314"/>
      <c r="DE314"/>
      <c r="DG314"/>
      <c r="DH314"/>
      <c r="DI314"/>
      <c r="DJ314"/>
      <c r="DK314"/>
      <c r="DL314"/>
      <c r="DM314"/>
    </row>
    <row r="315" spans="1:117" ht="31.5" x14ac:dyDescent="0.25">
      <c r="A315" s="7429" t="s">
        <v>291</v>
      </c>
      <c r="B315" s="7446"/>
      <c r="C315" s="1083" t="s">
        <v>929</v>
      </c>
      <c r="D315" s="1083" t="s">
        <v>930</v>
      </c>
      <c r="E315" s="1083" t="s">
        <v>931</v>
      </c>
      <c r="CW315"/>
      <c r="CX315"/>
      <c r="CY315"/>
      <c r="CZ315"/>
      <c r="DA315"/>
      <c r="DB315"/>
      <c r="DC315"/>
      <c r="DD315"/>
      <c r="DE315"/>
      <c r="DG315"/>
      <c r="DH315"/>
      <c r="DI315"/>
      <c r="DJ315"/>
      <c r="DK315"/>
      <c r="DL315"/>
      <c r="DM315"/>
    </row>
    <row r="316" spans="1:117" ht="15" customHeight="1" x14ac:dyDescent="0.25">
      <c r="A316" s="7447" t="s">
        <v>748</v>
      </c>
      <c r="B316" s="7448"/>
      <c r="C316" s="1084"/>
      <c r="D316" s="1084"/>
      <c r="E316" s="1084"/>
      <c r="CW316"/>
      <c r="CX316"/>
      <c r="CY316"/>
      <c r="CZ316"/>
      <c r="DA316"/>
      <c r="DB316"/>
      <c r="DC316"/>
      <c r="DD316"/>
      <c r="DE316"/>
      <c r="DG316"/>
      <c r="DH316"/>
      <c r="DI316"/>
      <c r="DJ316"/>
      <c r="DK316"/>
      <c r="DL316"/>
      <c r="DM316"/>
    </row>
    <row r="317" spans="1:117" ht="15" customHeight="1" x14ac:dyDescent="0.25">
      <c r="A317" s="7423" t="s">
        <v>932</v>
      </c>
      <c r="B317" s="7424"/>
      <c r="C317" s="1080"/>
      <c r="D317" s="1080"/>
      <c r="E317" s="1080"/>
      <c r="CW317"/>
      <c r="CX317"/>
      <c r="CY317"/>
      <c r="CZ317"/>
      <c r="DA317"/>
      <c r="DB317"/>
      <c r="DC317"/>
      <c r="DD317"/>
      <c r="DE317"/>
      <c r="DG317"/>
      <c r="DH317"/>
      <c r="DI317"/>
      <c r="DJ317"/>
      <c r="DK317"/>
      <c r="DL317"/>
      <c r="DM317"/>
    </row>
    <row r="318" spans="1:117" ht="15" customHeight="1" x14ac:dyDescent="0.25">
      <c r="A318" s="7449" t="s">
        <v>933</v>
      </c>
      <c r="B318" s="7450"/>
      <c r="C318" s="1080"/>
      <c r="D318" s="1080"/>
      <c r="E318" s="1080"/>
      <c r="CW318"/>
      <c r="CX318"/>
      <c r="CY318"/>
      <c r="CZ318"/>
      <c r="DA318"/>
      <c r="DB318"/>
      <c r="DC318"/>
      <c r="DD318"/>
      <c r="DE318"/>
      <c r="DG318"/>
      <c r="DH318"/>
      <c r="DI318"/>
      <c r="DJ318"/>
      <c r="DK318"/>
      <c r="DL318"/>
      <c r="DM318"/>
    </row>
    <row r="319" spans="1:117" ht="15" customHeight="1" x14ac:dyDescent="0.25">
      <c r="A319" s="7423" t="s">
        <v>753</v>
      </c>
      <c r="B319" s="7424"/>
      <c r="C319" s="1080"/>
      <c r="D319" s="1080"/>
      <c r="E319" s="1080"/>
      <c r="CW319"/>
      <c r="CX319"/>
      <c r="CY319"/>
      <c r="CZ319"/>
      <c r="DA319"/>
      <c r="DB319"/>
      <c r="DC319"/>
      <c r="DD319"/>
      <c r="DE319"/>
      <c r="DG319"/>
      <c r="DH319"/>
      <c r="DI319"/>
      <c r="DJ319"/>
      <c r="DK319"/>
      <c r="DL319"/>
      <c r="DM319"/>
    </row>
    <row r="320" spans="1:117" ht="15" customHeight="1" x14ac:dyDescent="0.25">
      <c r="A320" s="7423" t="s">
        <v>755</v>
      </c>
      <c r="B320" s="7424"/>
      <c r="C320" s="1080"/>
      <c r="D320" s="1080"/>
      <c r="E320" s="1080"/>
      <c r="CW320"/>
      <c r="CX320"/>
      <c r="CY320"/>
      <c r="CZ320"/>
      <c r="DA320"/>
      <c r="DB320"/>
      <c r="DC320"/>
      <c r="DD320"/>
      <c r="DE320"/>
      <c r="DG320"/>
      <c r="DH320"/>
      <c r="DI320"/>
      <c r="DJ320"/>
      <c r="DK320"/>
      <c r="DL320"/>
      <c r="DM320"/>
    </row>
    <row r="321" spans="1:117" ht="15" customHeight="1" x14ac:dyDescent="0.25">
      <c r="A321" s="7423" t="s">
        <v>934</v>
      </c>
      <c r="B321" s="7424"/>
      <c r="C321" s="1080"/>
      <c r="D321" s="1080"/>
      <c r="E321" s="1080"/>
      <c r="CW321"/>
      <c r="CX321"/>
      <c r="CY321"/>
      <c r="CZ321"/>
      <c r="DA321"/>
      <c r="DB321"/>
      <c r="DC321"/>
      <c r="DD321"/>
      <c r="DE321"/>
      <c r="DG321"/>
      <c r="DH321"/>
      <c r="DI321"/>
      <c r="DJ321"/>
      <c r="DK321"/>
      <c r="DL321"/>
      <c r="DM321"/>
    </row>
    <row r="322" spans="1:117" ht="15" customHeight="1" x14ac:dyDescent="0.25">
      <c r="A322" s="7425" t="s">
        <v>752</v>
      </c>
      <c r="B322" s="7426"/>
      <c r="C322" s="1080"/>
      <c r="D322" s="1080"/>
      <c r="E322" s="1080"/>
      <c r="CW322"/>
      <c r="CX322"/>
      <c r="CY322"/>
      <c r="CZ322"/>
      <c r="DA322"/>
      <c r="DB322"/>
      <c r="DC322"/>
      <c r="DD322"/>
      <c r="DE322"/>
      <c r="DG322"/>
      <c r="DH322"/>
      <c r="DI322"/>
      <c r="DJ322"/>
      <c r="DK322"/>
      <c r="DL322"/>
      <c r="DM322"/>
    </row>
    <row r="323" spans="1:117" ht="15" customHeight="1" x14ac:dyDescent="0.25">
      <c r="A323" s="7427" t="s">
        <v>935</v>
      </c>
      <c r="B323" s="7428"/>
      <c r="C323" s="1080"/>
      <c r="D323" s="1080"/>
      <c r="E323" s="1080"/>
      <c r="CW323"/>
      <c r="CX323"/>
      <c r="CY323"/>
      <c r="CZ323"/>
      <c r="DA323"/>
      <c r="DB323"/>
      <c r="DC323"/>
      <c r="DD323"/>
      <c r="DE323"/>
      <c r="DG323"/>
      <c r="DH323"/>
      <c r="DI323"/>
      <c r="DJ323"/>
      <c r="DK323"/>
      <c r="DL323"/>
      <c r="DM323"/>
    </row>
    <row r="324" spans="1:117" ht="15" customHeight="1" x14ac:dyDescent="0.25">
      <c r="A324" s="7427" t="s">
        <v>756</v>
      </c>
      <c r="B324" s="7428"/>
      <c r="C324" s="1080"/>
      <c r="D324" s="1080"/>
      <c r="E324" s="1080"/>
      <c r="CW324"/>
      <c r="CX324"/>
      <c r="CY324"/>
      <c r="CZ324"/>
      <c r="DA324"/>
      <c r="DB324"/>
      <c r="DC324"/>
      <c r="DD324"/>
      <c r="DE324"/>
      <c r="DG324"/>
      <c r="DH324"/>
      <c r="DI324"/>
      <c r="DJ324"/>
      <c r="DK324"/>
      <c r="DL324"/>
      <c r="DM324"/>
    </row>
    <row r="325" spans="1:117" ht="15" customHeight="1" x14ac:dyDescent="0.25">
      <c r="A325" s="7444" t="s">
        <v>757</v>
      </c>
      <c r="B325" s="7445"/>
      <c r="C325" s="153"/>
      <c r="D325" s="153"/>
      <c r="E325" s="153"/>
      <c r="CW325"/>
      <c r="CX325"/>
      <c r="CY325"/>
      <c r="CZ325"/>
      <c r="DA325"/>
      <c r="DB325"/>
      <c r="DC325"/>
      <c r="DD325"/>
      <c r="DE325"/>
      <c r="DG325"/>
      <c r="DH325"/>
      <c r="DI325"/>
      <c r="DJ325"/>
      <c r="DK325"/>
      <c r="DL325"/>
      <c r="DM325"/>
    </row>
    <row r="326" spans="1:117" x14ac:dyDescent="0.25">
      <c r="CW326"/>
      <c r="CX326"/>
      <c r="CY326"/>
      <c r="CZ326"/>
      <c r="DA326"/>
      <c r="DB326"/>
      <c r="DC326"/>
      <c r="DD326"/>
      <c r="DE326"/>
      <c r="DG326"/>
      <c r="DH326"/>
      <c r="DI326"/>
      <c r="DJ326"/>
      <c r="DK326"/>
      <c r="DL326"/>
      <c r="DM326"/>
    </row>
    <row r="327" spans="1:117" x14ac:dyDescent="0.25">
      <c r="CW327"/>
      <c r="CX327"/>
      <c r="CY327"/>
      <c r="CZ327"/>
      <c r="DA327"/>
      <c r="DB327"/>
      <c r="DC327"/>
      <c r="DD327"/>
      <c r="DE327"/>
      <c r="DG327"/>
      <c r="DH327"/>
      <c r="DI327"/>
      <c r="DJ327"/>
      <c r="DK327"/>
      <c r="DL327"/>
      <c r="DM327"/>
    </row>
    <row r="328" spans="1:117" x14ac:dyDescent="0.25">
      <c r="CW328"/>
      <c r="CX328"/>
      <c r="CY328"/>
      <c r="CZ328"/>
      <c r="DA328"/>
      <c r="DB328"/>
      <c r="DC328"/>
      <c r="DD328"/>
      <c r="DE328"/>
      <c r="DG328"/>
      <c r="DH328"/>
      <c r="DI328"/>
      <c r="DJ328"/>
      <c r="DK328"/>
      <c r="DL328"/>
      <c r="DM328"/>
    </row>
    <row r="329" spans="1:117" x14ac:dyDescent="0.25">
      <c r="CW329"/>
      <c r="CX329"/>
      <c r="CY329"/>
      <c r="CZ329"/>
      <c r="DA329"/>
      <c r="DB329"/>
      <c r="DC329"/>
      <c r="DD329"/>
      <c r="DE329"/>
      <c r="DG329"/>
      <c r="DH329"/>
      <c r="DI329"/>
      <c r="DJ329"/>
      <c r="DK329"/>
      <c r="DL329"/>
      <c r="DM329"/>
    </row>
    <row r="330" spans="1:117" x14ac:dyDescent="0.25">
      <c r="CW330"/>
      <c r="CX330"/>
      <c r="CY330"/>
      <c r="CZ330"/>
      <c r="DA330"/>
      <c r="DB330"/>
      <c r="DC330"/>
      <c r="DD330"/>
      <c r="DE330"/>
      <c r="DG330"/>
      <c r="DH330"/>
      <c r="DI330"/>
      <c r="DJ330"/>
      <c r="DK330"/>
      <c r="DL330"/>
      <c r="DM330"/>
    </row>
    <row r="331" spans="1:117" x14ac:dyDescent="0.25">
      <c r="CW331"/>
      <c r="CX331"/>
      <c r="CY331"/>
      <c r="CZ331"/>
      <c r="DA331"/>
      <c r="DB331"/>
      <c r="DC331"/>
      <c r="DD331"/>
      <c r="DE331"/>
      <c r="DG331"/>
      <c r="DH331"/>
      <c r="DI331"/>
      <c r="DJ331"/>
      <c r="DK331"/>
      <c r="DL331"/>
      <c r="DM331"/>
    </row>
    <row r="332" spans="1:117" x14ac:dyDescent="0.25">
      <c r="CW332"/>
      <c r="CX332"/>
      <c r="CY332"/>
      <c r="CZ332"/>
      <c r="DA332"/>
      <c r="DB332"/>
      <c r="DC332"/>
      <c r="DD332"/>
      <c r="DE332"/>
      <c r="DG332"/>
      <c r="DH332"/>
      <c r="DI332"/>
      <c r="DJ332"/>
      <c r="DK332"/>
      <c r="DL332"/>
      <c r="DM332"/>
    </row>
    <row r="333" spans="1:117" x14ac:dyDescent="0.25">
      <c r="CW333"/>
      <c r="CX333"/>
      <c r="CY333"/>
      <c r="CZ333"/>
      <c r="DA333"/>
      <c r="DB333"/>
      <c r="DC333"/>
      <c r="DD333"/>
      <c r="DE333"/>
      <c r="DG333"/>
      <c r="DH333"/>
      <c r="DI333"/>
      <c r="DJ333"/>
      <c r="DK333"/>
      <c r="DL333"/>
      <c r="DM333"/>
    </row>
    <row r="334" spans="1:117" x14ac:dyDescent="0.25">
      <c r="CW334"/>
      <c r="CX334"/>
      <c r="CY334"/>
      <c r="CZ334"/>
      <c r="DA334"/>
      <c r="DB334"/>
      <c r="DC334"/>
      <c r="DD334"/>
      <c r="DE334"/>
      <c r="DG334"/>
      <c r="DH334"/>
      <c r="DI334"/>
      <c r="DJ334"/>
      <c r="DK334"/>
      <c r="DL334"/>
      <c r="DM334"/>
    </row>
    <row r="335" spans="1:117" x14ac:dyDescent="0.25">
      <c r="CW335"/>
      <c r="CX335"/>
      <c r="CY335"/>
      <c r="CZ335"/>
      <c r="DA335"/>
      <c r="DB335"/>
      <c r="DC335"/>
      <c r="DD335"/>
      <c r="DE335"/>
      <c r="DG335"/>
      <c r="DH335"/>
      <c r="DI335"/>
      <c r="DJ335"/>
      <c r="DK335"/>
      <c r="DL335"/>
      <c r="DM335"/>
    </row>
    <row r="336" spans="1:117" x14ac:dyDescent="0.25">
      <c r="CW336"/>
      <c r="CX336"/>
      <c r="CY336"/>
      <c r="CZ336"/>
      <c r="DA336"/>
      <c r="DB336"/>
      <c r="DC336"/>
      <c r="DD336"/>
      <c r="DE336"/>
      <c r="DG336"/>
      <c r="DH336"/>
      <c r="DI336"/>
      <c r="DJ336"/>
      <c r="DK336"/>
      <c r="DL336"/>
      <c r="DM336"/>
    </row>
    <row r="337" spans="1:117" x14ac:dyDescent="0.25">
      <c r="CW337"/>
      <c r="CX337"/>
      <c r="CY337"/>
      <c r="CZ337"/>
      <c r="DA337"/>
      <c r="DB337"/>
      <c r="DC337"/>
      <c r="DD337"/>
      <c r="DE337"/>
      <c r="DG337"/>
      <c r="DH337"/>
      <c r="DI337"/>
      <c r="DJ337"/>
      <c r="DK337"/>
      <c r="DL337"/>
      <c r="DM337"/>
    </row>
    <row r="338" spans="1:117" x14ac:dyDescent="0.25">
      <c r="CW338"/>
      <c r="CX338"/>
      <c r="CY338"/>
      <c r="CZ338"/>
      <c r="DA338"/>
      <c r="DB338"/>
      <c r="DC338"/>
      <c r="DD338"/>
      <c r="DE338"/>
      <c r="DG338"/>
      <c r="DH338"/>
      <c r="DI338"/>
      <c r="DJ338"/>
      <c r="DK338"/>
      <c r="DL338"/>
      <c r="DM338"/>
    </row>
    <row r="339" spans="1:117" x14ac:dyDescent="0.25">
      <c r="CW339"/>
      <c r="CX339"/>
      <c r="CY339"/>
      <c r="CZ339"/>
      <c r="DA339"/>
      <c r="DB339"/>
      <c r="DC339"/>
      <c r="DD339"/>
      <c r="DE339"/>
      <c r="DG339"/>
      <c r="DH339"/>
      <c r="DI339"/>
      <c r="DJ339"/>
      <c r="DK339"/>
      <c r="DL339"/>
      <c r="DM339"/>
    </row>
    <row r="340" spans="1:117" x14ac:dyDescent="0.25">
      <c r="CW340"/>
      <c r="CX340"/>
      <c r="CY340"/>
      <c r="CZ340"/>
      <c r="DA340"/>
      <c r="DB340"/>
      <c r="DC340"/>
      <c r="DD340"/>
      <c r="DE340"/>
      <c r="DG340"/>
      <c r="DH340"/>
      <c r="DI340"/>
      <c r="DJ340"/>
      <c r="DK340"/>
      <c r="DL340"/>
      <c r="DM340"/>
    </row>
    <row r="341" spans="1:117" x14ac:dyDescent="0.25">
      <c r="CW341"/>
      <c r="CX341"/>
      <c r="CY341"/>
      <c r="CZ341"/>
      <c r="DA341"/>
      <c r="DB341"/>
      <c r="DC341"/>
      <c r="DD341"/>
      <c r="DE341"/>
      <c r="DG341"/>
      <c r="DH341"/>
      <c r="DI341"/>
      <c r="DJ341"/>
      <c r="DK341"/>
      <c r="DL341"/>
      <c r="DM341"/>
    </row>
    <row r="342" spans="1:117" x14ac:dyDescent="0.25">
      <c r="CW342"/>
      <c r="CX342"/>
      <c r="CY342"/>
      <c r="CZ342"/>
      <c r="DA342"/>
      <c r="DB342"/>
      <c r="DC342"/>
      <c r="DD342"/>
      <c r="DE342"/>
      <c r="DG342"/>
      <c r="DH342"/>
      <c r="DI342"/>
      <c r="DJ342"/>
      <c r="DK342"/>
      <c r="DL342"/>
      <c r="DM342"/>
    </row>
    <row r="343" spans="1:117" x14ac:dyDescent="0.25">
      <c r="CW343"/>
      <c r="CX343"/>
      <c r="CY343"/>
      <c r="CZ343"/>
      <c r="DA343"/>
      <c r="DB343"/>
      <c r="DC343"/>
      <c r="DD343"/>
      <c r="DE343"/>
      <c r="DG343"/>
      <c r="DH343"/>
      <c r="DI343"/>
      <c r="DJ343"/>
      <c r="DK343"/>
      <c r="DL343"/>
      <c r="DM343"/>
    </row>
    <row r="344" spans="1:117" x14ac:dyDescent="0.25">
      <c r="CW344"/>
      <c r="CX344"/>
      <c r="CY344"/>
      <c r="CZ344"/>
      <c r="DA344"/>
      <c r="DB344"/>
      <c r="DC344"/>
      <c r="DD344"/>
      <c r="DE344"/>
      <c r="DG344"/>
      <c r="DH344"/>
      <c r="DI344"/>
      <c r="DJ344"/>
      <c r="DK344"/>
      <c r="DL344"/>
      <c r="DM344"/>
    </row>
    <row r="345" spans="1:117" x14ac:dyDescent="0.25">
      <c r="CW345"/>
      <c r="CX345"/>
      <c r="CY345"/>
      <c r="CZ345"/>
      <c r="DA345"/>
      <c r="DB345"/>
      <c r="DC345"/>
      <c r="DD345"/>
      <c r="DE345"/>
      <c r="DG345"/>
      <c r="DH345"/>
      <c r="DI345"/>
      <c r="DJ345"/>
      <c r="DK345"/>
      <c r="DL345"/>
      <c r="DM345"/>
    </row>
    <row r="346" spans="1:117" x14ac:dyDescent="0.25">
      <c r="CW346"/>
      <c r="CX346"/>
      <c r="CY346"/>
      <c r="CZ346"/>
      <c r="DA346"/>
      <c r="DB346"/>
      <c r="DC346"/>
      <c r="DD346"/>
      <c r="DE346"/>
      <c r="DG346"/>
      <c r="DH346"/>
      <c r="DI346"/>
      <c r="DJ346"/>
      <c r="DK346"/>
      <c r="DL346"/>
      <c r="DM346"/>
    </row>
    <row r="347" spans="1:117" x14ac:dyDescent="0.25">
      <c r="CW347"/>
      <c r="CX347"/>
      <c r="CY347"/>
      <c r="CZ347"/>
      <c r="DA347"/>
      <c r="DB347"/>
      <c r="DC347"/>
      <c r="DD347"/>
      <c r="DE347"/>
      <c r="DG347"/>
      <c r="DH347"/>
      <c r="DI347"/>
      <c r="DJ347"/>
      <c r="DK347"/>
      <c r="DL347"/>
      <c r="DM347"/>
    </row>
    <row r="348" spans="1:117" x14ac:dyDescent="0.25">
      <c r="CW348"/>
      <c r="CX348"/>
      <c r="CY348"/>
      <c r="CZ348"/>
      <c r="DA348"/>
      <c r="DB348"/>
      <c r="DC348"/>
      <c r="DD348"/>
      <c r="DE348"/>
      <c r="DG348"/>
      <c r="DH348"/>
      <c r="DI348"/>
      <c r="DJ348"/>
      <c r="DK348"/>
      <c r="DL348"/>
      <c r="DM348"/>
    </row>
    <row r="349" spans="1:117" x14ac:dyDescent="0.25">
      <c r="CW349"/>
      <c r="CX349"/>
      <c r="CY349"/>
      <c r="CZ349"/>
      <c r="DA349"/>
      <c r="DB349"/>
      <c r="DC349"/>
      <c r="DD349"/>
      <c r="DE349"/>
      <c r="DG349"/>
      <c r="DH349"/>
      <c r="DI349"/>
      <c r="DJ349"/>
      <c r="DK349"/>
      <c r="DL349"/>
      <c r="DM349"/>
    </row>
    <row r="350" spans="1:117" hidden="1" x14ac:dyDescent="0.25">
      <c r="A350" s="4600">
        <f>SUM(D12:D15,D19:D36,D41:D64,D82:D83,D67:D78,D88:D141,D146:D155,D160:D196,D201:D204,D211:D214,D219:D304,D309:D313,C316:E325)</f>
        <v>0</v>
      </c>
      <c r="B350" s="4574">
        <f>SUM(DG12:DO313)</f>
        <v>0</v>
      </c>
      <c r="CW350"/>
      <c r="CX350"/>
      <c r="CY350"/>
      <c r="CZ350"/>
      <c r="DA350"/>
      <c r="DB350"/>
      <c r="DC350"/>
      <c r="DD350"/>
      <c r="DE350"/>
      <c r="DG350"/>
      <c r="DH350"/>
      <c r="DI350"/>
      <c r="DJ350"/>
      <c r="DK350"/>
      <c r="DL350"/>
      <c r="DM350"/>
    </row>
    <row r="351" spans="1:117" x14ac:dyDescent="0.25">
      <c r="CW351"/>
      <c r="CX351"/>
      <c r="CY351"/>
      <c r="CZ351"/>
      <c r="DA351"/>
      <c r="DB351"/>
      <c r="DC351"/>
      <c r="DD351"/>
      <c r="DE351"/>
      <c r="DG351"/>
      <c r="DH351"/>
      <c r="DI351"/>
      <c r="DJ351"/>
      <c r="DK351"/>
      <c r="DL351"/>
      <c r="DM351"/>
    </row>
    <row r="352" spans="1:117" x14ac:dyDescent="0.25">
      <c r="CW352"/>
      <c r="CX352"/>
      <c r="CY352"/>
      <c r="CZ352"/>
      <c r="DA352"/>
      <c r="DB352"/>
      <c r="DC352"/>
      <c r="DD352"/>
      <c r="DE352"/>
      <c r="DG352"/>
      <c r="DH352"/>
      <c r="DI352"/>
      <c r="DJ352"/>
      <c r="DK352"/>
      <c r="DL352"/>
      <c r="DM352"/>
    </row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</sheetData>
  <sheetProtection algorithmName="SHA-512" hashValue="/Yt6ChuTJhWWjSVd+WPsFSq4T8hJySqm+ozKeYScO96e6BmM9ZduWSg62EvyRGcEve/JfSalQMbmtoT3qMK1Kw==" saltValue="zCVl8ax1fhrw3dL8dKISPw==" spinCount="100000" sheet="1" objects="1" scenarios="1"/>
  <mergeCells count="536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AO10:AP10"/>
    <mergeCell ref="AC10:AD10"/>
    <mergeCell ref="AE10:AF10"/>
    <mergeCell ref="AG10:AH10"/>
    <mergeCell ref="AI10:AJ10"/>
    <mergeCell ref="AK10:AL10"/>
    <mergeCell ref="AW17:AW18"/>
    <mergeCell ref="AX17:AX18"/>
    <mergeCell ref="A12:C12"/>
    <mergeCell ref="A13:C13"/>
    <mergeCell ref="A14:C14"/>
    <mergeCell ref="A15:C15"/>
    <mergeCell ref="A17:C18"/>
    <mergeCell ref="D17:F17"/>
    <mergeCell ref="G17:H17"/>
    <mergeCell ref="I17:J17"/>
    <mergeCell ref="K17:L17"/>
    <mergeCell ref="Q17:R17"/>
    <mergeCell ref="S17:T17"/>
    <mergeCell ref="U17:V17"/>
    <mergeCell ref="W17:X17"/>
    <mergeCell ref="AM10:AN10"/>
    <mergeCell ref="Q10:R10"/>
    <mergeCell ref="S10:T10"/>
    <mergeCell ref="U10:V10"/>
    <mergeCell ref="W10:X10"/>
    <mergeCell ref="Y10:Z10"/>
    <mergeCell ref="AA10:AB10"/>
    <mergeCell ref="A20:C20"/>
    <mergeCell ref="A21:C21"/>
    <mergeCell ref="A22:C22"/>
    <mergeCell ref="A23:C23"/>
    <mergeCell ref="A24:C24"/>
    <mergeCell ref="A25:C25"/>
    <mergeCell ref="AT17:AT18"/>
    <mergeCell ref="AU17:AU18"/>
    <mergeCell ref="AV17:AV18"/>
    <mergeCell ref="A19:C19"/>
    <mergeCell ref="AK17:AL17"/>
    <mergeCell ref="AM17:AN17"/>
    <mergeCell ref="AO17:AP17"/>
    <mergeCell ref="AQ17:AQ18"/>
    <mergeCell ref="AR17:AR18"/>
    <mergeCell ref="AS17:AS18"/>
    <mergeCell ref="Y17:Z17"/>
    <mergeCell ref="AA17:AB17"/>
    <mergeCell ref="AC17:AD17"/>
    <mergeCell ref="AE17:AF17"/>
    <mergeCell ref="AG17:AH17"/>
    <mergeCell ref="AI17:AJ17"/>
    <mergeCell ref="M17:N17"/>
    <mergeCell ref="O17:P17"/>
    <mergeCell ref="A32:C32"/>
    <mergeCell ref="A33:C33"/>
    <mergeCell ref="A34:C34"/>
    <mergeCell ref="A35:C35"/>
    <mergeCell ref="A36:C36"/>
    <mergeCell ref="A38:C40"/>
    <mergeCell ref="A26:C26"/>
    <mergeCell ref="A27:C27"/>
    <mergeCell ref="A28:C28"/>
    <mergeCell ref="A29:C29"/>
    <mergeCell ref="A30:C30"/>
    <mergeCell ref="A31:C31"/>
    <mergeCell ref="AU38:AU40"/>
    <mergeCell ref="AV38:AV40"/>
    <mergeCell ref="AW38:AW40"/>
    <mergeCell ref="AX38:AX40"/>
    <mergeCell ref="G39:H39"/>
    <mergeCell ref="I39:J39"/>
    <mergeCell ref="K39:L39"/>
    <mergeCell ref="M39:N39"/>
    <mergeCell ref="O39:P39"/>
    <mergeCell ref="Q39:R39"/>
    <mergeCell ref="G38:AP38"/>
    <mergeCell ref="AQ38:AQ40"/>
    <mergeCell ref="AR38:AR40"/>
    <mergeCell ref="AS38:AS40"/>
    <mergeCell ref="AT38:AT40"/>
    <mergeCell ref="S39:T39"/>
    <mergeCell ref="U39:V39"/>
    <mergeCell ref="W39:X39"/>
    <mergeCell ref="Y39:Z39"/>
    <mergeCell ref="AM39:AN39"/>
    <mergeCell ref="AO39:AP39"/>
    <mergeCell ref="AK39:AL39"/>
    <mergeCell ref="A41:C41"/>
    <mergeCell ref="A42:C42"/>
    <mergeCell ref="A43:C43"/>
    <mergeCell ref="A44:C44"/>
    <mergeCell ref="AA39:AB39"/>
    <mergeCell ref="AC39:AD39"/>
    <mergeCell ref="AE39:AF39"/>
    <mergeCell ref="AG39:AH39"/>
    <mergeCell ref="AI39:AJ39"/>
    <mergeCell ref="D38:F39"/>
    <mergeCell ref="A60:C60"/>
    <mergeCell ref="A61:B64"/>
    <mergeCell ref="A66:C66"/>
    <mergeCell ref="A67:C67"/>
    <mergeCell ref="A68:A69"/>
    <mergeCell ref="B68:C68"/>
    <mergeCell ref="B69:C69"/>
    <mergeCell ref="A45:C45"/>
    <mergeCell ref="A46:C46"/>
    <mergeCell ref="A47:C47"/>
    <mergeCell ref="A48:B53"/>
    <mergeCell ref="A54:C54"/>
    <mergeCell ref="A55:B59"/>
    <mergeCell ref="A76:C76"/>
    <mergeCell ref="A77:C77"/>
    <mergeCell ref="A78:C78"/>
    <mergeCell ref="A80:C81"/>
    <mergeCell ref="D80:F80"/>
    <mergeCell ref="A82:A83"/>
    <mergeCell ref="B82:C82"/>
    <mergeCell ref="B83:C83"/>
    <mergeCell ref="A70:C70"/>
    <mergeCell ref="A71:C71"/>
    <mergeCell ref="A72:C72"/>
    <mergeCell ref="A74:C74"/>
    <mergeCell ref="A75:C75"/>
    <mergeCell ref="A73:C73"/>
    <mergeCell ref="AR85:AR87"/>
    <mergeCell ref="AS85:AS87"/>
    <mergeCell ref="AT85:AT87"/>
    <mergeCell ref="AU85:AU87"/>
    <mergeCell ref="AV85:AV87"/>
    <mergeCell ref="AW85:AW87"/>
    <mergeCell ref="A85:C87"/>
    <mergeCell ref="D85:F86"/>
    <mergeCell ref="G85:AN85"/>
    <mergeCell ref="AO85:AO87"/>
    <mergeCell ref="AP85:AP87"/>
    <mergeCell ref="AQ85:AQ87"/>
    <mergeCell ref="G86:H86"/>
    <mergeCell ref="I86:J86"/>
    <mergeCell ref="K86:L86"/>
    <mergeCell ref="M86:N86"/>
    <mergeCell ref="AM86:AN86"/>
    <mergeCell ref="AI86:AJ86"/>
    <mergeCell ref="AK86:AL86"/>
    <mergeCell ref="A88:C88"/>
    <mergeCell ref="A89:C89"/>
    <mergeCell ref="A90:C90"/>
    <mergeCell ref="A91:C91"/>
    <mergeCell ref="A92:C92"/>
    <mergeCell ref="AA86:AB86"/>
    <mergeCell ref="AC86:AD86"/>
    <mergeCell ref="AE86:AF86"/>
    <mergeCell ref="AG86:AH86"/>
    <mergeCell ref="O86:P86"/>
    <mergeCell ref="Q86:R86"/>
    <mergeCell ref="S86:T86"/>
    <mergeCell ref="U86:V86"/>
    <mergeCell ref="W86:X86"/>
    <mergeCell ref="Y86:Z86"/>
    <mergeCell ref="A99:C99"/>
    <mergeCell ref="A100:C100"/>
    <mergeCell ref="A101:C101"/>
    <mergeCell ref="A102:C102"/>
    <mergeCell ref="A103:C103"/>
    <mergeCell ref="A104:C104"/>
    <mergeCell ref="A93:C93"/>
    <mergeCell ref="A94:C94"/>
    <mergeCell ref="A95:C95"/>
    <mergeCell ref="A96:C96"/>
    <mergeCell ref="A97:C97"/>
    <mergeCell ref="A98:C98"/>
    <mergeCell ref="A111:C111"/>
    <mergeCell ref="A112:C112"/>
    <mergeCell ref="A113:C113"/>
    <mergeCell ref="A114:C114"/>
    <mergeCell ref="A115:C115"/>
    <mergeCell ref="A116:C116"/>
    <mergeCell ref="A105:C105"/>
    <mergeCell ref="A106:C106"/>
    <mergeCell ref="A107:C107"/>
    <mergeCell ref="A108:C108"/>
    <mergeCell ref="A109:C109"/>
    <mergeCell ref="A110:C110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135:C135"/>
    <mergeCell ref="A136:C136"/>
    <mergeCell ref="A137:C137"/>
    <mergeCell ref="A138:C138"/>
    <mergeCell ref="A139:C139"/>
    <mergeCell ref="A140:C140"/>
    <mergeCell ref="A129:C129"/>
    <mergeCell ref="A130:C130"/>
    <mergeCell ref="A131:C131"/>
    <mergeCell ref="A132:C132"/>
    <mergeCell ref="A133:C133"/>
    <mergeCell ref="A134:C134"/>
    <mergeCell ref="AS143:AS145"/>
    <mergeCell ref="AT143:AT145"/>
    <mergeCell ref="AU143:AU145"/>
    <mergeCell ref="AV143:AV145"/>
    <mergeCell ref="AW143:AW145"/>
    <mergeCell ref="AX143:AX145"/>
    <mergeCell ref="A141:C141"/>
    <mergeCell ref="A143:C145"/>
    <mergeCell ref="D143:F144"/>
    <mergeCell ref="G143:AP143"/>
    <mergeCell ref="AQ143:AQ145"/>
    <mergeCell ref="AR143:AR145"/>
    <mergeCell ref="G144:H144"/>
    <mergeCell ref="I144:J144"/>
    <mergeCell ref="K144:L144"/>
    <mergeCell ref="M144:N144"/>
    <mergeCell ref="A150:C150"/>
    <mergeCell ref="A151:C151"/>
    <mergeCell ref="A152:C152"/>
    <mergeCell ref="A153:C153"/>
    <mergeCell ref="A154:C154"/>
    <mergeCell ref="A155:C155"/>
    <mergeCell ref="AM144:AN144"/>
    <mergeCell ref="AO144:AP144"/>
    <mergeCell ref="A146:C146"/>
    <mergeCell ref="A147:C147"/>
    <mergeCell ref="A148:C148"/>
    <mergeCell ref="A149:C149"/>
    <mergeCell ref="AA144:AB144"/>
    <mergeCell ref="AC144:AD144"/>
    <mergeCell ref="AE144:AF144"/>
    <mergeCell ref="AG144:AH144"/>
    <mergeCell ref="AI144:AJ144"/>
    <mergeCell ref="AK144:AL144"/>
    <mergeCell ref="O144:P144"/>
    <mergeCell ref="Q144:R144"/>
    <mergeCell ref="S144:T144"/>
    <mergeCell ref="U144:V144"/>
    <mergeCell ref="W144:X144"/>
    <mergeCell ref="Y144:Z144"/>
    <mergeCell ref="AT157:AT159"/>
    <mergeCell ref="AV157:AV159"/>
    <mergeCell ref="AW157:AW159"/>
    <mergeCell ref="G158:H158"/>
    <mergeCell ref="I158:J158"/>
    <mergeCell ref="K158:L158"/>
    <mergeCell ref="M158:N158"/>
    <mergeCell ref="O158:P158"/>
    <mergeCell ref="Q158:R158"/>
    <mergeCell ref="S158:T158"/>
    <mergeCell ref="G157:AP157"/>
    <mergeCell ref="AQ157:AQ159"/>
    <mergeCell ref="AR157:AR159"/>
    <mergeCell ref="AS157:AS159"/>
    <mergeCell ref="U158:V158"/>
    <mergeCell ref="W158:X158"/>
    <mergeCell ref="Y158:Z158"/>
    <mergeCell ref="AA158:AB158"/>
    <mergeCell ref="AO158:AP158"/>
    <mergeCell ref="AI158:AJ158"/>
    <mergeCell ref="AK158:AL158"/>
    <mergeCell ref="AM158:AN158"/>
    <mergeCell ref="A160:A170"/>
    <mergeCell ref="B160:C160"/>
    <mergeCell ref="B161:C161"/>
    <mergeCell ref="B162:C162"/>
    <mergeCell ref="B163:C163"/>
    <mergeCell ref="B164:B170"/>
    <mergeCell ref="AC158:AD158"/>
    <mergeCell ref="AE158:AF158"/>
    <mergeCell ref="AG158:AH158"/>
    <mergeCell ref="A157:C159"/>
    <mergeCell ref="D157:F158"/>
    <mergeCell ref="A187:A191"/>
    <mergeCell ref="B187:C187"/>
    <mergeCell ref="B188:B189"/>
    <mergeCell ref="B190:B191"/>
    <mergeCell ref="A192:A194"/>
    <mergeCell ref="B192:B194"/>
    <mergeCell ref="A171:A175"/>
    <mergeCell ref="B171:B175"/>
    <mergeCell ref="A176:A178"/>
    <mergeCell ref="B176:B178"/>
    <mergeCell ref="A179:A186"/>
    <mergeCell ref="B179:B181"/>
    <mergeCell ref="B182:B183"/>
    <mergeCell ref="B184:B186"/>
    <mergeCell ref="A195:A196"/>
    <mergeCell ref="B195:B196"/>
    <mergeCell ref="A198:C200"/>
    <mergeCell ref="D198:F199"/>
    <mergeCell ref="G198:AB198"/>
    <mergeCell ref="AC198:AC200"/>
    <mergeCell ref="S199:T199"/>
    <mergeCell ref="U199:V199"/>
    <mergeCell ref="W199:X199"/>
    <mergeCell ref="Y199:Z199"/>
    <mergeCell ref="AA199:AB199"/>
    <mergeCell ref="AE198:AE200"/>
    <mergeCell ref="AF198:AF200"/>
    <mergeCell ref="A206:C206"/>
    <mergeCell ref="AG198:AG200"/>
    <mergeCell ref="G199:H199"/>
    <mergeCell ref="I199:J199"/>
    <mergeCell ref="K199:L199"/>
    <mergeCell ref="M199:N199"/>
    <mergeCell ref="O199:P199"/>
    <mergeCell ref="Q199:R199"/>
    <mergeCell ref="Y209:Z209"/>
    <mergeCell ref="AA209:AB209"/>
    <mergeCell ref="AC209:AD209"/>
    <mergeCell ref="A201:C201"/>
    <mergeCell ref="A202:C202"/>
    <mergeCell ref="A203:C203"/>
    <mergeCell ref="A204:C204"/>
    <mergeCell ref="A205:C205"/>
    <mergeCell ref="AD198:AD200"/>
    <mergeCell ref="A211:C211"/>
    <mergeCell ref="A212:C212"/>
    <mergeCell ref="A213:C213"/>
    <mergeCell ref="A214:C214"/>
    <mergeCell ref="A216:C218"/>
    <mergeCell ref="D216:F217"/>
    <mergeCell ref="AE209:AF209"/>
    <mergeCell ref="AG209:AH209"/>
    <mergeCell ref="AI209:AJ209"/>
    <mergeCell ref="A208:C210"/>
    <mergeCell ref="D208:F209"/>
    <mergeCell ref="G208:AP208"/>
    <mergeCell ref="G209:H209"/>
    <mergeCell ref="I209:J209"/>
    <mergeCell ref="K209:L209"/>
    <mergeCell ref="M209:N209"/>
    <mergeCell ref="O209:P209"/>
    <mergeCell ref="Q209:R209"/>
    <mergeCell ref="AK209:AL209"/>
    <mergeCell ref="AM209:AN209"/>
    <mergeCell ref="AO209:AP209"/>
    <mergeCell ref="S209:T209"/>
    <mergeCell ref="U209:V209"/>
    <mergeCell ref="W209:X209"/>
    <mergeCell ref="AX216:AX218"/>
    <mergeCell ref="G217:H217"/>
    <mergeCell ref="I217:J217"/>
    <mergeCell ref="K217:L217"/>
    <mergeCell ref="M217:N217"/>
    <mergeCell ref="O217:P217"/>
    <mergeCell ref="Q217:R217"/>
    <mergeCell ref="G216:AN216"/>
    <mergeCell ref="AO216:AO218"/>
    <mergeCell ref="AP216:AP218"/>
    <mergeCell ref="AQ216:AR216"/>
    <mergeCell ref="AS216:AS218"/>
    <mergeCell ref="AT216:AT218"/>
    <mergeCell ref="S217:T217"/>
    <mergeCell ref="U217:V217"/>
    <mergeCell ref="W217:X217"/>
    <mergeCell ref="Y217:Z217"/>
    <mergeCell ref="AM217:AN217"/>
    <mergeCell ref="AQ217:AQ218"/>
    <mergeCell ref="AR217:AR218"/>
    <mergeCell ref="AA217:AB217"/>
    <mergeCell ref="AC217:AD217"/>
    <mergeCell ref="AE217:AF217"/>
    <mergeCell ref="AG217:AH217"/>
    <mergeCell ref="AI217:AJ217"/>
    <mergeCell ref="AK217:AL217"/>
    <mergeCell ref="AU216:AU218"/>
    <mergeCell ref="AV216:AV218"/>
    <mergeCell ref="AW216:AW218"/>
    <mergeCell ref="A221:A226"/>
    <mergeCell ref="B221:C221"/>
    <mergeCell ref="B222:C222"/>
    <mergeCell ref="B223:C223"/>
    <mergeCell ref="B224:C224"/>
    <mergeCell ref="B225:C225"/>
    <mergeCell ref="B226:C226"/>
    <mergeCell ref="A219:A220"/>
    <mergeCell ref="B219:C219"/>
    <mergeCell ref="B220:C220"/>
    <mergeCell ref="A233:A238"/>
    <mergeCell ref="B233:C233"/>
    <mergeCell ref="B234:C234"/>
    <mergeCell ref="B235:C235"/>
    <mergeCell ref="B236:C236"/>
    <mergeCell ref="B237:C237"/>
    <mergeCell ref="B238:C238"/>
    <mergeCell ref="A227:A232"/>
    <mergeCell ref="B227:C227"/>
    <mergeCell ref="B228:C228"/>
    <mergeCell ref="B229:C229"/>
    <mergeCell ref="B230:C230"/>
    <mergeCell ref="B231:C231"/>
    <mergeCell ref="B232:C232"/>
    <mergeCell ref="A245:A250"/>
    <mergeCell ref="B245:C245"/>
    <mergeCell ref="B246:C246"/>
    <mergeCell ref="B247:C247"/>
    <mergeCell ref="B248:C248"/>
    <mergeCell ref="B249:C249"/>
    <mergeCell ref="B250:C250"/>
    <mergeCell ref="A239:A244"/>
    <mergeCell ref="B239:C239"/>
    <mergeCell ref="B240:C240"/>
    <mergeCell ref="B241:C241"/>
    <mergeCell ref="B242:C242"/>
    <mergeCell ref="B243:C243"/>
    <mergeCell ref="B244:C244"/>
    <mergeCell ref="A257:A262"/>
    <mergeCell ref="B257:C257"/>
    <mergeCell ref="B258:C258"/>
    <mergeCell ref="B259:C259"/>
    <mergeCell ref="B260:C260"/>
    <mergeCell ref="B261:C261"/>
    <mergeCell ref="B262:C262"/>
    <mergeCell ref="A251:A256"/>
    <mergeCell ref="B251:C251"/>
    <mergeCell ref="B252:C252"/>
    <mergeCell ref="B253:C253"/>
    <mergeCell ref="B254:C254"/>
    <mergeCell ref="B255:C255"/>
    <mergeCell ref="B256:C256"/>
    <mergeCell ref="A269:A274"/>
    <mergeCell ref="B269:C269"/>
    <mergeCell ref="B270:C270"/>
    <mergeCell ref="B271:C271"/>
    <mergeCell ref="B272:C272"/>
    <mergeCell ref="B273:C273"/>
    <mergeCell ref="B274:C274"/>
    <mergeCell ref="A263:A268"/>
    <mergeCell ref="B263:C263"/>
    <mergeCell ref="B264:C264"/>
    <mergeCell ref="B265:C265"/>
    <mergeCell ref="B266:C266"/>
    <mergeCell ref="B267:C267"/>
    <mergeCell ref="B268:C268"/>
    <mergeCell ref="A281:A286"/>
    <mergeCell ref="B281:C281"/>
    <mergeCell ref="B282:C282"/>
    <mergeCell ref="B283:C283"/>
    <mergeCell ref="B284:C284"/>
    <mergeCell ref="B285:C285"/>
    <mergeCell ref="B286:C286"/>
    <mergeCell ref="A275:A280"/>
    <mergeCell ref="B275:C275"/>
    <mergeCell ref="B276:C276"/>
    <mergeCell ref="B277:C277"/>
    <mergeCell ref="B278:C278"/>
    <mergeCell ref="B279:C279"/>
    <mergeCell ref="B280:C280"/>
    <mergeCell ref="A293:A298"/>
    <mergeCell ref="B293:C293"/>
    <mergeCell ref="B294:C294"/>
    <mergeCell ref="B295:C295"/>
    <mergeCell ref="B296:C296"/>
    <mergeCell ref="B297:C297"/>
    <mergeCell ref="B298:C298"/>
    <mergeCell ref="A287:A292"/>
    <mergeCell ref="B287:C287"/>
    <mergeCell ref="B288:C288"/>
    <mergeCell ref="B289:C289"/>
    <mergeCell ref="B290:C290"/>
    <mergeCell ref="B291:C291"/>
    <mergeCell ref="B292:C292"/>
    <mergeCell ref="B304:C304"/>
    <mergeCell ref="AO307:AP307"/>
    <mergeCell ref="AK307:AL307"/>
    <mergeCell ref="AM307:AN307"/>
    <mergeCell ref="S307:T307"/>
    <mergeCell ref="U307:V307"/>
    <mergeCell ref="W307:X307"/>
    <mergeCell ref="Y307:Z307"/>
    <mergeCell ref="AA307:AB307"/>
    <mergeCell ref="A306:C308"/>
    <mergeCell ref="D306:F307"/>
    <mergeCell ref="G306:AP306"/>
    <mergeCell ref="Q307:R307"/>
    <mergeCell ref="A325:B325"/>
    <mergeCell ref="A315:B315"/>
    <mergeCell ref="A316:B316"/>
    <mergeCell ref="A317:B317"/>
    <mergeCell ref="A318:B318"/>
    <mergeCell ref="A319:B319"/>
    <mergeCell ref="A320:B320"/>
    <mergeCell ref="A309:C309"/>
    <mergeCell ref="A310:C310"/>
    <mergeCell ref="A311:C311"/>
    <mergeCell ref="A312:C312"/>
    <mergeCell ref="A313:C313"/>
    <mergeCell ref="AQ306:AQ308"/>
    <mergeCell ref="G46:R46"/>
    <mergeCell ref="G64:X64"/>
    <mergeCell ref="AU157:AU159"/>
    <mergeCell ref="A321:B321"/>
    <mergeCell ref="A322:B322"/>
    <mergeCell ref="A323:B323"/>
    <mergeCell ref="A324:B324"/>
    <mergeCell ref="AC307:AD307"/>
    <mergeCell ref="AE307:AF307"/>
    <mergeCell ref="AG307:AH307"/>
    <mergeCell ref="AI307:AJ307"/>
    <mergeCell ref="AR306:AR308"/>
    <mergeCell ref="G307:H307"/>
    <mergeCell ref="I307:J307"/>
    <mergeCell ref="K307:L307"/>
    <mergeCell ref="M307:N307"/>
    <mergeCell ref="O307:P307"/>
    <mergeCell ref="A299:A304"/>
    <mergeCell ref="B299:C299"/>
    <mergeCell ref="B300:C300"/>
    <mergeCell ref="B301:C301"/>
    <mergeCell ref="B302:C302"/>
    <mergeCell ref="B303:C303"/>
  </mergeCells>
  <dataValidations count="1">
    <dataValidation type="whole" operator="greaterThanOrEqual" allowBlank="1" showInputMessage="1" showErrorMessage="1" errorTitle="Error" error="Favor Ingrese sólo Números." sqref="G211:AP214 G12:AX15 E82:F83 G146:AX154 C316:E325 G19:AX35 D67:J78 G88:AW140 Y179:Z191 G179:X196 G160:AW175 Y192:AJ196 G177:Z178 AA177:AJ191 S41:X63 G201:AG206 G219:AX298 G309:AR313 G41:G64 H47:R63 H41:R45 AK177:AW196 Y41:AX64" xr:uid="{00000000-0002-0000-0900-000000000000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EF350"/>
  <sheetViews>
    <sheetView showGridLines="0" zoomScaleNormal="100" workbookViewId="0"/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4" width="11.42578125" hidden="1" customWidth="1"/>
    <col min="135" max="136" width="11.42578125" customWidth="1"/>
    <col min="137" max="137" width="9.42578125" customWidth="1"/>
    <col min="138" max="139" width="8.140625" customWidth="1"/>
  </cols>
  <sheetData>
    <row r="1" spans="1:136" x14ac:dyDescent="0.25">
      <c r="A1" s="779" t="s">
        <v>3878</v>
      </c>
    </row>
    <row r="2" spans="1:136" x14ac:dyDescent="0.25">
      <c r="A2" s="779" t="str">
        <f>CONCATENATE("COMUNA: ",NOMBRE!B2," - ","( ",NOMBRE!C2,NOMBRE!D2,NOMBRE!E2,NOMBRE!F2,NOMBRE!G2," )")</f>
        <v>COMUNA:  - (  )</v>
      </c>
    </row>
    <row r="3" spans="1:136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36" x14ac:dyDescent="0.25">
      <c r="A4" s="779" t="str">
        <f>CONCATENATE("MES: ",NOMBRE!B6," - ","( ",NOMBRE!C6,NOMBRE!D6," )")</f>
        <v>MES:  - (  )</v>
      </c>
    </row>
    <row r="5" spans="1:136" x14ac:dyDescent="0.25">
      <c r="A5" s="779" t="str">
        <f>CONCATENATE("AÑO: ",NOMBRE!B7)</f>
        <v>AÑO: 2024</v>
      </c>
    </row>
    <row r="6" spans="1:136" s="2718" customFormat="1" ht="18" customHeight="1" x14ac:dyDescent="0.25">
      <c r="A6" s="6447" t="s">
        <v>2651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  <c r="O6" s="6447"/>
      <c r="P6" s="6447"/>
      <c r="Q6" s="3100"/>
      <c r="R6" s="3100"/>
      <c r="S6" s="3100"/>
      <c r="T6" s="3100"/>
      <c r="U6" s="3100"/>
      <c r="V6" s="3100"/>
      <c r="W6" s="3100"/>
      <c r="X6" s="3100"/>
      <c r="Y6" s="3100"/>
      <c r="Z6" s="3100"/>
      <c r="AA6" s="3100"/>
      <c r="AB6" s="3100"/>
      <c r="AC6" s="3100"/>
      <c r="AD6" s="3100"/>
      <c r="AE6" s="3100"/>
      <c r="AF6" s="102"/>
      <c r="AG6" s="102"/>
      <c r="AH6" s="102"/>
      <c r="AI6" s="102"/>
      <c r="AJ6" s="102"/>
      <c r="AK6" s="102"/>
      <c r="AL6" s="102"/>
      <c r="AM6" s="602"/>
      <c r="AN6" s="602"/>
      <c r="AO6" s="602"/>
      <c r="AP6" s="602"/>
      <c r="AQ6" s="602"/>
      <c r="AR6" s="602"/>
      <c r="AS6" s="602"/>
      <c r="AT6" s="602"/>
      <c r="AU6" s="602"/>
      <c r="AV6" s="602"/>
      <c r="AW6" s="602"/>
      <c r="AX6" s="3565"/>
      <c r="AY6" s="3565"/>
      <c r="AZ6" s="3565"/>
      <c r="BA6" s="3565"/>
      <c r="BB6" s="3565"/>
      <c r="BC6" s="3565"/>
      <c r="BD6" s="3565"/>
      <c r="BE6" s="3565"/>
      <c r="BF6" s="3565"/>
      <c r="BG6" s="3565"/>
      <c r="BH6" s="3565"/>
      <c r="BI6" s="3565"/>
      <c r="BJ6" s="602"/>
      <c r="BK6" s="602"/>
      <c r="BL6" s="602"/>
      <c r="BM6" s="602"/>
      <c r="BN6" s="602"/>
      <c r="BO6" s="602"/>
      <c r="BP6" s="602"/>
      <c r="BQ6" s="602"/>
      <c r="BR6" s="602"/>
      <c r="BS6" s="602"/>
      <c r="BT6" s="602"/>
      <c r="BU6" s="602"/>
      <c r="BV6" s="3288"/>
      <c r="BW6" s="3288"/>
      <c r="BX6" s="3289"/>
      <c r="BY6" s="3289"/>
      <c r="BZ6" s="3289"/>
      <c r="CA6" s="3290"/>
      <c r="CB6" s="3290"/>
      <c r="CC6" s="3290"/>
      <c r="CD6" s="3290"/>
      <c r="CE6" s="3290"/>
      <c r="CF6" s="3290"/>
      <c r="CG6" s="3290"/>
      <c r="CH6" s="3290"/>
      <c r="CI6" s="3290"/>
      <c r="CJ6" s="3290"/>
      <c r="CK6" s="3290"/>
      <c r="CL6" s="3290"/>
      <c r="CM6" s="3290"/>
      <c r="CN6" s="3290"/>
      <c r="CO6" s="3290"/>
      <c r="CP6" s="3290"/>
      <c r="CQ6" s="3290"/>
      <c r="CR6" s="3290"/>
      <c r="CS6" s="3290"/>
      <c r="CT6" s="3290"/>
      <c r="CU6" s="3290"/>
      <c r="CV6" s="3290"/>
      <c r="CW6" s="3290"/>
      <c r="CX6" s="3290"/>
      <c r="CY6" s="3290"/>
      <c r="CZ6" s="3290"/>
      <c r="DA6" s="3290"/>
      <c r="DB6" s="3290"/>
      <c r="DC6" s="3290"/>
      <c r="DD6" s="3290"/>
      <c r="DE6" s="3290"/>
      <c r="DF6" s="3290"/>
      <c r="DG6" s="3290"/>
      <c r="DH6" s="3290"/>
      <c r="DI6" s="3290"/>
      <c r="DJ6" s="3290"/>
      <c r="DK6" s="3290"/>
      <c r="DL6" s="3290"/>
      <c r="DM6" s="3290"/>
      <c r="DN6" s="3290"/>
      <c r="DO6" s="3290"/>
      <c r="DP6" s="3290"/>
      <c r="DQ6" s="3290"/>
      <c r="DR6" s="3290"/>
      <c r="DS6" s="3290"/>
      <c r="DT6" s="3290"/>
      <c r="DU6" s="3290"/>
      <c r="DV6" s="3290"/>
      <c r="DW6" s="3290"/>
      <c r="DX6" s="3290"/>
      <c r="DY6" s="3290"/>
      <c r="DZ6" s="3290"/>
      <c r="EA6" s="3290"/>
      <c r="EB6" s="3290"/>
      <c r="EC6" s="3290"/>
      <c r="ED6" s="3290"/>
      <c r="EE6" s="3290"/>
      <c r="EF6" s="3290"/>
    </row>
    <row r="8" spans="1:136" s="603" customFormat="1" ht="18" customHeight="1" x14ac:dyDescent="0.25">
      <c r="A8" s="3566" t="s">
        <v>2652</v>
      </c>
      <c r="B8" s="3566"/>
      <c r="C8" s="3566"/>
      <c r="D8" s="3566"/>
      <c r="E8" s="3566"/>
      <c r="F8" s="3566"/>
      <c r="G8" s="3566"/>
      <c r="H8" s="3566"/>
      <c r="I8" s="3566"/>
      <c r="J8" s="3566"/>
      <c r="K8" s="3566"/>
      <c r="L8" s="3566"/>
      <c r="M8" s="3566"/>
      <c r="N8" s="3566"/>
      <c r="O8" s="3566"/>
      <c r="P8" s="3566"/>
      <c r="Q8" s="3566"/>
      <c r="R8" s="3566"/>
      <c r="S8" s="3566"/>
      <c r="T8" s="3566"/>
      <c r="U8" s="3566"/>
      <c r="V8" s="3566"/>
      <c r="W8" s="3566"/>
      <c r="X8" s="3566"/>
      <c r="Y8" s="3566"/>
      <c r="Z8" s="3566"/>
      <c r="AA8" s="3566"/>
      <c r="AB8" s="3566"/>
      <c r="AC8" s="3566"/>
      <c r="AD8" s="3566"/>
      <c r="AE8" s="3566"/>
      <c r="AF8" s="3566"/>
      <c r="AG8" s="3566"/>
      <c r="AH8" s="3566"/>
      <c r="AI8" s="3566"/>
      <c r="AJ8" s="3566"/>
      <c r="AK8" s="3566"/>
      <c r="AL8" s="3566"/>
      <c r="AM8" s="3566"/>
      <c r="AN8" s="3566"/>
      <c r="AO8" s="3566"/>
      <c r="AP8" s="3566"/>
      <c r="AQ8" s="3566"/>
    </row>
    <row r="9" spans="1:136" ht="18" customHeight="1" x14ac:dyDescent="0.25">
      <c r="A9" s="3566" t="s">
        <v>2653</v>
      </c>
      <c r="B9" s="3566"/>
      <c r="C9" s="3566"/>
      <c r="D9" s="3566"/>
      <c r="E9" s="3566"/>
      <c r="F9" s="3566"/>
      <c r="G9" s="3566"/>
      <c r="H9" s="3566"/>
      <c r="I9" s="3566"/>
      <c r="J9" s="3566"/>
      <c r="K9" s="3566"/>
      <c r="L9" s="3566"/>
      <c r="M9" s="3566"/>
      <c r="N9" s="3566"/>
      <c r="O9" s="3566"/>
      <c r="P9" s="3566"/>
      <c r="Q9" s="3566"/>
      <c r="R9" s="3566"/>
      <c r="S9" s="3566"/>
      <c r="T9" s="3566"/>
      <c r="U9" s="3566"/>
      <c r="V9" s="3566"/>
      <c r="W9" s="3566"/>
      <c r="X9" s="3566"/>
      <c r="Y9" s="3566"/>
      <c r="Z9" s="3566"/>
      <c r="AA9" s="3566"/>
      <c r="AB9" s="3566"/>
      <c r="AC9" s="3566"/>
      <c r="AD9" s="3566"/>
      <c r="AE9" s="3566"/>
      <c r="AF9" s="3566"/>
      <c r="AG9" s="3566"/>
      <c r="AH9" s="3566"/>
      <c r="AI9" s="3566"/>
      <c r="AJ9" s="3566"/>
      <c r="AK9" s="3566"/>
      <c r="AL9" s="3566"/>
      <c r="AM9" s="3566"/>
      <c r="AN9" s="3566"/>
      <c r="AO9" s="3566"/>
      <c r="AP9" s="3566"/>
      <c r="AQ9" s="3566"/>
    </row>
    <row r="10" spans="1:136" x14ac:dyDescent="0.25">
      <c r="A10" s="7753" t="s">
        <v>2654</v>
      </c>
      <c r="B10" s="7754" t="s">
        <v>24</v>
      </c>
      <c r="C10" s="7729"/>
      <c r="D10" s="7740" t="s">
        <v>12</v>
      </c>
      <c r="E10" s="7741"/>
      <c r="F10" s="7741"/>
      <c r="G10" s="7741"/>
      <c r="H10" s="7741"/>
      <c r="I10" s="7741"/>
      <c r="J10" s="7741"/>
      <c r="K10" s="7741"/>
      <c r="L10" s="7741"/>
      <c r="M10" s="7741"/>
      <c r="N10" s="7741"/>
      <c r="O10" s="7741"/>
      <c r="P10" s="7741"/>
      <c r="Q10" s="7741"/>
      <c r="R10" s="7741"/>
      <c r="S10" s="7741"/>
      <c r="T10" s="7741"/>
      <c r="U10" s="7741"/>
      <c r="V10" s="7741"/>
      <c r="W10" s="7741"/>
      <c r="X10" s="7741"/>
      <c r="Y10" s="7741"/>
      <c r="Z10" s="7741"/>
      <c r="AA10" s="7741"/>
      <c r="AB10" s="7741"/>
      <c r="AC10" s="7741"/>
      <c r="AD10" s="7741"/>
      <c r="AE10" s="7741"/>
      <c r="AF10" s="7741"/>
      <c r="AG10" s="7741"/>
      <c r="AH10" s="7741"/>
      <c r="AI10" s="7741"/>
      <c r="AJ10" s="7741"/>
      <c r="AK10" s="7741"/>
      <c r="AL10" s="7741"/>
      <c r="AM10" s="7741"/>
      <c r="AN10" s="7741"/>
      <c r="AO10" s="7741"/>
      <c r="AP10" s="7741"/>
      <c r="AQ10" s="7752"/>
      <c r="AR10" s="7748" t="s">
        <v>2655</v>
      </c>
      <c r="AS10" s="7751"/>
      <c r="AT10" s="7746" t="s">
        <v>48</v>
      </c>
      <c r="AU10" s="7722"/>
      <c r="AV10" s="7670" t="s">
        <v>2</v>
      </c>
      <c r="AW10" s="7672" t="s">
        <v>3</v>
      </c>
    </row>
    <row r="11" spans="1:136" x14ac:dyDescent="0.25">
      <c r="A11" s="7151"/>
      <c r="B11" s="7291"/>
      <c r="C11" s="7293"/>
      <c r="D11" s="7743" t="s">
        <v>3777</v>
      </c>
      <c r="E11" s="7748"/>
      <c r="F11" s="7743" t="s">
        <v>3705</v>
      </c>
      <c r="G11" s="7748"/>
      <c r="H11" s="7743" t="s">
        <v>54</v>
      </c>
      <c r="I11" s="7744"/>
      <c r="J11" s="7748" t="s">
        <v>3704</v>
      </c>
      <c r="K11" s="7748"/>
      <c r="L11" s="7743" t="s">
        <v>37</v>
      </c>
      <c r="M11" s="7748"/>
      <c r="N11" s="7743" t="s">
        <v>38</v>
      </c>
      <c r="O11" s="7748"/>
      <c r="P11" s="7743" t="s">
        <v>4</v>
      </c>
      <c r="Q11" s="7748"/>
      <c r="R11" s="7743" t="s">
        <v>5</v>
      </c>
      <c r="S11" s="7748"/>
      <c r="T11" s="7743" t="s">
        <v>6</v>
      </c>
      <c r="U11" s="7744"/>
      <c r="V11" s="7743" t="s">
        <v>7</v>
      </c>
      <c r="W11" s="7744"/>
      <c r="X11" s="7743" t="s">
        <v>8</v>
      </c>
      <c r="Y11" s="7744"/>
      <c r="Z11" s="7743" t="s">
        <v>9</v>
      </c>
      <c r="AA11" s="7744"/>
      <c r="AB11" s="7743" t="s">
        <v>10</v>
      </c>
      <c r="AC11" s="7744"/>
      <c r="AD11" s="7743" t="s">
        <v>11</v>
      </c>
      <c r="AE11" s="7744"/>
      <c r="AF11" s="7743" t="s">
        <v>18</v>
      </c>
      <c r="AG11" s="7744"/>
      <c r="AH11" s="7743" t="s">
        <v>19</v>
      </c>
      <c r="AI11" s="7744"/>
      <c r="AJ11" s="7743" t="s">
        <v>20</v>
      </c>
      <c r="AK11" s="7744"/>
      <c r="AL11" s="7743" t="s">
        <v>70</v>
      </c>
      <c r="AM11" s="7744"/>
      <c r="AN11" s="7743" t="s">
        <v>71</v>
      </c>
      <c r="AO11" s="7744"/>
      <c r="AP11" s="7743" t="s">
        <v>32</v>
      </c>
      <c r="AQ11" s="7751"/>
      <c r="AR11" s="7670" t="s">
        <v>22</v>
      </c>
      <c r="AS11" s="7749" t="s">
        <v>27</v>
      </c>
      <c r="AT11" s="7723"/>
      <c r="AU11" s="7724"/>
      <c r="AV11" s="7747"/>
      <c r="AW11" s="6472"/>
    </row>
    <row r="12" spans="1:136" x14ac:dyDescent="0.25">
      <c r="A12" s="7150"/>
      <c r="B12" s="5324" t="s">
        <v>2656</v>
      </c>
      <c r="C12" s="5323" t="s">
        <v>2657</v>
      </c>
      <c r="D12" s="5324" t="s">
        <v>2656</v>
      </c>
      <c r="E12" s="5325" t="s">
        <v>2657</v>
      </c>
      <c r="F12" s="5324" t="s">
        <v>2656</v>
      </c>
      <c r="G12" s="5325" t="s">
        <v>2657</v>
      </c>
      <c r="H12" s="5324" t="s">
        <v>2656</v>
      </c>
      <c r="I12" s="5326" t="s">
        <v>2657</v>
      </c>
      <c r="J12" s="5327" t="s">
        <v>2656</v>
      </c>
      <c r="K12" s="5325" t="s">
        <v>2657</v>
      </c>
      <c r="L12" s="5324" t="s">
        <v>2656</v>
      </c>
      <c r="M12" s="5326" t="s">
        <v>2657</v>
      </c>
      <c r="N12" s="5327" t="s">
        <v>2656</v>
      </c>
      <c r="O12" s="5325" t="s">
        <v>2657</v>
      </c>
      <c r="P12" s="5324" t="s">
        <v>2656</v>
      </c>
      <c r="Q12" s="5325" t="s">
        <v>2657</v>
      </c>
      <c r="R12" s="5324" t="s">
        <v>2656</v>
      </c>
      <c r="S12" s="5325" t="s">
        <v>2657</v>
      </c>
      <c r="T12" s="5324" t="s">
        <v>2656</v>
      </c>
      <c r="U12" s="5325" t="s">
        <v>2657</v>
      </c>
      <c r="V12" s="5324" t="s">
        <v>2656</v>
      </c>
      <c r="W12" s="5325" t="s">
        <v>2657</v>
      </c>
      <c r="X12" s="5324" t="s">
        <v>2656</v>
      </c>
      <c r="Y12" s="5325" t="s">
        <v>2657</v>
      </c>
      <c r="Z12" s="5324" t="s">
        <v>2656</v>
      </c>
      <c r="AA12" s="5325" t="s">
        <v>2657</v>
      </c>
      <c r="AB12" s="5324" t="s">
        <v>2656</v>
      </c>
      <c r="AC12" s="5325" t="s">
        <v>2657</v>
      </c>
      <c r="AD12" s="5324" t="s">
        <v>2656</v>
      </c>
      <c r="AE12" s="5325" t="s">
        <v>2657</v>
      </c>
      <c r="AF12" s="5324" t="s">
        <v>2656</v>
      </c>
      <c r="AG12" s="5325" t="s">
        <v>2657</v>
      </c>
      <c r="AH12" s="5324" t="s">
        <v>2656</v>
      </c>
      <c r="AI12" s="5325" t="s">
        <v>2657</v>
      </c>
      <c r="AJ12" s="5324" t="s">
        <v>2656</v>
      </c>
      <c r="AK12" s="5325" t="s">
        <v>2657</v>
      </c>
      <c r="AL12" s="5324" t="s">
        <v>2656</v>
      </c>
      <c r="AM12" s="5325" t="s">
        <v>2657</v>
      </c>
      <c r="AN12" s="5324" t="s">
        <v>2656</v>
      </c>
      <c r="AO12" s="5325" t="s">
        <v>2657</v>
      </c>
      <c r="AP12" s="5324" t="s">
        <v>2656</v>
      </c>
      <c r="AQ12" s="5328" t="s">
        <v>2657</v>
      </c>
      <c r="AR12" s="7671"/>
      <c r="AS12" s="7750"/>
      <c r="AT12" s="4991" t="s">
        <v>41</v>
      </c>
      <c r="AU12" s="5329" t="s">
        <v>42</v>
      </c>
      <c r="AV12" s="7671"/>
      <c r="AW12" s="7287"/>
    </row>
    <row r="13" spans="1:136" x14ac:dyDescent="0.25">
      <c r="A13" s="5330" t="s">
        <v>2658</v>
      </c>
      <c r="B13" s="5331">
        <f>+N13+P13+R13+T13+V13+X13+Z13+AB13+AD13+AF13+AH13+AJ13+AL13+AN13+AP13</f>
        <v>0</v>
      </c>
      <c r="C13" s="5332">
        <f>+O13+Q13+S13+U13+W13+Y13+AA13+AC13+AE13+AG13+AI13+AK13+AM13+AO13+AQ13</f>
        <v>0</v>
      </c>
      <c r="D13" s="3837"/>
      <c r="E13" s="5295"/>
      <c r="F13" s="3837"/>
      <c r="G13" s="5295"/>
      <c r="H13" s="3837"/>
      <c r="I13" s="5295"/>
      <c r="J13" s="3837"/>
      <c r="K13" s="5295"/>
      <c r="L13" s="3837"/>
      <c r="M13" s="5333"/>
      <c r="N13" s="615"/>
      <c r="O13" s="5334"/>
      <c r="P13" s="276"/>
      <c r="Q13" s="5334"/>
      <c r="R13" s="276"/>
      <c r="S13" s="5334"/>
      <c r="T13" s="276"/>
      <c r="U13" s="5334"/>
      <c r="V13" s="276"/>
      <c r="W13" s="5334"/>
      <c r="X13" s="276"/>
      <c r="Y13" s="5334"/>
      <c r="Z13" s="276"/>
      <c r="AA13" s="5334"/>
      <c r="AB13" s="276"/>
      <c r="AC13" s="5334"/>
      <c r="AD13" s="276"/>
      <c r="AE13" s="5334"/>
      <c r="AF13" s="276"/>
      <c r="AG13" s="5334"/>
      <c r="AH13" s="276"/>
      <c r="AI13" s="5334"/>
      <c r="AJ13" s="276"/>
      <c r="AK13" s="5334"/>
      <c r="AL13" s="276"/>
      <c r="AM13" s="5334"/>
      <c r="AN13" s="276"/>
      <c r="AO13" s="5334"/>
      <c r="AP13" s="276"/>
      <c r="AQ13" s="5335"/>
      <c r="AR13" s="3576"/>
      <c r="AS13" s="5336"/>
      <c r="AT13" s="5337"/>
      <c r="AU13" s="5336"/>
      <c r="AV13" s="3572"/>
      <c r="AW13" s="5338"/>
      <c r="AX13" s="1755" t="str">
        <f>$CB13&amp;CC13&amp;CD13&amp;$CE13&amp;CK13&amp;CL13&amp;CM13&amp;CN13&amp;CO13&amp;CP13&amp;CQ13&amp;CR13&amp;CS13&amp;CT13&amp;CU13&amp;CV13&amp;CW13&amp;CX13</f>
        <v/>
      </c>
      <c r="CA13" s="603"/>
      <c r="CB13" s="4928" t="str">
        <f>IF(B13&lt;&gt;(AS13)," * La suma de las columnas "&amp;AR$10&amp;""&amp;" DEBE SER IGUAL a los Exámenes Procesados. ","")</f>
        <v/>
      </c>
      <c r="CC13" s="2873" t="str">
        <f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D13" s="2873" t="str">
        <f>IF(AND($B13&gt;0,AV13=""),"* No olvide ingresar la columna "&amp;AV$10&amp;""&amp;" *(Digite CERO si no tiene). ",IF(AV13&gt;$B13," *El Número de "&amp;AV$10&amp;""&amp;" no puede superar el Total Procesados. ",""))</f>
        <v/>
      </c>
      <c r="CE13" s="2873" t="str">
        <f>IF(AND($B13&gt;0,AW13=""),"* No olvide ingresar la columna "&amp;AW$10&amp;""&amp;" *(Digite CERO si no tiene). ",IF(AW13&gt;$B13," *El Número de "&amp;AW$10&amp;""&amp;" no puede superar el Total Procesados. ",""))</f>
        <v/>
      </c>
      <c r="CF13" s="3107"/>
      <c r="CG13" s="3107"/>
      <c r="CH13" s="3107"/>
      <c r="CI13" s="3107"/>
      <c r="CJ13" s="3107"/>
      <c r="CK13" s="2873" t="str">
        <f>IF(N13&lt;O13,CONCATENATE("* El total de Procesados debe ser mayor o igual al total de Reactivos en el grupo de edad ",$N$11),"")</f>
        <v/>
      </c>
      <c r="CL13" s="2873" t="str">
        <f t="shared" ref="CL13:CL21" si="0">IF(P13&lt;Q13,CONCATENATE("* El total de Procesados debe ser mayor o igual al total de Reactivos en el grupo de edad ",$P$11),"")</f>
        <v/>
      </c>
      <c r="CM13" s="2873" t="str">
        <f t="shared" ref="CM13:CM21" si="1">IF(R13&lt;S13,CONCATENATE("* El total de Procesados debe ser mayor o igual al total de Reactivos en el grupo de edad ",$R$11),"")</f>
        <v/>
      </c>
      <c r="CN13" s="2873" t="str">
        <f>IF($T13&lt;$U13,CONCATENATE("* El total de Procesados debe ser mayor o igual al total de Reactivos en el grupo de edad ",$T$11),"")</f>
        <v/>
      </c>
      <c r="CO13" s="2873" t="str">
        <f t="shared" ref="CO13:CO21" si="2">IF(V13&lt;W13,CONCATENATE("* El total de Procesados debe ser mayor o igual al total de Reactivos en el grupo de edad ",$V$11),"")</f>
        <v/>
      </c>
      <c r="CP13" s="2873" t="str">
        <f t="shared" ref="CP13:CP21" si="3">IF(X13&lt;Y13,CONCATENATE("* El total de Procesados debe ser mayor o igual al total de Reactivos en el grupo de edad ",$X$11),"")</f>
        <v/>
      </c>
      <c r="CQ13" s="2873" t="str">
        <f t="shared" ref="CQ13:CQ21" si="4">IF(Z13&lt;AA13,CONCATENATE("* El total de Procesados debe ser mayor o igual al total de Reactivos en el grupo de edad ",$Z$11),"")</f>
        <v/>
      </c>
      <c r="CR13" s="2873" t="str">
        <f t="shared" ref="CR13:CR21" si="5">IF(AD13&lt;AE13,CONCATENATE("* El total de Procesados debe ser mayor o igual al total de Reactivos en el grupo de edad ",$AD$11),"")</f>
        <v/>
      </c>
      <c r="CS13" s="2873" t="str">
        <f t="shared" ref="CS13:CS21" si="6">IF(AF13&lt;AG13,CONCATENATE("* El total de Procesados debe ser mayor o igual al total de Reactivos en el grupo de edad ",$AF$11),"")</f>
        <v/>
      </c>
      <c r="CT13" s="2873" t="str">
        <f t="shared" ref="CT13:CT21" si="7">IF(AH13&lt;AI13,CONCATENATE("* El total de Procesados debe ser mayor o igual al total de Reactivos en el grupo de edad ",$AH$11),"")</f>
        <v/>
      </c>
      <c r="CU13" s="2873" t="str">
        <f t="shared" ref="CU13:CU21" si="8">IF(AJ13&lt;AK13,CONCATENATE("* El total de Procesados debe ser mayor o igual al total de Reactivos en el grupo de edad ",$AJ$11),"")</f>
        <v/>
      </c>
      <c r="CV13" s="2873" t="str">
        <f t="shared" ref="CV13:CV21" si="9">IF(AL13&lt;AM13,CONCATENATE("* El total de Procesados debe ser mayor o igual al total de Reactivos en el grupo de edad ",$AL$11),"")</f>
        <v/>
      </c>
      <c r="CW13" s="2873" t="str">
        <f t="shared" ref="CW13:CW21" si="10">IF(AN13&lt;AO13,CONCATENATE("* El total de Procesados debe ser mayor o igual al total de Reactivos en el grupo de edad ",$AN$11),"")</f>
        <v/>
      </c>
      <c r="CX13" s="2873" t="str">
        <f t="shared" ref="CX13:CX21" si="11">IF(AP13&lt;AQ13,CONCATENATE("* El total de Procesados debe ser mayor o igual al total de Reactivos en el grupo de edad ",$AP$11),"")</f>
        <v/>
      </c>
      <c r="CY13" s="2718"/>
      <c r="CZ13" s="603"/>
      <c r="DA13" s="603"/>
      <c r="DE13" s="2718"/>
      <c r="DF13" s="4928">
        <f>IF(B13&lt;&gt;(AS13),1,0)</f>
        <v>0</v>
      </c>
      <c r="DG13" s="3009">
        <f>IF(AND($B13&gt;0,AND(AT13="",AU13="")),1,IF((AT13+AU13)&gt;$B13,1,0))</f>
        <v>0</v>
      </c>
      <c r="DH13" s="3009">
        <f t="shared" ref="DH13:DH30" si="12">IF(AND($B13&gt;0,AV13=""),1,IF(AV13&gt;$B13,1,0))</f>
        <v>0</v>
      </c>
      <c r="DI13" s="3009">
        <f t="shared" ref="DI13:DI30" si="13">IF(AND($B13&gt;0,AW13=""),1,IF(AW13&gt;$B13,1,0))</f>
        <v>0</v>
      </c>
      <c r="DJ13" s="3107"/>
      <c r="DK13" s="3107"/>
      <c r="DL13" s="3107"/>
      <c r="DM13" s="3107"/>
      <c r="DN13" s="3107"/>
      <c r="DO13" s="3009">
        <f t="shared" ref="DO13:DO21" si="14">IF(N13&lt;O13,1,0)</f>
        <v>0</v>
      </c>
      <c r="DP13" s="3009">
        <f t="shared" ref="DP13:DP21" si="15">IF(P13&lt;Q13,1,0)</f>
        <v>0</v>
      </c>
      <c r="DQ13" s="3009">
        <f t="shared" ref="DQ13:DQ21" si="16">IF(R13&lt;S13,1,0)</f>
        <v>0</v>
      </c>
      <c r="DR13" s="3009">
        <f>IF($T13&lt;$U13,1,0)</f>
        <v>0</v>
      </c>
      <c r="DS13" s="3009">
        <f t="shared" ref="DS13:DS21" si="17">IF(V13&lt;W13,1,0)</f>
        <v>0</v>
      </c>
      <c r="DT13" s="3009">
        <f t="shared" ref="DT13:DT21" si="18">IF(X13&lt;Y13,1,0)</f>
        <v>0</v>
      </c>
      <c r="DU13" s="3009">
        <f t="shared" ref="DU13:DU21" si="19">IF(Z13&lt;AA13,1,0)</f>
        <v>0</v>
      </c>
      <c r="DV13" s="3009">
        <f t="shared" ref="DV13:DV21" si="20">IF(AD13&lt;AE13,1,0)</f>
        <v>0</v>
      </c>
      <c r="DW13" s="3009">
        <f t="shared" ref="DW13:DW21" si="21">IF(AF13&lt;AG13,1,0)</f>
        <v>0</v>
      </c>
      <c r="DX13" s="3009">
        <f t="shared" ref="DX13:DX21" si="22">IF(AH13&lt;AI13,1,0)</f>
        <v>0</v>
      </c>
      <c r="DY13" s="3009">
        <f t="shared" ref="DY13:DY21" si="23">IF(AJ13&lt;AK13,1,0)</f>
        <v>0</v>
      </c>
      <c r="DZ13" s="3009">
        <f t="shared" ref="DZ13:DZ21" si="24">IF(AL13&lt;AM13,1,0)</f>
        <v>0</v>
      </c>
      <c r="EA13" s="3009">
        <f t="shared" ref="EA13:EA21" si="25">IF(AN13&lt;AO13,1,0)</f>
        <v>0</v>
      </c>
      <c r="EB13" s="3009">
        <f t="shared" ref="EB13:EB21" si="26">IF(AP13&lt;AQ13,1,0)</f>
        <v>0</v>
      </c>
    </row>
    <row r="14" spans="1:136" x14ac:dyDescent="0.25">
      <c r="A14" s="3578" t="s">
        <v>2659</v>
      </c>
      <c r="B14" s="2014">
        <f t="shared" ref="B14:C20" si="27">+N14+P14+R14+T14+V14+X14+Z14+AB14+AD14+AF14+AH14+AJ14+AL14+AN14+AP14</f>
        <v>0</v>
      </c>
      <c r="C14" s="3331">
        <f t="shared" si="27"/>
        <v>0</v>
      </c>
      <c r="D14" s="5339"/>
      <c r="E14" s="5340"/>
      <c r="F14" s="5339"/>
      <c r="G14" s="5340"/>
      <c r="H14" s="5339"/>
      <c r="I14" s="5340"/>
      <c r="J14" s="5339"/>
      <c r="K14" s="5340"/>
      <c r="L14" s="5339"/>
      <c r="M14" s="5341"/>
      <c r="N14" s="3572"/>
      <c r="O14" s="5342"/>
      <c r="P14" s="5229"/>
      <c r="Q14" s="5342"/>
      <c r="R14" s="5229"/>
      <c r="S14" s="5342"/>
      <c r="T14" s="5229"/>
      <c r="U14" s="5342"/>
      <c r="V14" s="5229"/>
      <c r="W14" s="5342"/>
      <c r="X14" s="5229"/>
      <c r="Y14" s="5342"/>
      <c r="Z14" s="5229"/>
      <c r="AA14" s="5342"/>
      <c r="AB14" s="5229"/>
      <c r="AC14" s="5342"/>
      <c r="AD14" s="5229"/>
      <c r="AE14" s="5342"/>
      <c r="AF14" s="5229"/>
      <c r="AG14" s="5342"/>
      <c r="AH14" s="5229"/>
      <c r="AI14" s="5342"/>
      <c r="AJ14" s="5229"/>
      <c r="AK14" s="5342"/>
      <c r="AL14" s="5229"/>
      <c r="AM14" s="5342"/>
      <c r="AN14" s="5229"/>
      <c r="AO14" s="5342"/>
      <c r="AP14" s="5229"/>
      <c r="AQ14" s="5336"/>
      <c r="AR14" s="3576"/>
      <c r="AS14" s="5336"/>
      <c r="AT14" s="5337"/>
      <c r="AU14" s="5336"/>
      <c r="AV14" s="3572"/>
      <c r="AW14" s="5338"/>
      <c r="AX14" s="1755" t="str">
        <f t="shared" ref="AX14:AX17" si="28">$CB14&amp;CC14&amp;CD14&amp;$CE14&amp;CK14&amp;CL14&amp;CM14&amp;CN14&amp;CO14&amp;CP14&amp;CQ14&amp;CR14&amp;CS14&amp;CT14&amp;CU14&amp;CV14&amp;CW14&amp;CX14</f>
        <v/>
      </c>
      <c r="CA14" s="603"/>
      <c r="CB14" s="4928" t="str">
        <f t="shared" ref="CB14:CB21" si="29">IF(B14&lt;&gt;(AS14)," * La suma de las columnas "&amp;AR$10&amp;""&amp;" DEBE SER IGUAL a los Exámenes Procesados. ","")</f>
        <v/>
      </c>
      <c r="CC14" s="2873" t="str">
        <f t="shared" ref="CC14:CC30" si="30">IF(AND($B14&gt;0,AND(AT14="",AU14="")),"* No olvide ingresar las columnas Trans Masculino o Femenino (Digite CERO si no tiene). ",IF((AT14+AU14)&gt;$B14,"* El Número de Trans Masculino o Femenino no puede superar el Total Procesados. ",""))</f>
        <v/>
      </c>
      <c r="CD14" s="2873" t="str">
        <f t="shared" ref="CD14:CD30" si="31">IF(AND($B14&gt;0,AV14=""),"* No olvide ingresar la columna "&amp;AV$10&amp;""&amp;" *(Digite CERO si no tiene). ",IF(AV14&gt;$B14," *El Número de "&amp;AV$10&amp;""&amp;" no puede superar el Total Procesados. ",""))</f>
        <v/>
      </c>
      <c r="CE14" s="2873" t="str">
        <f t="shared" ref="CE14:CE30" si="32">IF(AND($B14&gt;0,AW14=""),"* No olvide ingresar la columna "&amp;AW$10&amp;""&amp;" *(Digite CERO si no tiene). ",IF(AW14&gt;$B14," *El Número de "&amp;AW$10&amp;""&amp;" no puede superar el Total Procesados. ",""))</f>
        <v/>
      </c>
      <c r="CF14" s="3107"/>
      <c r="CG14" s="3107"/>
      <c r="CH14" s="3107"/>
      <c r="CI14" s="3107"/>
      <c r="CJ14" s="3107"/>
      <c r="CK14" s="2873" t="str">
        <f t="shared" ref="CK14:CK21" si="33">IF(N14&lt;O14,CONCATENATE("* El total de Procesados debe ser mayor o igual al total de Reactivos en el grupo de edad ",$N$11),"")</f>
        <v/>
      </c>
      <c r="CL14" s="2873" t="str">
        <f t="shared" si="0"/>
        <v/>
      </c>
      <c r="CM14" s="2873" t="str">
        <f t="shared" si="1"/>
        <v/>
      </c>
      <c r="CN14" s="2873" t="str">
        <f t="shared" ref="CN14:CN30" si="34">IF($T14&lt;$U14,CONCATENATE("* El total de Procesados debe ser mayor o igual al total de Reactivos en el grupo de edad ",$T$11),"")</f>
        <v/>
      </c>
      <c r="CO14" s="2873" t="str">
        <f t="shared" si="2"/>
        <v/>
      </c>
      <c r="CP14" s="2873" t="str">
        <f t="shared" si="3"/>
        <v/>
      </c>
      <c r="CQ14" s="2873" t="str">
        <f t="shared" si="4"/>
        <v/>
      </c>
      <c r="CR14" s="2873" t="str">
        <f t="shared" si="5"/>
        <v/>
      </c>
      <c r="CS14" s="2873" t="str">
        <f t="shared" si="6"/>
        <v/>
      </c>
      <c r="CT14" s="2873" t="str">
        <f t="shared" si="7"/>
        <v/>
      </c>
      <c r="CU14" s="2873" t="str">
        <f t="shared" si="8"/>
        <v/>
      </c>
      <c r="CV14" s="2873" t="str">
        <f t="shared" si="9"/>
        <v/>
      </c>
      <c r="CW14" s="2873" t="str">
        <f t="shared" si="10"/>
        <v/>
      </c>
      <c r="CX14" s="2873" t="str">
        <f t="shared" si="11"/>
        <v/>
      </c>
      <c r="DE14" s="2718"/>
      <c r="DF14" s="4928">
        <f>IF(B14&lt;&gt;(AS14),1,0)</f>
        <v>0</v>
      </c>
      <c r="DG14" s="3009">
        <f t="shared" ref="DG14:DG30" si="35">IF(AND($B14&gt;0,AND(AT14="",AU14="")),1,IF((AT14+AU14)&gt;$B14,1,0))</f>
        <v>0</v>
      </c>
      <c r="DH14" s="3009">
        <f t="shared" si="12"/>
        <v>0</v>
      </c>
      <c r="DI14" s="3009">
        <f t="shared" si="13"/>
        <v>0</v>
      </c>
      <c r="DJ14" s="3107"/>
      <c r="DK14" s="3107"/>
      <c r="DL14" s="3107"/>
      <c r="DM14" s="3107"/>
      <c r="DN14" s="3107"/>
      <c r="DO14" s="3009">
        <f t="shared" si="14"/>
        <v>0</v>
      </c>
      <c r="DP14" s="3009">
        <f t="shared" si="15"/>
        <v>0</v>
      </c>
      <c r="DQ14" s="3009">
        <f t="shared" si="16"/>
        <v>0</v>
      </c>
      <c r="DR14" s="3009">
        <f t="shared" ref="DR14:DR30" si="36">IF($T14&lt;$U14,1,0)</f>
        <v>0</v>
      </c>
      <c r="DS14" s="3009">
        <f t="shared" si="17"/>
        <v>0</v>
      </c>
      <c r="DT14" s="3009">
        <f t="shared" si="18"/>
        <v>0</v>
      </c>
      <c r="DU14" s="3009">
        <f t="shared" si="19"/>
        <v>0</v>
      </c>
      <c r="DV14" s="3009">
        <f t="shared" si="20"/>
        <v>0</v>
      </c>
      <c r="DW14" s="3009">
        <f t="shared" si="21"/>
        <v>0</v>
      </c>
      <c r="DX14" s="3009">
        <f t="shared" si="22"/>
        <v>0</v>
      </c>
      <c r="DY14" s="3009">
        <f t="shared" si="23"/>
        <v>0</v>
      </c>
      <c r="DZ14" s="3009">
        <f t="shared" si="24"/>
        <v>0</v>
      </c>
      <c r="EA14" s="3009">
        <f t="shared" si="25"/>
        <v>0</v>
      </c>
      <c r="EB14" s="3009">
        <f t="shared" si="26"/>
        <v>0</v>
      </c>
    </row>
    <row r="15" spans="1:136" x14ac:dyDescent="0.25">
      <c r="A15" s="3578" t="s">
        <v>2660</v>
      </c>
      <c r="B15" s="2014">
        <f t="shared" si="27"/>
        <v>0</v>
      </c>
      <c r="C15" s="3331">
        <f t="shared" si="27"/>
        <v>0</v>
      </c>
      <c r="D15" s="5339"/>
      <c r="E15" s="5340"/>
      <c r="F15" s="5339"/>
      <c r="G15" s="5340"/>
      <c r="H15" s="5339"/>
      <c r="I15" s="5340"/>
      <c r="J15" s="5339"/>
      <c r="K15" s="5340"/>
      <c r="L15" s="5339"/>
      <c r="M15" s="5341"/>
      <c r="N15" s="3572"/>
      <c r="O15" s="5342"/>
      <c r="P15" s="5229"/>
      <c r="Q15" s="5342"/>
      <c r="R15" s="5229"/>
      <c r="S15" s="5342"/>
      <c r="T15" s="5229"/>
      <c r="U15" s="5342"/>
      <c r="V15" s="5229"/>
      <c r="W15" s="5342"/>
      <c r="X15" s="5229"/>
      <c r="Y15" s="5342"/>
      <c r="Z15" s="5229"/>
      <c r="AA15" s="5342"/>
      <c r="AB15" s="5229"/>
      <c r="AC15" s="5342"/>
      <c r="AD15" s="5229"/>
      <c r="AE15" s="5342"/>
      <c r="AF15" s="5229"/>
      <c r="AG15" s="5342"/>
      <c r="AH15" s="5229"/>
      <c r="AI15" s="5342"/>
      <c r="AJ15" s="5229"/>
      <c r="AK15" s="5342"/>
      <c r="AL15" s="5229"/>
      <c r="AM15" s="5342"/>
      <c r="AN15" s="5229"/>
      <c r="AO15" s="5342"/>
      <c r="AP15" s="5229"/>
      <c r="AQ15" s="5336"/>
      <c r="AR15" s="3576"/>
      <c r="AS15" s="5336"/>
      <c r="AT15" s="5337"/>
      <c r="AU15" s="5336"/>
      <c r="AV15" s="3572"/>
      <c r="AW15" s="5338"/>
      <c r="AX15" s="1755" t="str">
        <f t="shared" si="28"/>
        <v/>
      </c>
      <c r="CA15" s="603"/>
      <c r="CB15" s="4928" t="str">
        <f t="shared" si="29"/>
        <v/>
      </c>
      <c r="CC15" s="2873" t="str">
        <f t="shared" si="30"/>
        <v/>
      </c>
      <c r="CD15" s="2873" t="str">
        <f t="shared" si="31"/>
        <v/>
      </c>
      <c r="CE15" s="2873" t="str">
        <f t="shared" si="32"/>
        <v/>
      </c>
      <c r="CF15" s="3107"/>
      <c r="CG15" s="3107"/>
      <c r="CH15" s="3107"/>
      <c r="CI15" s="3107"/>
      <c r="CJ15" s="3107"/>
      <c r="CK15" s="2873" t="str">
        <f t="shared" si="33"/>
        <v/>
      </c>
      <c r="CL15" s="2873" t="str">
        <f t="shared" si="0"/>
        <v/>
      </c>
      <c r="CM15" s="2873" t="str">
        <f t="shared" si="1"/>
        <v/>
      </c>
      <c r="CN15" s="2873" t="str">
        <f t="shared" si="34"/>
        <v/>
      </c>
      <c r="CO15" s="2873" t="str">
        <f t="shared" si="2"/>
        <v/>
      </c>
      <c r="CP15" s="2873" t="str">
        <f t="shared" si="3"/>
        <v/>
      </c>
      <c r="CQ15" s="2873" t="str">
        <f t="shared" si="4"/>
        <v/>
      </c>
      <c r="CR15" s="2873" t="str">
        <f t="shared" si="5"/>
        <v/>
      </c>
      <c r="CS15" s="2873" t="str">
        <f t="shared" si="6"/>
        <v/>
      </c>
      <c r="CT15" s="2873" t="str">
        <f t="shared" si="7"/>
        <v/>
      </c>
      <c r="CU15" s="2873" t="str">
        <f t="shared" si="8"/>
        <v/>
      </c>
      <c r="CV15" s="2873" t="str">
        <f t="shared" si="9"/>
        <v/>
      </c>
      <c r="CW15" s="2873" t="str">
        <f t="shared" si="10"/>
        <v/>
      </c>
      <c r="CX15" s="2873" t="str">
        <f t="shared" si="11"/>
        <v/>
      </c>
      <c r="DE15" s="2718"/>
      <c r="DF15" s="4928">
        <f>IF(B15&lt;&gt;(AS15),1,0)</f>
        <v>0</v>
      </c>
      <c r="DG15" s="3009">
        <f t="shared" si="35"/>
        <v>0</v>
      </c>
      <c r="DH15" s="3009">
        <f t="shared" si="12"/>
        <v>0</v>
      </c>
      <c r="DI15" s="3009">
        <f t="shared" si="13"/>
        <v>0</v>
      </c>
      <c r="DJ15" s="3107"/>
      <c r="DK15" s="3107"/>
      <c r="DL15" s="3107"/>
      <c r="DM15" s="3107"/>
      <c r="DN15" s="3107"/>
      <c r="DO15" s="3009">
        <f t="shared" si="14"/>
        <v>0</v>
      </c>
      <c r="DP15" s="3009">
        <f t="shared" si="15"/>
        <v>0</v>
      </c>
      <c r="DQ15" s="3009">
        <f t="shared" si="16"/>
        <v>0</v>
      </c>
      <c r="DR15" s="3009">
        <f t="shared" si="36"/>
        <v>0</v>
      </c>
      <c r="DS15" s="3009">
        <f t="shared" si="17"/>
        <v>0</v>
      </c>
      <c r="DT15" s="3009">
        <f t="shared" si="18"/>
        <v>0</v>
      </c>
      <c r="DU15" s="3009">
        <f t="shared" si="19"/>
        <v>0</v>
      </c>
      <c r="DV15" s="3009">
        <f t="shared" si="20"/>
        <v>0</v>
      </c>
      <c r="DW15" s="3009">
        <f t="shared" si="21"/>
        <v>0</v>
      </c>
      <c r="DX15" s="3009">
        <f t="shared" si="22"/>
        <v>0</v>
      </c>
      <c r="DY15" s="3009">
        <f t="shared" si="23"/>
        <v>0</v>
      </c>
      <c r="DZ15" s="3009">
        <f t="shared" si="24"/>
        <v>0</v>
      </c>
      <c r="EA15" s="3009">
        <f t="shared" si="25"/>
        <v>0</v>
      </c>
      <c r="EB15" s="3009">
        <f t="shared" si="26"/>
        <v>0</v>
      </c>
    </row>
    <row r="16" spans="1:136" x14ac:dyDescent="0.25">
      <c r="A16" s="3578" t="s">
        <v>2661</v>
      </c>
      <c r="B16" s="2014">
        <f t="shared" si="27"/>
        <v>0</v>
      </c>
      <c r="C16" s="3331">
        <f t="shared" si="27"/>
        <v>0</v>
      </c>
      <c r="D16" s="5339"/>
      <c r="E16" s="5340"/>
      <c r="F16" s="5339"/>
      <c r="G16" s="5340"/>
      <c r="H16" s="5339"/>
      <c r="I16" s="5340"/>
      <c r="J16" s="5339"/>
      <c r="K16" s="5340"/>
      <c r="L16" s="5339"/>
      <c r="M16" s="5341"/>
      <c r="N16" s="3572"/>
      <c r="O16" s="5342"/>
      <c r="P16" s="5229"/>
      <c r="Q16" s="5342"/>
      <c r="R16" s="5229"/>
      <c r="S16" s="5342"/>
      <c r="T16" s="5229"/>
      <c r="U16" s="5342"/>
      <c r="V16" s="5229"/>
      <c r="W16" s="5342"/>
      <c r="X16" s="5229"/>
      <c r="Y16" s="5342"/>
      <c r="Z16" s="5229"/>
      <c r="AA16" s="5342"/>
      <c r="AB16" s="5229"/>
      <c r="AC16" s="5342"/>
      <c r="AD16" s="5229"/>
      <c r="AE16" s="5342"/>
      <c r="AF16" s="5229"/>
      <c r="AG16" s="5342"/>
      <c r="AH16" s="5229"/>
      <c r="AI16" s="5342"/>
      <c r="AJ16" s="5229"/>
      <c r="AK16" s="5342"/>
      <c r="AL16" s="5229"/>
      <c r="AM16" s="5342"/>
      <c r="AN16" s="5229"/>
      <c r="AO16" s="5342"/>
      <c r="AP16" s="5229"/>
      <c r="AQ16" s="5336"/>
      <c r="AR16" s="3576"/>
      <c r="AS16" s="5336"/>
      <c r="AT16" s="5337"/>
      <c r="AU16" s="5336"/>
      <c r="AV16" s="3572"/>
      <c r="AW16" s="5338"/>
      <c r="AX16" s="1755" t="str">
        <f t="shared" si="28"/>
        <v/>
      </c>
      <c r="CA16" s="603"/>
      <c r="CB16" s="4928" t="str">
        <f t="shared" si="29"/>
        <v/>
      </c>
      <c r="CC16" s="2873" t="str">
        <f t="shared" si="30"/>
        <v/>
      </c>
      <c r="CD16" s="2873" t="str">
        <f t="shared" si="31"/>
        <v/>
      </c>
      <c r="CE16" s="2873" t="str">
        <f t="shared" si="32"/>
        <v/>
      </c>
      <c r="CF16" s="3107"/>
      <c r="CG16" s="3107"/>
      <c r="CH16" s="3107"/>
      <c r="CI16" s="3107"/>
      <c r="CJ16" s="3107"/>
      <c r="CK16" s="2873" t="str">
        <f t="shared" si="33"/>
        <v/>
      </c>
      <c r="CL16" s="2873" t="str">
        <f t="shared" si="0"/>
        <v/>
      </c>
      <c r="CM16" s="2873" t="str">
        <f t="shared" si="1"/>
        <v/>
      </c>
      <c r="CN16" s="2873" t="str">
        <f t="shared" si="34"/>
        <v/>
      </c>
      <c r="CO16" s="2873" t="str">
        <f t="shared" si="2"/>
        <v/>
      </c>
      <c r="CP16" s="2873" t="str">
        <f t="shared" si="3"/>
        <v/>
      </c>
      <c r="CQ16" s="2873" t="str">
        <f t="shared" si="4"/>
        <v/>
      </c>
      <c r="CR16" s="2873" t="str">
        <f t="shared" si="5"/>
        <v/>
      </c>
      <c r="CS16" s="2873" t="str">
        <f t="shared" si="6"/>
        <v/>
      </c>
      <c r="CT16" s="2873" t="str">
        <f t="shared" si="7"/>
        <v/>
      </c>
      <c r="CU16" s="2873" t="str">
        <f t="shared" si="8"/>
        <v/>
      </c>
      <c r="CV16" s="2873" t="str">
        <f t="shared" si="9"/>
        <v/>
      </c>
      <c r="CW16" s="2873" t="str">
        <f t="shared" si="10"/>
        <v/>
      </c>
      <c r="CX16" s="2873" t="str">
        <f t="shared" si="11"/>
        <v/>
      </c>
      <c r="DE16" s="2718"/>
      <c r="DF16" s="4928">
        <f>IF(B16&lt;&gt;(AS16),1,0)</f>
        <v>0</v>
      </c>
      <c r="DG16" s="3009">
        <f t="shared" si="35"/>
        <v>0</v>
      </c>
      <c r="DH16" s="3009">
        <f t="shared" si="12"/>
        <v>0</v>
      </c>
      <c r="DI16" s="3009">
        <f t="shared" si="13"/>
        <v>0</v>
      </c>
      <c r="DJ16" s="3107"/>
      <c r="DK16" s="3107"/>
      <c r="DL16" s="3107"/>
      <c r="DM16" s="3107"/>
      <c r="DN16" s="3107"/>
      <c r="DO16" s="3009">
        <f t="shared" si="14"/>
        <v>0</v>
      </c>
      <c r="DP16" s="3009">
        <f t="shared" si="15"/>
        <v>0</v>
      </c>
      <c r="DQ16" s="3009">
        <f t="shared" si="16"/>
        <v>0</v>
      </c>
      <c r="DR16" s="3009">
        <f t="shared" si="36"/>
        <v>0</v>
      </c>
      <c r="DS16" s="3009">
        <f t="shared" si="17"/>
        <v>0</v>
      </c>
      <c r="DT16" s="3009">
        <f t="shared" si="18"/>
        <v>0</v>
      </c>
      <c r="DU16" s="3009">
        <f t="shared" si="19"/>
        <v>0</v>
      </c>
      <c r="DV16" s="3009">
        <f t="shared" si="20"/>
        <v>0</v>
      </c>
      <c r="DW16" s="3009">
        <f t="shared" si="21"/>
        <v>0</v>
      </c>
      <c r="DX16" s="3009">
        <f t="shared" si="22"/>
        <v>0</v>
      </c>
      <c r="DY16" s="3009">
        <f t="shared" si="23"/>
        <v>0</v>
      </c>
      <c r="DZ16" s="3009">
        <f t="shared" si="24"/>
        <v>0</v>
      </c>
      <c r="EA16" s="3009">
        <f t="shared" si="25"/>
        <v>0</v>
      </c>
      <c r="EB16" s="3009">
        <f t="shared" si="26"/>
        <v>0</v>
      </c>
    </row>
    <row r="17" spans="1:132" x14ac:dyDescent="0.25">
      <c r="A17" s="3579" t="s">
        <v>2662</v>
      </c>
      <c r="B17" s="2014">
        <f t="shared" si="27"/>
        <v>0</v>
      </c>
      <c r="C17" s="3331">
        <f t="shared" si="27"/>
        <v>0</v>
      </c>
      <c r="D17" s="5339"/>
      <c r="E17" s="5340"/>
      <c r="F17" s="5339"/>
      <c r="G17" s="5340"/>
      <c r="H17" s="5339"/>
      <c r="I17" s="5340"/>
      <c r="J17" s="5339"/>
      <c r="K17" s="5340"/>
      <c r="L17" s="5339"/>
      <c r="M17" s="5341"/>
      <c r="N17" s="3572"/>
      <c r="O17" s="5342"/>
      <c r="P17" s="5229"/>
      <c r="Q17" s="5342"/>
      <c r="R17" s="5229"/>
      <c r="S17" s="5342"/>
      <c r="T17" s="5229"/>
      <c r="U17" s="5342"/>
      <c r="V17" s="5229"/>
      <c r="W17" s="5342"/>
      <c r="X17" s="5229"/>
      <c r="Y17" s="5342"/>
      <c r="Z17" s="5229"/>
      <c r="AA17" s="5342"/>
      <c r="AB17" s="5229"/>
      <c r="AC17" s="5342"/>
      <c r="AD17" s="5229"/>
      <c r="AE17" s="5342"/>
      <c r="AF17" s="5229"/>
      <c r="AG17" s="5342"/>
      <c r="AH17" s="5229"/>
      <c r="AI17" s="5342"/>
      <c r="AJ17" s="5229"/>
      <c r="AK17" s="5342"/>
      <c r="AL17" s="5229"/>
      <c r="AM17" s="5342"/>
      <c r="AN17" s="5229"/>
      <c r="AO17" s="5342"/>
      <c r="AP17" s="5229"/>
      <c r="AQ17" s="5336"/>
      <c r="AR17" s="3576"/>
      <c r="AS17" s="5336"/>
      <c r="AT17" s="5337"/>
      <c r="AU17" s="5336"/>
      <c r="AV17" s="3572"/>
      <c r="AW17" s="5338"/>
      <c r="AX17" s="1755" t="str">
        <f t="shared" si="28"/>
        <v/>
      </c>
      <c r="CA17" s="603"/>
      <c r="CB17" s="4928" t="str">
        <f t="shared" si="29"/>
        <v/>
      </c>
      <c r="CC17" s="2873" t="str">
        <f t="shared" si="30"/>
        <v/>
      </c>
      <c r="CD17" s="2873" t="str">
        <f t="shared" si="31"/>
        <v/>
      </c>
      <c r="CE17" s="2873" t="str">
        <f t="shared" si="32"/>
        <v/>
      </c>
      <c r="CF17" s="3107"/>
      <c r="CG17" s="3107"/>
      <c r="CH17" s="3107"/>
      <c r="CI17" s="3107"/>
      <c r="CJ17" s="3107"/>
      <c r="CK17" s="2873" t="str">
        <f t="shared" si="33"/>
        <v/>
      </c>
      <c r="CL17" s="2873" t="str">
        <f t="shared" si="0"/>
        <v/>
      </c>
      <c r="CM17" s="2873" t="str">
        <f t="shared" si="1"/>
        <v/>
      </c>
      <c r="CN17" s="2873" t="str">
        <f t="shared" si="34"/>
        <v/>
      </c>
      <c r="CO17" s="2873" t="str">
        <f t="shared" si="2"/>
        <v/>
      </c>
      <c r="CP17" s="2873" t="str">
        <f t="shared" si="3"/>
        <v/>
      </c>
      <c r="CQ17" s="2873" t="str">
        <f t="shared" si="4"/>
        <v/>
      </c>
      <c r="CR17" s="2873" t="str">
        <f t="shared" si="5"/>
        <v/>
      </c>
      <c r="CS17" s="2873" t="str">
        <f t="shared" si="6"/>
        <v/>
      </c>
      <c r="CT17" s="2873" t="str">
        <f t="shared" si="7"/>
        <v/>
      </c>
      <c r="CU17" s="2873" t="str">
        <f t="shared" si="8"/>
        <v/>
      </c>
      <c r="CV17" s="2873" t="str">
        <f t="shared" si="9"/>
        <v/>
      </c>
      <c r="CW17" s="2873" t="str">
        <f t="shared" si="10"/>
        <v/>
      </c>
      <c r="CX17" s="2873" t="str">
        <f t="shared" si="11"/>
        <v/>
      </c>
      <c r="DE17" s="2718"/>
      <c r="DF17" s="4928">
        <f>IF(B17&lt;&gt;(AS17),1,0)</f>
        <v>0</v>
      </c>
      <c r="DG17" s="3009">
        <f t="shared" si="35"/>
        <v>0</v>
      </c>
      <c r="DH17" s="3009">
        <f t="shared" si="12"/>
        <v>0</v>
      </c>
      <c r="DI17" s="3009">
        <f t="shared" si="13"/>
        <v>0</v>
      </c>
      <c r="DJ17" s="3107"/>
      <c r="DK17" s="3107"/>
      <c r="DL17" s="3107"/>
      <c r="DM17" s="3107"/>
      <c r="DN17" s="3107"/>
      <c r="DO17" s="3009">
        <f t="shared" si="14"/>
        <v>0</v>
      </c>
      <c r="DP17" s="3009">
        <f t="shared" si="15"/>
        <v>0</v>
      </c>
      <c r="DQ17" s="3009">
        <f t="shared" si="16"/>
        <v>0</v>
      </c>
      <c r="DR17" s="3009">
        <f t="shared" si="36"/>
        <v>0</v>
      </c>
      <c r="DS17" s="3009">
        <f t="shared" si="17"/>
        <v>0</v>
      </c>
      <c r="DT17" s="3009">
        <f t="shared" si="18"/>
        <v>0</v>
      </c>
      <c r="DU17" s="3009">
        <f t="shared" si="19"/>
        <v>0</v>
      </c>
      <c r="DV17" s="3009">
        <f t="shared" si="20"/>
        <v>0</v>
      </c>
      <c r="DW17" s="3009">
        <f t="shared" si="21"/>
        <v>0</v>
      </c>
      <c r="DX17" s="3009">
        <f t="shared" si="22"/>
        <v>0</v>
      </c>
      <c r="DY17" s="3009">
        <f t="shared" si="23"/>
        <v>0</v>
      </c>
      <c r="DZ17" s="3009">
        <f t="shared" si="24"/>
        <v>0</v>
      </c>
      <c r="EA17" s="3009">
        <f t="shared" si="25"/>
        <v>0</v>
      </c>
      <c r="EB17" s="3009">
        <f t="shared" si="26"/>
        <v>0</v>
      </c>
    </row>
    <row r="18" spans="1:132" x14ac:dyDescent="0.25">
      <c r="A18" s="3579" t="s">
        <v>2663</v>
      </c>
      <c r="B18" s="2014">
        <f t="shared" si="27"/>
        <v>0</v>
      </c>
      <c r="C18" s="3331">
        <f>+O18+Q18+S18+U18+W18+Y18+AA18+AC18+AE18+AG18+AI18+AK18+AM18+AO18+AQ18</f>
        <v>0</v>
      </c>
      <c r="D18" s="5339"/>
      <c r="E18" s="5340"/>
      <c r="F18" s="5339"/>
      <c r="G18" s="5340"/>
      <c r="H18" s="5339"/>
      <c r="I18" s="5340"/>
      <c r="J18" s="5339"/>
      <c r="K18" s="5340"/>
      <c r="L18" s="5339"/>
      <c r="M18" s="5341"/>
      <c r="N18" s="3572"/>
      <c r="O18" s="5342"/>
      <c r="P18" s="5229"/>
      <c r="Q18" s="5342"/>
      <c r="R18" s="5229"/>
      <c r="S18" s="5342"/>
      <c r="T18" s="5229"/>
      <c r="U18" s="5342"/>
      <c r="V18" s="5229"/>
      <c r="W18" s="5342"/>
      <c r="X18" s="5229"/>
      <c r="Y18" s="5342"/>
      <c r="Z18" s="5229"/>
      <c r="AA18" s="5342"/>
      <c r="AB18" s="5229"/>
      <c r="AC18" s="5342"/>
      <c r="AD18" s="5229"/>
      <c r="AE18" s="5342"/>
      <c r="AF18" s="5229"/>
      <c r="AG18" s="5342"/>
      <c r="AH18" s="5229"/>
      <c r="AI18" s="5342"/>
      <c r="AJ18" s="5229"/>
      <c r="AK18" s="5342"/>
      <c r="AL18" s="5229"/>
      <c r="AM18" s="5342"/>
      <c r="AN18" s="5229"/>
      <c r="AO18" s="5342"/>
      <c r="AP18" s="5229"/>
      <c r="AQ18" s="5336"/>
      <c r="AR18" s="3572"/>
      <c r="AS18" s="5336"/>
      <c r="AT18" s="5337"/>
      <c r="AU18" s="5336"/>
      <c r="AV18" s="3572"/>
      <c r="AW18" s="5338"/>
      <c r="AX18" s="1755" t="str">
        <f>$CB18&amp;CC18&amp;CD18&amp;$CE18&amp;CK18&amp;CL18&amp;CM18&amp;CN18&amp;CO18&amp;CP18&amp;CQ18&amp;CR18&amp;CS18&amp;CT18&amp;CU18&amp;CV18&amp;CW18&amp;CX18</f>
        <v/>
      </c>
      <c r="CA18" s="603"/>
      <c r="CB18" s="2873" t="str">
        <f>IF(B18&lt;&gt;(AS18+AR18)," * La suma de las columnas "&amp;AR$10&amp;""&amp;" DEBE SER IGUAL a los Exámenes Procesados. ","")</f>
        <v/>
      </c>
      <c r="CC18" s="2873" t="str">
        <f t="shared" si="30"/>
        <v/>
      </c>
      <c r="CD18" s="2873" t="str">
        <f t="shared" si="31"/>
        <v/>
      </c>
      <c r="CE18" s="2873" t="str">
        <f t="shared" si="32"/>
        <v/>
      </c>
      <c r="CF18" s="3107"/>
      <c r="CG18" s="3107"/>
      <c r="CH18" s="3107"/>
      <c r="CI18" s="3107"/>
      <c r="CJ18" s="3107"/>
      <c r="CK18" s="2873" t="str">
        <f t="shared" si="33"/>
        <v/>
      </c>
      <c r="CL18" s="2873" t="str">
        <f t="shared" si="0"/>
        <v/>
      </c>
      <c r="CM18" s="2873" t="str">
        <f t="shared" si="1"/>
        <v/>
      </c>
      <c r="CN18" s="2873" t="str">
        <f t="shared" si="34"/>
        <v/>
      </c>
      <c r="CO18" s="2873" t="str">
        <f t="shared" si="2"/>
        <v/>
      </c>
      <c r="CP18" s="2873" t="str">
        <f t="shared" si="3"/>
        <v/>
      </c>
      <c r="CQ18" s="2873" t="str">
        <f t="shared" si="4"/>
        <v/>
      </c>
      <c r="CR18" s="2873" t="str">
        <f t="shared" si="5"/>
        <v/>
      </c>
      <c r="CS18" s="2873" t="str">
        <f t="shared" si="6"/>
        <v/>
      </c>
      <c r="CT18" s="2873" t="str">
        <f t="shared" si="7"/>
        <v/>
      </c>
      <c r="CU18" s="2873" t="str">
        <f t="shared" si="8"/>
        <v/>
      </c>
      <c r="CV18" s="2873" t="str">
        <f t="shared" si="9"/>
        <v/>
      </c>
      <c r="CW18" s="2873" t="str">
        <f t="shared" si="10"/>
        <v/>
      </c>
      <c r="CX18" s="2873" t="str">
        <f t="shared" si="11"/>
        <v/>
      </c>
      <c r="DE18" s="2718"/>
      <c r="DF18" s="2873">
        <f>IF(B18&lt;&gt;(AS18+AR18),1,0)</f>
        <v>0</v>
      </c>
      <c r="DG18" s="3009">
        <f t="shared" si="35"/>
        <v>0</v>
      </c>
      <c r="DH18" s="3009">
        <f t="shared" si="12"/>
        <v>0</v>
      </c>
      <c r="DI18" s="3009">
        <f t="shared" si="13"/>
        <v>0</v>
      </c>
      <c r="DJ18" s="3107"/>
      <c r="DK18" s="3107"/>
      <c r="DL18" s="3107"/>
      <c r="DM18" s="3107"/>
      <c r="DN18" s="3107"/>
      <c r="DO18" s="3009">
        <f t="shared" si="14"/>
        <v>0</v>
      </c>
      <c r="DP18" s="3009">
        <f t="shared" si="15"/>
        <v>0</v>
      </c>
      <c r="DQ18" s="3009">
        <f t="shared" si="16"/>
        <v>0</v>
      </c>
      <c r="DR18" s="3009">
        <f t="shared" si="36"/>
        <v>0</v>
      </c>
      <c r="DS18" s="3009">
        <f t="shared" si="17"/>
        <v>0</v>
      </c>
      <c r="DT18" s="3009">
        <f t="shared" si="18"/>
        <v>0</v>
      </c>
      <c r="DU18" s="3009">
        <f t="shared" si="19"/>
        <v>0</v>
      </c>
      <c r="DV18" s="3009">
        <f t="shared" si="20"/>
        <v>0</v>
      </c>
      <c r="DW18" s="3009">
        <f t="shared" si="21"/>
        <v>0</v>
      </c>
      <c r="DX18" s="3009">
        <f t="shared" si="22"/>
        <v>0</v>
      </c>
      <c r="DY18" s="3009">
        <f t="shared" si="23"/>
        <v>0</v>
      </c>
      <c r="DZ18" s="3009">
        <f t="shared" si="24"/>
        <v>0</v>
      </c>
      <c r="EA18" s="3009">
        <f t="shared" si="25"/>
        <v>0</v>
      </c>
      <c r="EB18" s="3009">
        <f t="shared" si="26"/>
        <v>0</v>
      </c>
    </row>
    <row r="19" spans="1:132" x14ac:dyDescent="0.25">
      <c r="A19" s="3579" t="s">
        <v>2664</v>
      </c>
      <c r="B19" s="2014">
        <f t="shared" si="27"/>
        <v>0</v>
      </c>
      <c r="C19" s="3331">
        <f t="shared" si="27"/>
        <v>0</v>
      </c>
      <c r="D19" s="5339"/>
      <c r="E19" s="5340"/>
      <c r="F19" s="5339"/>
      <c r="G19" s="5340"/>
      <c r="H19" s="5339"/>
      <c r="I19" s="5340"/>
      <c r="J19" s="5339"/>
      <c r="K19" s="5340"/>
      <c r="L19" s="5339"/>
      <c r="M19" s="5341"/>
      <c r="N19" s="3572"/>
      <c r="O19" s="5342"/>
      <c r="P19" s="5229"/>
      <c r="Q19" s="5342"/>
      <c r="R19" s="5229"/>
      <c r="S19" s="5342"/>
      <c r="T19" s="5229"/>
      <c r="U19" s="5342"/>
      <c r="V19" s="5229"/>
      <c r="W19" s="5342"/>
      <c r="X19" s="5229"/>
      <c r="Y19" s="5342"/>
      <c r="Z19" s="5229"/>
      <c r="AA19" s="5342"/>
      <c r="AB19" s="5229"/>
      <c r="AC19" s="5342"/>
      <c r="AD19" s="5229"/>
      <c r="AE19" s="5342"/>
      <c r="AF19" s="5229"/>
      <c r="AG19" s="5342"/>
      <c r="AH19" s="5229"/>
      <c r="AI19" s="5342"/>
      <c r="AJ19" s="5229"/>
      <c r="AK19" s="5342"/>
      <c r="AL19" s="5229"/>
      <c r="AM19" s="5342"/>
      <c r="AN19" s="5229"/>
      <c r="AO19" s="5342"/>
      <c r="AP19" s="5229"/>
      <c r="AQ19" s="5336"/>
      <c r="AR19" s="3576"/>
      <c r="AS19" s="5336"/>
      <c r="AT19" s="5337"/>
      <c r="AU19" s="5336"/>
      <c r="AV19" s="3572"/>
      <c r="AW19" s="5338"/>
      <c r="AX19" s="1755" t="str">
        <f>$CB19&amp;CC19&amp;CD19&amp;$CE19&amp;CK19&amp;CL19&amp;CM19&amp;CN19&amp;CO19&amp;CP19&amp;CQ19&amp;CR19&amp;CS19&amp;CT19&amp;CU19&amp;CV19&amp;CW19&amp;CX19</f>
        <v/>
      </c>
      <c r="CA19" s="603"/>
      <c r="CB19" s="4928" t="str">
        <f t="shared" si="29"/>
        <v/>
      </c>
      <c r="CC19" s="2873" t="str">
        <f t="shared" si="30"/>
        <v/>
      </c>
      <c r="CD19" s="2873" t="str">
        <f t="shared" si="31"/>
        <v/>
      </c>
      <c r="CE19" s="2873" t="str">
        <f t="shared" si="32"/>
        <v/>
      </c>
      <c r="CF19" s="3107"/>
      <c r="CG19" s="3107"/>
      <c r="CH19" s="3107"/>
      <c r="CI19" s="3107"/>
      <c r="CJ19" s="3107"/>
      <c r="CK19" s="2873" t="str">
        <f t="shared" si="33"/>
        <v/>
      </c>
      <c r="CL19" s="2873" t="str">
        <f t="shared" si="0"/>
        <v/>
      </c>
      <c r="CM19" s="2873" t="str">
        <f t="shared" si="1"/>
        <v/>
      </c>
      <c r="CN19" s="2873" t="str">
        <f t="shared" si="34"/>
        <v/>
      </c>
      <c r="CO19" s="2873" t="str">
        <f t="shared" si="2"/>
        <v/>
      </c>
      <c r="CP19" s="2873" t="str">
        <f t="shared" si="3"/>
        <v/>
      </c>
      <c r="CQ19" s="2873" t="str">
        <f t="shared" si="4"/>
        <v/>
      </c>
      <c r="CR19" s="2873" t="str">
        <f t="shared" si="5"/>
        <v/>
      </c>
      <c r="CS19" s="2873" t="str">
        <f t="shared" si="6"/>
        <v/>
      </c>
      <c r="CT19" s="2873" t="str">
        <f t="shared" si="7"/>
        <v/>
      </c>
      <c r="CU19" s="2873" t="str">
        <f t="shared" si="8"/>
        <v/>
      </c>
      <c r="CV19" s="2873" t="str">
        <f t="shared" si="9"/>
        <v/>
      </c>
      <c r="CW19" s="2873" t="str">
        <f t="shared" si="10"/>
        <v/>
      </c>
      <c r="CX19" s="2873" t="str">
        <f t="shared" si="11"/>
        <v/>
      </c>
      <c r="DE19" s="2718"/>
      <c r="DF19" s="4928">
        <f>IF(B19&lt;&gt;(AS19),1,0)</f>
        <v>0</v>
      </c>
      <c r="DG19" s="3009">
        <f t="shared" si="35"/>
        <v>0</v>
      </c>
      <c r="DH19" s="3009">
        <f t="shared" si="12"/>
        <v>0</v>
      </c>
      <c r="DI19" s="3009">
        <f t="shared" si="13"/>
        <v>0</v>
      </c>
      <c r="DJ19" s="3107"/>
      <c r="DK19" s="3107"/>
      <c r="DL19" s="3107"/>
      <c r="DM19" s="3107"/>
      <c r="DN19" s="3107"/>
      <c r="DO19" s="3009">
        <f t="shared" si="14"/>
        <v>0</v>
      </c>
      <c r="DP19" s="3009">
        <f t="shared" si="15"/>
        <v>0</v>
      </c>
      <c r="DQ19" s="3009">
        <f t="shared" si="16"/>
        <v>0</v>
      </c>
      <c r="DR19" s="3009">
        <f t="shared" si="36"/>
        <v>0</v>
      </c>
      <c r="DS19" s="3009">
        <f t="shared" si="17"/>
        <v>0</v>
      </c>
      <c r="DT19" s="3009">
        <f t="shared" si="18"/>
        <v>0</v>
      </c>
      <c r="DU19" s="3009">
        <f t="shared" si="19"/>
        <v>0</v>
      </c>
      <c r="DV19" s="3009">
        <f t="shared" si="20"/>
        <v>0</v>
      </c>
      <c r="DW19" s="3009">
        <f t="shared" si="21"/>
        <v>0</v>
      </c>
      <c r="DX19" s="3009">
        <f t="shared" si="22"/>
        <v>0</v>
      </c>
      <c r="DY19" s="3009">
        <f t="shared" si="23"/>
        <v>0</v>
      </c>
      <c r="DZ19" s="3009">
        <f t="shared" si="24"/>
        <v>0</v>
      </c>
      <c r="EA19" s="3009">
        <f t="shared" si="25"/>
        <v>0</v>
      </c>
      <c r="EB19" s="3009">
        <f t="shared" si="26"/>
        <v>0</v>
      </c>
    </row>
    <row r="20" spans="1:132" x14ac:dyDescent="0.25">
      <c r="A20" s="3578" t="s">
        <v>2665</v>
      </c>
      <c r="B20" s="2014">
        <f t="shared" si="27"/>
        <v>0</v>
      </c>
      <c r="C20" s="3331">
        <f>+O20+Q20+S20+U20+W20+Y20+AA20+AC20+AE20+AG20+AI20+AK20+AM20+AO20+AQ20</f>
        <v>0</v>
      </c>
      <c r="D20" s="5339"/>
      <c r="E20" s="5340"/>
      <c r="F20" s="5339"/>
      <c r="G20" s="5340"/>
      <c r="H20" s="5339"/>
      <c r="I20" s="5340"/>
      <c r="J20" s="5339"/>
      <c r="K20" s="5340"/>
      <c r="L20" s="5339"/>
      <c r="M20" s="5341"/>
      <c r="N20" s="3572"/>
      <c r="O20" s="5342"/>
      <c r="P20" s="5229"/>
      <c r="Q20" s="5342"/>
      <c r="R20" s="5229"/>
      <c r="S20" s="5342"/>
      <c r="T20" s="5229"/>
      <c r="U20" s="5342"/>
      <c r="V20" s="5229"/>
      <c r="W20" s="5342"/>
      <c r="X20" s="5229"/>
      <c r="Y20" s="5342"/>
      <c r="Z20" s="5229"/>
      <c r="AA20" s="5342"/>
      <c r="AB20" s="5229"/>
      <c r="AC20" s="5342"/>
      <c r="AD20" s="5229"/>
      <c r="AE20" s="5342"/>
      <c r="AF20" s="5229"/>
      <c r="AG20" s="5342"/>
      <c r="AH20" s="5229"/>
      <c r="AI20" s="5342"/>
      <c r="AJ20" s="5229"/>
      <c r="AK20" s="5342"/>
      <c r="AL20" s="5229"/>
      <c r="AM20" s="5342"/>
      <c r="AN20" s="5229"/>
      <c r="AO20" s="5342"/>
      <c r="AP20" s="5229"/>
      <c r="AQ20" s="5336"/>
      <c r="AR20" s="3576"/>
      <c r="AS20" s="5336"/>
      <c r="AT20" s="5337"/>
      <c r="AU20" s="5336"/>
      <c r="AV20" s="3572"/>
      <c r="AW20" s="5338"/>
      <c r="AX20" s="1755" t="str">
        <f t="shared" ref="AX20" si="37">$CB20&amp;CC20&amp;CD20&amp;$CE20&amp;CK20&amp;CL20&amp;CM20&amp;CN20&amp;CO20&amp;CP20&amp;CQ20&amp;CR20&amp;CS20&amp;CT20&amp;CU20&amp;CV20&amp;CW20&amp;CX20</f>
        <v/>
      </c>
      <c r="CA20" s="603"/>
      <c r="CB20" s="4928" t="str">
        <f t="shared" si="29"/>
        <v/>
      </c>
      <c r="CC20" s="2873" t="str">
        <f t="shared" si="30"/>
        <v/>
      </c>
      <c r="CD20" s="2873" t="str">
        <f t="shared" si="31"/>
        <v/>
      </c>
      <c r="CE20" s="2873" t="str">
        <f t="shared" si="32"/>
        <v/>
      </c>
      <c r="CF20" s="3107"/>
      <c r="CG20" s="3107"/>
      <c r="CH20" s="3107"/>
      <c r="CI20" s="3107"/>
      <c r="CJ20" s="3107"/>
      <c r="CK20" s="2873" t="str">
        <f t="shared" si="33"/>
        <v/>
      </c>
      <c r="CL20" s="2873" t="str">
        <f t="shared" si="0"/>
        <v/>
      </c>
      <c r="CM20" s="2873" t="str">
        <f t="shared" si="1"/>
        <v/>
      </c>
      <c r="CN20" s="2873" t="str">
        <f t="shared" si="34"/>
        <v/>
      </c>
      <c r="CO20" s="2873" t="str">
        <f t="shared" si="2"/>
        <v/>
      </c>
      <c r="CP20" s="2873" t="str">
        <f t="shared" si="3"/>
        <v/>
      </c>
      <c r="CQ20" s="2873" t="str">
        <f t="shared" si="4"/>
        <v/>
      </c>
      <c r="CR20" s="2873" t="str">
        <f t="shared" si="5"/>
        <v/>
      </c>
      <c r="CS20" s="2873" t="str">
        <f t="shared" si="6"/>
        <v/>
      </c>
      <c r="CT20" s="2873" t="str">
        <f t="shared" si="7"/>
        <v/>
      </c>
      <c r="CU20" s="2873" t="str">
        <f t="shared" si="8"/>
        <v/>
      </c>
      <c r="CV20" s="2873" t="str">
        <f t="shared" si="9"/>
        <v/>
      </c>
      <c r="CW20" s="2873" t="str">
        <f t="shared" si="10"/>
        <v/>
      </c>
      <c r="CX20" s="2873" t="str">
        <f t="shared" si="11"/>
        <v/>
      </c>
      <c r="DE20" s="2718"/>
      <c r="DF20" s="4928">
        <f>IF(B20&lt;&gt;(AS20),1,0)</f>
        <v>0</v>
      </c>
      <c r="DG20" s="3009">
        <f t="shared" si="35"/>
        <v>0</v>
      </c>
      <c r="DH20" s="3009">
        <f t="shared" si="12"/>
        <v>0</v>
      </c>
      <c r="DI20" s="3009">
        <f t="shared" si="13"/>
        <v>0</v>
      </c>
      <c r="DJ20" s="3107"/>
      <c r="DK20" s="3107"/>
      <c r="DL20" s="3107"/>
      <c r="DM20" s="3107"/>
      <c r="DN20" s="3107"/>
      <c r="DO20" s="3009">
        <f t="shared" si="14"/>
        <v>0</v>
      </c>
      <c r="DP20" s="3009">
        <f t="shared" si="15"/>
        <v>0</v>
      </c>
      <c r="DQ20" s="3009">
        <f t="shared" si="16"/>
        <v>0</v>
      </c>
      <c r="DR20" s="3009">
        <f t="shared" si="36"/>
        <v>0</v>
      </c>
      <c r="DS20" s="3009">
        <f t="shared" si="17"/>
        <v>0</v>
      </c>
      <c r="DT20" s="3009">
        <f t="shared" si="18"/>
        <v>0</v>
      </c>
      <c r="DU20" s="3009">
        <f t="shared" si="19"/>
        <v>0</v>
      </c>
      <c r="DV20" s="3009">
        <f t="shared" si="20"/>
        <v>0</v>
      </c>
      <c r="DW20" s="3009">
        <f t="shared" si="21"/>
        <v>0</v>
      </c>
      <c r="DX20" s="3009">
        <f t="shared" si="22"/>
        <v>0</v>
      </c>
      <c r="DY20" s="3009">
        <f t="shared" si="23"/>
        <v>0</v>
      </c>
      <c r="DZ20" s="3009">
        <f t="shared" si="24"/>
        <v>0</v>
      </c>
      <c r="EA20" s="3009">
        <f t="shared" si="25"/>
        <v>0</v>
      </c>
      <c r="EB20" s="3009">
        <f t="shared" si="26"/>
        <v>0</v>
      </c>
    </row>
    <row r="21" spans="1:132" x14ac:dyDescent="0.25">
      <c r="A21" s="3578" t="s">
        <v>2666</v>
      </c>
      <c r="B21" s="2014">
        <f>+D21+F21+H21+J21+L21+N21+P21+R21+T21+V21+X21+Z21+AB21+AD21+AF21+AH21+AJ21+AL21+AN21+AP21</f>
        <v>0</v>
      </c>
      <c r="C21" s="3331">
        <f>+E21+G21+I21+K21+M21+O21+Q21+S21+U21+W21+Y21+AA21+AC21+AE21+AG21+AI21+AK21+AM21+AO21+AQ21</f>
        <v>0</v>
      </c>
      <c r="D21" s="5229"/>
      <c r="E21" s="5342"/>
      <c r="F21" s="5229"/>
      <c r="G21" s="5342"/>
      <c r="H21" s="5229"/>
      <c r="I21" s="5338"/>
      <c r="J21" s="3572"/>
      <c r="K21" s="3572"/>
      <c r="L21" s="5229"/>
      <c r="M21" s="5338"/>
      <c r="N21" s="3572"/>
      <c r="O21" s="5342"/>
      <c r="P21" s="5229"/>
      <c r="Q21" s="5342"/>
      <c r="R21" s="5229"/>
      <c r="S21" s="5342"/>
      <c r="T21" s="5229"/>
      <c r="U21" s="5342"/>
      <c r="V21" s="5229"/>
      <c r="W21" s="5342"/>
      <c r="X21" s="5229"/>
      <c r="Y21" s="5342"/>
      <c r="Z21" s="5229"/>
      <c r="AA21" s="5342"/>
      <c r="AB21" s="5229"/>
      <c r="AC21" s="5342"/>
      <c r="AD21" s="5229"/>
      <c r="AE21" s="5342"/>
      <c r="AF21" s="5229"/>
      <c r="AG21" s="5342"/>
      <c r="AH21" s="5229"/>
      <c r="AI21" s="5342"/>
      <c r="AJ21" s="5229"/>
      <c r="AK21" s="5342"/>
      <c r="AL21" s="5229"/>
      <c r="AM21" s="5342"/>
      <c r="AN21" s="5229"/>
      <c r="AO21" s="5342"/>
      <c r="AP21" s="5229"/>
      <c r="AQ21" s="5336"/>
      <c r="AR21" s="3576"/>
      <c r="AS21" s="5336"/>
      <c r="AT21" s="5337"/>
      <c r="AU21" s="5336"/>
      <c r="AV21" s="3572"/>
      <c r="AW21" s="5338"/>
      <c r="AX21" s="1755" t="str">
        <f>$CB21&amp;CC21&amp;CD21&amp;$CE21&amp;CF21&amp;CG21&amp;CH21&amp;CI21&amp;CJ21&amp;CK21&amp;CL21&amp;CM21&amp;CN21&amp;CO21&amp;CP21&amp;CQ21&amp;CR21&amp;CS21&amp;CT21&amp;CU21&amp;CV21&amp;CW21&amp;CX21</f>
        <v/>
      </c>
      <c r="CA21" s="603"/>
      <c r="CB21" s="4928" t="str">
        <f t="shared" si="29"/>
        <v/>
      </c>
      <c r="CC21" s="2873" t="str">
        <f t="shared" si="30"/>
        <v/>
      </c>
      <c r="CD21" s="2873" t="str">
        <f t="shared" si="31"/>
        <v/>
      </c>
      <c r="CE21" s="2873" t="str">
        <f t="shared" si="32"/>
        <v/>
      </c>
      <c r="CF21" s="2873" t="str">
        <f>IF(D21&lt;E21,CONCATENATE("* El total de Procesados debe ser mayor o igual al total de Reactivos en el grupo de edad ",$D$11),"")</f>
        <v/>
      </c>
      <c r="CG21" s="2873" t="str">
        <f>IF(F21&lt;G21,CONCATENATE("* El total de Procesados debe ser mayor o igual al total de Reactivos en el grupo de edad ",$F$11),"")</f>
        <v/>
      </c>
      <c r="CH21" s="2873" t="str">
        <f>IF(H21&lt;I21,CONCATENATE("* El total de Procesados debe ser mayor o igual al total de Reactivos en el grupo de edad ",$H$11),"")</f>
        <v/>
      </c>
      <c r="CI21" s="2873" t="str">
        <f>IF(J21&lt;K21,CONCATENATE("* El total de Procesados debe ser mayor o igual al total de Reactivos en el grupo de edad ",$J$11),"")</f>
        <v/>
      </c>
      <c r="CJ21" s="2873" t="str">
        <f>IF(L21&lt;M21,CONCATENATE("* El total de Procesados debe ser mayor o igual al total de Reactivos en el grupo de edad ",$L$11),"")</f>
        <v/>
      </c>
      <c r="CK21" s="2873" t="str">
        <f t="shared" si="33"/>
        <v/>
      </c>
      <c r="CL21" s="2873" t="str">
        <f t="shared" si="0"/>
        <v/>
      </c>
      <c r="CM21" s="2873" t="str">
        <f t="shared" si="1"/>
        <v/>
      </c>
      <c r="CN21" s="2873" t="str">
        <f t="shared" si="34"/>
        <v/>
      </c>
      <c r="CO21" s="2873" t="str">
        <f t="shared" si="2"/>
        <v/>
      </c>
      <c r="CP21" s="2873" t="str">
        <f t="shared" si="3"/>
        <v/>
      </c>
      <c r="CQ21" s="2873" t="str">
        <f t="shared" si="4"/>
        <v/>
      </c>
      <c r="CR21" s="2873" t="str">
        <f t="shared" si="5"/>
        <v/>
      </c>
      <c r="CS21" s="2873" t="str">
        <f t="shared" si="6"/>
        <v/>
      </c>
      <c r="CT21" s="2873" t="str">
        <f t="shared" si="7"/>
        <v/>
      </c>
      <c r="CU21" s="2873" t="str">
        <f t="shared" si="8"/>
        <v/>
      </c>
      <c r="CV21" s="2873" t="str">
        <f t="shared" si="9"/>
        <v/>
      </c>
      <c r="CW21" s="2873" t="str">
        <f t="shared" si="10"/>
        <v/>
      </c>
      <c r="CX21" s="2873" t="str">
        <f t="shared" si="11"/>
        <v/>
      </c>
      <c r="DE21" s="2718"/>
      <c r="DF21" s="4928">
        <f>IF(B21&lt;&gt;(AS21),1,0)</f>
        <v>0</v>
      </c>
      <c r="DG21" s="3009">
        <f t="shared" si="35"/>
        <v>0</v>
      </c>
      <c r="DH21" s="3009">
        <f t="shared" si="12"/>
        <v>0</v>
      </c>
      <c r="DI21" s="3009">
        <f t="shared" si="13"/>
        <v>0</v>
      </c>
      <c r="DJ21" s="3009">
        <f>IF(D21&lt;E21,1,0)</f>
        <v>0</v>
      </c>
      <c r="DK21" s="3009">
        <f>IF(F21&lt;G21,1,0)</f>
        <v>0</v>
      </c>
      <c r="DL21" s="3009">
        <f>IF(H21&lt;I21,1,0)</f>
        <v>0</v>
      </c>
      <c r="DM21" s="3009">
        <f>IF(J21&lt;K21,1,0)</f>
        <v>0</v>
      </c>
      <c r="DN21" s="3009">
        <f>IF(L21&lt;M21,1,0)</f>
        <v>0</v>
      </c>
      <c r="DO21" s="3009">
        <f t="shared" si="14"/>
        <v>0</v>
      </c>
      <c r="DP21" s="3009">
        <f t="shared" si="15"/>
        <v>0</v>
      </c>
      <c r="DQ21" s="3009">
        <f t="shared" si="16"/>
        <v>0</v>
      </c>
      <c r="DR21" s="3009">
        <f t="shared" si="36"/>
        <v>0</v>
      </c>
      <c r="DS21" s="3009">
        <f t="shared" si="17"/>
        <v>0</v>
      </c>
      <c r="DT21" s="3009">
        <f t="shared" si="18"/>
        <v>0</v>
      </c>
      <c r="DU21" s="3009">
        <f t="shared" si="19"/>
        <v>0</v>
      </c>
      <c r="DV21" s="3009">
        <f t="shared" si="20"/>
        <v>0</v>
      </c>
      <c r="DW21" s="3009">
        <f t="shared" si="21"/>
        <v>0</v>
      </c>
      <c r="DX21" s="3009">
        <f t="shared" si="22"/>
        <v>0</v>
      </c>
      <c r="DY21" s="3009">
        <f t="shared" si="23"/>
        <v>0</v>
      </c>
      <c r="DZ21" s="3009">
        <f t="shared" si="24"/>
        <v>0</v>
      </c>
      <c r="EA21" s="3009">
        <f t="shared" si="25"/>
        <v>0</v>
      </c>
      <c r="EB21" s="3009">
        <f t="shared" si="26"/>
        <v>0</v>
      </c>
    </row>
    <row r="22" spans="1:132" ht="21" x14ac:dyDescent="0.25">
      <c r="A22" s="3579" t="s">
        <v>2667</v>
      </c>
      <c r="B22" s="2014">
        <f>+D22+F22+H22</f>
        <v>0</v>
      </c>
      <c r="C22" s="3331">
        <f>+E22+G22+I22</f>
        <v>0</v>
      </c>
      <c r="D22" s="5229"/>
      <c r="E22" s="5342"/>
      <c r="F22" s="5229"/>
      <c r="G22" s="5342"/>
      <c r="H22" s="5229"/>
      <c r="I22" s="5338"/>
      <c r="J22" s="5343"/>
      <c r="K22" s="5344"/>
      <c r="L22" s="5343"/>
      <c r="M22" s="5344"/>
      <c r="N22" s="5343"/>
      <c r="O22" s="5344"/>
      <c r="P22" s="5343"/>
      <c r="Q22" s="5344"/>
      <c r="R22" s="5343"/>
      <c r="S22" s="5344"/>
      <c r="T22" s="5343"/>
      <c r="U22" s="5344"/>
      <c r="V22" s="5343"/>
      <c r="W22" s="5344"/>
      <c r="X22" s="5343"/>
      <c r="Y22" s="5344"/>
      <c r="Z22" s="5343"/>
      <c r="AA22" s="5344"/>
      <c r="AB22" s="5343"/>
      <c r="AC22" s="5344"/>
      <c r="AD22" s="5343"/>
      <c r="AE22" s="5344"/>
      <c r="AF22" s="5343"/>
      <c r="AG22" s="5344"/>
      <c r="AH22" s="5343"/>
      <c r="AI22" s="5344"/>
      <c r="AJ22" s="5343"/>
      <c r="AK22" s="5344"/>
      <c r="AL22" s="5343"/>
      <c r="AM22" s="5344"/>
      <c r="AN22" s="5343"/>
      <c r="AO22" s="5344"/>
      <c r="AP22" s="5343"/>
      <c r="AQ22" s="5345"/>
      <c r="AR22" s="3572"/>
      <c r="AS22" s="5336"/>
      <c r="AT22" s="5337"/>
      <c r="AU22" s="5336"/>
      <c r="AV22" s="3572"/>
      <c r="AW22" s="5338"/>
      <c r="AX22" s="1755" t="str">
        <f>$CB22&amp;CC22&amp;CD22&amp;$CE22&amp;CK22&amp;CL22&amp;CM22&amp;CN22&amp;CO22&amp;CP22&amp;CQ22&amp;CR22&amp;CS22&amp;CT22&amp;CU22&amp;CV22&amp;CW22&amp;CX22&amp;CF22&amp;CG22&amp;CH22</f>
        <v/>
      </c>
      <c r="CA22" s="603"/>
      <c r="CB22" s="2873" t="str">
        <f>IF(B22&lt;&gt;(AS22+AR22)," * La suma de las columnas "&amp;AR$10&amp;""&amp;" DEBE SER IGUAL a los Exámenes Procesados. ","")</f>
        <v/>
      </c>
      <c r="CC22" s="2873" t="str">
        <f t="shared" si="30"/>
        <v/>
      </c>
      <c r="CD22" s="2873" t="str">
        <f t="shared" si="31"/>
        <v/>
      </c>
      <c r="CE22" s="2873" t="str">
        <f t="shared" si="32"/>
        <v/>
      </c>
      <c r="CF22" s="2873" t="str">
        <f>IF(D22&lt;E22,CONCATENATE("* El total de Procesados debe ser mayor o igual al total de Reactivos en el grupo de edad ",$D$11),"")</f>
        <v/>
      </c>
      <c r="CG22" s="2873" t="str">
        <f>IF(F22&lt;G22,CONCATENATE("* El total de Procesados debe ser mayor o igual al total de Reactivos en el grupo de edad ",$F$11),"")</f>
        <v/>
      </c>
      <c r="CH22" s="2873" t="str">
        <f>IF(H22&lt;I22,CONCATENATE("* El total de Procesados debe ser mayor o igual al total de Reactivos en el grupo de edad ",$H$11),"")</f>
        <v/>
      </c>
      <c r="CI22" s="2872"/>
      <c r="CJ22" s="2872"/>
      <c r="CK22" s="3581"/>
      <c r="CL22" s="2872"/>
      <c r="CM22" s="2872"/>
      <c r="CN22" s="2872"/>
      <c r="CO22" s="2872"/>
      <c r="CP22" s="2872"/>
      <c r="CQ22" s="2872"/>
      <c r="CR22" s="2872"/>
      <c r="CS22" s="2872"/>
      <c r="CT22" s="2872"/>
      <c r="CU22" s="2872"/>
      <c r="CV22" s="2872"/>
      <c r="CW22" s="2872"/>
      <c r="CX22" s="2872"/>
      <c r="DE22" s="2718"/>
      <c r="DF22" s="2873">
        <f t="shared" ref="DF22:DF30" si="38">IF(B22&lt;&gt;(AS22+AR22),1,0)</f>
        <v>0</v>
      </c>
      <c r="DG22" s="3009">
        <f t="shared" si="35"/>
        <v>0</v>
      </c>
      <c r="DH22" s="3009">
        <f t="shared" si="12"/>
        <v>0</v>
      </c>
      <c r="DI22" s="3009">
        <f t="shared" si="13"/>
        <v>0</v>
      </c>
      <c r="DJ22" s="3009">
        <f>IF(D22&lt;E22,1,0)</f>
        <v>0</v>
      </c>
      <c r="DK22" s="3009">
        <f>IF(F22&lt;G22,1,0)</f>
        <v>0</v>
      </c>
      <c r="DL22" s="3009">
        <f>IF(H22&lt;I22,1,0)</f>
        <v>0</v>
      </c>
      <c r="DM22" s="2872"/>
      <c r="DN22" s="2872"/>
      <c r="DO22" s="3107"/>
      <c r="DP22" s="3107"/>
      <c r="DQ22" s="3107"/>
      <c r="DR22" s="3107"/>
      <c r="DS22" s="3107"/>
      <c r="DT22" s="3107"/>
      <c r="DU22" s="3107"/>
      <c r="DV22" s="3107"/>
      <c r="DW22" s="3107"/>
      <c r="DX22" s="3107"/>
      <c r="DY22" s="3107"/>
      <c r="DZ22" s="3107"/>
      <c r="EA22" s="3107"/>
      <c r="EB22" s="3107"/>
    </row>
    <row r="23" spans="1:132" x14ac:dyDescent="0.25">
      <c r="A23" s="3579" t="s">
        <v>2668</v>
      </c>
      <c r="B23" s="2014">
        <f>+P23+R23+T23+V23+X23+Z23+AB23+AD23+AF23+AH23+AJ23+AL23+AN23+AP23</f>
        <v>0</v>
      </c>
      <c r="C23" s="3331">
        <f>+Q23+S23+U23+W23+Y23+AA23+AC23+AE23+AG23+AI23+AK23+AM23+AO23+AQ23</f>
        <v>0</v>
      </c>
      <c r="D23" s="5339"/>
      <c r="E23" s="5340"/>
      <c r="F23" s="5339"/>
      <c r="G23" s="5340"/>
      <c r="H23" s="5339"/>
      <c r="I23" s="5340"/>
      <c r="J23" s="5339"/>
      <c r="K23" s="5340"/>
      <c r="L23" s="5339"/>
      <c r="M23" s="5341"/>
      <c r="N23" s="3568"/>
      <c r="O23" s="5340"/>
      <c r="P23" s="5229"/>
      <c r="Q23" s="5342"/>
      <c r="R23" s="5229"/>
      <c r="S23" s="5342"/>
      <c r="T23" s="5229"/>
      <c r="U23" s="5342"/>
      <c r="V23" s="5229"/>
      <c r="W23" s="5342"/>
      <c r="X23" s="5229"/>
      <c r="Y23" s="5342"/>
      <c r="Z23" s="5229"/>
      <c r="AA23" s="5342"/>
      <c r="AB23" s="5229"/>
      <c r="AC23" s="5342"/>
      <c r="AD23" s="5229"/>
      <c r="AE23" s="5342"/>
      <c r="AF23" s="5229"/>
      <c r="AG23" s="5342"/>
      <c r="AH23" s="5229"/>
      <c r="AI23" s="5342"/>
      <c r="AJ23" s="5229"/>
      <c r="AK23" s="5342"/>
      <c r="AL23" s="5229"/>
      <c r="AM23" s="5342"/>
      <c r="AN23" s="5229"/>
      <c r="AO23" s="5342"/>
      <c r="AP23" s="5229"/>
      <c r="AQ23" s="5336"/>
      <c r="AR23" s="3572"/>
      <c r="AS23" s="5336"/>
      <c r="AT23" s="5337"/>
      <c r="AU23" s="5336"/>
      <c r="AV23" s="3572"/>
      <c r="AW23" s="5338"/>
      <c r="AX23" s="1755" t="str">
        <f>$CB23&amp;CC23&amp;CD23&amp;$CE23&amp;CK23&amp;CL23&amp;CM23&amp;CN23&amp;CO23&amp;CP23&amp;CQ23&amp;CR23&amp;CS23&amp;CT23&amp;CU23&amp;CV23&amp;CW23&amp;CX23</f>
        <v/>
      </c>
      <c r="CA23" s="603"/>
      <c r="CB23" s="2873" t="str">
        <f t="shared" ref="CB23:CB30" si="39">IF(B23&lt;&gt;(AS23+AR23)," * La suma de las columnas "&amp;AR$10&amp;""&amp;" DEBE SER IGUAL a los Exámenes Procesados. ","")</f>
        <v/>
      </c>
      <c r="CC23" s="2873" t="str">
        <f t="shared" si="30"/>
        <v/>
      </c>
      <c r="CD23" s="2873" t="str">
        <f t="shared" si="31"/>
        <v/>
      </c>
      <c r="CE23" s="2873" t="str">
        <f t="shared" si="32"/>
        <v/>
      </c>
      <c r="CF23" s="3581"/>
      <c r="CG23" s="3581"/>
      <c r="CH23" s="2872"/>
      <c r="CI23" s="2872"/>
      <c r="CJ23" s="2872"/>
      <c r="CK23" s="3581"/>
      <c r="CL23" s="2873" t="str">
        <f t="shared" ref="CL23:CL30" si="40">IF(P23&lt;Q23,CONCATENATE("* El total de Procesados debe ser mayor o igual al total de Reactivos en el grupo de edad ",$P$11),"")</f>
        <v/>
      </c>
      <c r="CM23" s="2873" t="str">
        <f t="shared" ref="CM23:CM30" si="41">IF(R23&lt;S23,CONCATENATE("* El total de Procesados debe ser mayor o igual al total de Reactivos en el grupo de edad ",$R$11),"")</f>
        <v/>
      </c>
      <c r="CN23" s="2873" t="str">
        <f t="shared" si="34"/>
        <v/>
      </c>
      <c r="CO23" s="2873" t="str">
        <f t="shared" ref="CO23:CO30" si="42">IF(V23&lt;W23,CONCATENATE("* El total de Procesados debe ser mayor o igual al total de Reactivos en el grupo de edad ",$V$11),"")</f>
        <v/>
      </c>
      <c r="CP23" s="2873" t="str">
        <f t="shared" ref="CP23:CP30" si="43">IF(X23&lt;Y23,CONCATENATE("* El total de Procesados debe ser mayor o igual al total de Reactivos en el grupo de edad ",$X$11),"")</f>
        <v/>
      </c>
      <c r="CQ23" s="2873" t="str">
        <f t="shared" ref="CQ23:CQ30" si="44">IF(Z23&lt;AA23,CONCATENATE("* El total de Procesados debe ser mayor o igual al total de Reactivos en el grupo de edad ",$Z$11),"")</f>
        <v/>
      </c>
      <c r="CR23" s="2873" t="str">
        <f t="shared" ref="CR23:CR30" si="45">IF(AD23&lt;AE23,CONCATENATE("* El total de Procesados debe ser mayor o igual al total de Reactivos en el grupo de edad ",$AD$11),"")</f>
        <v/>
      </c>
      <c r="CS23" s="2873" t="str">
        <f t="shared" ref="CS23:CS30" si="46">IF(AF23&lt;AG23,CONCATENATE("* El total de Procesados debe ser mayor o igual al total de Reactivos en el grupo de edad ",$AF$11),"")</f>
        <v/>
      </c>
      <c r="CT23" s="2873" t="str">
        <f t="shared" ref="CT23:CT30" si="47">IF(AH23&lt;AI23,CONCATENATE("* El total de Procesados debe ser mayor o igual al total de Reactivos en el grupo de edad ",$AH$11),"")</f>
        <v/>
      </c>
      <c r="CU23" s="2873" t="str">
        <f>IF(AJ23&lt;AK23,CONCATENATE("* El total de Procesados debe ser mayor o igual al total de Reactivos en el grupo de edad ",$AJ$11),"")</f>
        <v/>
      </c>
      <c r="CV23" s="2873" t="str">
        <f>IF(AL23&lt;AM23,CONCATENATE("* El total de Procesados debe ser mayor o igual al total de Reactivos en el grupo de edad ",$AL$11),"")</f>
        <v/>
      </c>
      <c r="CW23" s="2873" t="str">
        <f>IF(AN23&lt;AO23,CONCATENATE("* El total de Procesados debe ser mayor o igual al total de Reactivos en el grupo de edad ",$AN$11),"")</f>
        <v/>
      </c>
      <c r="CX23" s="2873" t="str">
        <f>IF(AP23&lt;AQ23,CONCATENATE("* El total de Procesados debe ser mayor o igual al total de Reactivos en el grupo de edad ",$AP$11),"")</f>
        <v/>
      </c>
      <c r="DE23" s="2718"/>
      <c r="DF23" s="2873">
        <f t="shared" si="38"/>
        <v>0</v>
      </c>
      <c r="DG23" s="3009">
        <f t="shared" si="35"/>
        <v>0</v>
      </c>
      <c r="DH23" s="3009">
        <f t="shared" si="12"/>
        <v>0</v>
      </c>
      <c r="DI23" s="3009">
        <f t="shared" si="13"/>
        <v>0</v>
      </c>
      <c r="DJ23" s="2872"/>
      <c r="DK23" s="2872"/>
      <c r="DL23" s="2872"/>
      <c r="DM23" s="2872"/>
      <c r="DN23" s="2872"/>
      <c r="DO23" s="3107"/>
      <c r="DP23" s="3009">
        <f t="shared" ref="DP23:DP30" si="48">IF(P23&lt;Q23,1,0)</f>
        <v>0</v>
      </c>
      <c r="DQ23" s="3009">
        <f t="shared" ref="DQ23:DQ30" si="49">IF(R23&lt;S23,1,0)</f>
        <v>0</v>
      </c>
      <c r="DR23" s="3009">
        <f t="shared" si="36"/>
        <v>0</v>
      </c>
      <c r="DS23" s="3009">
        <f t="shared" ref="DS23:DS30" si="50">IF(V23&lt;W23,1,0)</f>
        <v>0</v>
      </c>
      <c r="DT23" s="3009">
        <f t="shared" ref="DT23:DT30" si="51">IF(X23&lt;Y23,1,0)</f>
        <v>0</v>
      </c>
      <c r="DU23" s="3009">
        <f t="shared" ref="DU23:DU30" si="52">IF(Z23&lt;AA23,1,0)</f>
        <v>0</v>
      </c>
      <c r="DV23" s="3009">
        <f t="shared" ref="DV23:DV30" si="53">IF(AD23&lt;AE23,1,0)</f>
        <v>0</v>
      </c>
      <c r="DW23" s="3009">
        <f t="shared" ref="DW23:DW30" si="54">IF(AF23&lt;AG23,1,0)</f>
        <v>0</v>
      </c>
      <c r="DX23" s="3009">
        <f t="shared" ref="DX23:DX30" si="55">IF(AH23&lt;AI23,1,0)</f>
        <v>0</v>
      </c>
      <c r="DY23" s="3009">
        <f>IF(AJ23&lt;AK23,1,0)</f>
        <v>0</v>
      </c>
      <c r="DZ23" s="3009">
        <f>IF(AL23&lt;AM23,1,0)</f>
        <v>0</v>
      </c>
      <c r="EA23" s="3009">
        <f>IF(AN23&lt;AO23,1,0)</f>
        <v>0</v>
      </c>
      <c r="EB23" s="3009">
        <f>IF(AP23&lt;AQ23,1,0)</f>
        <v>0</v>
      </c>
    </row>
    <row r="24" spans="1:132" x14ac:dyDescent="0.25">
      <c r="A24" s="3578" t="s">
        <v>2669</v>
      </c>
      <c r="B24" s="2014">
        <f>+N24+P24+R24+T24+V24+X24+Z24+AB24+AD24+AF24+AH24+AJ24+AL24+AN24+AP24</f>
        <v>0</v>
      </c>
      <c r="C24" s="3331">
        <f>+O24+Q24+S24+U24+W24+Y24+AA24+AC24+AE24+AG24+AI24+AK24+AM24+AO24+AQ24</f>
        <v>0</v>
      </c>
      <c r="D24" s="5343"/>
      <c r="E24" s="5344"/>
      <c r="F24" s="5343"/>
      <c r="G24" s="5344"/>
      <c r="H24" s="5343"/>
      <c r="I24" s="5346"/>
      <c r="J24" s="3576"/>
      <c r="K24" s="3576"/>
      <c r="L24" s="5343"/>
      <c r="M24" s="5346"/>
      <c r="N24" s="3572"/>
      <c r="O24" s="5342"/>
      <c r="P24" s="5229"/>
      <c r="Q24" s="5342"/>
      <c r="R24" s="5229"/>
      <c r="S24" s="5342"/>
      <c r="T24" s="5229"/>
      <c r="U24" s="5342"/>
      <c r="V24" s="5229"/>
      <c r="W24" s="5342"/>
      <c r="X24" s="5229"/>
      <c r="Y24" s="5342"/>
      <c r="Z24" s="5229"/>
      <c r="AA24" s="5342"/>
      <c r="AB24" s="5229"/>
      <c r="AC24" s="5342"/>
      <c r="AD24" s="5229"/>
      <c r="AE24" s="5342"/>
      <c r="AF24" s="5229"/>
      <c r="AG24" s="5342"/>
      <c r="AH24" s="5229"/>
      <c r="AI24" s="5342"/>
      <c r="AJ24" s="5229"/>
      <c r="AK24" s="5342"/>
      <c r="AL24" s="5229"/>
      <c r="AM24" s="5342"/>
      <c r="AN24" s="5229"/>
      <c r="AO24" s="5338"/>
      <c r="AP24" s="5229"/>
      <c r="AQ24" s="5336"/>
      <c r="AR24" s="3572"/>
      <c r="AS24" s="5336"/>
      <c r="AT24" s="5337"/>
      <c r="AU24" s="5336"/>
      <c r="AV24" s="3572"/>
      <c r="AW24" s="5338"/>
      <c r="AX24" s="1755" t="str">
        <f t="shared" ref="AX24:AX26" si="56">$CB24&amp;CC24&amp;CD24&amp;$CE24&amp;CK24&amp;CL24&amp;CM24&amp;CN24&amp;CO24&amp;CP24&amp;CQ24&amp;CR24&amp;CS24&amp;CT24&amp;CU24&amp;CV24&amp;CW24&amp;CX24</f>
        <v/>
      </c>
      <c r="CA24" s="603"/>
      <c r="CB24" s="2873" t="str">
        <f t="shared" si="39"/>
        <v/>
      </c>
      <c r="CC24" s="2873" t="str">
        <f t="shared" si="30"/>
        <v/>
      </c>
      <c r="CD24" s="2873" t="str">
        <f t="shared" si="31"/>
        <v/>
      </c>
      <c r="CE24" s="2873" t="str">
        <f t="shared" si="32"/>
        <v/>
      </c>
      <c r="CF24" s="3581"/>
      <c r="CG24" s="3581"/>
      <c r="CH24" s="2872"/>
      <c r="CI24" s="2872"/>
      <c r="CJ24" s="2872"/>
      <c r="CK24" s="2873" t="str">
        <f>IF(N24&lt;O24,CONCATENATE("* El total de Procesados debe ser mayor o igual al total de Reactivos en el grupo de edad ",$N$11),"")</f>
        <v/>
      </c>
      <c r="CL24" s="2873" t="str">
        <f t="shared" si="40"/>
        <v/>
      </c>
      <c r="CM24" s="2873" t="str">
        <f t="shared" si="41"/>
        <v/>
      </c>
      <c r="CN24" s="2873" t="str">
        <f t="shared" si="34"/>
        <v/>
      </c>
      <c r="CO24" s="2873" t="str">
        <f t="shared" si="42"/>
        <v/>
      </c>
      <c r="CP24" s="2873" t="str">
        <f t="shared" si="43"/>
        <v/>
      </c>
      <c r="CQ24" s="2873" t="str">
        <f t="shared" si="44"/>
        <v/>
      </c>
      <c r="CR24" s="2873" t="str">
        <f t="shared" si="45"/>
        <v/>
      </c>
      <c r="CS24" s="2873" t="str">
        <f t="shared" si="46"/>
        <v/>
      </c>
      <c r="CT24" s="2873" t="str">
        <f t="shared" si="47"/>
        <v/>
      </c>
      <c r="CU24" s="2873" t="str">
        <f>IF(AJ24&lt;AK24,CONCATENATE("* El total de Procesados debe ser mayor o igual al total de Reactivos en el grupo de edad ",$AJ$11),"")</f>
        <v/>
      </c>
      <c r="CV24" s="2873" t="str">
        <f>IF(AL24&lt;AM24,CONCATENATE("* El total de Procesados debe ser mayor o igual al total de Reactivos en el grupo de edad ",$AL$11),"")</f>
        <v/>
      </c>
      <c r="CW24" s="2873" t="str">
        <f>IF(AN24&lt;AO24,CONCATENATE("* El total de Procesados debe ser mayor o igual al total de Reactivos en el grupo de edad ",$AN$11),"")</f>
        <v/>
      </c>
      <c r="CX24" s="2873" t="str">
        <f>IF(AP24&lt;AQ24,CONCATENATE("* El total de Procesados debe ser mayor o igual al total de Reactivos en el grupo de edad ",$AP$11),"")</f>
        <v/>
      </c>
      <c r="DE24" s="2718"/>
      <c r="DF24" s="2873">
        <f t="shared" si="38"/>
        <v>0</v>
      </c>
      <c r="DG24" s="3009">
        <f t="shared" si="35"/>
        <v>0</v>
      </c>
      <c r="DH24" s="3009">
        <f t="shared" si="12"/>
        <v>0</v>
      </c>
      <c r="DI24" s="3009">
        <f t="shared" si="13"/>
        <v>0</v>
      </c>
      <c r="DJ24" s="2872"/>
      <c r="DK24" s="2872"/>
      <c r="DL24" s="2872"/>
      <c r="DM24" s="2872"/>
      <c r="DN24" s="2872"/>
      <c r="DO24" s="3009">
        <f>IF(N24&lt;O24,1,0)</f>
        <v>0</v>
      </c>
      <c r="DP24" s="3009">
        <f t="shared" si="48"/>
        <v>0</v>
      </c>
      <c r="DQ24" s="3009">
        <f t="shared" si="49"/>
        <v>0</v>
      </c>
      <c r="DR24" s="3009">
        <f t="shared" si="36"/>
        <v>0</v>
      </c>
      <c r="DS24" s="3009">
        <f t="shared" si="50"/>
        <v>0</v>
      </c>
      <c r="DT24" s="3009">
        <f t="shared" si="51"/>
        <v>0</v>
      </c>
      <c r="DU24" s="3009">
        <f t="shared" si="52"/>
        <v>0</v>
      </c>
      <c r="DV24" s="3009">
        <f t="shared" si="53"/>
        <v>0</v>
      </c>
      <c r="DW24" s="3009">
        <f t="shared" si="54"/>
        <v>0</v>
      </c>
      <c r="DX24" s="3009">
        <f t="shared" si="55"/>
        <v>0</v>
      </c>
      <c r="DY24" s="3009">
        <f>IF(AJ24&lt;AK24,1,0)</f>
        <v>0</v>
      </c>
      <c r="DZ24" s="3009">
        <f>IF(AL24&lt;AM24,1,0)</f>
        <v>0</v>
      </c>
      <c r="EA24" s="3009">
        <f>IF(AN24&lt;AO24,1,0)</f>
        <v>0</v>
      </c>
      <c r="EB24" s="3009">
        <f>IF(AP24&lt;AQ24,1,0)</f>
        <v>0</v>
      </c>
    </row>
    <row r="25" spans="1:132" x14ac:dyDescent="0.25">
      <c r="A25" s="3578" t="s">
        <v>2670</v>
      </c>
      <c r="B25" s="2014">
        <f>+D25+F25+H25+J25+L25+N25+P25+R25+T25+V25+X25+Z25+AB25+AD25+AF25+AH25+AJ25+AL25+AN25+AP25</f>
        <v>0</v>
      </c>
      <c r="C25" s="3331">
        <f>+E25+G25+I25+K25+M25+O25+Q25+S25+U25+W25+Y25+AA25+AC25+AE25+AG25+AI25+AK25+AM25+AO25+AQ25</f>
        <v>0</v>
      </c>
      <c r="D25" s="5229"/>
      <c r="E25" s="5342"/>
      <c r="F25" s="5229"/>
      <c r="G25" s="5342"/>
      <c r="H25" s="5229"/>
      <c r="I25" s="5338"/>
      <c r="J25" s="3572"/>
      <c r="K25" s="3572"/>
      <c r="L25" s="5229"/>
      <c r="M25" s="5338"/>
      <c r="N25" s="3572"/>
      <c r="O25" s="5342"/>
      <c r="P25" s="5229"/>
      <c r="Q25" s="5342"/>
      <c r="R25" s="5229"/>
      <c r="S25" s="5342"/>
      <c r="T25" s="5229"/>
      <c r="U25" s="5342"/>
      <c r="V25" s="5229"/>
      <c r="W25" s="5342"/>
      <c r="X25" s="5229"/>
      <c r="Y25" s="5342"/>
      <c r="Z25" s="5229"/>
      <c r="AA25" s="5342"/>
      <c r="AB25" s="5229"/>
      <c r="AC25" s="5342"/>
      <c r="AD25" s="5229"/>
      <c r="AE25" s="5342"/>
      <c r="AF25" s="5229"/>
      <c r="AG25" s="5342"/>
      <c r="AH25" s="5229"/>
      <c r="AI25" s="5342"/>
      <c r="AJ25" s="5229"/>
      <c r="AK25" s="5342"/>
      <c r="AL25" s="5229"/>
      <c r="AM25" s="5342"/>
      <c r="AN25" s="5229"/>
      <c r="AO25" s="5342"/>
      <c r="AP25" s="5229"/>
      <c r="AQ25" s="5336"/>
      <c r="AR25" s="3572"/>
      <c r="AS25" s="5336"/>
      <c r="AT25" s="5337"/>
      <c r="AU25" s="5336"/>
      <c r="AV25" s="3572"/>
      <c r="AW25" s="5338"/>
      <c r="AX25" s="1755" t="str">
        <f>$CB25&amp;CC25&amp;CD25&amp;$CE25&amp;CF25&amp;CG25&amp;CH25&amp;CI25&amp;CJ25&amp;CK25&amp;CL25&amp;CM25&amp;CN25&amp;CO25&amp;CP25&amp;CQ25&amp;CR25&amp;CS25&amp;CT25&amp;CU25&amp;CV25&amp;CW25&amp;CX25</f>
        <v/>
      </c>
      <c r="CA25" s="603"/>
      <c r="CB25" s="2873" t="str">
        <f t="shared" si="39"/>
        <v/>
      </c>
      <c r="CC25" s="2873" t="str">
        <f t="shared" si="30"/>
        <v/>
      </c>
      <c r="CD25" s="2873" t="str">
        <f t="shared" si="31"/>
        <v/>
      </c>
      <c r="CE25" s="2873" t="str">
        <f>IF(AND($B25&gt;0,AW25=""),"* No olvide ingresar la columna "&amp;AW$10&amp;""&amp;" *(Digite CERO si no tiene). ",IF(AW25&gt;$B25," *El Número de "&amp;AW$10&amp;""&amp;" no puede superar el Total Procesados. ",""))</f>
        <v/>
      </c>
      <c r="CF25" s="2873" t="str">
        <f>IF(D25&lt;E25,CONCATENATE("* El total de Procesados debe ser mayor o igual al total de Reactivos en el grupo de edad ",$D$11),"")</f>
        <v/>
      </c>
      <c r="CG25" s="2873" t="str">
        <f>IF(F25&lt;G25,CONCATENATE("* El total de Procesados debe ser mayor o igual al total de Reactivos en el grupo de edad ",$F$11),"")</f>
        <v/>
      </c>
      <c r="CH25" s="2873" t="str">
        <f>IF(H25&lt;I25,CONCATENATE("* El total de Procesados debe ser mayor o igual al total de Reactivos en el grupo de edad ",$H$11),"")</f>
        <v/>
      </c>
      <c r="CI25" s="2873" t="str">
        <f>IF(J25&lt;K25,CONCATENATE("* El total de Procesados debe ser mayor o igual al total de Reactivos en el grupo de edad ",$J$11),"")</f>
        <v/>
      </c>
      <c r="CJ25" s="2873" t="str">
        <f>IF(L25&lt;M25,CONCATENATE("* El total de Procesados debe ser mayor o igual al total de Reactivos en el grupo de edad ",$L$11),"")</f>
        <v/>
      </c>
      <c r="CK25" s="2873" t="str">
        <f>IF(N25&lt;O25,CONCATENATE("* El total de Procesados debe ser mayor o igual al total de Reactivos en el grupo de edad ",$N$11),"")</f>
        <v/>
      </c>
      <c r="CL25" s="2873" t="str">
        <f t="shared" si="40"/>
        <v/>
      </c>
      <c r="CM25" s="2873" t="str">
        <f t="shared" si="41"/>
        <v/>
      </c>
      <c r="CN25" s="2873" t="str">
        <f t="shared" si="34"/>
        <v/>
      </c>
      <c r="CO25" s="2873" t="str">
        <f t="shared" si="42"/>
        <v/>
      </c>
      <c r="CP25" s="2873" t="str">
        <f t="shared" si="43"/>
        <v/>
      </c>
      <c r="CQ25" s="2873" t="str">
        <f t="shared" si="44"/>
        <v/>
      </c>
      <c r="CR25" s="2873" t="str">
        <f t="shared" si="45"/>
        <v/>
      </c>
      <c r="CS25" s="2873" t="str">
        <f t="shared" si="46"/>
        <v/>
      </c>
      <c r="CT25" s="2873" t="str">
        <f t="shared" si="47"/>
        <v/>
      </c>
      <c r="CU25" s="2873" t="str">
        <f>IF(AJ25&lt;AK25,CONCATENATE("* El total de Procesados debe ser mayor o igual al total de Reactivos en el grupo de edad ",$AJ$11),"")</f>
        <v/>
      </c>
      <c r="CV25" s="2873" t="str">
        <f>IF(AL25&lt;AM25,CONCATENATE("* El total de Procesados debe ser mayor o igual al total de Reactivos en el grupo de edad ",$AL$11),"")</f>
        <v/>
      </c>
      <c r="CW25" s="2873" t="str">
        <f>IF(AN25&lt;AO25,CONCATENATE("* El total de Procesados debe ser mayor o igual al total de Reactivos en el grupo de edad ",$AN$11),"")</f>
        <v/>
      </c>
      <c r="CX25" s="2873" t="str">
        <f>IF(AP25&lt;AQ25,CONCATENATE("* El total de Procesados debe ser mayor o igual al total de Reactivos en el grupo de edad ",$AP$11),"")</f>
        <v/>
      </c>
      <c r="DE25" s="2718"/>
      <c r="DF25" s="2873">
        <f t="shared" si="38"/>
        <v>0</v>
      </c>
      <c r="DG25" s="3009">
        <f t="shared" si="35"/>
        <v>0</v>
      </c>
      <c r="DH25" s="3009">
        <f t="shared" si="12"/>
        <v>0</v>
      </c>
      <c r="DI25" s="3009">
        <f t="shared" si="13"/>
        <v>0</v>
      </c>
      <c r="DJ25" s="3009">
        <f>IF(D25&lt;E25,1,0)</f>
        <v>0</v>
      </c>
      <c r="DK25" s="3009">
        <f>IF(F25&lt;G25,1,0)</f>
        <v>0</v>
      </c>
      <c r="DL25" s="3009">
        <f>IF(H25&lt;I25,1,0)</f>
        <v>0</v>
      </c>
      <c r="DM25" s="3009">
        <f>IF(J25&lt;K25,1,0)</f>
        <v>0</v>
      </c>
      <c r="DN25" s="3009">
        <f>IF(L25&lt;M25,1,0)</f>
        <v>0</v>
      </c>
      <c r="DO25" s="3009">
        <f>IF(N25&lt;O25,1,0)</f>
        <v>0</v>
      </c>
      <c r="DP25" s="3009">
        <f t="shared" si="48"/>
        <v>0</v>
      </c>
      <c r="DQ25" s="3009">
        <f t="shared" si="49"/>
        <v>0</v>
      </c>
      <c r="DR25" s="3009">
        <f t="shared" si="36"/>
        <v>0</v>
      </c>
      <c r="DS25" s="3009">
        <f t="shared" si="50"/>
        <v>0</v>
      </c>
      <c r="DT25" s="3009">
        <f t="shared" si="51"/>
        <v>0</v>
      </c>
      <c r="DU25" s="3009">
        <f t="shared" si="52"/>
        <v>0</v>
      </c>
      <c r="DV25" s="3009">
        <f t="shared" si="53"/>
        <v>0</v>
      </c>
      <c r="DW25" s="3009">
        <f t="shared" si="54"/>
        <v>0</v>
      </c>
      <c r="DX25" s="3009">
        <f t="shared" si="55"/>
        <v>0</v>
      </c>
      <c r="DY25" s="3009">
        <f>IF(AJ25&lt;AK25,1,0)</f>
        <v>0</v>
      </c>
      <c r="DZ25" s="3009">
        <f>IF(AL25&lt;AM25,1,0)</f>
        <v>0</v>
      </c>
      <c r="EA25" s="3009">
        <f>IF(AN25&lt;AO25,1,0)</f>
        <v>0</v>
      </c>
      <c r="EB25" s="3009">
        <f>IF(AP25&lt;AQ25,1,0)</f>
        <v>0</v>
      </c>
    </row>
    <row r="26" spans="1:132" x14ac:dyDescent="0.25">
      <c r="A26" s="3578" t="s">
        <v>2671</v>
      </c>
      <c r="B26" s="2014">
        <f>+P26+R26+T26+V26+X26+Z26+AB26+AD26+AF26+AH26+AJ26+AL26+AN26+AP26</f>
        <v>0</v>
      </c>
      <c r="C26" s="3331">
        <f>+Q26+S26+U26+W26+Y26+AA26+AC26+AE26+AG26+AI26+AK26+AM26+AO26+AQ26</f>
        <v>0</v>
      </c>
      <c r="D26" s="5339"/>
      <c r="E26" s="5340"/>
      <c r="F26" s="5339"/>
      <c r="G26" s="5340"/>
      <c r="H26" s="5339"/>
      <c r="I26" s="5340"/>
      <c r="J26" s="5339"/>
      <c r="K26" s="5340"/>
      <c r="L26" s="5339"/>
      <c r="M26" s="5341"/>
      <c r="N26" s="3568"/>
      <c r="O26" s="5340"/>
      <c r="P26" s="5229"/>
      <c r="Q26" s="5342"/>
      <c r="R26" s="5229"/>
      <c r="S26" s="5342"/>
      <c r="T26" s="5229"/>
      <c r="U26" s="5342"/>
      <c r="V26" s="5229"/>
      <c r="W26" s="5342"/>
      <c r="X26" s="5229"/>
      <c r="Y26" s="5342"/>
      <c r="Z26" s="5229"/>
      <c r="AA26" s="5342"/>
      <c r="AB26" s="5229"/>
      <c r="AC26" s="5342"/>
      <c r="AD26" s="5229"/>
      <c r="AE26" s="5342"/>
      <c r="AF26" s="5229"/>
      <c r="AG26" s="5342"/>
      <c r="AH26" s="5229"/>
      <c r="AI26" s="5342"/>
      <c r="AJ26" s="5229"/>
      <c r="AK26" s="5342"/>
      <c r="AL26" s="5229"/>
      <c r="AM26" s="5342"/>
      <c r="AN26" s="5229"/>
      <c r="AO26" s="5342"/>
      <c r="AP26" s="5229"/>
      <c r="AQ26" s="5336"/>
      <c r="AR26" s="3572"/>
      <c r="AS26" s="5336"/>
      <c r="AT26" s="5337"/>
      <c r="AU26" s="5336"/>
      <c r="AV26" s="3572"/>
      <c r="AW26" s="5338"/>
      <c r="AX26" s="1755" t="str">
        <f t="shared" si="56"/>
        <v/>
      </c>
      <c r="CA26" s="603"/>
      <c r="CB26" s="2873" t="str">
        <f t="shared" si="39"/>
        <v/>
      </c>
      <c r="CC26" s="2873" t="str">
        <f t="shared" si="30"/>
        <v/>
      </c>
      <c r="CD26" s="2873" t="str">
        <f t="shared" si="31"/>
        <v/>
      </c>
      <c r="CE26" s="2873" t="str">
        <f t="shared" si="32"/>
        <v/>
      </c>
      <c r="CF26" s="3581"/>
      <c r="CG26" s="3581"/>
      <c r="CH26" s="2872"/>
      <c r="CI26" s="2872"/>
      <c r="CJ26" s="2872"/>
      <c r="CK26" s="3581"/>
      <c r="CL26" s="2873" t="str">
        <f t="shared" si="40"/>
        <v/>
      </c>
      <c r="CM26" s="2873" t="str">
        <f t="shared" si="41"/>
        <v/>
      </c>
      <c r="CN26" s="2873" t="str">
        <f t="shared" si="34"/>
        <v/>
      </c>
      <c r="CO26" s="2873" t="str">
        <f t="shared" si="42"/>
        <v/>
      </c>
      <c r="CP26" s="2873" t="str">
        <f t="shared" si="43"/>
        <v/>
      </c>
      <c r="CQ26" s="2873" t="str">
        <f t="shared" si="44"/>
        <v/>
      </c>
      <c r="CR26" s="2873" t="str">
        <f t="shared" si="45"/>
        <v/>
      </c>
      <c r="CS26" s="2873" t="str">
        <f t="shared" si="46"/>
        <v/>
      </c>
      <c r="CT26" s="2873" t="str">
        <f t="shared" si="47"/>
        <v/>
      </c>
      <c r="CU26" s="2873" t="str">
        <f>IF(AJ26&lt;AK26,CONCATENATE("* El total de Procesados debe ser mayor o igual al total de Reactivos en el grupo de edad ",$AJ$11),"")</f>
        <v/>
      </c>
      <c r="CV26" s="2873" t="str">
        <f>IF(AL26&lt;AM26,CONCATENATE("* El total de Procesados debe ser mayor o igual al total de Reactivos en el grupo de edad ",$AL$11),"")</f>
        <v/>
      </c>
      <c r="CW26" s="2873" t="str">
        <f>IF(AN26&lt;AO26,CONCATENATE("* El total de Procesados debe ser mayor o igual al total de Reactivos en el grupo de edad ",$AN$11),"")</f>
        <v/>
      </c>
      <c r="CX26" s="2873" t="str">
        <f>IF(AP26&lt;AQ26,CONCATENATE("* El total de Procesados debe ser mayor o igual al total de Reactivos en el grupo de edad ",$AP$11),"")</f>
        <v/>
      </c>
      <c r="DE26" s="2718"/>
      <c r="DF26" s="2873">
        <f t="shared" si="38"/>
        <v>0</v>
      </c>
      <c r="DG26" s="3009">
        <f t="shared" si="35"/>
        <v>0</v>
      </c>
      <c r="DH26" s="3009">
        <f t="shared" si="12"/>
        <v>0</v>
      </c>
      <c r="DI26" s="3009">
        <f t="shared" si="13"/>
        <v>0</v>
      </c>
      <c r="DJ26" s="2872"/>
      <c r="DK26" s="2872"/>
      <c r="DL26" s="2872"/>
      <c r="DM26" s="2872"/>
      <c r="DN26" s="2872"/>
      <c r="DO26" s="3107"/>
      <c r="DP26" s="3009">
        <f t="shared" si="48"/>
        <v>0</v>
      </c>
      <c r="DQ26" s="3009">
        <f t="shared" si="49"/>
        <v>0</v>
      </c>
      <c r="DR26" s="3009">
        <f t="shared" si="36"/>
        <v>0</v>
      </c>
      <c r="DS26" s="3009">
        <f t="shared" si="50"/>
        <v>0</v>
      </c>
      <c r="DT26" s="3009">
        <f t="shared" si="51"/>
        <v>0</v>
      </c>
      <c r="DU26" s="3009">
        <f t="shared" si="52"/>
        <v>0</v>
      </c>
      <c r="DV26" s="3009">
        <f t="shared" si="53"/>
        <v>0</v>
      </c>
      <c r="DW26" s="3009">
        <f t="shared" si="54"/>
        <v>0</v>
      </c>
      <c r="DX26" s="3009">
        <f t="shared" si="55"/>
        <v>0</v>
      </c>
      <c r="DY26" s="3009">
        <f>IF(AJ26&lt;AK26,1,0)</f>
        <v>0</v>
      </c>
      <c r="DZ26" s="3009">
        <f>IF(AL26&lt;AM26,1,0)</f>
        <v>0</v>
      </c>
      <c r="EA26" s="3009">
        <f>IF(AN26&lt;AO26,1,0)</f>
        <v>0</v>
      </c>
      <c r="EB26" s="3009">
        <f>IF(AP26&lt;AQ26,1,0)</f>
        <v>0</v>
      </c>
    </row>
    <row r="27" spans="1:132" x14ac:dyDescent="0.25">
      <c r="A27" s="3578" t="s">
        <v>2672</v>
      </c>
      <c r="B27" s="2014">
        <f>+P27+R27+T27+V27+X27+Z27+AB27+AD27+AF27+AH27</f>
        <v>0</v>
      </c>
      <c r="C27" s="3331">
        <f>+Q27+S27+U27+W27+Y27+AA27+AC27+AE27+AG27+AI27</f>
        <v>0</v>
      </c>
      <c r="D27" s="5339"/>
      <c r="E27" s="5340"/>
      <c r="F27" s="5339"/>
      <c r="G27" s="5340"/>
      <c r="H27" s="5339"/>
      <c r="I27" s="5340"/>
      <c r="J27" s="5339"/>
      <c r="K27" s="5340"/>
      <c r="L27" s="5339"/>
      <c r="M27" s="5341"/>
      <c r="N27" s="3568"/>
      <c r="O27" s="5340"/>
      <c r="P27" s="5229"/>
      <c r="Q27" s="5342"/>
      <c r="R27" s="5229"/>
      <c r="S27" s="5342"/>
      <c r="T27" s="5229"/>
      <c r="U27" s="5342"/>
      <c r="V27" s="5229"/>
      <c r="W27" s="5342"/>
      <c r="X27" s="5229"/>
      <c r="Y27" s="5342"/>
      <c r="Z27" s="5229"/>
      <c r="AA27" s="5342"/>
      <c r="AB27" s="5229"/>
      <c r="AC27" s="5342"/>
      <c r="AD27" s="5229"/>
      <c r="AE27" s="5342"/>
      <c r="AF27" s="5229"/>
      <c r="AG27" s="5342"/>
      <c r="AH27" s="5229"/>
      <c r="AI27" s="5342"/>
      <c r="AJ27" s="5339"/>
      <c r="AK27" s="5340"/>
      <c r="AL27" s="5339"/>
      <c r="AM27" s="5340"/>
      <c r="AN27" s="5339"/>
      <c r="AO27" s="5340"/>
      <c r="AP27" s="5339"/>
      <c r="AQ27" s="5347"/>
      <c r="AR27" s="3572"/>
      <c r="AS27" s="5336"/>
      <c r="AT27" s="5337"/>
      <c r="AU27" s="5336"/>
      <c r="AV27" s="3572"/>
      <c r="AW27" s="5338"/>
      <c r="AX27" s="1755" t="str">
        <f>$CB27&amp;CC27&amp;CD27&amp;$CE27&amp;CK27&amp;CL27&amp;CM27&amp;CN27&amp;CO27&amp;CP27&amp;CQ27&amp;CR27&amp;CS27&amp;CT27&amp;CU27&amp;CV27&amp;CW27&amp;CX27</f>
        <v/>
      </c>
      <c r="CA27" s="603"/>
      <c r="CB27" s="2873" t="str">
        <f t="shared" si="39"/>
        <v/>
      </c>
      <c r="CC27" s="2873" t="str">
        <f t="shared" si="30"/>
        <v/>
      </c>
      <c r="CD27" s="2873" t="str">
        <f t="shared" si="31"/>
        <v/>
      </c>
      <c r="CE27" s="2873" t="str">
        <f t="shared" si="32"/>
        <v/>
      </c>
      <c r="CF27" s="3581"/>
      <c r="CG27" s="3581"/>
      <c r="CH27" s="2872"/>
      <c r="CI27" s="2872"/>
      <c r="CJ27" s="2872"/>
      <c r="CK27" s="3581"/>
      <c r="CL27" s="2873" t="str">
        <f t="shared" si="40"/>
        <v/>
      </c>
      <c r="CM27" s="2873" t="str">
        <f t="shared" si="41"/>
        <v/>
      </c>
      <c r="CN27" s="2873" t="str">
        <f t="shared" si="34"/>
        <v/>
      </c>
      <c r="CO27" s="2873" t="str">
        <f t="shared" si="42"/>
        <v/>
      </c>
      <c r="CP27" s="2873" t="str">
        <f t="shared" si="43"/>
        <v/>
      </c>
      <c r="CQ27" s="2873" t="str">
        <f t="shared" si="44"/>
        <v/>
      </c>
      <c r="CR27" s="2873" t="str">
        <f t="shared" si="45"/>
        <v/>
      </c>
      <c r="CS27" s="2873" t="str">
        <f t="shared" si="46"/>
        <v/>
      </c>
      <c r="CT27" s="2873" t="str">
        <f t="shared" si="47"/>
        <v/>
      </c>
      <c r="CU27" s="3107"/>
      <c r="CV27" s="3107"/>
      <c r="CW27" s="3107"/>
      <c r="CX27" s="3107"/>
      <c r="DE27" s="2718"/>
      <c r="DF27" s="2873">
        <f t="shared" si="38"/>
        <v>0</v>
      </c>
      <c r="DG27" s="3009">
        <f t="shared" si="35"/>
        <v>0</v>
      </c>
      <c r="DH27" s="3009">
        <f t="shared" si="12"/>
        <v>0</v>
      </c>
      <c r="DI27" s="3009">
        <f t="shared" si="13"/>
        <v>0</v>
      </c>
      <c r="DJ27" s="2872"/>
      <c r="DK27" s="2872"/>
      <c r="DL27" s="2872"/>
      <c r="DM27" s="2872"/>
      <c r="DN27" s="2872"/>
      <c r="DO27" s="3107"/>
      <c r="DP27" s="3009">
        <f t="shared" si="48"/>
        <v>0</v>
      </c>
      <c r="DQ27" s="3009">
        <f t="shared" si="49"/>
        <v>0</v>
      </c>
      <c r="DR27" s="3009">
        <f t="shared" si="36"/>
        <v>0</v>
      </c>
      <c r="DS27" s="3009">
        <f t="shared" si="50"/>
        <v>0</v>
      </c>
      <c r="DT27" s="3009">
        <f t="shared" si="51"/>
        <v>0</v>
      </c>
      <c r="DU27" s="3009">
        <f t="shared" si="52"/>
        <v>0</v>
      </c>
      <c r="DV27" s="3009">
        <f t="shared" si="53"/>
        <v>0</v>
      </c>
      <c r="DW27" s="3009">
        <f t="shared" si="54"/>
        <v>0</v>
      </c>
      <c r="DX27" s="3009">
        <f t="shared" si="55"/>
        <v>0</v>
      </c>
      <c r="DY27" s="3107"/>
      <c r="DZ27" s="3107"/>
      <c r="EA27" s="3107"/>
      <c r="EB27" s="3107"/>
    </row>
    <row r="28" spans="1:132" x14ac:dyDescent="0.25">
      <c r="A28" s="3578" t="s">
        <v>2673</v>
      </c>
      <c r="B28" s="2014">
        <f t="shared" ref="B28:C30" si="57">+D28+F28+H28+J28+L28+N28+P28+R28+T28+V28+X28+Z28+AB28+AD28+AF28+AH28+AJ28+AL28+AN28+AP28</f>
        <v>0</v>
      </c>
      <c r="C28" s="3331">
        <f t="shared" si="57"/>
        <v>0</v>
      </c>
      <c r="D28" s="5229"/>
      <c r="E28" s="5342"/>
      <c r="F28" s="5229"/>
      <c r="G28" s="5342"/>
      <c r="H28" s="5229"/>
      <c r="I28" s="5338"/>
      <c r="J28" s="3572"/>
      <c r="K28" s="3572"/>
      <c r="L28" s="5229"/>
      <c r="M28" s="5338"/>
      <c r="N28" s="3572"/>
      <c r="O28" s="5342"/>
      <c r="P28" s="5229"/>
      <c r="Q28" s="5342"/>
      <c r="R28" s="5229"/>
      <c r="S28" s="5342"/>
      <c r="T28" s="5229"/>
      <c r="U28" s="5342"/>
      <c r="V28" s="5229"/>
      <c r="W28" s="5342"/>
      <c r="X28" s="5229"/>
      <c r="Y28" s="5342"/>
      <c r="Z28" s="5229"/>
      <c r="AA28" s="5342"/>
      <c r="AB28" s="5229"/>
      <c r="AC28" s="5342"/>
      <c r="AD28" s="5229"/>
      <c r="AE28" s="5342"/>
      <c r="AF28" s="5229"/>
      <c r="AG28" s="5342"/>
      <c r="AH28" s="5229"/>
      <c r="AI28" s="5342"/>
      <c r="AJ28" s="5229"/>
      <c r="AK28" s="5342"/>
      <c r="AL28" s="5229"/>
      <c r="AM28" s="5342"/>
      <c r="AN28" s="5229"/>
      <c r="AO28" s="5342"/>
      <c r="AP28" s="5229"/>
      <c r="AQ28" s="5336"/>
      <c r="AR28" s="3572"/>
      <c r="AS28" s="5336"/>
      <c r="AT28" s="5337"/>
      <c r="AU28" s="5336"/>
      <c r="AV28" s="3572"/>
      <c r="AW28" s="5338"/>
      <c r="AX28" s="1755" t="str">
        <f>$CB28&amp;CC28&amp;CD28&amp;$CE28&amp;CK28&amp;CL28&amp;CM28&amp;CN28&amp;CO28&amp;CP28&amp;CQ28&amp;CR28&amp;CS28&amp;CT28&amp;CU28&amp;CV28&amp;CW28&amp;CX28&amp;CF28&amp;CG28&amp;CH28&amp;CI28&amp;CJ28</f>
        <v/>
      </c>
      <c r="CA28" s="603"/>
      <c r="CB28" s="2873" t="str">
        <f t="shared" si="39"/>
        <v/>
      </c>
      <c r="CC28" s="2873" t="str">
        <f t="shared" si="30"/>
        <v/>
      </c>
      <c r="CD28" s="2873" t="str">
        <f t="shared" si="31"/>
        <v/>
      </c>
      <c r="CE28" s="2873" t="str">
        <f t="shared" si="32"/>
        <v/>
      </c>
      <c r="CF28" s="2873" t="str">
        <f>IF(D28&lt;E28,CONCATENATE("* El total de Procesados debe ser mayor o igual al total de Reactivos en el grupo de edad ",$D$11),"")</f>
        <v/>
      </c>
      <c r="CG28" s="2873" t="str">
        <f>IF(F28&lt;G28,CONCATENATE("* El total de Procesados debe ser mayor o igual al total de Reactivos en el grupo de edad ",$F$11),"")</f>
        <v/>
      </c>
      <c r="CH28" s="2873" t="str">
        <f>IF(H28&lt;I28,CONCATENATE("* El total de Procesados debe ser mayor o igual al total de Reactivos en el grupo de edad ",$H$11),"")</f>
        <v/>
      </c>
      <c r="CI28" s="2873" t="str">
        <f>IF(J28&lt;K28,CONCATENATE("* El total de Procesados debe ser mayor o igual al total de Reactivos en el grupo de edad ",$J$11),"")</f>
        <v/>
      </c>
      <c r="CJ28" s="2873" t="str">
        <f>IF(L28&lt;M28,CONCATENATE("* El total de Procesados debe ser mayor o igual al total de Reactivos en el grupo de edad ",$L$11),"")</f>
        <v/>
      </c>
      <c r="CK28" s="2873" t="str">
        <f>IF(N28&lt;O28,CONCATENATE("* El total de Procesados debe ser mayor o igual al total de Reactivos en el grupo de edad ",$N$11),"")</f>
        <v/>
      </c>
      <c r="CL28" s="2873" t="str">
        <f t="shared" si="40"/>
        <v/>
      </c>
      <c r="CM28" s="2873" t="str">
        <f t="shared" si="41"/>
        <v/>
      </c>
      <c r="CN28" s="2873" t="str">
        <f t="shared" si="34"/>
        <v/>
      </c>
      <c r="CO28" s="2873" t="str">
        <f t="shared" si="42"/>
        <v/>
      </c>
      <c r="CP28" s="2873" t="str">
        <f t="shared" si="43"/>
        <v/>
      </c>
      <c r="CQ28" s="2873" t="str">
        <f t="shared" si="44"/>
        <v/>
      </c>
      <c r="CR28" s="2873" t="str">
        <f t="shared" si="45"/>
        <v/>
      </c>
      <c r="CS28" s="2873" t="str">
        <f t="shared" si="46"/>
        <v/>
      </c>
      <c r="CT28" s="2873" t="str">
        <f t="shared" si="47"/>
        <v/>
      </c>
      <c r="CU28" s="2873" t="str">
        <f>IF(AJ28&lt;AK28,CONCATENATE("* El total de Procesados debe ser mayor o igual al total de Reactivos en el grupo de edad ",$AJ$11),"")</f>
        <v/>
      </c>
      <c r="CV28" s="2873" t="str">
        <f>IF(AL28&lt;AM28,CONCATENATE("* El total de Procesados debe ser mayor o igual al total de Reactivos en el grupo de edad ",$AL$11),"")</f>
        <v/>
      </c>
      <c r="CW28" s="2873" t="str">
        <f>IF(AN28&lt;AO28,CONCATENATE("* El total de Procesados debe ser mayor o igual al total de Reactivos en el grupo de edad ",$AN$11),"")</f>
        <v/>
      </c>
      <c r="CX28" s="2873" t="str">
        <f>IF(AP28&lt;AQ28,CONCATENATE("* El total de Procesados debe ser mayor o igual al total de Reactivos en el grupo de edad ",$AP$11),"")</f>
        <v/>
      </c>
      <c r="DE28" s="2718"/>
      <c r="DF28" s="2873">
        <f t="shared" si="38"/>
        <v>0</v>
      </c>
      <c r="DG28" s="3009">
        <f t="shared" si="35"/>
        <v>0</v>
      </c>
      <c r="DH28" s="3009">
        <f t="shared" si="12"/>
        <v>0</v>
      </c>
      <c r="DI28" s="3009">
        <f t="shared" si="13"/>
        <v>0</v>
      </c>
      <c r="DJ28" s="3009">
        <f>IF(D28&lt;E28,1,0)</f>
        <v>0</v>
      </c>
      <c r="DK28" s="3009">
        <f>IF(F28&lt;G28,1,0)</f>
        <v>0</v>
      </c>
      <c r="DL28" s="3009">
        <f>IF(H28&lt;I28,1,0)</f>
        <v>0</v>
      </c>
      <c r="DM28" s="3009">
        <f>IF(J28&lt;K28,1,0)</f>
        <v>0</v>
      </c>
      <c r="DN28" s="3009">
        <f>IF(L28&lt;M28,1,0)</f>
        <v>0</v>
      </c>
      <c r="DO28" s="3009">
        <f>IF(N28&lt;O28,1,0)</f>
        <v>0</v>
      </c>
      <c r="DP28" s="3009">
        <f t="shared" si="48"/>
        <v>0</v>
      </c>
      <c r="DQ28" s="3009">
        <f t="shared" si="49"/>
        <v>0</v>
      </c>
      <c r="DR28" s="3009">
        <f t="shared" si="36"/>
        <v>0</v>
      </c>
      <c r="DS28" s="3009">
        <f t="shared" si="50"/>
        <v>0</v>
      </c>
      <c r="DT28" s="3009">
        <f t="shared" si="51"/>
        <v>0</v>
      </c>
      <c r="DU28" s="3009">
        <f t="shared" si="52"/>
        <v>0</v>
      </c>
      <c r="DV28" s="3009">
        <f t="shared" si="53"/>
        <v>0</v>
      </c>
      <c r="DW28" s="3009">
        <f t="shared" si="54"/>
        <v>0</v>
      </c>
      <c r="DX28" s="3009">
        <f t="shared" si="55"/>
        <v>0</v>
      </c>
      <c r="DY28" s="3009">
        <f>IF(AJ28&lt;AK28,1,0)</f>
        <v>0</v>
      </c>
      <c r="DZ28" s="3009">
        <f>IF(AL28&lt;AM28,1,0)</f>
        <v>0</v>
      </c>
      <c r="EA28" s="3009">
        <f>IF(AN28&lt;AO28,1,0)</f>
        <v>0</v>
      </c>
      <c r="EB28" s="3009">
        <f>IF(AP28&lt;AQ28,1,0)</f>
        <v>0</v>
      </c>
    </row>
    <row r="29" spans="1:132" x14ac:dyDescent="0.25">
      <c r="A29" s="3578" t="s">
        <v>2674</v>
      </c>
      <c r="B29" s="2014">
        <f t="shared" si="57"/>
        <v>0</v>
      </c>
      <c r="C29" s="3331">
        <f t="shared" si="57"/>
        <v>0</v>
      </c>
      <c r="D29" s="5229"/>
      <c r="E29" s="5342"/>
      <c r="F29" s="5229"/>
      <c r="G29" s="5342"/>
      <c r="H29" s="5229"/>
      <c r="I29" s="5338"/>
      <c r="J29" s="3572"/>
      <c r="K29" s="3572"/>
      <c r="L29" s="5229"/>
      <c r="M29" s="5338"/>
      <c r="N29" s="3572"/>
      <c r="O29" s="5342"/>
      <c r="P29" s="5229"/>
      <c r="Q29" s="5342"/>
      <c r="R29" s="5229"/>
      <c r="S29" s="5342"/>
      <c r="T29" s="5229"/>
      <c r="U29" s="5342"/>
      <c r="V29" s="5229"/>
      <c r="W29" s="5342"/>
      <c r="X29" s="5229"/>
      <c r="Y29" s="5342"/>
      <c r="Z29" s="5229"/>
      <c r="AA29" s="5342"/>
      <c r="AB29" s="5229"/>
      <c r="AC29" s="5342"/>
      <c r="AD29" s="5229"/>
      <c r="AE29" s="5342"/>
      <c r="AF29" s="5229"/>
      <c r="AG29" s="5342"/>
      <c r="AH29" s="5229"/>
      <c r="AI29" s="5342"/>
      <c r="AJ29" s="5229"/>
      <c r="AK29" s="5342"/>
      <c r="AL29" s="5229"/>
      <c r="AM29" s="5342"/>
      <c r="AN29" s="5229"/>
      <c r="AO29" s="5342"/>
      <c r="AP29" s="5229"/>
      <c r="AQ29" s="5336"/>
      <c r="AR29" s="3572"/>
      <c r="AS29" s="5336"/>
      <c r="AT29" s="5337"/>
      <c r="AU29" s="5336"/>
      <c r="AV29" s="3572"/>
      <c r="AW29" s="5338"/>
      <c r="AX29" s="1755" t="str">
        <f t="shared" ref="AX29:AX30" si="58">$CB29&amp;CC29&amp;CD29&amp;$CE29&amp;CK29&amp;CL29&amp;CM29&amp;CN29&amp;CO29&amp;CP29&amp;CQ29&amp;CR29&amp;CS29&amp;CT29&amp;CU29&amp;CV29&amp;CW29&amp;CX29&amp;CF29&amp;CG29&amp;CH29&amp;CI29&amp;CJ29</f>
        <v/>
      </c>
      <c r="CA29" s="603"/>
      <c r="CB29" s="2873" t="str">
        <f t="shared" si="39"/>
        <v/>
      </c>
      <c r="CC29" s="2873" t="str">
        <f t="shared" si="30"/>
        <v/>
      </c>
      <c r="CD29" s="2873" t="str">
        <f t="shared" si="31"/>
        <v/>
      </c>
      <c r="CE29" s="2873" t="str">
        <f t="shared" si="32"/>
        <v/>
      </c>
      <c r="CF29" s="2873" t="str">
        <f>IF(D29&lt;E29,CONCATENATE("* El total de Procesados debe ser mayor o igual al total de Reactivos en el grupo de edad ",$D$11),"")</f>
        <v/>
      </c>
      <c r="CG29" s="2873" t="str">
        <f>IF(F29&lt;G29,CONCATENATE("* El total de Procesados debe ser mayor o igual al total de Reactivos en el grupo de edad ",$F$11),"")</f>
        <v/>
      </c>
      <c r="CH29" s="2873" t="str">
        <f>IF(H29&lt;I29,CONCATENATE("* El total de Procesados debe ser mayor o igual al total de Reactivos en el grupo de edad ",$H$11),"")</f>
        <v/>
      </c>
      <c r="CI29" s="2873" t="str">
        <f>IF(J29&lt;K29,CONCATENATE("* El total de Procesados debe ser mayor o igual al total de Reactivos en el grupo de edad ",$J$11),"")</f>
        <v/>
      </c>
      <c r="CJ29" s="2873" t="str">
        <f>IF(L29&lt;M29,CONCATENATE("* El total de Procesados debe ser mayor o igual al total de Reactivos en el grupo de edad ",$L$11),"")</f>
        <v/>
      </c>
      <c r="CK29" s="2873" t="str">
        <f>IF(N29&lt;O29,CONCATENATE("* El total de Procesados debe ser mayor o igual al total de Reactivos en el grupo de edad ",$N$11),"")</f>
        <v/>
      </c>
      <c r="CL29" s="2873" t="str">
        <f t="shared" si="40"/>
        <v/>
      </c>
      <c r="CM29" s="2873" t="str">
        <f t="shared" si="41"/>
        <v/>
      </c>
      <c r="CN29" s="2873" t="str">
        <f t="shared" si="34"/>
        <v/>
      </c>
      <c r="CO29" s="2873" t="str">
        <f t="shared" si="42"/>
        <v/>
      </c>
      <c r="CP29" s="2873" t="str">
        <f t="shared" si="43"/>
        <v/>
      </c>
      <c r="CQ29" s="2873" t="str">
        <f t="shared" si="44"/>
        <v/>
      </c>
      <c r="CR29" s="2873" t="str">
        <f t="shared" si="45"/>
        <v/>
      </c>
      <c r="CS29" s="2873" t="str">
        <f t="shared" si="46"/>
        <v/>
      </c>
      <c r="CT29" s="2873" t="str">
        <f t="shared" si="47"/>
        <v/>
      </c>
      <c r="CU29" s="2873" t="str">
        <f>IF(AJ29&lt;AK29,CONCATENATE("* El total de Procesados debe ser mayor o igual al total de Reactivos en el grupo de edad ",$AJ$11),"")</f>
        <v/>
      </c>
      <c r="CV29" s="2873" t="str">
        <f>IF(AL29&lt;AM29,CONCATENATE("* El total de Procesados debe ser mayor o igual al total de Reactivos en el grupo de edad ",$AL$11),"")</f>
        <v/>
      </c>
      <c r="CW29" s="2873" t="str">
        <f>IF(AN29&lt;AO29,CONCATENATE("* El total de Procesados debe ser mayor o igual al total de Reactivos en el grupo de edad ",$AN$11),"")</f>
        <v/>
      </c>
      <c r="CX29" s="2873" t="str">
        <f>IF(AP29&lt;AQ29,CONCATENATE("* El total de Procesados debe ser mayor o igual al total de Reactivos en el grupo de edad ",$AP$11),"")</f>
        <v/>
      </c>
      <c r="DE29" s="2718"/>
      <c r="DF29" s="2873">
        <f t="shared" si="38"/>
        <v>0</v>
      </c>
      <c r="DG29" s="3009">
        <f t="shared" si="35"/>
        <v>0</v>
      </c>
      <c r="DH29" s="3009">
        <f t="shared" si="12"/>
        <v>0</v>
      </c>
      <c r="DI29" s="3009">
        <f t="shared" si="13"/>
        <v>0</v>
      </c>
      <c r="DJ29" s="3009">
        <f>IF(D29&lt;E29,1,0)</f>
        <v>0</v>
      </c>
      <c r="DK29" s="3009">
        <f>IF(F29&lt;G29,1,0)</f>
        <v>0</v>
      </c>
      <c r="DL29" s="3009">
        <f>IF(H29&lt;I29,1,0)</f>
        <v>0</v>
      </c>
      <c r="DM29" s="3009">
        <f t="shared" ref="DM29:DM30" si="59">IF(J29&lt;K29,1,0)</f>
        <v>0</v>
      </c>
      <c r="DN29" s="3009">
        <f>IF(L29&lt;M29,1,0)</f>
        <v>0</v>
      </c>
      <c r="DO29" s="3009">
        <f>IF(N29&lt;O29,1,0)</f>
        <v>0</v>
      </c>
      <c r="DP29" s="3009">
        <f t="shared" si="48"/>
        <v>0</v>
      </c>
      <c r="DQ29" s="3009">
        <f t="shared" si="49"/>
        <v>0</v>
      </c>
      <c r="DR29" s="3009">
        <f t="shared" si="36"/>
        <v>0</v>
      </c>
      <c r="DS29" s="3009">
        <f t="shared" si="50"/>
        <v>0</v>
      </c>
      <c r="DT29" s="3009">
        <f t="shared" si="51"/>
        <v>0</v>
      </c>
      <c r="DU29" s="3009">
        <f t="shared" si="52"/>
        <v>0</v>
      </c>
      <c r="DV29" s="3009">
        <f t="shared" si="53"/>
        <v>0</v>
      </c>
      <c r="DW29" s="3009">
        <f t="shared" si="54"/>
        <v>0</v>
      </c>
      <c r="DX29" s="3009">
        <f t="shared" si="55"/>
        <v>0</v>
      </c>
      <c r="DY29" s="3009">
        <f>IF(AJ29&lt;AK29,1,0)</f>
        <v>0</v>
      </c>
      <c r="DZ29" s="3009">
        <f>IF(AL29&lt;AM29,1,0)</f>
        <v>0</v>
      </c>
      <c r="EA29" s="3009">
        <f>IF(AN29&lt;AO29,1,0)</f>
        <v>0</v>
      </c>
      <c r="EB29" s="3009">
        <f>IF(AP29&lt;AQ29,1,0)</f>
        <v>0</v>
      </c>
    </row>
    <row r="30" spans="1:132" x14ac:dyDescent="0.25">
      <c r="A30" s="5348" t="s">
        <v>2675</v>
      </c>
      <c r="B30" s="5298">
        <f t="shared" si="57"/>
        <v>0</v>
      </c>
      <c r="C30" s="5299">
        <f t="shared" si="57"/>
        <v>0</v>
      </c>
      <c r="D30" s="3586"/>
      <c r="E30" s="3585"/>
      <c r="F30" s="3586"/>
      <c r="G30" s="3585"/>
      <c r="H30" s="3586"/>
      <c r="I30" s="3587"/>
      <c r="J30" s="288"/>
      <c r="K30" s="288"/>
      <c r="L30" s="3586"/>
      <c r="M30" s="3587"/>
      <c r="N30" s="288"/>
      <c r="O30" s="3585"/>
      <c r="P30" s="3586"/>
      <c r="Q30" s="3585"/>
      <c r="R30" s="3586"/>
      <c r="S30" s="3585"/>
      <c r="T30" s="3586"/>
      <c r="U30" s="3585"/>
      <c r="V30" s="3586"/>
      <c r="W30" s="3585"/>
      <c r="X30" s="3586"/>
      <c r="Y30" s="3585"/>
      <c r="Z30" s="3586"/>
      <c r="AA30" s="3585"/>
      <c r="AB30" s="3586"/>
      <c r="AC30" s="3585"/>
      <c r="AD30" s="3586"/>
      <c r="AE30" s="3585"/>
      <c r="AF30" s="3586"/>
      <c r="AG30" s="3585"/>
      <c r="AH30" s="3586"/>
      <c r="AI30" s="3585"/>
      <c r="AJ30" s="3586"/>
      <c r="AK30" s="3585"/>
      <c r="AL30" s="3586"/>
      <c r="AM30" s="3585"/>
      <c r="AN30" s="3586"/>
      <c r="AO30" s="3585"/>
      <c r="AP30" s="3586"/>
      <c r="AQ30" s="3588"/>
      <c r="AR30" s="288"/>
      <c r="AS30" s="3588"/>
      <c r="AT30" s="3589"/>
      <c r="AU30" s="3588"/>
      <c r="AV30" s="288"/>
      <c r="AW30" s="3587"/>
      <c r="AX30" s="1755" t="str">
        <f t="shared" si="58"/>
        <v/>
      </c>
      <c r="CA30" s="603"/>
      <c r="CB30" s="2873" t="str">
        <f t="shared" si="39"/>
        <v/>
      </c>
      <c r="CC30" s="2873" t="str">
        <f t="shared" si="30"/>
        <v/>
      </c>
      <c r="CD30" s="2873" t="str">
        <f t="shared" si="31"/>
        <v/>
      </c>
      <c r="CE30" s="2873" t="str">
        <f t="shared" si="32"/>
        <v/>
      </c>
      <c r="CF30" s="2873" t="str">
        <f>IF(D30&lt;E30,CONCATENATE("* El total de Procesados debe ser mayor o igual al total de Reactivos en el grupo de edad ",$D$11),"")</f>
        <v/>
      </c>
      <c r="CG30" s="2873" t="str">
        <f>IF(F30&lt;G30,CONCATENATE("* El total de Procesados debe ser mayor o igual al total de Reactivos en el grupo de edad ",$F$11),"")</f>
        <v/>
      </c>
      <c r="CH30" s="2873" t="str">
        <f>IF(H30&lt;I30,CONCATENATE("* El total de Procesados debe ser mayor o igual al total de Reactivos en el grupo de edad ",$H$11),"")</f>
        <v/>
      </c>
      <c r="CI30" s="2873" t="str">
        <f>IF(J30&lt;K30,CONCATENATE("* El total de Procesados debe ser mayor o igual al total de Reactivos en el grupo de edad ",$J$11),"")</f>
        <v/>
      </c>
      <c r="CJ30" s="2873" t="str">
        <f>IF(L30&lt;M30,CONCATENATE("* El total de Procesados debe ser mayor o igual al total de Reactivos en el grupo de edad ",$L$11),"")</f>
        <v/>
      </c>
      <c r="CK30" s="2873" t="str">
        <f>IF(N30&lt;O30,CONCATENATE("* El total de Procesados debe ser mayor o igual al total de Reactivos en el grupo de edad ",$N$11),"")</f>
        <v/>
      </c>
      <c r="CL30" s="2873" t="str">
        <f t="shared" si="40"/>
        <v/>
      </c>
      <c r="CM30" s="2873" t="str">
        <f t="shared" si="41"/>
        <v/>
      </c>
      <c r="CN30" s="2873" t="str">
        <f t="shared" si="34"/>
        <v/>
      </c>
      <c r="CO30" s="2873" t="str">
        <f t="shared" si="42"/>
        <v/>
      </c>
      <c r="CP30" s="2873" t="str">
        <f t="shared" si="43"/>
        <v/>
      </c>
      <c r="CQ30" s="2873" t="str">
        <f t="shared" si="44"/>
        <v/>
      </c>
      <c r="CR30" s="2873" t="str">
        <f t="shared" si="45"/>
        <v/>
      </c>
      <c r="CS30" s="2873" t="str">
        <f t="shared" si="46"/>
        <v/>
      </c>
      <c r="CT30" s="2873" t="str">
        <f t="shared" si="47"/>
        <v/>
      </c>
      <c r="CU30" s="2873" t="str">
        <f>IF(AJ30&lt;AK30,CONCATENATE("* El total de Procesados debe ser mayor o igual al total de Reactivos en el grupo de edad ",$AJ$11),"")</f>
        <v/>
      </c>
      <c r="CV30" s="2873" t="str">
        <f>IF(AL30&lt;AM30,CONCATENATE("* El total de Procesados debe ser mayor o igual al total de Reactivos en el grupo de edad ",$AL$11),"")</f>
        <v/>
      </c>
      <c r="CW30" s="2873" t="str">
        <f>IF(AN30&lt;AO30,CONCATENATE("* El total de Procesados debe ser mayor o igual al total de Reactivos en el grupo de edad ",$AN$11),"")</f>
        <v/>
      </c>
      <c r="CX30" s="2873" t="str">
        <f>IF(AP30&lt;AQ30,CONCATENATE("* El total de Procesados debe ser mayor o igual al total de Reactivos en el grupo de edad ",$AP$11),"")</f>
        <v/>
      </c>
      <c r="DE30" s="2718"/>
      <c r="DF30" s="2873">
        <f t="shared" si="38"/>
        <v>0</v>
      </c>
      <c r="DG30" s="3009">
        <f t="shared" si="35"/>
        <v>0</v>
      </c>
      <c r="DH30" s="3009">
        <f t="shared" si="12"/>
        <v>0</v>
      </c>
      <c r="DI30" s="3009">
        <f t="shared" si="13"/>
        <v>0</v>
      </c>
      <c r="DJ30" s="3009">
        <f>IF(D30&lt;E30,1,0)</f>
        <v>0</v>
      </c>
      <c r="DK30" s="3009">
        <f>IF(F30&lt;G30,1,0)</f>
        <v>0</v>
      </c>
      <c r="DL30" s="3009">
        <f>IF(H30&lt;I30,1,0)</f>
        <v>0</v>
      </c>
      <c r="DM30" s="3009">
        <f t="shared" si="59"/>
        <v>0</v>
      </c>
      <c r="DN30" s="3009">
        <f>IF(L30&lt;M30,1,0)</f>
        <v>0</v>
      </c>
      <c r="DO30" s="3009">
        <f>IF(N30&lt;O30,1,0)</f>
        <v>0</v>
      </c>
      <c r="DP30" s="3009">
        <f t="shared" si="48"/>
        <v>0</v>
      </c>
      <c r="DQ30" s="3009">
        <f t="shared" si="49"/>
        <v>0</v>
      </c>
      <c r="DR30" s="3009">
        <f t="shared" si="36"/>
        <v>0</v>
      </c>
      <c r="DS30" s="3009">
        <f t="shared" si="50"/>
        <v>0</v>
      </c>
      <c r="DT30" s="3009">
        <f t="shared" si="51"/>
        <v>0</v>
      </c>
      <c r="DU30" s="3009">
        <f t="shared" si="52"/>
        <v>0</v>
      </c>
      <c r="DV30" s="3009">
        <f t="shared" si="53"/>
        <v>0</v>
      </c>
      <c r="DW30" s="3009">
        <f t="shared" si="54"/>
        <v>0</v>
      </c>
      <c r="DX30" s="3009">
        <f t="shared" si="55"/>
        <v>0</v>
      </c>
      <c r="DY30" s="3009">
        <f>IF(AJ30&lt;AK30,1,0)</f>
        <v>0</v>
      </c>
      <c r="DZ30" s="3009">
        <f>IF(AL30&lt;AM30,1,0)</f>
        <v>0</v>
      </c>
      <c r="EA30" s="3009">
        <f>IF(AN30&lt;AO30,1,0)</f>
        <v>0</v>
      </c>
      <c r="EB30" s="3009">
        <f>IF(AP30&lt;AQ30,1,0)</f>
        <v>0</v>
      </c>
    </row>
    <row r="31" spans="1:132" ht="18" customHeight="1" x14ac:dyDescent="0.25">
      <c r="A31" s="5349" t="s">
        <v>2676</v>
      </c>
      <c r="B31" s="5349"/>
      <c r="C31" s="5349"/>
      <c r="D31" s="5349"/>
      <c r="E31" s="5349"/>
      <c r="F31" s="5349"/>
      <c r="G31" s="5349"/>
      <c r="H31" s="5349"/>
      <c r="I31" s="5349"/>
      <c r="J31" s="5349"/>
      <c r="K31" s="5349"/>
      <c r="L31" s="5349"/>
      <c r="M31" s="5349"/>
      <c r="N31" s="5349"/>
      <c r="O31" s="5349"/>
      <c r="P31" s="5349"/>
      <c r="Q31" s="5349"/>
      <c r="R31" s="5349"/>
      <c r="S31" s="5349"/>
      <c r="T31" s="5349"/>
      <c r="U31" s="5349"/>
      <c r="V31" s="5349"/>
      <c r="W31" s="5349"/>
      <c r="X31" s="5349"/>
      <c r="Y31" s="5349"/>
      <c r="Z31" s="5349"/>
      <c r="AA31" s="5349"/>
      <c r="AB31" s="5349"/>
      <c r="AC31" s="5349"/>
      <c r="AD31" s="5349"/>
      <c r="AE31" s="5349"/>
      <c r="AF31" s="5349"/>
      <c r="AG31" s="5349"/>
      <c r="AH31" s="5349"/>
      <c r="AI31" s="5349"/>
      <c r="AJ31" s="5349"/>
      <c r="AK31" s="5349"/>
      <c r="AL31" s="5349"/>
      <c r="AM31" s="5349"/>
      <c r="AN31" s="5349"/>
      <c r="AO31" s="5349"/>
      <c r="AP31" s="5349"/>
      <c r="AQ31" s="5349"/>
      <c r="AR31" s="603"/>
      <c r="AS31" s="603"/>
      <c r="AT31" s="603"/>
      <c r="AU31" s="603"/>
      <c r="AV31" s="603"/>
      <c r="AW31" s="603"/>
    </row>
    <row r="32" spans="1:132" x14ac:dyDescent="0.25">
      <c r="A32" s="7745" t="s">
        <v>2654</v>
      </c>
      <c r="B32" s="7728" t="s">
        <v>24</v>
      </c>
      <c r="C32" s="7729"/>
      <c r="D32" s="7740" t="s">
        <v>12</v>
      </c>
      <c r="E32" s="7741"/>
      <c r="F32" s="7741"/>
      <c r="G32" s="7741"/>
      <c r="H32" s="7741"/>
      <c r="I32" s="7741"/>
      <c r="J32" s="7741"/>
      <c r="K32" s="7741"/>
      <c r="L32" s="7741"/>
      <c r="M32" s="7741"/>
      <c r="N32" s="7741"/>
      <c r="O32" s="7741"/>
      <c r="P32" s="7741"/>
      <c r="Q32" s="7741"/>
      <c r="R32" s="7741"/>
      <c r="S32" s="7741"/>
      <c r="T32" s="7741"/>
      <c r="U32" s="7741"/>
      <c r="V32" s="7741"/>
      <c r="W32" s="7741"/>
      <c r="X32" s="7741"/>
      <c r="Y32" s="7741"/>
      <c r="Z32" s="7741"/>
      <c r="AA32" s="7741"/>
      <c r="AB32" s="7741"/>
      <c r="AC32" s="7741"/>
      <c r="AD32" s="7741"/>
      <c r="AE32" s="7741"/>
      <c r="AF32" s="7741"/>
      <c r="AG32" s="7741"/>
      <c r="AH32" s="7741"/>
      <c r="AI32" s="7741"/>
      <c r="AJ32" s="7741"/>
      <c r="AK32" s="7741"/>
      <c r="AL32" s="7741"/>
      <c r="AM32" s="7741"/>
      <c r="AN32" s="7741"/>
      <c r="AO32" s="7741"/>
      <c r="AP32" s="7741"/>
      <c r="AQ32" s="7752"/>
      <c r="AR32" s="7748" t="s">
        <v>2655</v>
      </c>
      <c r="AS32" s="7751"/>
      <c r="AT32" s="7746" t="s">
        <v>48</v>
      </c>
      <c r="AU32" s="7722"/>
      <c r="AV32" s="7670" t="s">
        <v>2</v>
      </c>
      <c r="AW32" s="7672" t="s">
        <v>3</v>
      </c>
    </row>
    <row r="33" spans="1:132" x14ac:dyDescent="0.25">
      <c r="A33" s="7151"/>
      <c r="B33" s="7292"/>
      <c r="C33" s="7293"/>
      <c r="D33" s="7743" t="s">
        <v>3777</v>
      </c>
      <c r="E33" s="7748"/>
      <c r="F33" s="7743" t="s">
        <v>3705</v>
      </c>
      <c r="G33" s="7748"/>
      <c r="H33" s="7743" t="s">
        <v>54</v>
      </c>
      <c r="I33" s="7744"/>
      <c r="J33" s="7748" t="s">
        <v>3704</v>
      </c>
      <c r="K33" s="7748"/>
      <c r="L33" s="7743" t="s">
        <v>37</v>
      </c>
      <c r="M33" s="7748"/>
      <c r="N33" s="7743" t="s">
        <v>38</v>
      </c>
      <c r="O33" s="7748"/>
      <c r="P33" s="7743" t="s">
        <v>4</v>
      </c>
      <c r="Q33" s="7748"/>
      <c r="R33" s="7743" t="s">
        <v>5</v>
      </c>
      <c r="S33" s="7748"/>
      <c r="T33" s="7743" t="s">
        <v>6</v>
      </c>
      <c r="U33" s="7744"/>
      <c r="V33" s="7743" t="s">
        <v>7</v>
      </c>
      <c r="W33" s="7744"/>
      <c r="X33" s="7743" t="s">
        <v>8</v>
      </c>
      <c r="Y33" s="7744"/>
      <c r="Z33" s="7743" t="s">
        <v>9</v>
      </c>
      <c r="AA33" s="7744"/>
      <c r="AB33" s="7743" t="s">
        <v>10</v>
      </c>
      <c r="AC33" s="7744"/>
      <c r="AD33" s="7743" t="s">
        <v>11</v>
      </c>
      <c r="AE33" s="7744"/>
      <c r="AF33" s="7743" t="s">
        <v>18</v>
      </c>
      <c r="AG33" s="7744"/>
      <c r="AH33" s="7743" t="s">
        <v>19</v>
      </c>
      <c r="AI33" s="7744"/>
      <c r="AJ33" s="7743" t="s">
        <v>20</v>
      </c>
      <c r="AK33" s="7744"/>
      <c r="AL33" s="7743" t="s">
        <v>70</v>
      </c>
      <c r="AM33" s="7744"/>
      <c r="AN33" s="7743" t="s">
        <v>71</v>
      </c>
      <c r="AO33" s="7744"/>
      <c r="AP33" s="7743" t="s">
        <v>32</v>
      </c>
      <c r="AQ33" s="7751"/>
      <c r="AR33" s="7670" t="s">
        <v>22</v>
      </c>
      <c r="AS33" s="7749" t="s">
        <v>27</v>
      </c>
      <c r="AT33" s="7723"/>
      <c r="AU33" s="7724"/>
      <c r="AV33" s="7747"/>
      <c r="AW33" s="6472"/>
    </row>
    <row r="34" spans="1:132" x14ac:dyDescent="0.25">
      <c r="A34" s="7150"/>
      <c r="B34" s="5327" t="s">
        <v>2656</v>
      </c>
      <c r="C34" s="5326" t="s">
        <v>2657</v>
      </c>
      <c r="D34" s="5324" t="s">
        <v>2656</v>
      </c>
      <c r="E34" s="5325" t="s">
        <v>2657</v>
      </c>
      <c r="F34" s="5324" t="s">
        <v>2656</v>
      </c>
      <c r="G34" s="5325" t="s">
        <v>2657</v>
      </c>
      <c r="H34" s="5324" t="s">
        <v>2656</v>
      </c>
      <c r="I34" s="5326" t="s">
        <v>2657</v>
      </c>
      <c r="J34" s="5327" t="s">
        <v>2656</v>
      </c>
      <c r="K34" s="5325" t="s">
        <v>2657</v>
      </c>
      <c r="L34" s="5324" t="s">
        <v>2656</v>
      </c>
      <c r="M34" s="5325" t="s">
        <v>2657</v>
      </c>
      <c r="N34" s="5324" t="s">
        <v>2656</v>
      </c>
      <c r="O34" s="5325" t="s">
        <v>2657</v>
      </c>
      <c r="P34" s="5324" t="s">
        <v>2656</v>
      </c>
      <c r="Q34" s="5325" t="s">
        <v>2657</v>
      </c>
      <c r="R34" s="5324" t="s">
        <v>2656</v>
      </c>
      <c r="S34" s="5325" t="s">
        <v>2657</v>
      </c>
      <c r="T34" s="5324" t="s">
        <v>2656</v>
      </c>
      <c r="U34" s="5325" t="s">
        <v>2657</v>
      </c>
      <c r="V34" s="5324" t="s">
        <v>2656</v>
      </c>
      <c r="W34" s="5325" t="s">
        <v>2657</v>
      </c>
      <c r="X34" s="5324" t="s">
        <v>2656</v>
      </c>
      <c r="Y34" s="5325" t="s">
        <v>2657</v>
      </c>
      <c r="Z34" s="5324" t="s">
        <v>2656</v>
      </c>
      <c r="AA34" s="5325" t="s">
        <v>2657</v>
      </c>
      <c r="AB34" s="5324" t="s">
        <v>2656</v>
      </c>
      <c r="AC34" s="5325" t="s">
        <v>2657</v>
      </c>
      <c r="AD34" s="5324" t="s">
        <v>2656</v>
      </c>
      <c r="AE34" s="5325" t="s">
        <v>2657</v>
      </c>
      <c r="AF34" s="5324" t="s">
        <v>2656</v>
      </c>
      <c r="AG34" s="5325" t="s">
        <v>2657</v>
      </c>
      <c r="AH34" s="5324" t="s">
        <v>2656</v>
      </c>
      <c r="AI34" s="5325" t="s">
        <v>2657</v>
      </c>
      <c r="AJ34" s="5324" t="s">
        <v>2656</v>
      </c>
      <c r="AK34" s="5325" t="s">
        <v>2657</v>
      </c>
      <c r="AL34" s="5324" t="s">
        <v>2656</v>
      </c>
      <c r="AM34" s="5325" t="s">
        <v>2657</v>
      </c>
      <c r="AN34" s="5324" t="s">
        <v>2656</v>
      </c>
      <c r="AO34" s="5325" t="s">
        <v>2657</v>
      </c>
      <c r="AP34" s="5324" t="s">
        <v>2656</v>
      </c>
      <c r="AQ34" s="5328" t="s">
        <v>2657</v>
      </c>
      <c r="AR34" s="7671"/>
      <c r="AS34" s="7750"/>
      <c r="AT34" s="4991" t="s">
        <v>41</v>
      </c>
      <c r="AU34" s="5329" t="s">
        <v>42</v>
      </c>
      <c r="AV34" s="7671"/>
      <c r="AW34" s="7287"/>
    </row>
    <row r="35" spans="1:132" x14ac:dyDescent="0.25">
      <c r="A35" s="5350" t="s">
        <v>2658</v>
      </c>
      <c r="B35" s="5331">
        <f>+N35+P35+R35+T35+V35+X35+Z35+AB35+AD35+AF35+AH35+AJ35+AL35+AN35+AP35</f>
        <v>0</v>
      </c>
      <c r="C35" s="5332">
        <f t="shared" ref="B35:C42" si="60">+O35+Q35+S35+U35+W35+Y35+AA35+AC35+AE35+AG35+AI35+AK35+AM35+AO35+AQ35</f>
        <v>0</v>
      </c>
      <c r="D35" s="3568"/>
      <c r="E35" s="5340"/>
      <c r="F35" s="5339"/>
      <c r="G35" s="5340"/>
      <c r="H35" s="5339"/>
      <c r="I35" s="5340"/>
      <c r="J35" s="5339"/>
      <c r="K35" s="5340"/>
      <c r="L35" s="5339"/>
      <c r="M35" s="5341"/>
      <c r="N35" s="3572"/>
      <c r="O35" s="5342"/>
      <c r="P35" s="5229"/>
      <c r="Q35" s="5342"/>
      <c r="R35" s="5229"/>
      <c r="S35" s="5342"/>
      <c r="T35" s="5229"/>
      <c r="U35" s="5342"/>
      <c r="V35" s="5229"/>
      <c r="W35" s="5342"/>
      <c r="X35" s="5229"/>
      <c r="Y35" s="5342"/>
      <c r="Z35" s="5229"/>
      <c r="AA35" s="5342"/>
      <c r="AB35" s="5229"/>
      <c r="AC35" s="5342"/>
      <c r="AD35" s="5229"/>
      <c r="AE35" s="5342"/>
      <c r="AF35" s="5229"/>
      <c r="AG35" s="5342"/>
      <c r="AH35" s="5229"/>
      <c r="AI35" s="5342"/>
      <c r="AJ35" s="5229"/>
      <c r="AK35" s="5342"/>
      <c r="AL35" s="5229"/>
      <c r="AM35" s="5342"/>
      <c r="AN35" s="5229"/>
      <c r="AO35" s="5342"/>
      <c r="AP35" s="5229"/>
      <c r="AQ35" s="5336"/>
      <c r="AR35" s="3576"/>
      <c r="AS35" s="5336"/>
      <c r="AT35" s="5337"/>
      <c r="AU35" s="5336"/>
      <c r="AV35" s="3572"/>
      <c r="AW35" s="5338"/>
      <c r="AX35" s="1755" t="str">
        <f>$CB35&amp;CC35&amp;CD35&amp;$CE35&amp;CK35&amp;CL35&amp;CM35&amp;CN35&amp;CO35&amp;CP35&amp;CQ35&amp;CR35&amp;CS35&amp;CT35&amp;CU35&amp;CV35&amp;CW35&amp;CX35</f>
        <v/>
      </c>
      <c r="CA35" s="603"/>
      <c r="CB35" s="4928" t="str">
        <f>IF(B35&lt;&gt;(AS35)," * La suma de las columnas "&amp;AR$10&amp;""&amp;" DEBE SER IGUAL a los Exámenes Procesados. ","")</f>
        <v/>
      </c>
      <c r="CC35" s="2873" t="str">
        <f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D35" s="2873" t="str">
        <f>IF(AND($B35&gt;0,AV35=""),"* No olvide ingresar la columna "&amp;AV$10&amp;""&amp;" *(Digite CERO si no tiene). ",IF(AV35&gt;$B35," *El Número de "&amp;AV$10&amp;""&amp;" no puede superar el Total Procesados. ",""))</f>
        <v/>
      </c>
      <c r="CE35" s="2873" t="str">
        <f>IF(AND($B35&gt;0,AW35=""),"* No olvide ingresar la columna "&amp;AW$10&amp;""&amp;" *(Digite CERO si no tiene). ",IF(AW35&gt;$B35," *El Número de "&amp;AW$10&amp;""&amp;" no puede superar el Total Procesados. ",""))</f>
        <v/>
      </c>
      <c r="CF35" s="3107"/>
      <c r="CG35" s="3107"/>
      <c r="CH35" s="3107"/>
      <c r="CI35" s="3107"/>
      <c r="CJ35" s="3107"/>
      <c r="CK35" s="2873" t="str">
        <f>IF(N35&lt;O35,CONCATENATE("* El total de Procesados debe ser mayor o igual al total de Reactivos en el grupo de edad ",$N$11),"")</f>
        <v/>
      </c>
      <c r="CL35" s="2873" t="str">
        <f>IF(P35&lt;Q35,CONCATENATE("* El total de Procesados debe ser mayor o igual al total de Reactivos en el grupo de edad ",$P$11),"")</f>
        <v/>
      </c>
      <c r="CM35" s="2873" t="str">
        <f>IF(R35&lt;S35,CONCATENATE("* El total de Procesados debe ser mayor o igual al total de Reactivos en el grupo de edad ",$R$11),"")</f>
        <v/>
      </c>
      <c r="CN35" s="2873" t="str">
        <f>IF($T35&lt;$U35,CONCATENATE("* El total de Procesados debe ser mayor o igual al total de Reactivos en el grupo de edad ",$T$11),"")</f>
        <v/>
      </c>
      <c r="CO35" s="2873" t="str">
        <f>IF(V35&lt;W35,CONCATENATE("* El total de Procesados debe ser mayor o igual al total de Reactivos en el grupo de edad ",$V$11),"")</f>
        <v/>
      </c>
      <c r="CP35" s="2873" t="str">
        <f>IF(X35&lt;Y35,CONCATENATE("* El total de Procesados debe ser mayor o igual al total de Reactivos en el grupo de edad ",$X$11),"")</f>
        <v/>
      </c>
      <c r="CQ35" s="2873" t="str">
        <f>IF(Z35&lt;AA35,CONCATENATE("* El total de Procesados debe ser mayor o igual al total de Reactivos en el grupo de edad ",$Z$11),"")</f>
        <v/>
      </c>
      <c r="CR35" s="2873" t="str">
        <f>IF(AD35&lt;AE35,CONCATENATE("* El total de Procesados debe ser mayor o igual al total de Reactivos en el grupo de edad ",$AD$11),"")</f>
        <v/>
      </c>
      <c r="CS35" s="2873" t="str">
        <f>IF(AF35&lt;AG35,CONCATENATE("* El total de Procesados debe ser mayor o igual al total de Reactivos en el grupo de edad ",$AF$11),"")</f>
        <v/>
      </c>
      <c r="CT35" s="2873" t="str">
        <f>IF(AH35&lt;AI35,CONCATENATE("* El total de Procesados debe ser mayor o igual al total de Reactivos en el grupo de edad ",$AH$11),"")</f>
        <v/>
      </c>
      <c r="CU35" s="2873" t="str">
        <f>IF(AJ35&lt;AK35,CONCATENATE("* El total de Procesados debe ser mayor o igual al total de Reactivos en el grupo de edad ",$AJ$11),"")</f>
        <v/>
      </c>
      <c r="CV35" s="2873" t="str">
        <f>IF(AL35&lt;AM35,CONCATENATE("* El total de Procesados debe ser mayor o igual al total de Reactivos en el grupo de edad ",$AL$11),"")</f>
        <v/>
      </c>
      <c r="CW35" s="2873" t="str">
        <f>IF(AN35&lt;AO35,CONCATENATE("* El total de Procesados debe ser mayor o igual al total de Reactivos en el grupo de edad ",$AN$11),"")</f>
        <v/>
      </c>
      <c r="CX35" s="2873" t="str">
        <f>IF(AP35&lt;AQ35,CONCATENATE("* El total de Procesados debe ser mayor o igual al total de Reactivos en el grupo de edad ",$AP$11),"")</f>
        <v/>
      </c>
      <c r="DE35" s="2718"/>
      <c r="DF35" s="4928">
        <f>IF(B35&lt;&gt;(AS35),1,0)</f>
        <v>0</v>
      </c>
      <c r="DG35" s="3009">
        <f>IF(AND($B35&gt;0,AND(AT35="",AU35="")),1,IF((AT35+AU35)&gt;$B35,1,0))</f>
        <v>0</v>
      </c>
      <c r="DH35" s="3009">
        <f>IF(AND($B35&gt;0,AV35=""),1,IF(AV35&gt;$B35,1,0))</f>
        <v>0</v>
      </c>
      <c r="DI35" s="3009">
        <f>IF(AND($B35&gt;0,AW35=""),1,IF(AW35&gt;$B35,1,0))</f>
        <v>0</v>
      </c>
      <c r="DJ35" s="3107"/>
      <c r="DK35" s="3107"/>
      <c r="DL35" s="3107"/>
      <c r="DM35" s="3107"/>
      <c r="DN35" s="3107"/>
      <c r="DO35" s="3009">
        <f>IF(N35&lt;O35,1,0)</f>
        <v>0</v>
      </c>
      <c r="DP35" s="3009">
        <f>IF(P35&lt;Q35,1,0)</f>
        <v>0</v>
      </c>
      <c r="DQ35" s="3009">
        <f>IF(R35&lt;S35,1,0)</f>
        <v>0</v>
      </c>
      <c r="DR35" s="3009">
        <f>IF($T35&lt;$U35,1,0)</f>
        <v>0</v>
      </c>
      <c r="DS35" s="3009">
        <f>IF(V35&lt;W35,1,0)</f>
        <v>0</v>
      </c>
      <c r="DT35" s="3009">
        <f>IF(X35&lt;Y35,1,0)</f>
        <v>0</v>
      </c>
      <c r="DU35" s="3009">
        <f>IF(Z35&lt;AA35,1,0)</f>
        <v>0</v>
      </c>
      <c r="DV35" s="3009">
        <f>IF(AD35&lt;AE35,1,0)</f>
        <v>0</v>
      </c>
      <c r="DW35" s="3009">
        <f>IF(AF35&lt;AG35,1,0)</f>
        <v>0</v>
      </c>
      <c r="DX35" s="3009">
        <f>IF(AH35&lt;AI35,1,0)</f>
        <v>0</v>
      </c>
      <c r="DY35" s="3009">
        <f>IF(AJ35&lt;AK35,1,0)</f>
        <v>0</v>
      </c>
      <c r="DZ35" s="3009">
        <f>IF(AL35&lt;AM35,1,0)</f>
        <v>0</v>
      </c>
      <c r="EA35" s="3009">
        <f>IF(AN35&lt;AO35,1,0)</f>
        <v>0</v>
      </c>
      <c r="EB35" s="3009">
        <f>IF(AP35&lt;AQ35,1,0)</f>
        <v>0</v>
      </c>
    </row>
    <row r="36" spans="1:132" x14ac:dyDescent="0.25">
      <c r="A36" s="3273" t="s">
        <v>2659</v>
      </c>
      <c r="B36" s="2014">
        <f t="shared" si="60"/>
        <v>0</v>
      </c>
      <c r="C36" s="3331">
        <f t="shared" si="60"/>
        <v>0</v>
      </c>
      <c r="D36" s="3568"/>
      <c r="E36" s="5340"/>
      <c r="F36" s="5339"/>
      <c r="G36" s="5340"/>
      <c r="H36" s="5339"/>
      <c r="I36" s="5340"/>
      <c r="J36" s="5339"/>
      <c r="K36" s="5340"/>
      <c r="L36" s="5339"/>
      <c r="M36" s="5341"/>
      <c r="N36" s="3572"/>
      <c r="O36" s="5342"/>
      <c r="P36" s="5229"/>
      <c r="Q36" s="5342"/>
      <c r="R36" s="5229"/>
      <c r="S36" s="5342"/>
      <c r="T36" s="5229"/>
      <c r="U36" s="5342"/>
      <c r="V36" s="5229"/>
      <c r="W36" s="5342"/>
      <c r="X36" s="5229"/>
      <c r="Y36" s="5342"/>
      <c r="Z36" s="5229"/>
      <c r="AA36" s="5342"/>
      <c r="AB36" s="5229"/>
      <c r="AC36" s="5342"/>
      <c r="AD36" s="5229"/>
      <c r="AE36" s="5342"/>
      <c r="AF36" s="5229"/>
      <c r="AG36" s="5342"/>
      <c r="AH36" s="5229"/>
      <c r="AI36" s="5342"/>
      <c r="AJ36" s="5229"/>
      <c r="AK36" s="5342"/>
      <c r="AL36" s="5229"/>
      <c r="AM36" s="5342"/>
      <c r="AN36" s="5229"/>
      <c r="AO36" s="5342"/>
      <c r="AP36" s="5229"/>
      <c r="AQ36" s="5336"/>
      <c r="AR36" s="3576"/>
      <c r="AS36" s="5336"/>
      <c r="AT36" s="5337"/>
      <c r="AU36" s="5336"/>
      <c r="AV36" s="3572"/>
      <c r="AW36" s="5338"/>
      <c r="AX36" s="1755" t="str">
        <f t="shared" ref="AX36:AX39" si="61">$CB36&amp;CC36&amp;CD36&amp;$CE36&amp;CK36&amp;CL36&amp;CM36&amp;CN36&amp;CO36&amp;CP36&amp;CQ36&amp;CR36&amp;CS36&amp;CT36&amp;CU36&amp;CV36&amp;CW36&amp;CX36</f>
        <v/>
      </c>
      <c r="CA36" s="603"/>
      <c r="CB36" s="4928" t="str">
        <f t="shared" ref="CB36:CB39" si="62">IF(B36&lt;&gt;(AS36)," * La suma de las columnas "&amp;AR$10&amp;""&amp;" DEBE SER IGUAL a los Exámenes Procesados. ","")</f>
        <v/>
      </c>
      <c r="CC36" s="2873" t="str">
        <f t="shared" ref="CC36:CC52" si="63">IF(AND($B36&gt;0,AND(AT36="",AU36="")),"* No olvide ingresar las columnas Trans Masculino o Femenino (*Digite CERO si no tiene). ",IF((AT36+AU36)&gt;$B36,"* El Número de Trans Masculino o Femenino no puede superar el Total Procesados. ",""))</f>
        <v/>
      </c>
      <c r="CD36" s="2873" t="str">
        <f t="shared" ref="CD36:CD52" si="64">IF(AND($B36&gt;0,AV36=""),"* No olvide ingresar la columna "&amp;AV$10&amp;""&amp;" *(Digite CERO si no tiene). ",IF(AV36&gt;$B36," *El Número de "&amp;AV$10&amp;""&amp;" no puede superar el Total Procesados. ",""))</f>
        <v/>
      </c>
      <c r="CE36" s="2873" t="str">
        <f t="shared" ref="CE36:CE52" si="65">IF(AND($B36&gt;0,AW36=""),"* No olvide ingresar la columna "&amp;AW$10&amp;""&amp;" *(Digite CERO si no tiene). ",IF(AW36&gt;$B36," *El Número de "&amp;AW$10&amp;""&amp;" no puede superar el Total Procesados. ",""))</f>
        <v/>
      </c>
      <c r="CF36" s="3107"/>
      <c r="CG36" s="3107"/>
      <c r="CH36" s="3107"/>
      <c r="CI36" s="3107"/>
      <c r="CJ36" s="3107"/>
      <c r="CK36" s="2873" t="str">
        <f t="shared" ref="CK36:CK39" si="66">IF(N36&lt;O36,CONCATENATE("* El total de Procesados debe ser mayor o igual al total de Reactivos en el grupo de edad ",$N$11),"")</f>
        <v/>
      </c>
      <c r="CL36" s="2873" t="str">
        <f t="shared" ref="CL36:CL41" si="67">IF(P36&lt;Q36,CONCATENATE("* El total de Procesados debe ser mayor o igual al total de Reactivos en el grupo de edad ",$P$11),"")</f>
        <v/>
      </c>
      <c r="CM36" s="2873" t="str">
        <f t="shared" ref="CM36:CM43" si="68">IF(R36&lt;S36,CONCATENATE("* El total de Procesados debe ser mayor o igual al total de Reactivos en el grupo de edad ",$R$11),"")</f>
        <v/>
      </c>
      <c r="CN36" s="2873" t="str">
        <f t="shared" ref="CN36:CN52" si="69">IF($T36&lt;$U36,CONCATENATE("* El total de Procesados debe ser mayor o igual al total de Reactivos en el grupo de edad ",$T$11),"")</f>
        <v/>
      </c>
      <c r="CO36" s="2873" t="str">
        <f t="shared" ref="CO36:CO43" si="70">IF(V36&lt;W36,CONCATENATE("* El total de Procesados debe ser mayor o igual al total de Reactivos en el grupo de edad ",$V$11),"")</f>
        <v/>
      </c>
      <c r="CP36" s="2873" t="str">
        <f t="shared" ref="CP36:CP43" si="71">IF(X36&lt;Y36,CONCATENATE("* El total de Procesados debe ser mayor o igual al total de Reactivos en el grupo de edad ",$X$11),"")</f>
        <v/>
      </c>
      <c r="CQ36" s="2873" t="str">
        <f t="shared" ref="CQ36:CQ43" si="72">IF(Z36&lt;AA36,CONCATENATE("* El total de Procesados debe ser mayor o igual al total de Reactivos en el grupo de edad ",$Z$11),"")</f>
        <v/>
      </c>
      <c r="CR36" s="2873" t="str">
        <f t="shared" ref="CR36:CR43" si="73">IF(AD36&lt;AE36,CONCATENATE("* El total de Procesados debe ser mayor o igual al total de Reactivos en el grupo de edad ",$AD$11),"")</f>
        <v/>
      </c>
      <c r="CS36" s="2873" t="str">
        <f t="shared" ref="CS36:CS43" si="74">IF(AF36&lt;AG36,CONCATENATE("* El total de Procesados debe ser mayor o igual al total de Reactivos en el grupo de edad ",$AF$11),"")</f>
        <v/>
      </c>
      <c r="CT36" s="2873" t="str">
        <f t="shared" ref="CT36:CT43" si="75">IF(AH36&lt;AI36,CONCATENATE("* El total de Procesados debe ser mayor o igual al total de Reactivos en el grupo de edad ",$AH$11),"")</f>
        <v/>
      </c>
      <c r="CU36" s="2873" t="str">
        <f t="shared" ref="CU36:CU43" si="76">IF(AJ36&lt;AK36,CONCATENATE("* El total de Procesados debe ser mayor o igual al total de Reactivos en el grupo de edad ",$AJ$11),"")</f>
        <v/>
      </c>
      <c r="CV36" s="2873" t="str">
        <f t="shared" ref="CV36:CV43" si="77">IF(AL36&lt;AM36,CONCATENATE("* El total de Procesados debe ser mayor o igual al total de Reactivos en el grupo de edad ",$AL$11),"")</f>
        <v/>
      </c>
      <c r="CW36" s="2873" t="str">
        <f t="shared" ref="CW36:CW43" si="78">IF(AN36&lt;AO36,CONCATENATE("* El total de Procesados debe ser mayor o igual al total de Reactivos en el grupo de edad ",$AN$11),"")</f>
        <v/>
      </c>
      <c r="CX36" s="2873" t="str">
        <f t="shared" ref="CX36:CX43" si="79">IF(AP36&lt;AQ36,CONCATENATE("* El total de Procesados debe ser mayor o igual al total de Reactivos en el grupo de edad ",$AP$11),"")</f>
        <v/>
      </c>
      <c r="DE36" s="2718"/>
      <c r="DF36" s="4928">
        <f t="shared" ref="DF36:DF39" si="80">IF(B36&lt;&gt;(AS36),1,0)</f>
        <v>0</v>
      </c>
      <c r="DG36" s="3009">
        <f t="shared" ref="DG36:DG52" si="81">IF(AND($B36&gt;0,AND(AT36="",AU36="")),1,IF((AT36+AU36)&gt;$B36,1,0))</f>
        <v>0</v>
      </c>
      <c r="DH36" s="3009">
        <f t="shared" ref="DH36:DH52" si="82">IF(AND($B36&gt;0,AV36=""),1,IF(AV36&gt;$B36,1,0))</f>
        <v>0</v>
      </c>
      <c r="DI36" s="3009">
        <f t="shared" ref="DI36:DI52" si="83">IF(AND($B36&gt;0,AW36=""),1,IF(AW36&gt;$B36,1,0))</f>
        <v>0</v>
      </c>
      <c r="DJ36" s="3107"/>
      <c r="DK36" s="3107"/>
      <c r="DL36" s="3107"/>
      <c r="DM36" s="3107"/>
      <c r="DN36" s="3107"/>
      <c r="DO36" s="3009">
        <f t="shared" ref="DO36:DO43" si="84">IF(N36&lt;O36,1,0)</f>
        <v>0</v>
      </c>
      <c r="DP36" s="3009">
        <f t="shared" ref="DP36:DP43" si="85">IF(P36&lt;Q36,1,0)</f>
        <v>0</v>
      </c>
      <c r="DQ36" s="3009">
        <f t="shared" ref="DQ36:DQ43" si="86">IF(R36&lt;S36,1,0)</f>
        <v>0</v>
      </c>
      <c r="DR36" s="3009">
        <f t="shared" ref="DR36:DR52" si="87">IF($T36&lt;$U36,1,0)</f>
        <v>0</v>
      </c>
      <c r="DS36" s="3009">
        <f t="shared" ref="DS36:DS43" si="88">IF(V36&lt;W36,1,0)</f>
        <v>0</v>
      </c>
      <c r="DT36" s="3009">
        <f t="shared" ref="DT36:DT43" si="89">IF(X36&lt;Y36,1,0)</f>
        <v>0</v>
      </c>
      <c r="DU36" s="3009">
        <f t="shared" ref="DU36:DU43" si="90">IF(Z36&lt;AA36,1,0)</f>
        <v>0</v>
      </c>
      <c r="DV36" s="3009">
        <f t="shared" ref="DV36:DV43" si="91">IF(AD36&lt;AE36,1,0)</f>
        <v>0</v>
      </c>
      <c r="DW36" s="3009">
        <f t="shared" ref="DW36:DW43" si="92">IF(AF36&lt;AG36,1,0)</f>
        <v>0</v>
      </c>
      <c r="DX36" s="3009">
        <f t="shared" ref="DX36:DX43" si="93">IF(AH36&lt;AI36,1,0)</f>
        <v>0</v>
      </c>
      <c r="DY36" s="3009">
        <f t="shared" ref="DY36:DY43" si="94">IF(AJ36&lt;AK36,1,0)</f>
        <v>0</v>
      </c>
      <c r="DZ36" s="3009">
        <f t="shared" ref="DZ36:DZ43" si="95">IF(AL36&lt;AM36,1,0)</f>
        <v>0</v>
      </c>
      <c r="EA36" s="3009">
        <f t="shared" ref="EA36:EA43" si="96">IF(AN36&lt;AO36,1,0)</f>
        <v>0</v>
      </c>
      <c r="EB36" s="3009">
        <f t="shared" ref="EB36:EB43" si="97">IF(AP36&lt;AQ36,1,0)</f>
        <v>0</v>
      </c>
    </row>
    <row r="37" spans="1:132" x14ac:dyDescent="0.25">
      <c r="A37" s="3273" t="s">
        <v>2660</v>
      </c>
      <c r="B37" s="2014">
        <f t="shared" si="60"/>
        <v>0</v>
      </c>
      <c r="C37" s="3331">
        <f t="shared" si="60"/>
        <v>0</v>
      </c>
      <c r="D37" s="3568"/>
      <c r="E37" s="5340"/>
      <c r="F37" s="5339"/>
      <c r="G37" s="5340"/>
      <c r="H37" s="5339"/>
      <c r="I37" s="5340"/>
      <c r="J37" s="5339"/>
      <c r="K37" s="5340"/>
      <c r="L37" s="5339"/>
      <c r="M37" s="5341"/>
      <c r="N37" s="3572"/>
      <c r="O37" s="5342"/>
      <c r="P37" s="5229"/>
      <c r="Q37" s="5342"/>
      <c r="R37" s="5229"/>
      <c r="S37" s="5342"/>
      <c r="T37" s="5229"/>
      <c r="U37" s="5342"/>
      <c r="V37" s="5229"/>
      <c r="W37" s="5342"/>
      <c r="X37" s="5229"/>
      <c r="Y37" s="5342"/>
      <c r="Z37" s="5229"/>
      <c r="AA37" s="5342"/>
      <c r="AB37" s="5229"/>
      <c r="AC37" s="5342"/>
      <c r="AD37" s="5229"/>
      <c r="AE37" s="5342"/>
      <c r="AF37" s="5229"/>
      <c r="AG37" s="5342"/>
      <c r="AH37" s="5229"/>
      <c r="AI37" s="5342"/>
      <c r="AJ37" s="5229"/>
      <c r="AK37" s="5342"/>
      <c r="AL37" s="5229"/>
      <c r="AM37" s="5342"/>
      <c r="AN37" s="5229"/>
      <c r="AO37" s="5342"/>
      <c r="AP37" s="5229"/>
      <c r="AQ37" s="5336"/>
      <c r="AR37" s="3576"/>
      <c r="AS37" s="5336"/>
      <c r="AT37" s="5337"/>
      <c r="AU37" s="5336"/>
      <c r="AV37" s="3572"/>
      <c r="AW37" s="5338"/>
      <c r="AX37" s="1755" t="str">
        <f t="shared" si="61"/>
        <v/>
      </c>
      <c r="CA37" s="603"/>
      <c r="CB37" s="4928" t="str">
        <f t="shared" si="62"/>
        <v/>
      </c>
      <c r="CC37" s="2873" t="str">
        <f t="shared" si="63"/>
        <v/>
      </c>
      <c r="CD37" s="2873" t="str">
        <f t="shared" si="64"/>
        <v/>
      </c>
      <c r="CE37" s="2873" t="str">
        <f t="shared" si="65"/>
        <v/>
      </c>
      <c r="CF37" s="3107"/>
      <c r="CG37" s="3107"/>
      <c r="CH37" s="3107"/>
      <c r="CI37" s="3107"/>
      <c r="CJ37" s="3107"/>
      <c r="CK37" s="2873" t="str">
        <f t="shared" si="66"/>
        <v/>
      </c>
      <c r="CL37" s="2873" t="str">
        <f t="shared" si="67"/>
        <v/>
      </c>
      <c r="CM37" s="2873" t="str">
        <f t="shared" si="68"/>
        <v/>
      </c>
      <c r="CN37" s="2873" t="str">
        <f t="shared" si="69"/>
        <v/>
      </c>
      <c r="CO37" s="2873" t="str">
        <f t="shared" si="70"/>
        <v/>
      </c>
      <c r="CP37" s="2873" t="str">
        <f t="shared" si="71"/>
        <v/>
      </c>
      <c r="CQ37" s="2873" t="str">
        <f t="shared" si="72"/>
        <v/>
      </c>
      <c r="CR37" s="2873" t="str">
        <f t="shared" si="73"/>
        <v/>
      </c>
      <c r="CS37" s="2873" t="str">
        <f t="shared" si="74"/>
        <v/>
      </c>
      <c r="CT37" s="2873" t="str">
        <f t="shared" si="75"/>
        <v/>
      </c>
      <c r="CU37" s="2873" t="str">
        <f t="shared" si="76"/>
        <v/>
      </c>
      <c r="CV37" s="2873" t="str">
        <f t="shared" si="77"/>
        <v/>
      </c>
      <c r="CW37" s="2873" t="str">
        <f t="shared" si="78"/>
        <v/>
      </c>
      <c r="CX37" s="2873" t="str">
        <f t="shared" si="79"/>
        <v/>
      </c>
      <c r="DE37" s="2718"/>
      <c r="DF37" s="4928">
        <f t="shared" si="80"/>
        <v>0</v>
      </c>
      <c r="DG37" s="3009">
        <f t="shared" si="81"/>
        <v>0</v>
      </c>
      <c r="DH37" s="3009">
        <f t="shared" si="82"/>
        <v>0</v>
      </c>
      <c r="DI37" s="3009">
        <f t="shared" si="83"/>
        <v>0</v>
      </c>
      <c r="DJ37" s="3107"/>
      <c r="DK37" s="3107"/>
      <c r="DL37" s="3107"/>
      <c r="DM37" s="3107"/>
      <c r="DN37" s="3107"/>
      <c r="DO37" s="3009">
        <f t="shared" si="84"/>
        <v>0</v>
      </c>
      <c r="DP37" s="3009">
        <f t="shared" si="85"/>
        <v>0</v>
      </c>
      <c r="DQ37" s="3009">
        <f t="shared" si="86"/>
        <v>0</v>
      </c>
      <c r="DR37" s="3009">
        <f t="shared" si="87"/>
        <v>0</v>
      </c>
      <c r="DS37" s="3009">
        <f t="shared" si="88"/>
        <v>0</v>
      </c>
      <c r="DT37" s="3009">
        <f t="shared" si="89"/>
        <v>0</v>
      </c>
      <c r="DU37" s="3009">
        <f t="shared" si="90"/>
        <v>0</v>
      </c>
      <c r="DV37" s="3009">
        <f t="shared" si="91"/>
        <v>0</v>
      </c>
      <c r="DW37" s="3009">
        <f t="shared" si="92"/>
        <v>0</v>
      </c>
      <c r="DX37" s="3009">
        <f t="shared" si="93"/>
        <v>0</v>
      </c>
      <c r="DY37" s="3009">
        <f t="shared" si="94"/>
        <v>0</v>
      </c>
      <c r="DZ37" s="3009">
        <f t="shared" si="95"/>
        <v>0</v>
      </c>
      <c r="EA37" s="3009">
        <f t="shared" si="96"/>
        <v>0</v>
      </c>
      <c r="EB37" s="3009">
        <f t="shared" si="97"/>
        <v>0</v>
      </c>
    </row>
    <row r="38" spans="1:132" x14ac:dyDescent="0.25">
      <c r="A38" s="3273" t="s">
        <v>2661</v>
      </c>
      <c r="B38" s="2014">
        <f t="shared" si="60"/>
        <v>0</v>
      </c>
      <c r="C38" s="3331">
        <f>+O38+Q38+S38+U38+W38+Y38+AA38+AC38+AE38+AG38+AI38+AK38+AM38+AO38+AQ38</f>
        <v>0</v>
      </c>
      <c r="D38" s="3568"/>
      <c r="E38" s="5340"/>
      <c r="F38" s="5339"/>
      <c r="G38" s="5340"/>
      <c r="H38" s="5339"/>
      <c r="I38" s="5340"/>
      <c r="J38" s="5339"/>
      <c r="K38" s="5340"/>
      <c r="L38" s="5339"/>
      <c r="M38" s="5341"/>
      <c r="N38" s="3572"/>
      <c r="O38" s="5342"/>
      <c r="P38" s="5229"/>
      <c r="Q38" s="5342"/>
      <c r="R38" s="5229"/>
      <c r="S38" s="5342"/>
      <c r="T38" s="5229"/>
      <c r="U38" s="5342"/>
      <c r="V38" s="5229"/>
      <c r="W38" s="5342"/>
      <c r="X38" s="5229"/>
      <c r="Y38" s="5342"/>
      <c r="Z38" s="5229"/>
      <c r="AA38" s="5342"/>
      <c r="AB38" s="5229"/>
      <c r="AC38" s="5342"/>
      <c r="AD38" s="5229"/>
      <c r="AE38" s="5342"/>
      <c r="AF38" s="5229"/>
      <c r="AG38" s="5342"/>
      <c r="AH38" s="5229"/>
      <c r="AI38" s="5342"/>
      <c r="AJ38" s="5229"/>
      <c r="AK38" s="5342"/>
      <c r="AL38" s="5229"/>
      <c r="AM38" s="5342"/>
      <c r="AN38" s="5229"/>
      <c r="AO38" s="5342"/>
      <c r="AP38" s="5229"/>
      <c r="AQ38" s="5336"/>
      <c r="AR38" s="3576"/>
      <c r="AS38" s="5336"/>
      <c r="AT38" s="5337"/>
      <c r="AU38" s="5336"/>
      <c r="AV38" s="3572"/>
      <c r="AW38" s="5338"/>
      <c r="AX38" s="1755" t="str">
        <f t="shared" si="61"/>
        <v/>
      </c>
      <c r="CA38" s="603"/>
      <c r="CB38" s="4928" t="str">
        <f t="shared" si="62"/>
        <v/>
      </c>
      <c r="CC38" s="2873" t="str">
        <f t="shared" si="63"/>
        <v/>
      </c>
      <c r="CD38" s="2873" t="str">
        <f t="shared" si="64"/>
        <v/>
      </c>
      <c r="CE38" s="2873" t="str">
        <f t="shared" si="65"/>
        <v/>
      </c>
      <c r="CF38" s="3107"/>
      <c r="CG38" s="3107"/>
      <c r="CH38" s="3107"/>
      <c r="CI38" s="3107"/>
      <c r="CJ38" s="3107"/>
      <c r="CK38" s="2873" t="str">
        <f t="shared" si="66"/>
        <v/>
      </c>
      <c r="CL38" s="2873" t="str">
        <f t="shared" si="67"/>
        <v/>
      </c>
      <c r="CM38" s="2873" t="str">
        <f t="shared" si="68"/>
        <v/>
      </c>
      <c r="CN38" s="2873" t="str">
        <f t="shared" si="69"/>
        <v/>
      </c>
      <c r="CO38" s="2873" t="str">
        <f t="shared" si="70"/>
        <v/>
      </c>
      <c r="CP38" s="2873" t="str">
        <f t="shared" si="71"/>
        <v/>
      </c>
      <c r="CQ38" s="2873" t="str">
        <f t="shared" si="72"/>
        <v/>
      </c>
      <c r="CR38" s="2873" t="str">
        <f t="shared" si="73"/>
        <v/>
      </c>
      <c r="CS38" s="2873" t="str">
        <f t="shared" si="74"/>
        <v/>
      </c>
      <c r="CT38" s="2873" t="str">
        <f t="shared" si="75"/>
        <v/>
      </c>
      <c r="CU38" s="2873" t="str">
        <f t="shared" si="76"/>
        <v/>
      </c>
      <c r="CV38" s="2873" t="str">
        <f t="shared" si="77"/>
        <v/>
      </c>
      <c r="CW38" s="2873" t="str">
        <f t="shared" si="78"/>
        <v/>
      </c>
      <c r="CX38" s="2873" t="str">
        <f t="shared" si="79"/>
        <v/>
      </c>
      <c r="DE38" s="2718"/>
      <c r="DF38" s="4928">
        <f t="shared" si="80"/>
        <v>0</v>
      </c>
      <c r="DG38" s="3009">
        <f t="shared" si="81"/>
        <v>0</v>
      </c>
      <c r="DH38" s="3009">
        <f t="shared" si="82"/>
        <v>0</v>
      </c>
      <c r="DI38" s="3009">
        <f t="shared" si="83"/>
        <v>0</v>
      </c>
      <c r="DJ38" s="3107"/>
      <c r="DK38" s="3107"/>
      <c r="DL38" s="3107"/>
      <c r="DM38" s="3107"/>
      <c r="DN38" s="3107"/>
      <c r="DO38" s="3009">
        <f t="shared" si="84"/>
        <v>0</v>
      </c>
      <c r="DP38" s="3009">
        <f t="shared" si="85"/>
        <v>0</v>
      </c>
      <c r="DQ38" s="3009">
        <f t="shared" si="86"/>
        <v>0</v>
      </c>
      <c r="DR38" s="3009">
        <f t="shared" si="87"/>
        <v>0</v>
      </c>
      <c r="DS38" s="3009">
        <f t="shared" si="88"/>
        <v>0</v>
      </c>
      <c r="DT38" s="3009">
        <f t="shared" si="89"/>
        <v>0</v>
      </c>
      <c r="DU38" s="3009">
        <f t="shared" si="90"/>
        <v>0</v>
      </c>
      <c r="DV38" s="3009">
        <f t="shared" si="91"/>
        <v>0</v>
      </c>
      <c r="DW38" s="3009">
        <f t="shared" si="92"/>
        <v>0</v>
      </c>
      <c r="DX38" s="3009">
        <f t="shared" si="93"/>
        <v>0</v>
      </c>
      <c r="DY38" s="3009">
        <f t="shared" si="94"/>
        <v>0</v>
      </c>
      <c r="DZ38" s="3009">
        <f t="shared" si="95"/>
        <v>0</v>
      </c>
      <c r="EA38" s="3009">
        <f t="shared" si="96"/>
        <v>0</v>
      </c>
      <c r="EB38" s="3009">
        <f t="shared" si="97"/>
        <v>0</v>
      </c>
    </row>
    <row r="39" spans="1:132" x14ac:dyDescent="0.25">
      <c r="A39" s="3328" t="s">
        <v>2662</v>
      </c>
      <c r="B39" s="2014">
        <f t="shared" si="60"/>
        <v>0</v>
      </c>
      <c r="C39" s="3331">
        <f t="shared" si="60"/>
        <v>0</v>
      </c>
      <c r="D39" s="3568"/>
      <c r="E39" s="5340"/>
      <c r="F39" s="5339"/>
      <c r="G39" s="5340"/>
      <c r="H39" s="5339"/>
      <c r="I39" s="5340"/>
      <c r="J39" s="5339"/>
      <c r="K39" s="5340"/>
      <c r="L39" s="5339"/>
      <c r="M39" s="5341"/>
      <c r="N39" s="3572"/>
      <c r="O39" s="5342"/>
      <c r="P39" s="5229"/>
      <c r="Q39" s="5342"/>
      <c r="R39" s="5229"/>
      <c r="S39" s="5342"/>
      <c r="T39" s="5229"/>
      <c r="U39" s="5342"/>
      <c r="V39" s="5229"/>
      <c r="W39" s="5342"/>
      <c r="X39" s="5229"/>
      <c r="Y39" s="5342"/>
      <c r="Z39" s="5229"/>
      <c r="AA39" s="5342"/>
      <c r="AB39" s="5229"/>
      <c r="AC39" s="5342"/>
      <c r="AD39" s="5229"/>
      <c r="AE39" s="5342"/>
      <c r="AF39" s="5229"/>
      <c r="AG39" s="5342"/>
      <c r="AH39" s="5229"/>
      <c r="AI39" s="5342"/>
      <c r="AJ39" s="5229"/>
      <c r="AK39" s="5342"/>
      <c r="AL39" s="5229"/>
      <c r="AM39" s="5342"/>
      <c r="AN39" s="5229"/>
      <c r="AO39" s="5342"/>
      <c r="AP39" s="5229"/>
      <c r="AQ39" s="5336"/>
      <c r="AR39" s="3576"/>
      <c r="AS39" s="5336"/>
      <c r="AT39" s="5337"/>
      <c r="AU39" s="5336"/>
      <c r="AV39" s="3572"/>
      <c r="AW39" s="5338"/>
      <c r="AX39" s="1755" t="str">
        <f t="shared" si="61"/>
        <v/>
      </c>
      <c r="CA39" s="603"/>
      <c r="CB39" s="4928" t="str">
        <f t="shared" si="62"/>
        <v/>
      </c>
      <c r="CC39" s="2873" t="str">
        <f t="shared" si="63"/>
        <v/>
      </c>
      <c r="CD39" s="2873" t="str">
        <f t="shared" si="64"/>
        <v/>
      </c>
      <c r="CE39" s="2873" t="str">
        <f t="shared" si="65"/>
        <v/>
      </c>
      <c r="CF39" s="3107"/>
      <c r="CG39" s="3107"/>
      <c r="CH39" s="3107"/>
      <c r="CI39" s="3107"/>
      <c r="CJ39" s="3107"/>
      <c r="CK39" s="2873" t="str">
        <f t="shared" si="66"/>
        <v/>
      </c>
      <c r="CL39" s="2873" t="str">
        <f t="shared" si="67"/>
        <v/>
      </c>
      <c r="CM39" s="2873" t="str">
        <f t="shared" si="68"/>
        <v/>
      </c>
      <c r="CN39" s="2873" t="str">
        <f t="shared" si="69"/>
        <v/>
      </c>
      <c r="CO39" s="2873" t="str">
        <f t="shared" si="70"/>
        <v/>
      </c>
      <c r="CP39" s="2873" t="str">
        <f t="shared" si="71"/>
        <v/>
      </c>
      <c r="CQ39" s="2873" t="str">
        <f t="shared" si="72"/>
        <v/>
      </c>
      <c r="CR39" s="2873" t="str">
        <f t="shared" si="73"/>
        <v/>
      </c>
      <c r="CS39" s="2873" t="str">
        <f t="shared" si="74"/>
        <v/>
      </c>
      <c r="CT39" s="2873" t="str">
        <f t="shared" si="75"/>
        <v/>
      </c>
      <c r="CU39" s="2873" t="str">
        <f t="shared" si="76"/>
        <v/>
      </c>
      <c r="CV39" s="2873" t="str">
        <f t="shared" si="77"/>
        <v/>
      </c>
      <c r="CW39" s="2873" t="str">
        <f t="shared" si="78"/>
        <v/>
      </c>
      <c r="CX39" s="2873" t="str">
        <f t="shared" si="79"/>
        <v/>
      </c>
      <c r="DE39" s="2718"/>
      <c r="DF39" s="4928">
        <f t="shared" si="80"/>
        <v>0</v>
      </c>
      <c r="DG39" s="3009">
        <f t="shared" si="81"/>
        <v>0</v>
      </c>
      <c r="DH39" s="3009">
        <f t="shared" si="82"/>
        <v>0</v>
      </c>
      <c r="DI39" s="3009">
        <f t="shared" si="83"/>
        <v>0</v>
      </c>
      <c r="DJ39" s="3107"/>
      <c r="DK39" s="3107"/>
      <c r="DL39" s="3107"/>
      <c r="DM39" s="3107"/>
      <c r="DN39" s="3107"/>
      <c r="DO39" s="3009">
        <f t="shared" si="84"/>
        <v>0</v>
      </c>
      <c r="DP39" s="3009">
        <f t="shared" si="85"/>
        <v>0</v>
      </c>
      <c r="DQ39" s="3009">
        <f t="shared" si="86"/>
        <v>0</v>
      </c>
      <c r="DR39" s="3009">
        <f t="shared" si="87"/>
        <v>0</v>
      </c>
      <c r="DS39" s="3009">
        <f t="shared" si="88"/>
        <v>0</v>
      </c>
      <c r="DT39" s="3009">
        <f t="shared" si="89"/>
        <v>0</v>
      </c>
      <c r="DU39" s="3009">
        <f t="shared" si="90"/>
        <v>0</v>
      </c>
      <c r="DV39" s="3009">
        <f t="shared" si="91"/>
        <v>0</v>
      </c>
      <c r="DW39" s="3009">
        <f t="shared" si="92"/>
        <v>0</v>
      </c>
      <c r="DX39" s="3009">
        <f t="shared" si="93"/>
        <v>0</v>
      </c>
      <c r="DY39" s="3009">
        <f t="shared" si="94"/>
        <v>0</v>
      </c>
      <c r="DZ39" s="3009">
        <f t="shared" si="95"/>
        <v>0</v>
      </c>
      <c r="EA39" s="3009">
        <f t="shared" si="96"/>
        <v>0</v>
      </c>
      <c r="EB39" s="3009">
        <f t="shared" si="97"/>
        <v>0</v>
      </c>
    </row>
    <row r="40" spans="1:132" x14ac:dyDescent="0.25">
      <c r="A40" s="3328" t="s">
        <v>2663</v>
      </c>
      <c r="B40" s="2014">
        <f t="shared" si="60"/>
        <v>0</v>
      </c>
      <c r="C40" s="3331">
        <f t="shared" si="60"/>
        <v>0</v>
      </c>
      <c r="D40" s="3568"/>
      <c r="E40" s="5340"/>
      <c r="F40" s="5339"/>
      <c r="G40" s="5340"/>
      <c r="H40" s="5339"/>
      <c r="I40" s="5340"/>
      <c r="J40" s="5339"/>
      <c r="K40" s="5340"/>
      <c r="L40" s="5339"/>
      <c r="M40" s="5341"/>
      <c r="N40" s="3572"/>
      <c r="O40" s="5342"/>
      <c r="P40" s="5229"/>
      <c r="Q40" s="5342"/>
      <c r="R40" s="5229"/>
      <c r="S40" s="5342"/>
      <c r="T40" s="5229"/>
      <c r="U40" s="5342"/>
      <c r="V40" s="5229"/>
      <c r="W40" s="5342"/>
      <c r="X40" s="5229"/>
      <c r="Y40" s="5342"/>
      <c r="Z40" s="5229"/>
      <c r="AA40" s="5342"/>
      <c r="AB40" s="5229"/>
      <c r="AC40" s="5342"/>
      <c r="AD40" s="5229"/>
      <c r="AE40" s="5342"/>
      <c r="AF40" s="5229"/>
      <c r="AG40" s="5342"/>
      <c r="AH40" s="5229"/>
      <c r="AI40" s="5342"/>
      <c r="AJ40" s="5229"/>
      <c r="AK40" s="5342"/>
      <c r="AL40" s="5229"/>
      <c r="AM40" s="5342"/>
      <c r="AN40" s="5229"/>
      <c r="AO40" s="5342"/>
      <c r="AP40" s="5229"/>
      <c r="AQ40" s="5336"/>
      <c r="AR40" s="3572"/>
      <c r="AS40" s="5336"/>
      <c r="AT40" s="5337"/>
      <c r="AU40" s="5336"/>
      <c r="AV40" s="3572"/>
      <c r="AW40" s="5338"/>
      <c r="AX40" s="1755" t="str">
        <f>$CB40&amp;CC40&amp;CD40&amp;$CE40&amp;CK40&amp;CL40&amp;CM40&amp;CN40&amp;CO40&amp;CP40&amp;CQ40&amp;CR40&amp;CS40&amp;CT40&amp;CU40&amp;CV40&amp;CW40&amp;CX40</f>
        <v/>
      </c>
      <c r="CA40" s="603"/>
      <c r="CB40" s="2873" t="str">
        <f>IF(B40&lt;&gt;(AS40+AR40)," * La suma de las columnas "&amp;AR$10&amp;""&amp;" DEBE SER IGUAL a los Exámenes Procesados. ","")</f>
        <v/>
      </c>
      <c r="CC40" s="2873" t="str">
        <f t="shared" si="63"/>
        <v/>
      </c>
      <c r="CD40" s="2873" t="str">
        <f t="shared" si="64"/>
        <v/>
      </c>
      <c r="CE40" s="2873" t="str">
        <f t="shared" si="65"/>
        <v/>
      </c>
      <c r="CF40" s="3107"/>
      <c r="CG40" s="3107"/>
      <c r="CH40" s="3107"/>
      <c r="CI40" s="3107"/>
      <c r="CJ40" s="3107"/>
      <c r="CK40" s="2873" t="str">
        <f>IF(N40&lt;O40,CONCATENATE("* El total de Procesados debe ser mayor o igual al total de Reactivos en el grupo de edad ",$N$11),"")</f>
        <v/>
      </c>
      <c r="CL40" s="2873" t="str">
        <f t="shared" si="67"/>
        <v/>
      </c>
      <c r="CM40" s="2873" t="str">
        <f t="shared" si="68"/>
        <v/>
      </c>
      <c r="CN40" s="2873" t="str">
        <f t="shared" si="69"/>
        <v/>
      </c>
      <c r="CO40" s="2873" t="str">
        <f t="shared" si="70"/>
        <v/>
      </c>
      <c r="CP40" s="2873" t="str">
        <f t="shared" si="71"/>
        <v/>
      </c>
      <c r="CQ40" s="2873" t="str">
        <f t="shared" si="72"/>
        <v/>
      </c>
      <c r="CR40" s="2873" t="str">
        <f t="shared" si="73"/>
        <v/>
      </c>
      <c r="CS40" s="2873" t="str">
        <f t="shared" si="74"/>
        <v/>
      </c>
      <c r="CT40" s="2873" t="str">
        <f t="shared" si="75"/>
        <v/>
      </c>
      <c r="CU40" s="2873" t="str">
        <f t="shared" si="76"/>
        <v/>
      </c>
      <c r="CV40" s="2873" t="str">
        <f t="shared" si="77"/>
        <v/>
      </c>
      <c r="CW40" s="2873" t="str">
        <f t="shared" si="78"/>
        <v/>
      </c>
      <c r="CX40" s="2873" t="str">
        <f t="shared" si="79"/>
        <v/>
      </c>
      <c r="DE40" s="2718"/>
      <c r="DF40" s="2873">
        <f>IF(B40&lt;&gt;(AS40+AR40),1,0)</f>
        <v>0</v>
      </c>
      <c r="DG40" s="3009">
        <f t="shared" si="81"/>
        <v>0</v>
      </c>
      <c r="DH40" s="3009">
        <f t="shared" si="82"/>
        <v>0</v>
      </c>
      <c r="DI40" s="3009">
        <f t="shared" si="83"/>
        <v>0</v>
      </c>
      <c r="DJ40" s="3107"/>
      <c r="DK40" s="3107"/>
      <c r="DL40" s="3107"/>
      <c r="DM40" s="3107"/>
      <c r="DN40" s="3107"/>
      <c r="DO40" s="3009">
        <f t="shared" si="84"/>
        <v>0</v>
      </c>
      <c r="DP40" s="3009">
        <f t="shared" si="85"/>
        <v>0</v>
      </c>
      <c r="DQ40" s="3009">
        <f t="shared" si="86"/>
        <v>0</v>
      </c>
      <c r="DR40" s="3009">
        <f t="shared" si="87"/>
        <v>0</v>
      </c>
      <c r="DS40" s="3009">
        <f t="shared" si="88"/>
        <v>0</v>
      </c>
      <c r="DT40" s="3009">
        <f t="shared" si="89"/>
        <v>0</v>
      </c>
      <c r="DU40" s="3009">
        <f t="shared" si="90"/>
        <v>0</v>
      </c>
      <c r="DV40" s="3009">
        <f t="shared" si="91"/>
        <v>0</v>
      </c>
      <c r="DW40" s="3009">
        <f t="shared" si="92"/>
        <v>0</v>
      </c>
      <c r="DX40" s="3009">
        <f t="shared" si="93"/>
        <v>0</v>
      </c>
      <c r="DY40" s="3009">
        <f t="shared" si="94"/>
        <v>0</v>
      </c>
      <c r="DZ40" s="3009">
        <f t="shared" si="95"/>
        <v>0</v>
      </c>
      <c r="EA40" s="3009">
        <f t="shared" si="96"/>
        <v>0</v>
      </c>
      <c r="EB40" s="3009">
        <f t="shared" si="97"/>
        <v>0</v>
      </c>
    </row>
    <row r="41" spans="1:132" x14ac:dyDescent="0.25">
      <c r="A41" s="3328" t="s">
        <v>2664</v>
      </c>
      <c r="B41" s="2014">
        <f t="shared" si="60"/>
        <v>0</v>
      </c>
      <c r="C41" s="3331">
        <f t="shared" si="60"/>
        <v>0</v>
      </c>
      <c r="D41" s="3568"/>
      <c r="E41" s="5340"/>
      <c r="F41" s="5339"/>
      <c r="G41" s="5340"/>
      <c r="H41" s="5339"/>
      <c r="I41" s="5340"/>
      <c r="J41" s="5339"/>
      <c r="K41" s="5340"/>
      <c r="L41" s="5339"/>
      <c r="M41" s="5341"/>
      <c r="N41" s="3572"/>
      <c r="O41" s="5342"/>
      <c r="P41" s="5229"/>
      <c r="Q41" s="5342"/>
      <c r="R41" s="5229"/>
      <c r="S41" s="5342"/>
      <c r="T41" s="5229"/>
      <c r="U41" s="5342"/>
      <c r="V41" s="5229"/>
      <c r="W41" s="5342"/>
      <c r="X41" s="5229"/>
      <c r="Y41" s="5342"/>
      <c r="Z41" s="5229"/>
      <c r="AA41" s="5342"/>
      <c r="AB41" s="5229"/>
      <c r="AC41" s="5342"/>
      <c r="AD41" s="5229"/>
      <c r="AE41" s="5342"/>
      <c r="AF41" s="5229"/>
      <c r="AG41" s="5342"/>
      <c r="AH41" s="5229"/>
      <c r="AI41" s="5342"/>
      <c r="AJ41" s="5229"/>
      <c r="AK41" s="5342"/>
      <c r="AL41" s="5229"/>
      <c r="AM41" s="5342"/>
      <c r="AN41" s="5229"/>
      <c r="AO41" s="5342"/>
      <c r="AP41" s="5229"/>
      <c r="AQ41" s="5336"/>
      <c r="AR41" s="3576"/>
      <c r="AS41" s="5336"/>
      <c r="AT41" s="5337"/>
      <c r="AU41" s="5336"/>
      <c r="AV41" s="3572"/>
      <c r="AW41" s="5338"/>
      <c r="AX41" s="1755" t="str">
        <f>$CB41&amp;CC41&amp;CD41&amp;$CE41&amp;CK41&amp;CL41&amp;CM41&amp;CN41&amp;CO41&amp;CP41&amp;CQ41&amp;CR41&amp;CS41&amp;CT41&amp;CU41&amp;CV41&amp;CW41&amp;CX41</f>
        <v/>
      </c>
      <c r="CA41" s="603"/>
      <c r="CB41" s="4928" t="str">
        <f t="shared" ref="CB41:CB43" si="98">IF(B41&lt;&gt;(AS41)," * La suma de las columnas "&amp;AR$10&amp;""&amp;" DEBE SER IGUAL a los Exámenes Procesados. ","")</f>
        <v/>
      </c>
      <c r="CC41" s="2873" t="str">
        <f t="shared" si="63"/>
        <v/>
      </c>
      <c r="CD41" s="2873" t="str">
        <f t="shared" si="64"/>
        <v/>
      </c>
      <c r="CE41" s="2873" t="str">
        <f t="shared" si="65"/>
        <v/>
      </c>
      <c r="CF41" s="3107"/>
      <c r="CG41" s="3107"/>
      <c r="CH41" s="3107"/>
      <c r="CI41" s="3107"/>
      <c r="CJ41" s="3107"/>
      <c r="CK41" s="2873" t="str">
        <f t="shared" ref="CK41" si="99">IF(N41&lt;O41,CONCATENATE("* El total de Procesados debe ser mayor o igual al total de Reactivos en el grupo de edad ",$N$11),"")</f>
        <v/>
      </c>
      <c r="CL41" s="2873" t="str">
        <f t="shared" si="67"/>
        <v/>
      </c>
      <c r="CM41" s="2873" t="str">
        <f t="shared" si="68"/>
        <v/>
      </c>
      <c r="CN41" s="2873" t="str">
        <f t="shared" si="69"/>
        <v/>
      </c>
      <c r="CO41" s="2873" t="str">
        <f t="shared" si="70"/>
        <v/>
      </c>
      <c r="CP41" s="2873" t="str">
        <f t="shared" si="71"/>
        <v/>
      </c>
      <c r="CQ41" s="2873" t="str">
        <f t="shared" si="72"/>
        <v/>
      </c>
      <c r="CR41" s="2873" t="str">
        <f t="shared" si="73"/>
        <v/>
      </c>
      <c r="CS41" s="2873" t="str">
        <f t="shared" si="74"/>
        <v/>
      </c>
      <c r="CT41" s="2873" t="str">
        <f t="shared" si="75"/>
        <v/>
      </c>
      <c r="CU41" s="2873" t="str">
        <f t="shared" si="76"/>
        <v/>
      </c>
      <c r="CV41" s="2873" t="str">
        <f t="shared" si="77"/>
        <v/>
      </c>
      <c r="CW41" s="2873" t="str">
        <f t="shared" si="78"/>
        <v/>
      </c>
      <c r="CX41" s="2873" t="str">
        <f t="shared" si="79"/>
        <v/>
      </c>
      <c r="DE41" s="2718"/>
      <c r="DF41" s="4928">
        <f>IF(B41&lt;&gt;(AS41),1,0)</f>
        <v>0</v>
      </c>
      <c r="DG41" s="3009">
        <f t="shared" si="81"/>
        <v>0</v>
      </c>
      <c r="DH41" s="3009">
        <f t="shared" si="82"/>
        <v>0</v>
      </c>
      <c r="DI41" s="3009">
        <f t="shared" si="83"/>
        <v>0</v>
      </c>
      <c r="DJ41" s="3107"/>
      <c r="DK41" s="3107"/>
      <c r="DL41" s="3107"/>
      <c r="DM41" s="3107"/>
      <c r="DN41" s="3107"/>
      <c r="DO41" s="3009">
        <f t="shared" si="84"/>
        <v>0</v>
      </c>
      <c r="DP41" s="3009">
        <f t="shared" si="85"/>
        <v>0</v>
      </c>
      <c r="DQ41" s="3009">
        <f t="shared" si="86"/>
        <v>0</v>
      </c>
      <c r="DR41" s="3009">
        <f t="shared" si="87"/>
        <v>0</v>
      </c>
      <c r="DS41" s="3009">
        <f t="shared" si="88"/>
        <v>0</v>
      </c>
      <c r="DT41" s="3009">
        <f t="shared" si="89"/>
        <v>0</v>
      </c>
      <c r="DU41" s="3009">
        <f t="shared" si="90"/>
        <v>0</v>
      </c>
      <c r="DV41" s="3009">
        <f t="shared" si="91"/>
        <v>0</v>
      </c>
      <c r="DW41" s="3009">
        <f t="shared" si="92"/>
        <v>0</v>
      </c>
      <c r="DX41" s="3009">
        <f t="shared" si="93"/>
        <v>0</v>
      </c>
      <c r="DY41" s="3009">
        <f t="shared" si="94"/>
        <v>0</v>
      </c>
      <c r="DZ41" s="3009">
        <f t="shared" si="95"/>
        <v>0</v>
      </c>
      <c r="EA41" s="3009">
        <f t="shared" si="96"/>
        <v>0</v>
      </c>
      <c r="EB41" s="3009">
        <f t="shared" si="97"/>
        <v>0</v>
      </c>
    </row>
    <row r="42" spans="1:132" x14ac:dyDescent="0.25">
      <c r="A42" s="3273" t="s">
        <v>2665</v>
      </c>
      <c r="B42" s="2014">
        <f t="shared" si="60"/>
        <v>0</v>
      </c>
      <c r="C42" s="3331">
        <f t="shared" si="60"/>
        <v>0</v>
      </c>
      <c r="D42" s="3568"/>
      <c r="E42" s="5340"/>
      <c r="F42" s="5339"/>
      <c r="G42" s="5340"/>
      <c r="H42" s="5339"/>
      <c r="I42" s="5340"/>
      <c r="J42" s="5339"/>
      <c r="K42" s="5340"/>
      <c r="L42" s="5339"/>
      <c r="M42" s="5341"/>
      <c r="N42" s="3572"/>
      <c r="O42" s="5342"/>
      <c r="P42" s="5229"/>
      <c r="Q42" s="5342"/>
      <c r="R42" s="5229"/>
      <c r="S42" s="5342"/>
      <c r="T42" s="5229"/>
      <c r="U42" s="5342"/>
      <c r="V42" s="5229"/>
      <c r="W42" s="5342"/>
      <c r="X42" s="5229"/>
      <c r="Y42" s="5342"/>
      <c r="Z42" s="5229"/>
      <c r="AA42" s="5342"/>
      <c r="AB42" s="5229"/>
      <c r="AC42" s="5342"/>
      <c r="AD42" s="5229"/>
      <c r="AE42" s="5342"/>
      <c r="AF42" s="5229"/>
      <c r="AG42" s="5342"/>
      <c r="AH42" s="5229"/>
      <c r="AI42" s="5342"/>
      <c r="AJ42" s="5229"/>
      <c r="AK42" s="5342"/>
      <c r="AL42" s="5229"/>
      <c r="AM42" s="5342"/>
      <c r="AN42" s="5229"/>
      <c r="AO42" s="5342"/>
      <c r="AP42" s="5229"/>
      <c r="AQ42" s="5336"/>
      <c r="AR42" s="3576"/>
      <c r="AS42" s="5336"/>
      <c r="AT42" s="5337"/>
      <c r="AU42" s="5336"/>
      <c r="AV42" s="3572"/>
      <c r="AW42" s="5338"/>
      <c r="AX42" s="1755" t="str">
        <f t="shared" ref="AX42" si="100">$CB42&amp;CC42&amp;CD42&amp;$CE42&amp;CK42&amp;CL42&amp;CM42&amp;CN42&amp;CO42&amp;CP42&amp;CQ42&amp;CR42&amp;CS42&amp;CT42&amp;CU42&amp;CV42&amp;CW42&amp;CX42</f>
        <v/>
      </c>
      <c r="CA42" s="603"/>
      <c r="CB42" s="4928" t="str">
        <f t="shared" si="98"/>
        <v/>
      </c>
      <c r="CC42" s="2873" t="str">
        <f t="shared" si="63"/>
        <v/>
      </c>
      <c r="CD42" s="2873" t="str">
        <f t="shared" si="64"/>
        <v/>
      </c>
      <c r="CE42" s="2873" t="str">
        <f t="shared" si="65"/>
        <v/>
      </c>
      <c r="CF42" s="3107"/>
      <c r="CG42" s="3107"/>
      <c r="CH42" s="3107"/>
      <c r="CI42" s="3107"/>
      <c r="CJ42" s="3107"/>
      <c r="CK42" s="2873" t="str">
        <f>IF(N42&lt;O42,CONCATENATE("* El total de Procesados debe ser mayor o igual al total de Reactivos en el grupo de edad ",$N$11),"")</f>
        <v/>
      </c>
      <c r="CL42" s="2873" t="str">
        <f>IF(P42&lt;Q42,CONCATENATE("* El total de Procesados debe ser mayor o igual al total de Reactivos en el grupo de edad ",$P$11),"")</f>
        <v/>
      </c>
      <c r="CM42" s="2873" t="str">
        <f t="shared" si="68"/>
        <v/>
      </c>
      <c r="CN42" s="2873" t="str">
        <f t="shared" si="69"/>
        <v/>
      </c>
      <c r="CO42" s="2873" t="str">
        <f t="shared" si="70"/>
        <v/>
      </c>
      <c r="CP42" s="2873" t="str">
        <f t="shared" si="71"/>
        <v/>
      </c>
      <c r="CQ42" s="2873" t="str">
        <f t="shared" si="72"/>
        <v/>
      </c>
      <c r="CR42" s="2873" t="str">
        <f t="shared" si="73"/>
        <v/>
      </c>
      <c r="CS42" s="2873" t="str">
        <f t="shared" si="74"/>
        <v/>
      </c>
      <c r="CT42" s="2873" t="str">
        <f t="shared" si="75"/>
        <v/>
      </c>
      <c r="CU42" s="2873" t="str">
        <f t="shared" si="76"/>
        <v/>
      </c>
      <c r="CV42" s="2873" t="str">
        <f t="shared" si="77"/>
        <v/>
      </c>
      <c r="CW42" s="2873" t="str">
        <f t="shared" si="78"/>
        <v/>
      </c>
      <c r="CX42" s="2873" t="str">
        <f t="shared" si="79"/>
        <v/>
      </c>
      <c r="DE42" s="2718"/>
      <c r="DF42" s="4928">
        <f t="shared" ref="DF42:DF43" si="101">IF(B42&lt;&gt;(AS42),1,0)</f>
        <v>0</v>
      </c>
      <c r="DG42" s="3009">
        <f t="shared" si="81"/>
        <v>0</v>
      </c>
      <c r="DH42" s="3009">
        <f t="shared" si="82"/>
        <v>0</v>
      </c>
      <c r="DI42" s="3009">
        <f t="shared" si="83"/>
        <v>0</v>
      </c>
      <c r="DJ42" s="3107"/>
      <c r="DK42" s="3107"/>
      <c r="DL42" s="3107"/>
      <c r="DM42" s="3107"/>
      <c r="DN42" s="3107"/>
      <c r="DO42" s="3009">
        <f t="shared" si="84"/>
        <v>0</v>
      </c>
      <c r="DP42" s="3009">
        <f t="shared" si="85"/>
        <v>0</v>
      </c>
      <c r="DQ42" s="3009">
        <f t="shared" si="86"/>
        <v>0</v>
      </c>
      <c r="DR42" s="3009">
        <f t="shared" si="87"/>
        <v>0</v>
      </c>
      <c r="DS42" s="3009">
        <f t="shared" si="88"/>
        <v>0</v>
      </c>
      <c r="DT42" s="3009">
        <f t="shared" si="89"/>
        <v>0</v>
      </c>
      <c r="DU42" s="3009">
        <f t="shared" si="90"/>
        <v>0</v>
      </c>
      <c r="DV42" s="3009">
        <f t="shared" si="91"/>
        <v>0</v>
      </c>
      <c r="DW42" s="3009">
        <f t="shared" si="92"/>
        <v>0</v>
      </c>
      <c r="DX42" s="3009">
        <f t="shared" si="93"/>
        <v>0</v>
      </c>
      <c r="DY42" s="3009">
        <f t="shared" si="94"/>
        <v>0</v>
      </c>
      <c r="DZ42" s="3009">
        <f t="shared" si="95"/>
        <v>0</v>
      </c>
      <c r="EA42" s="3009">
        <f t="shared" si="96"/>
        <v>0</v>
      </c>
      <c r="EB42" s="3009">
        <f t="shared" si="97"/>
        <v>0</v>
      </c>
    </row>
    <row r="43" spans="1:132" x14ac:dyDescent="0.25">
      <c r="A43" s="3273" t="s">
        <v>2666</v>
      </c>
      <c r="B43" s="2014">
        <f>+D43+F43+H43+J43+L43+N43+P43+R43+T43+V43+X43+Z43+AB43+AD43+AF43+AH43+AJ43+AL43+AN43+AP43</f>
        <v>0</v>
      </c>
      <c r="C43" s="3331">
        <f>+E43+G43+I43+K43+M43+O43+Q43+S43+U43+W43+Y43+AA43+AC43+AE43+AG43+AI43+AK43+AM43+AO43+AQ43</f>
        <v>0</v>
      </c>
      <c r="D43" s="3572"/>
      <c r="E43" s="5342"/>
      <c r="F43" s="5229"/>
      <c r="G43" s="5342"/>
      <c r="H43" s="5229"/>
      <c r="I43" s="5338"/>
      <c r="J43" s="3572"/>
      <c r="K43" s="3572"/>
      <c r="L43" s="5229"/>
      <c r="M43" s="5338"/>
      <c r="N43" s="3572"/>
      <c r="O43" s="5342"/>
      <c r="P43" s="5229"/>
      <c r="Q43" s="5342"/>
      <c r="R43" s="5229"/>
      <c r="S43" s="5342"/>
      <c r="T43" s="5229"/>
      <c r="U43" s="5342"/>
      <c r="V43" s="5229"/>
      <c r="W43" s="5342"/>
      <c r="X43" s="5229"/>
      <c r="Y43" s="5342"/>
      <c r="Z43" s="5229"/>
      <c r="AA43" s="5342"/>
      <c r="AB43" s="5229"/>
      <c r="AC43" s="5342"/>
      <c r="AD43" s="5229"/>
      <c r="AE43" s="5342"/>
      <c r="AF43" s="5229"/>
      <c r="AG43" s="5342"/>
      <c r="AH43" s="5229"/>
      <c r="AI43" s="5342"/>
      <c r="AJ43" s="5229"/>
      <c r="AK43" s="5342"/>
      <c r="AL43" s="5229"/>
      <c r="AM43" s="5342"/>
      <c r="AN43" s="5229"/>
      <c r="AO43" s="5342"/>
      <c r="AP43" s="5229"/>
      <c r="AQ43" s="5336"/>
      <c r="AR43" s="3576"/>
      <c r="AS43" s="5336"/>
      <c r="AT43" s="5337"/>
      <c r="AU43" s="5336"/>
      <c r="AV43" s="3572"/>
      <c r="AW43" s="5338"/>
      <c r="AX43" s="1755" t="str">
        <f>$CB43&amp;CC43&amp;CD43&amp;$CE43&amp;CF43&amp;CG43&amp;CH43&amp;CI43&amp;CJ43&amp;CK43&amp;CL43&amp;CM43&amp;CN43&amp;CO43&amp;CP43&amp;CQ43&amp;CR43&amp;CS43&amp;CT43&amp;CU43&amp;CV43&amp;CW43&amp;CX43</f>
        <v/>
      </c>
      <c r="CA43" s="603"/>
      <c r="CB43" s="4928" t="str">
        <f t="shared" si="98"/>
        <v/>
      </c>
      <c r="CC43" s="2873" t="str">
        <f t="shared" si="63"/>
        <v/>
      </c>
      <c r="CD43" s="2873" t="str">
        <f t="shared" si="64"/>
        <v/>
      </c>
      <c r="CE43" s="2873" t="str">
        <f t="shared" si="65"/>
        <v/>
      </c>
      <c r="CF43" s="2873" t="str">
        <f>IF(D43&lt;E43,CONCATENATE("* El total de Procesados debe ser mayor o igual al total de Reactivos en el grupo de edad ",$D$11),"")</f>
        <v/>
      </c>
      <c r="CG43" s="2873" t="str">
        <f>IF(F43&lt;G43,CONCATENATE("* El total de Procesados debe ser mayor o igual al total de Reactivos en el grupo de edad ",$F$11),"")</f>
        <v/>
      </c>
      <c r="CH43" s="2873" t="str">
        <f>IF(H43&lt;I43,CONCATENATE("* El total de Procesados debe ser mayor o igual al total de Reactivos en el grupo de edad ",$H$11),"")</f>
        <v/>
      </c>
      <c r="CI43" s="2873" t="str">
        <f>IF(J43&lt;K43,CONCATENATE("* El total de Procesados debe ser mayor o igual al total de Reactivos en el grupo de edad ",$J$11),"")</f>
        <v/>
      </c>
      <c r="CJ43" s="2873" t="str">
        <f>IF(L43&lt;M43,CONCATENATE("* El total de Procesados debe ser mayor o igual al total de Reactivos en el grupo de edad ",$L$11),"")</f>
        <v/>
      </c>
      <c r="CK43" s="2873" t="str">
        <f>IF(N43&lt;O43,CONCATENATE("* El total de Procesados debe ser mayor o igual al total de Reactivos en el grupo de edad ",$N$11),"")</f>
        <v/>
      </c>
      <c r="CL43" s="2873" t="str">
        <f>IF(P43&lt;Q43,CONCATENATE("* El total de Procesados debe ser mayor o igual al total de Reactivos en el grupo de edad ",$P$11),"")</f>
        <v/>
      </c>
      <c r="CM43" s="2873" t="str">
        <f t="shared" si="68"/>
        <v/>
      </c>
      <c r="CN43" s="2873" t="str">
        <f t="shared" si="69"/>
        <v/>
      </c>
      <c r="CO43" s="2873" t="str">
        <f t="shared" si="70"/>
        <v/>
      </c>
      <c r="CP43" s="2873" t="str">
        <f t="shared" si="71"/>
        <v/>
      </c>
      <c r="CQ43" s="2873" t="str">
        <f t="shared" si="72"/>
        <v/>
      </c>
      <c r="CR43" s="2873" t="str">
        <f t="shared" si="73"/>
        <v/>
      </c>
      <c r="CS43" s="2873" t="str">
        <f t="shared" si="74"/>
        <v/>
      </c>
      <c r="CT43" s="2873" t="str">
        <f t="shared" si="75"/>
        <v/>
      </c>
      <c r="CU43" s="2873" t="str">
        <f t="shared" si="76"/>
        <v/>
      </c>
      <c r="CV43" s="2873" t="str">
        <f t="shared" si="77"/>
        <v/>
      </c>
      <c r="CW43" s="2873" t="str">
        <f t="shared" si="78"/>
        <v/>
      </c>
      <c r="CX43" s="2873" t="str">
        <f t="shared" si="79"/>
        <v/>
      </c>
      <c r="DE43" s="2718"/>
      <c r="DF43" s="4928">
        <f t="shared" si="101"/>
        <v>0</v>
      </c>
      <c r="DG43" s="3009">
        <f t="shared" si="81"/>
        <v>0</v>
      </c>
      <c r="DH43" s="3009">
        <f t="shared" si="82"/>
        <v>0</v>
      </c>
      <c r="DI43" s="3009">
        <f t="shared" si="83"/>
        <v>0</v>
      </c>
      <c r="DJ43" s="3009">
        <f>IF(D43&lt;E43,1,0)</f>
        <v>0</v>
      </c>
      <c r="DK43" s="3009">
        <f>IF(F43&lt;G43,1,0)</f>
        <v>0</v>
      </c>
      <c r="DL43" s="3009">
        <f>IF(H43&lt;I43,1,0)</f>
        <v>0</v>
      </c>
      <c r="DM43" s="3009">
        <f>IF(J43&lt;K43,1,0)</f>
        <v>0</v>
      </c>
      <c r="DN43" s="3009">
        <f>IF(L43&lt;M43,1,0)</f>
        <v>0</v>
      </c>
      <c r="DO43" s="3009">
        <f t="shared" si="84"/>
        <v>0</v>
      </c>
      <c r="DP43" s="3009">
        <f t="shared" si="85"/>
        <v>0</v>
      </c>
      <c r="DQ43" s="3009">
        <f t="shared" si="86"/>
        <v>0</v>
      </c>
      <c r="DR43" s="3009">
        <f t="shared" si="87"/>
        <v>0</v>
      </c>
      <c r="DS43" s="3009">
        <f t="shared" si="88"/>
        <v>0</v>
      </c>
      <c r="DT43" s="3009">
        <f t="shared" si="89"/>
        <v>0</v>
      </c>
      <c r="DU43" s="3009">
        <f t="shared" si="90"/>
        <v>0</v>
      </c>
      <c r="DV43" s="3009">
        <f t="shared" si="91"/>
        <v>0</v>
      </c>
      <c r="DW43" s="3009">
        <f t="shared" si="92"/>
        <v>0</v>
      </c>
      <c r="DX43" s="3009">
        <f t="shared" si="93"/>
        <v>0</v>
      </c>
      <c r="DY43" s="3009">
        <f t="shared" si="94"/>
        <v>0</v>
      </c>
      <c r="DZ43" s="3009">
        <f t="shared" si="95"/>
        <v>0</v>
      </c>
      <c r="EA43" s="3009">
        <f t="shared" si="96"/>
        <v>0</v>
      </c>
      <c r="EB43" s="3009">
        <f t="shared" si="97"/>
        <v>0</v>
      </c>
    </row>
    <row r="44" spans="1:132" ht="21" x14ac:dyDescent="0.25">
      <c r="A44" s="3328" t="s">
        <v>2667</v>
      </c>
      <c r="B44" s="2014">
        <f>+D44+F44+H44</f>
        <v>0</v>
      </c>
      <c r="C44" s="3331">
        <f>+E44+G44+I44</f>
        <v>0</v>
      </c>
      <c r="D44" s="3572"/>
      <c r="E44" s="5342"/>
      <c r="F44" s="5229"/>
      <c r="G44" s="5342"/>
      <c r="H44" s="5229"/>
      <c r="I44" s="5338"/>
      <c r="J44" s="5343"/>
      <c r="K44" s="5344"/>
      <c r="L44" s="5343"/>
      <c r="M44" s="5344"/>
      <c r="N44" s="5343"/>
      <c r="O44" s="5344"/>
      <c r="P44" s="5343"/>
      <c r="Q44" s="5344"/>
      <c r="R44" s="5343"/>
      <c r="S44" s="5344"/>
      <c r="T44" s="5343"/>
      <c r="U44" s="5344"/>
      <c r="V44" s="5343"/>
      <c r="W44" s="5344"/>
      <c r="X44" s="5343"/>
      <c r="Y44" s="5344"/>
      <c r="Z44" s="5343"/>
      <c r="AA44" s="5344"/>
      <c r="AB44" s="5343"/>
      <c r="AC44" s="5344"/>
      <c r="AD44" s="5343"/>
      <c r="AE44" s="5344"/>
      <c r="AF44" s="5343"/>
      <c r="AG44" s="5344"/>
      <c r="AH44" s="5343"/>
      <c r="AI44" s="5344"/>
      <c r="AJ44" s="5343"/>
      <c r="AK44" s="5344"/>
      <c r="AL44" s="5343"/>
      <c r="AM44" s="5344"/>
      <c r="AN44" s="5343"/>
      <c r="AO44" s="5344"/>
      <c r="AP44" s="5343"/>
      <c r="AQ44" s="5345"/>
      <c r="AR44" s="3572"/>
      <c r="AS44" s="5336"/>
      <c r="AT44" s="5337"/>
      <c r="AU44" s="5336"/>
      <c r="AV44" s="3572"/>
      <c r="AW44" s="5338"/>
      <c r="AX44" s="1755" t="str">
        <f>$CB44&amp;CC44&amp;CD44&amp;$CE44&amp;CK44&amp;CL44&amp;CM44&amp;CN44&amp;CO44&amp;CP44&amp;CQ44&amp;CR44&amp;CS44&amp;CT44&amp;CU44&amp;CV44&amp;CW44&amp;CX44&amp;CF44&amp;CG44&amp;CH44</f>
        <v/>
      </c>
      <c r="CA44" s="603"/>
      <c r="CB44" s="2873" t="str">
        <f>IF(B44&lt;&gt;(AS44+AR44)," * La suma de las columnas "&amp;AR$10&amp;""&amp;" DEBE SER IGUAL a los Exámenes Procesados. ","")</f>
        <v/>
      </c>
      <c r="CC44" s="2873" t="str">
        <f t="shared" si="63"/>
        <v/>
      </c>
      <c r="CD44" s="2873" t="str">
        <f t="shared" si="64"/>
        <v/>
      </c>
      <c r="CE44" s="2873" t="str">
        <f t="shared" si="65"/>
        <v/>
      </c>
      <c r="CF44" s="2873" t="str">
        <f>IF(D44&lt;E44,CONCATENATE("* El total de Procesados debe ser mayor o igual al total de Reactivos en el grupo de edad ",$D$11),"")</f>
        <v/>
      </c>
      <c r="CG44" s="2873" t="str">
        <f>IF(F44&lt;G44,CONCATENATE("* El total de Procesados debe ser mayor o igual al total de Reactivos en el grupo de edad ",$F$11),"")</f>
        <v/>
      </c>
      <c r="CH44" s="2873" t="str">
        <f>IF(H44&lt;I44,CONCATENATE("* El total de Procesados debe ser mayor o igual al total de Reactivos en el grupo de edad ",$H$11),"")</f>
        <v/>
      </c>
      <c r="CI44" s="2872"/>
      <c r="CJ44" s="2872"/>
      <c r="CK44" s="3581"/>
      <c r="CL44" s="2872"/>
      <c r="CM44" s="2872"/>
      <c r="CN44" s="2872"/>
      <c r="CO44" s="2872"/>
      <c r="CP44" s="2872"/>
      <c r="CQ44" s="2872"/>
      <c r="CR44" s="2872"/>
      <c r="CS44" s="2872"/>
      <c r="CT44" s="2872"/>
      <c r="CU44" s="2872"/>
      <c r="CV44" s="2872"/>
      <c r="CW44" s="2872"/>
      <c r="CX44" s="2872"/>
      <c r="DE44" s="2718"/>
      <c r="DF44" s="2873">
        <f>IF(B44&lt;&gt;(AS44+AR44),1,0)</f>
        <v>0</v>
      </c>
      <c r="DG44" s="3009">
        <f t="shared" si="81"/>
        <v>0</v>
      </c>
      <c r="DH44" s="3009">
        <f t="shared" si="82"/>
        <v>0</v>
      </c>
      <c r="DI44" s="3009">
        <f t="shared" si="83"/>
        <v>0</v>
      </c>
      <c r="DJ44" s="3009">
        <f>IF(D44&lt;E44,1,0)</f>
        <v>0</v>
      </c>
      <c r="DK44" s="3009">
        <f>IF(F44&lt;G44,1,0)</f>
        <v>0</v>
      </c>
      <c r="DL44" s="3009">
        <f>IF(H44&lt;I44,1,0)</f>
        <v>0</v>
      </c>
      <c r="DM44" s="2872"/>
      <c r="DN44" s="2872"/>
      <c r="DO44" s="3107"/>
      <c r="DP44" s="3107"/>
      <c r="DQ44" s="3107"/>
      <c r="DR44" s="3107"/>
      <c r="DS44" s="3107"/>
      <c r="DT44" s="3107"/>
      <c r="DU44" s="3107"/>
      <c r="DV44" s="3107"/>
      <c r="DW44" s="3107"/>
      <c r="DX44" s="3107"/>
      <c r="DY44" s="3107"/>
      <c r="DZ44" s="3107"/>
      <c r="EA44" s="3107"/>
      <c r="EB44" s="3107"/>
    </row>
    <row r="45" spans="1:132" x14ac:dyDescent="0.25">
      <c r="A45" s="3328" t="s">
        <v>2668</v>
      </c>
      <c r="B45" s="2014">
        <f>+P45+R45+T45+V45+X45+Z45+AB45+AD45+AF45+AH45+AJ45+AL45+AN45+AP45</f>
        <v>0</v>
      </c>
      <c r="C45" s="3331">
        <f>+Q45+S45+U45+W45+Y45+AA45+AC45+AE45+AG45+AI45+AK45+AM45+AO45+AQ45</f>
        <v>0</v>
      </c>
      <c r="D45" s="3568"/>
      <c r="E45" s="5340"/>
      <c r="F45" s="5339"/>
      <c r="G45" s="5340"/>
      <c r="H45" s="5339"/>
      <c r="I45" s="5340"/>
      <c r="J45" s="5339"/>
      <c r="K45" s="5340"/>
      <c r="L45" s="5339"/>
      <c r="M45" s="5341"/>
      <c r="N45" s="3568"/>
      <c r="O45" s="5340"/>
      <c r="P45" s="5229"/>
      <c r="Q45" s="5342"/>
      <c r="R45" s="5229"/>
      <c r="S45" s="5342"/>
      <c r="T45" s="5229"/>
      <c r="U45" s="5342"/>
      <c r="V45" s="5229"/>
      <c r="W45" s="5342"/>
      <c r="X45" s="5229"/>
      <c r="Y45" s="5342"/>
      <c r="Z45" s="5229"/>
      <c r="AA45" s="5342"/>
      <c r="AB45" s="5229"/>
      <c r="AC45" s="5342"/>
      <c r="AD45" s="5229"/>
      <c r="AE45" s="5342"/>
      <c r="AF45" s="5229"/>
      <c r="AG45" s="5342"/>
      <c r="AH45" s="5229"/>
      <c r="AI45" s="5342"/>
      <c r="AJ45" s="5229"/>
      <c r="AK45" s="5342"/>
      <c r="AL45" s="5229"/>
      <c r="AM45" s="5342"/>
      <c r="AN45" s="5229"/>
      <c r="AO45" s="5342"/>
      <c r="AP45" s="5229"/>
      <c r="AQ45" s="5336"/>
      <c r="AR45" s="3572"/>
      <c r="AS45" s="5336"/>
      <c r="AT45" s="5337"/>
      <c r="AU45" s="5336"/>
      <c r="AV45" s="3572"/>
      <c r="AW45" s="5338"/>
      <c r="AX45" s="1755" t="str">
        <f>$CB45&amp;CC45&amp;CD45&amp;$CE45&amp;CK45&amp;CL45&amp;CM45&amp;CN45&amp;CO45&amp;CP45&amp;CQ45&amp;CR45&amp;CS45&amp;CT45&amp;CU45&amp;CV45&amp;CW45&amp;CX45</f>
        <v/>
      </c>
      <c r="CA45" s="603"/>
      <c r="CB45" s="2873" t="str">
        <f t="shared" ref="CB45:CB52" si="102">IF(B45&lt;&gt;(AS45+AR45)," * La suma de las columnas "&amp;AR$10&amp;""&amp;" DEBE SER IGUAL a los Exámenes Procesados. ","")</f>
        <v/>
      </c>
      <c r="CC45" s="2873" t="str">
        <f t="shared" si="63"/>
        <v/>
      </c>
      <c r="CD45" s="2873" t="str">
        <f t="shared" si="64"/>
        <v/>
      </c>
      <c r="CE45" s="2873" t="str">
        <f t="shared" si="65"/>
        <v/>
      </c>
      <c r="CF45" s="3581"/>
      <c r="CG45" s="3581"/>
      <c r="CH45" s="2872"/>
      <c r="CI45" s="2872"/>
      <c r="CJ45" s="2872"/>
      <c r="CK45" s="3581"/>
      <c r="CL45" s="2873" t="str">
        <f>IF(P45&lt;Q45,CONCATENATE("* El total de Procesados debe ser mayor o igual al total de Reactivos en el grupo de edad ",$P$11),"")</f>
        <v/>
      </c>
      <c r="CM45" s="2873" t="str">
        <f t="shared" ref="CM45:CM52" si="103">IF(R45&lt;S45,CONCATENATE("* El total de Procesados debe ser mayor o igual al total de Reactivos en el grupo de edad ",$R$11),"")</f>
        <v/>
      </c>
      <c r="CN45" s="2873" t="str">
        <f t="shared" si="69"/>
        <v/>
      </c>
      <c r="CO45" s="2873" t="str">
        <f t="shared" ref="CO45:CO52" si="104">IF(V45&lt;W45,CONCATENATE("* El total de Procesados debe ser mayor o igual al total de Reactivos en el grupo de edad ",$V$11),"")</f>
        <v/>
      </c>
      <c r="CP45" s="2873" t="str">
        <f t="shared" ref="CP45:CP52" si="105">IF(X45&lt;Y45,CONCATENATE("* El total de Procesados debe ser mayor o igual al total de Reactivos en el grupo de edad ",$X$11),"")</f>
        <v/>
      </c>
      <c r="CQ45" s="2873" t="str">
        <f t="shared" ref="CQ45:CQ52" si="106">IF(Z45&lt;AA45,CONCATENATE("* El total de Procesados debe ser mayor o igual al total de Reactivos en el grupo de edad ",$Z$11),"")</f>
        <v/>
      </c>
      <c r="CR45" s="2873" t="str">
        <f t="shared" ref="CR45:CR52" si="107">IF(AD45&lt;AE45,CONCATENATE("* El total de Procesados debe ser mayor o igual al total de Reactivos en el grupo de edad ",$AD$11),"")</f>
        <v/>
      </c>
      <c r="CS45" s="2873" t="str">
        <f t="shared" ref="CS45:CS52" si="108">IF(AF45&lt;AG45,CONCATENATE("* El total de Procesados debe ser mayor o igual al total de Reactivos en el grupo de edad ",$AF$11),"")</f>
        <v/>
      </c>
      <c r="CT45" s="2873" t="str">
        <f t="shared" ref="CT45:CT52" si="109">IF(AH45&lt;AI45,CONCATENATE("* El total de Procesados debe ser mayor o igual al total de Reactivos en el grupo de edad ",$AH$11),"")</f>
        <v/>
      </c>
      <c r="CU45" s="2873" t="str">
        <f t="shared" ref="CU45:CU48" si="110">IF(AJ45&lt;AK45,CONCATENATE("* El total de Procesados debe ser mayor o igual al total de Reactivos en el grupo de edad ",$AJ$11),"")</f>
        <v/>
      </c>
      <c r="CV45" s="2873" t="str">
        <f t="shared" ref="CV45:CV48" si="111">IF(AL45&lt;AM45,CONCATENATE("* El total de Procesados debe ser mayor o igual al total de Reactivos en el grupo de edad ",$AL$11),"")</f>
        <v/>
      </c>
      <c r="CW45" s="2873" t="str">
        <f t="shared" ref="CW45:CW48" si="112">IF(AN45&lt;AO45,CONCATENATE("* El total de Procesados debe ser mayor o igual al total de Reactivos en el grupo de edad ",$AN$11),"")</f>
        <v/>
      </c>
      <c r="CX45" s="2873" t="str">
        <f t="shared" ref="CX45:CX48" si="113">IF(AP45&lt;AQ45,CONCATENATE("* El total de Procesados debe ser mayor o igual al total de Reactivos en el grupo de edad ",$AP$11),"")</f>
        <v/>
      </c>
      <c r="DE45" s="2718"/>
      <c r="DF45" s="2873">
        <f t="shared" ref="DF45:DF52" si="114">IF(B45&lt;&gt;(AS45+AR45),1,0)</f>
        <v>0</v>
      </c>
      <c r="DG45" s="3009">
        <f t="shared" si="81"/>
        <v>0</v>
      </c>
      <c r="DH45" s="3009">
        <f t="shared" si="82"/>
        <v>0</v>
      </c>
      <c r="DI45" s="3009">
        <f t="shared" si="83"/>
        <v>0</v>
      </c>
      <c r="DJ45" s="2872"/>
      <c r="DK45" s="2872"/>
      <c r="DL45" s="2872"/>
      <c r="DM45" s="2872"/>
      <c r="DN45" s="2872"/>
      <c r="DO45" s="3107"/>
      <c r="DP45" s="3009">
        <f t="shared" ref="DP45:DP52" si="115">IF(P45&lt;Q45,1,0)</f>
        <v>0</v>
      </c>
      <c r="DQ45" s="3009">
        <f t="shared" ref="DQ45:DQ52" si="116">IF(R45&lt;S45,1,0)</f>
        <v>0</v>
      </c>
      <c r="DR45" s="3009">
        <f t="shared" si="87"/>
        <v>0</v>
      </c>
      <c r="DS45" s="3009">
        <f t="shared" ref="DS45:DS52" si="117">IF(V45&lt;W45,1,0)</f>
        <v>0</v>
      </c>
      <c r="DT45" s="3009">
        <f t="shared" ref="DT45:DT52" si="118">IF(X45&lt;Y45,1,0)</f>
        <v>0</v>
      </c>
      <c r="DU45" s="3009">
        <f t="shared" ref="DU45:DU52" si="119">IF(Z45&lt;AA45,1,0)</f>
        <v>0</v>
      </c>
      <c r="DV45" s="3009">
        <f t="shared" ref="DV45:DV52" si="120">IF(AD45&lt;AE45,1,0)</f>
        <v>0</v>
      </c>
      <c r="DW45" s="3009">
        <f t="shared" ref="DW45:DW52" si="121">IF(AF45&lt;AG45,1,0)</f>
        <v>0</v>
      </c>
      <c r="DX45" s="3009">
        <f t="shared" ref="DX45:DX52" si="122">IF(AH45&lt;AI45,1,0)</f>
        <v>0</v>
      </c>
      <c r="DY45" s="3009">
        <f t="shared" ref="DY45:DY48" si="123">IF(AJ45&lt;AK45,1,0)</f>
        <v>0</v>
      </c>
      <c r="DZ45" s="3009">
        <f t="shared" ref="DZ45:DZ48" si="124">IF(AL45&lt;AM45,1,0)</f>
        <v>0</v>
      </c>
      <c r="EA45" s="3009">
        <f t="shared" ref="EA45:EA48" si="125">IF(AN45&lt;AO45,1,0)</f>
        <v>0</v>
      </c>
      <c r="EB45" s="3009">
        <f t="shared" ref="EB45:EB48" si="126">IF(AP45&lt;AQ45,1,0)</f>
        <v>0</v>
      </c>
    </row>
    <row r="46" spans="1:132" x14ac:dyDescent="0.25">
      <c r="A46" s="3273" t="s">
        <v>2669</v>
      </c>
      <c r="B46" s="2014">
        <f>+N46+P46+R46+T46+V46+X46+Z46+AB46+AD46+AF46+AH46+AJ46+AL46+AN46+AP46</f>
        <v>0</v>
      </c>
      <c r="C46" s="3331">
        <f>+O46+Q46+S46+U46+W46+Y46+AA46+AC46+AE46+AG46+AI46+AK46+AM46+AO46+AQ46</f>
        <v>0</v>
      </c>
      <c r="D46" s="3576"/>
      <c r="E46" s="5344"/>
      <c r="F46" s="5343"/>
      <c r="G46" s="5344"/>
      <c r="H46" s="5343"/>
      <c r="I46" s="5346"/>
      <c r="J46" s="3576"/>
      <c r="K46" s="3576"/>
      <c r="L46" s="5343"/>
      <c r="M46" s="5346"/>
      <c r="N46" s="3572"/>
      <c r="O46" s="5342"/>
      <c r="P46" s="5229"/>
      <c r="Q46" s="5342"/>
      <c r="R46" s="5229"/>
      <c r="S46" s="5342"/>
      <c r="T46" s="5229"/>
      <c r="U46" s="5342"/>
      <c r="V46" s="5229"/>
      <c r="W46" s="5342"/>
      <c r="X46" s="5229"/>
      <c r="Y46" s="5342"/>
      <c r="Z46" s="5229"/>
      <c r="AA46" s="5342"/>
      <c r="AB46" s="5229"/>
      <c r="AC46" s="5342"/>
      <c r="AD46" s="5229"/>
      <c r="AE46" s="5342"/>
      <c r="AF46" s="5229"/>
      <c r="AG46" s="5342"/>
      <c r="AH46" s="5229"/>
      <c r="AI46" s="5342"/>
      <c r="AJ46" s="5229"/>
      <c r="AK46" s="5342"/>
      <c r="AL46" s="5229"/>
      <c r="AM46" s="5342"/>
      <c r="AN46" s="5229"/>
      <c r="AO46" s="5342"/>
      <c r="AP46" s="5229"/>
      <c r="AQ46" s="5336"/>
      <c r="AR46" s="3572"/>
      <c r="AS46" s="5336"/>
      <c r="AT46" s="5337"/>
      <c r="AU46" s="5336"/>
      <c r="AV46" s="3572"/>
      <c r="AW46" s="5338"/>
      <c r="AX46" s="1755" t="str">
        <f t="shared" ref="AX46:AX48" si="127">$CB46&amp;CC46&amp;CD46&amp;$CE46&amp;CK46&amp;CL46&amp;CM46&amp;CN46&amp;CO46&amp;CP46&amp;CQ46&amp;CR46&amp;CS46&amp;CT46&amp;CU46&amp;CV46&amp;CW46&amp;CX46</f>
        <v/>
      </c>
      <c r="CA46" s="603"/>
      <c r="CB46" s="2873" t="str">
        <f t="shared" si="102"/>
        <v/>
      </c>
      <c r="CC46" s="2873" t="str">
        <f t="shared" si="63"/>
        <v/>
      </c>
      <c r="CD46" s="2873" t="str">
        <f t="shared" si="64"/>
        <v/>
      </c>
      <c r="CE46" s="2873" t="str">
        <f t="shared" si="65"/>
        <v/>
      </c>
      <c r="CF46" s="3581"/>
      <c r="CG46" s="3581"/>
      <c r="CH46" s="2872"/>
      <c r="CI46" s="2872"/>
      <c r="CJ46" s="2872"/>
      <c r="CK46" s="2873" t="str">
        <f>IF(N46&lt;O46,CONCATENATE("* El total de Procesados debe ser mayor o igual al total de Reactivos en el grupo de edad ",$N$11),"")</f>
        <v/>
      </c>
      <c r="CL46" s="2873" t="str">
        <f t="shared" ref="CL46" si="128">IF(P46&lt;Q46,CONCATENATE("* El total de Procesados debe ser mayor o igual al total de Reactivos en el grupo de edad ",$P$11),"")</f>
        <v/>
      </c>
      <c r="CM46" s="2873" t="str">
        <f t="shared" si="103"/>
        <v/>
      </c>
      <c r="CN46" s="2873" t="str">
        <f t="shared" si="69"/>
        <v/>
      </c>
      <c r="CO46" s="2873" t="str">
        <f t="shared" si="104"/>
        <v/>
      </c>
      <c r="CP46" s="2873" t="str">
        <f t="shared" si="105"/>
        <v/>
      </c>
      <c r="CQ46" s="2873" t="str">
        <f t="shared" si="106"/>
        <v/>
      </c>
      <c r="CR46" s="2873" t="str">
        <f t="shared" si="107"/>
        <v/>
      </c>
      <c r="CS46" s="2873" t="str">
        <f t="shared" si="108"/>
        <v/>
      </c>
      <c r="CT46" s="2873" t="str">
        <f t="shared" si="109"/>
        <v/>
      </c>
      <c r="CU46" s="2873" t="str">
        <f t="shared" si="110"/>
        <v/>
      </c>
      <c r="CV46" s="2873" t="str">
        <f t="shared" si="111"/>
        <v/>
      </c>
      <c r="CW46" s="2873" t="str">
        <f t="shared" si="112"/>
        <v/>
      </c>
      <c r="CX46" s="2873" t="str">
        <f t="shared" si="113"/>
        <v/>
      </c>
      <c r="DE46" s="2718"/>
      <c r="DF46" s="2873">
        <f t="shared" si="114"/>
        <v>0</v>
      </c>
      <c r="DG46" s="3009">
        <f t="shared" si="81"/>
        <v>0</v>
      </c>
      <c r="DH46" s="3009">
        <f t="shared" si="82"/>
        <v>0</v>
      </c>
      <c r="DI46" s="3009">
        <f t="shared" si="83"/>
        <v>0</v>
      </c>
      <c r="DJ46" s="2872"/>
      <c r="DK46" s="2872"/>
      <c r="DL46" s="2872"/>
      <c r="DM46" s="2872"/>
      <c r="DN46" s="2872"/>
      <c r="DO46" s="3009">
        <f t="shared" ref="DO46:DO47" si="129">IF(N46&lt;O46,1,0)</f>
        <v>0</v>
      </c>
      <c r="DP46" s="3009">
        <f t="shared" si="115"/>
        <v>0</v>
      </c>
      <c r="DQ46" s="3009">
        <f t="shared" si="116"/>
        <v>0</v>
      </c>
      <c r="DR46" s="3009">
        <f t="shared" si="87"/>
        <v>0</v>
      </c>
      <c r="DS46" s="3009">
        <f t="shared" si="117"/>
        <v>0</v>
      </c>
      <c r="DT46" s="3009">
        <f t="shared" si="118"/>
        <v>0</v>
      </c>
      <c r="DU46" s="3009">
        <f t="shared" si="119"/>
        <v>0</v>
      </c>
      <c r="DV46" s="3009">
        <f t="shared" si="120"/>
        <v>0</v>
      </c>
      <c r="DW46" s="3009">
        <f t="shared" si="121"/>
        <v>0</v>
      </c>
      <c r="DX46" s="3009">
        <f t="shared" si="122"/>
        <v>0</v>
      </c>
      <c r="DY46" s="3009">
        <f t="shared" si="123"/>
        <v>0</v>
      </c>
      <c r="DZ46" s="3009">
        <f t="shared" si="124"/>
        <v>0</v>
      </c>
      <c r="EA46" s="3009">
        <f t="shared" si="125"/>
        <v>0</v>
      </c>
      <c r="EB46" s="3009">
        <f t="shared" si="126"/>
        <v>0</v>
      </c>
    </row>
    <row r="47" spans="1:132" x14ac:dyDescent="0.25">
      <c r="A47" s="3273" t="s">
        <v>2670</v>
      </c>
      <c r="B47" s="2014">
        <f>+D47+F47+H47+J47+L47+N47+P47+R47+T47+V47+X47+Z47+AB47+AD47+AF47+AH47+AJ47+AL47+AN47+AP47</f>
        <v>0</v>
      </c>
      <c r="C47" s="3331">
        <f>+E47+G47+I47+K47+M47+O47+Q47+S47+U47+W47+Y47+AA47+AC47+AE47+AG47+AI47+AK47+AM47+AO47+AQ47</f>
        <v>0</v>
      </c>
      <c r="D47" s="3572"/>
      <c r="E47" s="5342"/>
      <c r="F47" s="5229"/>
      <c r="G47" s="5342"/>
      <c r="H47" s="5229"/>
      <c r="I47" s="5338"/>
      <c r="J47" s="3572"/>
      <c r="K47" s="3572"/>
      <c r="L47" s="5229"/>
      <c r="M47" s="5338"/>
      <c r="N47" s="3572"/>
      <c r="O47" s="5342"/>
      <c r="P47" s="5229"/>
      <c r="Q47" s="5342"/>
      <c r="R47" s="5229"/>
      <c r="S47" s="5342"/>
      <c r="T47" s="5229"/>
      <c r="U47" s="5342"/>
      <c r="V47" s="5229"/>
      <c r="W47" s="5342"/>
      <c r="X47" s="5229"/>
      <c r="Y47" s="5342"/>
      <c r="Z47" s="5229"/>
      <c r="AA47" s="5342"/>
      <c r="AB47" s="5229"/>
      <c r="AC47" s="5342"/>
      <c r="AD47" s="5229"/>
      <c r="AE47" s="5342"/>
      <c r="AF47" s="5229"/>
      <c r="AG47" s="5342"/>
      <c r="AH47" s="5229"/>
      <c r="AI47" s="5342"/>
      <c r="AJ47" s="5229"/>
      <c r="AK47" s="5342"/>
      <c r="AL47" s="5229"/>
      <c r="AM47" s="5342"/>
      <c r="AN47" s="5229"/>
      <c r="AO47" s="5342"/>
      <c r="AP47" s="5229"/>
      <c r="AQ47" s="5336"/>
      <c r="AR47" s="3572"/>
      <c r="AS47" s="5336"/>
      <c r="AT47" s="5337"/>
      <c r="AU47" s="5336"/>
      <c r="AV47" s="3572"/>
      <c r="AW47" s="5338"/>
      <c r="AX47" s="1755" t="str">
        <f>$CB47&amp;CC47&amp;CD47&amp;$CE47&amp;CF47&amp;CG47&amp;CH47&amp;CI47&amp;CJ47&amp;CK47&amp;CL47&amp;CM47&amp;CN47&amp;CO47&amp;CP47&amp;CQ47&amp;CR47&amp;CS47&amp;CT47&amp;CU47&amp;CV47&amp;CW47&amp;CX47</f>
        <v/>
      </c>
      <c r="CA47" s="603"/>
      <c r="CB47" s="2873" t="str">
        <f t="shared" si="102"/>
        <v/>
      </c>
      <c r="CC47" s="2873" t="str">
        <f t="shared" si="63"/>
        <v/>
      </c>
      <c r="CD47" s="2873" t="str">
        <f t="shared" si="64"/>
        <v/>
      </c>
      <c r="CE47" s="2873" t="str">
        <f t="shared" si="65"/>
        <v/>
      </c>
      <c r="CF47" s="2873" t="str">
        <f>IF(D47&lt;E47,CONCATENATE("* El total de Procesados debe ser mayor o igual al total de Reactivos en el grupo de edad ",$D$11),"")</f>
        <v/>
      </c>
      <c r="CG47" s="2873" t="str">
        <f>IF(F47&lt;G47,CONCATENATE("* El total de Procesados debe ser mayor o igual al total de Reactivos en el grupo de edad ",$F$11),"")</f>
        <v/>
      </c>
      <c r="CH47" s="2873" t="str">
        <f>IF(H47&lt;I47,CONCATENATE("* El total de Procesados debe ser mayor o igual al total de Reactivos en el grupo de edad ",$H$11),"")</f>
        <v/>
      </c>
      <c r="CI47" s="2873" t="str">
        <f>IF(J47&lt;K47,CONCATENATE("* El total de Procesados debe ser mayor o igual al total de Reactivos en el grupo de edad ",$J$11),"")</f>
        <v/>
      </c>
      <c r="CJ47" s="2873" t="str">
        <f>IF(L47&lt;M47,CONCATENATE("* El total de Procesados debe ser mayor o igual al total de Reactivos en el grupo de edad ",$L$11),"")</f>
        <v/>
      </c>
      <c r="CK47" s="2873" t="str">
        <f>IF(N47&lt;O47,CONCATENATE("* El total de Procesados debe ser mayor o igual al total de Reactivos en el grupo de edad ",$N$11),"")</f>
        <v/>
      </c>
      <c r="CL47" s="2873" t="str">
        <f>IF(P47&lt;Q47,CONCATENATE("* El total de Procesados debe ser mayor o igual al total de Reactivos en el grupo de edad ",$P$11),"")</f>
        <v/>
      </c>
      <c r="CM47" s="2873" t="str">
        <f t="shared" si="103"/>
        <v/>
      </c>
      <c r="CN47" s="2873" t="str">
        <f t="shared" si="69"/>
        <v/>
      </c>
      <c r="CO47" s="2873" t="str">
        <f t="shared" si="104"/>
        <v/>
      </c>
      <c r="CP47" s="2873" t="str">
        <f t="shared" si="105"/>
        <v/>
      </c>
      <c r="CQ47" s="2873" t="str">
        <f t="shared" si="106"/>
        <v/>
      </c>
      <c r="CR47" s="2873" t="str">
        <f t="shared" si="107"/>
        <v/>
      </c>
      <c r="CS47" s="2873" t="str">
        <f t="shared" si="108"/>
        <v/>
      </c>
      <c r="CT47" s="2873" t="str">
        <f t="shared" si="109"/>
        <v/>
      </c>
      <c r="CU47" s="2873" t="str">
        <f t="shared" si="110"/>
        <v/>
      </c>
      <c r="CV47" s="2873" t="str">
        <f t="shared" si="111"/>
        <v/>
      </c>
      <c r="CW47" s="2873" t="str">
        <f t="shared" si="112"/>
        <v/>
      </c>
      <c r="CX47" s="2873" t="str">
        <f t="shared" si="113"/>
        <v/>
      </c>
      <c r="DE47" s="2718"/>
      <c r="DF47" s="2873">
        <f t="shared" si="114"/>
        <v>0</v>
      </c>
      <c r="DG47" s="3009">
        <f t="shared" si="81"/>
        <v>0</v>
      </c>
      <c r="DH47" s="3009">
        <f t="shared" si="82"/>
        <v>0</v>
      </c>
      <c r="DI47" s="3009">
        <f t="shared" si="83"/>
        <v>0</v>
      </c>
      <c r="DJ47" s="3009">
        <f>IF(D47&lt;E47,1,0)</f>
        <v>0</v>
      </c>
      <c r="DK47" s="3009">
        <f>IF(F47&lt;G47,1,0)</f>
        <v>0</v>
      </c>
      <c r="DL47" s="3009">
        <f>IF(H47&lt;I47,1,0)</f>
        <v>0</v>
      </c>
      <c r="DM47" s="3009">
        <f>IF(J47&lt;K47,1,0)</f>
        <v>0</v>
      </c>
      <c r="DN47" s="3009">
        <f>IF(L47&lt;M47,1,0)</f>
        <v>0</v>
      </c>
      <c r="DO47" s="3009">
        <f t="shared" si="129"/>
        <v>0</v>
      </c>
      <c r="DP47" s="3009">
        <f t="shared" si="115"/>
        <v>0</v>
      </c>
      <c r="DQ47" s="3009">
        <f t="shared" si="116"/>
        <v>0</v>
      </c>
      <c r="DR47" s="3009">
        <f t="shared" si="87"/>
        <v>0</v>
      </c>
      <c r="DS47" s="3009">
        <f t="shared" si="117"/>
        <v>0</v>
      </c>
      <c r="DT47" s="3009">
        <f t="shared" si="118"/>
        <v>0</v>
      </c>
      <c r="DU47" s="3009">
        <f t="shared" si="119"/>
        <v>0</v>
      </c>
      <c r="DV47" s="3009">
        <f t="shared" si="120"/>
        <v>0</v>
      </c>
      <c r="DW47" s="3009">
        <f t="shared" si="121"/>
        <v>0</v>
      </c>
      <c r="DX47" s="3009">
        <f t="shared" si="122"/>
        <v>0</v>
      </c>
      <c r="DY47" s="3009">
        <f t="shared" si="123"/>
        <v>0</v>
      </c>
      <c r="DZ47" s="3009">
        <f t="shared" si="124"/>
        <v>0</v>
      </c>
      <c r="EA47" s="3009">
        <f t="shared" si="125"/>
        <v>0</v>
      </c>
      <c r="EB47" s="3009">
        <f t="shared" si="126"/>
        <v>0</v>
      </c>
    </row>
    <row r="48" spans="1:132" x14ac:dyDescent="0.25">
      <c r="A48" s="3578" t="s">
        <v>2671</v>
      </c>
      <c r="B48" s="2014">
        <f>+P48+R48+T48+V48+X48+Z48+AB48+AD48+AF48+AH48+AJ48+AL48+AN48+AP48</f>
        <v>0</v>
      </c>
      <c r="C48" s="3331">
        <f>+Q48+S48+U48+W48+Y48+AA48+AC48+AE48+AG48+AI48+AK48+AM48+AO48+AQ48</f>
        <v>0</v>
      </c>
      <c r="D48" s="3568"/>
      <c r="E48" s="5340"/>
      <c r="F48" s="5339"/>
      <c r="G48" s="5340"/>
      <c r="H48" s="5339"/>
      <c r="I48" s="5340"/>
      <c r="J48" s="5339"/>
      <c r="K48" s="5340"/>
      <c r="L48" s="5339"/>
      <c r="M48" s="5341"/>
      <c r="N48" s="3568"/>
      <c r="O48" s="5340"/>
      <c r="P48" s="5229"/>
      <c r="Q48" s="5342"/>
      <c r="R48" s="5229"/>
      <c r="S48" s="5342"/>
      <c r="T48" s="5229"/>
      <c r="U48" s="5342"/>
      <c r="V48" s="5229"/>
      <c r="W48" s="5342"/>
      <c r="X48" s="5229"/>
      <c r="Y48" s="5342"/>
      <c r="Z48" s="5229"/>
      <c r="AA48" s="5342"/>
      <c r="AB48" s="5229"/>
      <c r="AC48" s="5342"/>
      <c r="AD48" s="5229"/>
      <c r="AE48" s="5342"/>
      <c r="AF48" s="5229"/>
      <c r="AG48" s="5342"/>
      <c r="AH48" s="5229"/>
      <c r="AI48" s="5342"/>
      <c r="AJ48" s="5229"/>
      <c r="AK48" s="5342"/>
      <c r="AL48" s="5229"/>
      <c r="AM48" s="5342"/>
      <c r="AN48" s="5229"/>
      <c r="AO48" s="5342"/>
      <c r="AP48" s="5229"/>
      <c r="AQ48" s="5336"/>
      <c r="AR48" s="3572"/>
      <c r="AS48" s="5336"/>
      <c r="AT48" s="5337"/>
      <c r="AU48" s="5336"/>
      <c r="AV48" s="3572"/>
      <c r="AW48" s="5338"/>
      <c r="AX48" s="1755" t="str">
        <f t="shared" si="127"/>
        <v/>
      </c>
      <c r="CA48" s="603"/>
      <c r="CB48" s="2873" t="str">
        <f t="shared" si="102"/>
        <v/>
      </c>
      <c r="CC48" s="2873" t="str">
        <f t="shared" si="63"/>
        <v/>
      </c>
      <c r="CD48" s="2873" t="str">
        <f t="shared" si="64"/>
        <v/>
      </c>
      <c r="CE48" s="2873" t="str">
        <f t="shared" si="65"/>
        <v/>
      </c>
      <c r="CF48" s="3581"/>
      <c r="CG48" s="3581"/>
      <c r="CH48" s="2872"/>
      <c r="CI48" s="2872"/>
      <c r="CJ48" s="2872"/>
      <c r="CK48" s="3581"/>
      <c r="CL48" s="2873" t="str">
        <f t="shared" ref="CL48:CL52" si="130">IF(P48&lt;Q48,CONCATENATE("* El total de Procesados debe ser mayor o igual al total de Reactivos en el grupo de edad ",$P$11),"")</f>
        <v/>
      </c>
      <c r="CM48" s="2873" t="str">
        <f t="shared" si="103"/>
        <v/>
      </c>
      <c r="CN48" s="2873" t="str">
        <f t="shared" si="69"/>
        <v/>
      </c>
      <c r="CO48" s="2873" t="str">
        <f t="shared" si="104"/>
        <v/>
      </c>
      <c r="CP48" s="2873" t="str">
        <f t="shared" si="105"/>
        <v/>
      </c>
      <c r="CQ48" s="2873" t="str">
        <f t="shared" si="106"/>
        <v/>
      </c>
      <c r="CR48" s="2873" t="str">
        <f t="shared" si="107"/>
        <v/>
      </c>
      <c r="CS48" s="2873" t="str">
        <f t="shared" si="108"/>
        <v/>
      </c>
      <c r="CT48" s="2873" t="str">
        <f t="shared" si="109"/>
        <v/>
      </c>
      <c r="CU48" s="2873" t="str">
        <f t="shared" si="110"/>
        <v/>
      </c>
      <c r="CV48" s="2873" t="str">
        <f t="shared" si="111"/>
        <v/>
      </c>
      <c r="CW48" s="2873" t="str">
        <f t="shared" si="112"/>
        <v/>
      </c>
      <c r="CX48" s="2873" t="str">
        <f t="shared" si="113"/>
        <v/>
      </c>
      <c r="DE48" s="2718"/>
      <c r="DF48" s="2873">
        <f t="shared" si="114"/>
        <v>0</v>
      </c>
      <c r="DG48" s="3009">
        <f t="shared" si="81"/>
        <v>0</v>
      </c>
      <c r="DH48" s="3009">
        <f t="shared" si="82"/>
        <v>0</v>
      </c>
      <c r="DI48" s="3009">
        <f t="shared" si="83"/>
        <v>0</v>
      </c>
      <c r="DJ48" s="2872"/>
      <c r="DK48" s="2872"/>
      <c r="DL48" s="2872"/>
      <c r="DM48" s="2872"/>
      <c r="DN48" s="2872"/>
      <c r="DO48" s="3107"/>
      <c r="DP48" s="3009">
        <f t="shared" si="115"/>
        <v>0</v>
      </c>
      <c r="DQ48" s="3009">
        <f t="shared" si="116"/>
        <v>0</v>
      </c>
      <c r="DR48" s="3009">
        <f t="shared" si="87"/>
        <v>0</v>
      </c>
      <c r="DS48" s="3009">
        <f t="shared" si="117"/>
        <v>0</v>
      </c>
      <c r="DT48" s="3009">
        <f t="shared" si="118"/>
        <v>0</v>
      </c>
      <c r="DU48" s="3009">
        <f t="shared" si="119"/>
        <v>0</v>
      </c>
      <c r="DV48" s="3009">
        <f t="shared" si="120"/>
        <v>0</v>
      </c>
      <c r="DW48" s="3009">
        <f t="shared" si="121"/>
        <v>0</v>
      </c>
      <c r="DX48" s="3009">
        <f t="shared" si="122"/>
        <v>0</v>
      </c>
      <c r="DY48" s="3009">
        <f t="shared" si="123"/>
        <v>0</v>
      </c>
      <c r="DZ48" s="3009">
        <f t="shared" si="124"/>
        <v>0</v>
      </c>
      <c r="EA48" s="3009">
        <f t="shared" si="125"/>
        <v>0</v>
      </c>
      <c r="EB48" s="3009">
        <f t="shared" si="126"/>
        <v>0</v>
      </c>
    </row>
    <row r="49" spans="1:132" x14ac:dyDescent="0.25">
      <c r="A49" s="3273" t="s">
        <v>2672</v>
      </c>
      <c r="B49" s="2014">
        <f>+P49+R49+T49+V49+X49+Z49+AB49+AD49+AF49+AH49</f>
        <v>0</v>
      </c>
      <c r="C49" s="3331">
        <f>+Q49+S49+U49+W49+Y49+AA49+AC49+AE49+AG49+AI49</f>
        <v>0</v>
      </c>
      <c r="D49" s="3568"/>
      <c r="E49" s="5340"/>
      <c r="F49" s="5339"/>
      <c r="G49" s="5340"/>
      <c r="H49" s="5339"/>
      <c r="I49" s="5340"/>
      <c r="J49" s="5339"/>
      <c r="K49" s="5340"/>
      <c r="L49" s="5339"/>
      <c r="M49" s="5341"/>
      <c r="N49" s="3568"/>
      <c r="O49" s="5340"/>
      <c r="P49" s="5229"/>
      <c r="Q49" s="5342"/>
      <c r="R49" s="5229"/>
      <c r="S49" s="5342"/>
      <c r="T49" s="5229"/>
      <c r="U49" s="5342"/>
      <c r="V49" s="5229"/>
      <c r="W49" s="5342"/>
      <c r="X49" s="5229"/>
      <c r="Y49" s="5342"/>
      <c r="Z49" s="5229"/>
      <c r="AA49" s="5342"/>
      <c r="AB49" s="5229"/>
      <c r="AC49" s="5342"/>
      <c r="AD49" s="5229"/>
      <c r="AE49" s="5342"/>
      <c r="AF49" s="5229"/>
      <c r="AG49" s="5342"/>
      <c r="AH49" s="5229"/>
      <c r="AI49" s="5342"/>
      <c r="AJ49" s="5339"/>
      <c r="AK49" s="5340"/>
      <c r="AL49" s="5339"/>
      <c r="AM49" s="5340"/>
      <c r="AN49" s="5339"/>
      <c r="AO49" s="5340"/>
      <c r="AP49" s="5339"/>
      <c r="AQ49" s="5347"/>
      <c r="AR49" s="3572"/>
      <c r="AS49" s="5336"/>
      <c r="AT49" s="5337"/>
      <c r="AU49" s="5336"/>
      <c r="AV49" s="3572"/>
      <c r="AW49" s="5338"/>
      <c r="AX49" s="1755" t="str">
        <f>$CB49&amp;CC49&amp;CD49&amp;$CE49&amp;CK49&amp;CL49&amp;CM49&amp;CN49&amp;CO49&amp;CP49&amp;CQ49&amp;CR49&amp;CS49&amp;CT49&amp;CU49&amp;CV49&amp;CW49&amp;CX49</f>
        <v/>
      </c>
      <c r="CA49" s="603"/>
      <c r="CB49" s="2873" t="str">
        <f t="shared" si="102"/>
        <v/>
      </c>
      <c r="CC49" s="2873" t="str">
        <f t="shared" si="63"/>
        <v/>
      </c>
      <c r="CD49" s="2873" t="str">
        <f t="shared" si="64"/>
        <v/>
      </c>
      <c r="CE49" s="2873" t="str">
        <f t="shared" si="65"/>
        <v/>
      </c>
      <c r="CF49" s="3581"/>
      <c r="CG49" s="3581"/>
      <c r="CH49" s="2872"/>
      <c r="CI49" s="2872"/>
      <c r="CJ49" s="2872"/>
      <c r="CK49" s="3581"/>
      <c r="CL49" s="2873" t="str">
        <f t="shared" si="130"/>
        <v/>
      </c>
      <c r="CM49" s="2873" t="str">
        <f t="shared" si="103"/>
        <v/>
      </c>
      <c r="CN49" s="2873" t="str">
        <f t="shared" si="69"/>
        <v/>
      </c>
      <c r="CO49" s="2873" t="str">
        <f t="shared" si="104"/>
        <v/>
      </c>
      <c r="CP49" s="2873" t="str">
        <f t="shared" si="105"/>
        <v/>
      </c>
      <c r="CQ49" s="2873" t="str">
        <f t="shared" si="106"/>
        <v/>
      </c>
      <c r="CR49" s="2873" t="str">
        <f t="shared" si="107"/>
        <v/>
      </c>
      <c r="CS49" s="2873" t="str">
        <f t="shared" si="108"/>
        <v/>
      </c>
      <c r="CT49" s="2873" t="str">
        <f t="shared" si="109"/>
        <v/>
      </c>
      <c r="CU49" s="3107"/>
      <c r="CV49" s="3107"/>
      <c r="CW49" s="3107"/>
      <c r="CX49" s="3107"/>
      <c r="DE49" s="2718"/>
      <c r="DF49" s="2873">
        <f t="shared" si="114"/>
        <v>0</v>
      </c>
      <c r="DG49" s="3009">
        <f t="shared" si="81"/>
        <v>0</v>
      </c>
      <c r="DH49" s="3009">
        <f t="shared" si="82"/>
        <v>0</v>
      </c>
      <c r="DI49" s="3009">
        <f t="shared" si="83"/>
        <v>0</v>
      </c>
      <c r="DJ49" s="2872"/>
      <c r="DK49" s="2872"/>
      <c r="DL49" s="2872"/>
      <c r="DM49" s="2872"/>
      <c r="DN49" s="2872"/>
      <c r="DO49" s="3107"/>
      <c r="DP49" s="3009">
        <f t="shared" si="115"/>
        <v>0</v>
      </c>
      <c r="DQ49" s="3009">
        <f t="shared" si="116"/>
        <v>0</v>
      </c>
      <c r="DR49" s="3009">
        <f t="shared" si="87"/>
        <v>0</v>
      </c>
      <c r="DS49" s="3009">
        <f t="shared" si="117"/>
        <v>0</v>
      </c>
      <c r="DT49" s="3009">
        <f t="shared" si="118"/>
        <v>0</v>
      </c>
      <c r="DU49" s="3009">
        <f t="shared" si="119"/>
        <v>0</v>
      </c>
      <c r="DV49" s="3009">
        <f t="shared" si="120"/>
        <v>0</v>
      </c>
      <c r="DW49" s="3009">
        <f t="shared" si="121"/>
        <v>0</v>
      </c>
      <c r="DX49" s="3009">
        <f t="shared" si="122"/>
        <v>0</v>
      </c>
      <c r="DY49" s="3107"/>
      <c r="DZ49" s="3107"/>
      <c r="EA49" s="3107"/>
      <c r="EB49" s="3107"/>
    </row>
    <row r="50" spans="1:132" x14ac:dyDescent="0.25">
      <c r="A50" s="3273" t="s">
        <v>2673</v>
      </c>
      <c r="B50" s="2014">
        <f t="shared" ref="B50:C52" si="131">+D50+F50+H50+J50+L50+N50+P50+R50+T50+V50+X50+Z50+AB50+AD50+AF50+AH50+AJ50+AL50+AN50+AP50</f>
        <v>0</v>
      </c>
      <c r="C50" s="3331">
        <f t="shared" si="131"/>
        <v>0</v>
      </c>
      <c r="D50" s="3572"/>
      <c r="E50" s="5342"/>
      <c r="F50" s="5229"/>
      <c r="G50" s="5342"/>
      <c r="H50" s="5229"/>
      <c r="I50" s="5338"/>
      <c r="J50" s="3572"/>
      <c r="K50" s="3572"/>
      <c r="L50" s="5229"/>
      <c r="M50" s="5338"/>
      <c r="N50" s="3572"/>
      <c r="O50" s="3573"/>
      <c r="P50" s="5229"/>
      <c r="Q50" s="5342"/>
      <c r="R50" s="5229"/>
      <c r="S50" s="5342"/>
      <c r="T50" s="5229"/>
      <c r="U50" s="5342"/>
      <c r="V50" s="5229"/>
      <c r="W50" s="5342"/>
      <c r="X50" s="5229"/>
      <c r="Y50" s="5342"/>
      <c r="Z50" s="5229"/>
      <c r="AA50" s="5342"/>
      <c r="AB50" s="5229"/>
      <c r="AC50" s="5342"/>
      <c r="AD50" s="5229"/>
      <c r="AE50" s="5342"/>
      <c r="AF50" s="5229"/>
      <c r="AG50" s="5342"/>
      <c r="AH50" s="5229"/>
      <c r="AI50" s="5342"/>
      <c r="AJ50" s="5229"/>
      <c r="AK50" s="5342"/>
      <c r="AL50" s="5229"/>
      <c r="AM50" s="5342"/>
      <c r="AN50" s="5229"/>
      <c r="AO50" s="5342"/>
      <c r="AP50" s="5229"/>
      <c r="AQ50" s="5336"/>
      <c r="AR50" s="3572"/>
      <c r="AS50" s="5336"/>
      <c r="AT50" s="5337"/>
      <c r="AU50" s="5336"/>
      <c r="AV50" s="3572"/>
      <c r="AW50" s="5338"/>
      <c r="AX50" s="1755" t="str">
        <f>$CB50&amp;CC50&amp;CD50&amp;$CE50&amp;CF50&amp;CG50&amp;CH50&amp;CI50&amp;CJ50&amp;CK50&amp;CL50&amp;CM50&amp;CN50&amp;CO50&amp;CP50&amp;CQ50&amp;CR50&amp;CS50&amp;CT50&amp;CU50&amp;CV50&amp;CW50&amp;CX50</f>
        <v/>
      </c>
      <c r="CA50" s="603"/>
      <c r="CB50" s="2873" t="str">
        <f t="shared" si="102"/>
        <v/>
      </c>
      <c r="CC50" s="2873" t="str">
        <f t="shared" si="63"/>
        <v/>
      </c>
      <c r="CD50" s="2873" t="str">
        <f t="shared" si="64"/>
        <v/>
      </c>
      <c r="CE50" s="2873" t="str">
        <f t="shared" si="65"/>
        <v/>
      </c>
      <c r="CF50" s="2873" t="str">
        <f t="shared" ref="CF50:CF52" si="132">IF(D50&lt;E50,CONCATENATE("* El total de Procesados debe ser mayor o igual al total de Reactivos en el grupo de edad ",$D$11),"")</f>
        <v/>
      </c>
      <c r="CG50" s="2873" t="str">
        <f t="shared" ref="CG50:CG52" si="133">IF(F50&lt;G50,CONCATENATE("* El total de Procesados debe ser mayor o igual al total de Reactivos en el grupo de edad ",$F$11),"")</f>
        <v/>
      </c>
      <c r="CH50" s="2873" t="str">
        <f t="shared" ref="CH50:CH52" si="134">IF(H50&lt;I50,CONCATENATE("* El total de Procesados debe ser mayor o igual al total de Reactivos en el grupo de edad ",$H$11),"")</f>
        <v/>
      </c>
      <c r="CI50" s="2873" t="str">
        <f t="shared" ref="CI50:CI52" si="135">IF(J50&lt;K50,CONCATENATE("* El total de Procesados debe ser mayor o igual al total de Reactivos en el grupo de edad ",$J$11),"")</f>
        <v/>
      </c>
      <c r="CJ50" s="2873" t="str">
        <f t="shared" ref="CJ50:CJ52" si="136">IF(L50&lt;M50,CONCATENATE("* El total de Procesados debe ser mayor o igual al total de Reactivos en el grupo de edad ",$L$11),"")</f>
        <v/>
      </c>
      <c r="CK50" s="2873" t="str">
        <f t="shared" ref="CK50:CK52" si="137">IF(N50&lt;O50,CONCATENATE("* El total de Procesados debe ser mayor o igual al total de Reactivos en el grupo de edad ",$N$11),"")</f>
        <v/>
      </c>
      <c r="CL50" s="2873" t="str">
        <f t="shared" si="130"/>
        <v/>
      </c>
      <c r="CM50" s="2873" t="str">
        <f t="shared" si="103"/>
        <v/>
      </c>
      <c r="CN50" s="2873" t="str">
        <f t="shared" si="69"/>
        <v/>
      </c>
      <c r="CO50" s="2873" t="str">
        <f t="shared" si="104"/>
        <v/>
      </c>
      <c r="CP50" s="2873" t="str">
        <f t="shared" si="105"/>
        <v/>
      </c>
      <c r="CQ50" s="2873" t="str">
        <f t="shared" si="106"/>
        <v/>
      </c>
      <c r="CR50" s="2873" t="str">
        <f t="shared" si="107"/>
        <v/>
      </c>
      <c r="CS50" s="2873" t="str">
        <f t="shared" si="108"/>
        <v/>
      </c>
      <c r="CT50" s="2873" t="str">
        <f t="shared" si="109"/>
        <v/>
      </c>
      <c r="CU50" s="2873" t="str">
        <f t="shared" ref="CU50:CU52" si="138">IF(AJ50&lt;AK50,CONCATENATE("* El total de Procesados debe ser mayor o igual al total de Reactivos en el grupo de edad ",$AJ$11),"")</f>
        <v/>
      </c>
      <c r="CV50" s="2873" t="str">
        <f t="shared" ref="CV50:CV52" si="139">IF(AL50&lt;AM50,CONCATENATE("* El total de Procesados debe ser mayor o igual al total de Reactivos en el grupo de edad ",$AL$11),"")</f>
        <v/>
      </c>
      <c r="CW50" s="2873" t="str">
        <f t="shared" ref="CW50:CW52" si="140">IF(AN50&lt;AO50,CONCATENATE("* El total de Procesados debe ser mayor o igual al total de Reactivos en el grupo de edad ",$AN$11),"")</f>
        <v/>
      </c>
      <c r="CX50" s="2873" t="str">
        <f t="shared" ref="CX50:CX52" si="141">IF(AP50&lt;AQ50,CONCATENATE("* El total de Procesados debe ser mayor o igual al total de Reactivos en el grupo de edad ",$AP$11),"")</f>
        <v/>
      </c>
      <c r="DE50" s="2718"/>
      <c r="DF50" s="2873">
        <f t="shared" si="114"/>
        <v>0</v>
      </c>
      <c r="DG50" s="3009">
        <f t="shared" si="81"/>
        <v>0</v>
      </c>
      <c r="DH50" s="3009">
        <f t="shared" si="82"/>
        <v>0</v>
      </c>
      <c r="DI50" s="3009">
        <f t="shared" si="83"/>
        <v>0</v>
      </c>
      <c r="DJ50" s="3009">
        <f t="shared" ref="DJ50:DJ52" si="142">IF(D50&lt;E50,1,0)</f>
        <v>0</v>
      </c>
      <c r="DK50" s="3009">
        <f t="shared" ref="DK50:DK52" si="143">IF(F50&lt;G50,1,0)</f>
        <v>0</v>
      </c>
      <c r="DL50" s="3009">
        <f t="shared" ref="DL50:DL52" si="144">IF(H50&lt;I50,1,0)</f>
        <v>0</v>
      </c>
      <c r="DM50" s="3009">
        <f t="shared" ref="DM50:DM52" si="145">IF(J50&lt;K50,1,0)</f>
        <v>0</v>
      </c>
      <c r="DN50" s="3009">
        <f t="shared" ref="DN50:DN52" si="146">IF(L50&lt;M50,1,0)</f>
        <v>0</v>
      </c>
      <c r="DO50" s="3009">
        <f t="shared" ref="DO50:DO52" si="147">IF(N50&lt;O50,1,0)</f>
        <v>0</v>
      </c>
      <c r="DP50" s="3009">
        <f t="shared" si="115"/>
        <v>0</v>
      </c>
      <c r="DQ50" s="3009">
        <f t="shared" si="116"/>
        <v>0</v>
      </c>
      <c r="DR50" s="3009">
        <f t="shared" si="87"/>
        <v>0</v>
      </c>
      <c r="DS50" s="3009">
        <f t="shared" si="117"/>
        <v>0</v>
      </c>
      <c r="DT50" s="3009">
        <f t="shared" si="118"/>
        <v>0</v>
      </c>
      <c r="DU50" s="3009">
        <f t="shared" si="119"/>
        <v>0</v>
      </c>
      <c r="DV50" s="3009">
        <f t="shared" si="120"/>
        <v>0</v>
      </c>
      <c r="DW50" s="3009">
        <f t="shared" si="121"/>
        <v>0</v>
      </c>
      <c r="DX50" s="3009">
        <f t="shared" si="122"/>
        <v>0</v>
      </c>
      <c r="DY50" s="3009">
        <f t="shared" ref="DY50:DY52" si="148">IF(AJ50&lt;AK50,1,0)</f>
        <v>0</v>
      </c>
      <c r="DZ50" s="3009">
        <f t="shared" ref="DZ50:DZ52" si="149">IF(AL50&lt;AM50,1,0)</f>
        <v>0</v>
      </c>
      <c r="EA50" s="3009">
        <f t="shared" ref="EA50:EA52" si="150">IF(AN50&lt;AO50,1,0)</f>
        <v>0</v>
      </c>
      <c r="EB50" s="3009">
        <f t="shared" ref="EB50:EB52" si="151">IF(AP50&lt;AQ50,1,0)</f>
        <v>0</v>
      </c>
    </row>
    <row r="51" spans="1:132" x14ac:dyDescent="0.25">
      <c r="A51" s="3273" t="s">
        <v>2674</v>
      </c>
      <c r="B51" s="2014">
        <f t="shared" si="131"/>
        <v>0</v>
      </c>
      <c r="C51" s="3331">
        <f t="shared" si="131"/>
        <v>0</v>
      </c>
      <c r="D51" s="3572"/>
      <c r="E51" s="5342"/>
      <c r="F51" s="5229"/>
      <c r="G51" s="5342"/>
      <c r="H51" s="5229"/>
      <c r="I51" s="5338"/>
      <c r="J51" s="3572"/>
      <c r="K51" s="3572"/>
      <c r="L51" s="5229"/>
      <c r="M51" s="5338"/>
      <c r="N51" s="3572"/>
      <c r="O51" s="3573"/>
      <c r="P51" s="5229"/>
      <c r="Q51" s="5342"/>
      <c r="R51" s="5229"/>
      <c r="S51" s="5342"/>
      <c r="T51" s="5229"/>
      <c r="U51" s="5342"/>
      <c r="V51" s="5229"/>
      <c r="W51" s="5342"/>
      <c r="X51" s="5229"/>
      <c r="Y51" s="5342"/>
      <c r="Z51" s="5229"/>
      <c r="AA51" s="5342"/>
      <c r="AB51" s="5229"/>
      <c r="AC51" s="5342"/>
      <c r="AD51" s="5229"/>
      <c r="AE51" s="5342"/>
      <c r="AF51" s="5229"/>
      <c r="AG51" s="5342"/>
      <c r="AH51" s="5229"/>
      <c r="AI51" s="5342"/>
      <c r="AJ51" s="5229"/>
      <c r="AK51" s="5342"/>
      <c r="AL51" s="5229"/>
      <c r="AM51" s="5342"/>
      <c r="AN51" s="5229"/>
      <c r="AO51" s="5342"/>
      <c r="AP51" s="5229"/>
      <c r="AQ51" s="5336"/>
      <c r="AR51" s="3572"/>
      <c r="AS51" s="5336"/>
      <c r="AT51" s="5337"/>
      <c r="AU51" s="5336"/>
      <c r="AV51" s="3572"/>
      <c r="AW51" s="5338"/>
      <c r="AX51" s="1755" t="str">
        <f t="shared" ref="AX51:AX52" si="152">$CB51&amp;CC51&amp;CD51&amp;$CE51&amp;CF51&amp;CG51&amp;CH51&amp;CI51&amp;CJ51&amp;CK51&amp;CL51&amp;CM51&amp;CN51&amp;CO51&amp;CP51&amp;CQ51&amp;CR51&amp;CS51&amp;CT51&amp;CU51&amp;CV51&amp;CW51&amp;CX51</f>
        <v/>
      </c>
      <c r="CA51" s="603"/>
      <c r="CB51" s="2873" t="str">
        <f t="shared" si="102"/>
        <v/>
      </c>
      <c r="CC51" s="2873" t="str">
        <f t="shared" si="63"/>
        <v/>
      </c>
      <c r="CD51" s="2873" t="str">
        <f t="shared" si="64"/>
        <v/>
      </c>
      <c r="CE51" s="2873" t="str">
        <f t="shared" si="65"/>
        <v/>
      </c>
      <c r="CF51" s="2873" t="str">
        <f t="shared" si="132"/>
        <v/>
      </c>
      <c r="CG51" s="2873" t="str">
        <f t="shared" si="133"/>
        <v/>
      </c>
      <c r="CH51" s="2873" t="str">
        <f t="shared" si="134"/>
        <v/>
      </c>
      <c r="CI51" s="2873" t="str">
        <f t="shared" si="135"/>
        <v/>
      </c>
      <c r="CJ51" s="2873" t="str">
        <f t="shared" si="136"/>
        <v/>
      </c>
      <c r="CK51" s="2873" t="str">
        <f t="shared" si="137"/>
        <v/>
      </c>
      <c r="CL51" s="2873" t="str">
        <f t="shared" si="130"/>
        <v/>
      </c>
      <c r="CM51" s="2873" t="str">
        <f t="shared" si="103"/>
        <v/>
      </c>
      <c r="CN51" s="2873" t="str">
        <f t="shared" si="69"/>
        <v/>
      </c>
      <c r="CO51" s="2873" t="str">
        <f t="shared" si="104"/>
        <v/>
      </c>
      <c r="CP51" s="2873" t="str">
        <f t="shared" si="105"/>
        <v/>
      </c>
      <c r="CQ51" s="2873" t="str">
        <f t="shared" si="106"/>
        <v/>
      </c>
      <c r="CR51" s="2873" t="str">
        <f t="shared" si="107"/>
        <v/>
      </c>
      <c r="CS51" s="2873" t="str">
        <f t="shared" si="108"/>
        <v/>
      </c>
      <c r="CT51" s="2873" t="str">
        <f t="shared" si="109"/>
        <v/>
      </c>
      <c r="CU51" s="2873" t="str">
        <f t="shared" si="138"/>
        <v/>
      </c>
      <c r="CV51" s="2873" t="str">
        <f t="shared" si="139"/>
        <v/>
      </c>
      <c r="CW51" s="2873" t="str">
        <f t="shared" si="140"/>
        <v/>
      </c>
      <c r="CX51" s="2873" t="str">
        <f t="shared" si="141"/>
        <v/>
      </c>
      <c r="DE51" s="2718"/>
      <c r="DF51" s="2873">
        <f t="shared" si="114"/>
        <v>0</v>
      </c>
      <c r="DG51" s="3009">
        <f t="shared" si="81"/>
        <v>0</v>
      </c>
      <c r="DH51" s="3009">
        <f t="shared" si="82"/>
        <v>0</v>
      </c>
      <c r="DI51" s="3009">
        <f t="shared" si="83"/>
        <v>0</v>
      </c>
      <c r="DJ51" s="3009">
        <f t="shared" si="142"/>
        <v>0</v>
      </c>
      <c r="DK51" s="3009">
        <f t="shared" si="143"/>
        <v>0</v>
      </c>
      <c r="DL51" s="3009">
        <f t="shared" si="144"/>
        <v>0</v>
      </c>
      <c r="DM51" s="3009">
        <f t="shared" si="145"/>
        <v>0</v>
      </c>
      <c r="DN51" s="3009">
        <f t="shared" si="146"/>
        <v>0</v>
      </c>
      <c r="DO51" s="3009">
        <f t="shared" si="147"/>
        <v>0</v>
      </c>
      <c r="DP51" s="3009">
        <f t="shared" si="115"/>
        <v>0</v>
      </c>
      <c r="DQ51" s="3009">
        <f t="shared" si="116"/>
        <v>0</v>
      </c>
      <c r="DR51" s="3009">
        <f t="shared" si="87"/>
        <v>0</v>
      </c>
      <c r="DS51" s="3009">
        <f t="shared" si="117"/>
        <v>0</v>
      </c>
      <c r="DT51" s="3009">
        <f t="shared" si="118"/>
        <v>0</v>
      </c>
      <c r="DU51" s="3009">
        <f t="shared" si="119"/>
        <v>0</v>
      </c>
      <c r="DV51" s="3009">
        <f t="shared" si="120"/>
        <v>0</v>
      </c>
      <c r="DW51" s="3009">
        <f t="shared" si="121"/>
        <v>0</v>
      </c>
      <c r="DX51" s="3009">
        <f t="shared" si="122"/>
        <v>0</v>
      </c>
      <c r="DY51" s="3009">
        <f t="shared" si="148"/>
        <v>0</v>
      </c>
      <c r="DZ51" s="3009">
        <f t="shared" si="149"/>
        <v>0</v>
      </c>
      <c r="EA51" s="3009">
        <f t="shared" si="150"/>
        <v>0</v>
      </c>
      <c r="EB51" s="3009">
        <f t="shared" si="151"/>
        <v>0</v>
      </c>
    </row>
    <row r="52" spans="1:132" x14ac:dyDescent="0.25">
      <c r="A52" s="5351" t="s">
        <v>2675</v>
      </c>
      <c r="B52" s="5298">
        <f t="shared" si="131"/>
        <v>0</v>
      </c>
      <c r="C52" s="5299">
        <f t="shared" si="131"/>
        <v>0</v>
      </c>
      <c r="D52" s="288"/>
      <c r="E52" s="3585"/>
      <c r="F52" s="3586"/>
      <c r="G52" s="3585"/>
      <c r="H52" s="3586"/>
      <c r="I52" s="3587"/>
      <c r="J52" s="288"/>
      <c r="K52" s="288"/>
      <c r="L52" s="3586"/>
      <c r="M52" s="3587"/>
      <c r="N52" s="288"/>
      <c r="O52" s="3585"/>
      <c r="P52" s="3586"/>
      <c r="Q52" s="3585"/>
      <c r="R52" s="3586"/>
      <c r="S52" s="3585"/>
      <c r="T52" s="3586"/>
      <c r="U52" s="3585"/>
      <c r="V52" s="3586"/>
      <c r="W52" s="3585"/>
      <c r="X52" s="3586"/>
      <c r="Y52" s="3585"/>
      <c r="Z52" s="3586"/>
      <c r="AA52" s="3585"/>
      <c r="AB52" s="3586"/>
      <c r="AC52" s="3585"/>
      <c r="AD52" s="3586"/>
      <c r="AE52" s="3585"/>
      <c r="AF52" s="3586"/>
      <c r="AG52" s="3585"/>
      <c r="AH52" s="3586"/>
      <c r="AI52" s="3585"/>
      <c r="AJ52" s="3586"/>
      <c r="AK52" s="3585"/>
      <c r="AL52" s="3586"/>
      <c r="AM52" s="3585"/>
      <c r="AN52" s="3586"/>
      <c r="AO52" s="3585"/>
      <c r="AP52" s="3586"/>
      <c r="AQ52" s="3588"/>
      <c r="AR52" s="288"/>
      <c r="AS52" s="3588"/>
      <c r="AT52" s="3589"/>
      <c r="AU52" s="3588"/>
      <c r="AV52" s="6403"/>
      <c r="AW52" s="3587"/>
      <c r="AX52" s="1755" t="str">
        <f t="shared" si="152"/>
        <v/>
      </c>
      <c r="CA52" s="603"/>
      <c r="CB52" s="2873" t="str">
        <f t="shared" si="102"/>
        <v/>
      </c>
      <c r="CC52" s="2873" t="str">
        <f t="shared" si="63"/>
        <v/>
      </c>
      <c r="CD52" s="2873" t="str">
        <f t="shared" si="64"/>
        <v/>
      </c>
      <c r="CE52" s="2873" t="str">
        <f t="shared" si="65"/>
        <v/>
      </c>
      <c r="CF52" s="2873" t="str">
        <f t="shared" si="132"/>
        <v/>
      </c>
      <c r="CG52" s="2873" t="str">
        <f t="shared" si="133"/>
        <v/>
      </c>
      <c r="CH52" s="2873" t="str">
        <f t="shared" si="134"/>
        <v/>
      </c>
      <c r="CI52" s="2873" t="str">
        <f t="shared" si="135"/>
        <v/>
      </c>
      <c r="CJ52" s="2873" t="str">
        <f t="shared" si="136"/>
        <v/>
      </c>
      <c r="CK52" s="2873" t="str">
        <f t="shared" si="137"/>
        <v/>
      </c>
      <c r="CL52" s="2873" t="str">
        <f t="shared" si="130"/>
        <v/>
      </c>
      <c r="CM52" s="2873" t="str">
        <f t="shared" si="103"/>
        <v/>
      </c>
      <c r="CN52" s="2873" t="str">
        <f t="shared" si="69"/>
        <v/>
      </c>
      <c r="CO52" s="2873" t="str">
        <f t="shared" si="104"/>
        <v/>
      </c>
      <c r="CP52" s="2873" t="str">
        <f t="shared" si="105"/>
        <v/>
      </c>
      <c r="CQ52" s="2873" t="str">
        <f t="shared" si="106"/>
        <v/>
      </c>
      <c r="CR52" s="2873" t="str">
        <f t="shared" si="107"/>
        <v/>
      </c>
      <c r="CS52" s="2873" t="str">
        <f t="shared" si="108"/>
        <v/>
      </c>
      <c r="CT52" s="2873" t="str">
        <f t="shared" si="109"/>
        <v/>
      </c>
      <c r="CU52" s="2873" t="str">
        <f t="shared" si="138"/>
        <v/>
      </c>
      <c r="CV52" s="2873" t="str">
        <f t="shared" si="139"/>
        <v/>
      </c>
      <c r="CW52" s="2873" t="str">
        <f t="shared" si="140"/>
        <v/>
      </c>
      <c r="CX52" s="2873" t="str">
        <f t="shared" si="141"/>
        <v/>
      </c>
      <c r="DE52" s="2718"/>
      <c r="DF52" s="2873">
        <f t="shared" si="114"/>
        <v>0</v>
      </c>
      <c r="DG52" s="3009">
        <f t="shared" si="81"/>
        <v>0</v>
      </c>
      <c r="DH52" s="3009">
        <f t="shared" si="82"/>
        <v>0</v>
      </c>
      <c r="DI52" s="3009">
        <f t="shared" si="83"/>
        <v>0</v>
      </c>
      <c r="DJ52" s="3009">
        <f t="shared" si="142"/>
        <v>0</v>
      </c>
      <c r="DK52" s="3009">
        <f t="shared" si="143"/>
        <v>0</v>
      </c>
      <c r="DL52" s="3009">
        <f t="shared" si="144"/>
        <v>0</v>
      </c>
      <c r="DM52" s="3009">
        <f t="shared" si="145"/>
        <v>0</v>
      </c>
      <c r="DN52" s="3009">
        <f t="shared" si="146"/>
        <v>0</v>
      </c>
      <c r="DO52" s="3009">
        <f t="shared" si="147"/>
        <v>0</v>
      </c>
      <c r="DP52" s="3009">
        <f t="shared" si="115"/>
        <v>0</v>
      </c>
      <c r="DQ52" s="3009">
        <f t="shared" si="116"/>
        <v>0</v>
      </c>
      <c r="DR52" s="3009">
        <f t="shared" si="87"/>
        <v>0</v>
      </c>
      <c r="DS52" s="3009">
        <f t="shared" si="117"/>
        <v>0</v>
      </c>
      <c r="DT52" s="3009">
        <f t="shared" si="118"/>
        <v>0</v>
      </c>
      <c r="DU52" s="3009">
        <f t="shared" si="119"/>
        <v>0</v>
      </c>
      <c r="DV52" s="3009">
        <f t="shared" si="120"/>
        <v>0</v>
      </c>
      <c r="DW52" s="3009">
        <f t="shared" si="121"/>
        <v>0</v>
      </c>
      <c r="DX52" s="3009">
        <f t="shared" si="122"/>
        <v>0</v>
      </c>
      <c r="DY52" s="3009">
        <f t="shared" si="148"/>
        <v>0</v>
      </c>
      <c r="DZ52" s="3009">
        <f t="shared" si="149"/>
        <v>0</v>
      </c>
      <c r="EA52" s="3009">
        <f t="shared" si="150"/>
        <v>0</v>
      </c>
      <c r="EB52" s="3009">
        <f t="shared" si="151"/>
        <v>0</v>
      </c>
    </row>
    <row r="53" spans="1:132" ht="18" customHeight="1" x14ac:dyDescent="0.25">
      <c r="A53" s="5349" t="s">
        <v>2677</v>
      </c>
      <c r="B53" s="5349"/>
      <c r="C53" s="5349"/>
      <c r="D53" s="5349"/>
      <c r="E53" s="5349"/>
      <c r="F53" s="5349"/>
      <c r="G53" s="5349"/>
      <c r="H53" s="5349"/>
      <c r="I53" s="5349"/>
      <c r="J53" s="5349"/>
      <c r="K53" s="5349"/>
      <c r="L53" s="5349"/>
      <c r="M53" s="5349"/>
      <c r="N53" s="5349"/>
      <c r="O53" s="5349"/>
      <c r="P53" s="5349"/>
      <c r="Q53" s="5349"/>
      <c r="R53" s="5349"/>
      <c r="S53" s="5349"/>
      <c r="T53" s="5349"/>
      <c r="U53" s="5349"/>
      <c r="V53" s="5349"/>
      <c r="W53" s="5349"/>
      <c r="X53" s="5349"/>
      <c r="Y53" s="5349"/>
      <c r="Z53" s="5349"/>
      <c r="AA53" s="5349"/>
      <c r="AB53" s="5349"/>
      <c r="AC53" s="5349"/>
      <c r="AD53" s="5349"/>
      <c r="AE53" s="5349"/>
      <c r="AF53" s="5349"/>
      <c r="AG53" s="5349"/>
      <c r="AH53" s="5349"/>
      <c r="AI53" s="5349"/>
      <c r="AJ53" s="5349"/>
      <c r="AK53" s="5349"/>
      <c r="AL53" s="5349"/>
      <c r="AM53" s="5349"/>
      <c r="AN53" s="5349"/>
      <c r="AO53" s="5349"/>
      <c r="AP53" s="5349"/>
      <c r="AQ53" s="5349"/>
      <c r="AR53" s="603"/>
      <c r="AS53" s="603"/>
      <c r="AT53" s="603"/>
      <c r="AU53" s="603"/>
      <c r="AV53" s="603"/>
      <c r="AW53" s="603"/>
    </row>
    <row r="54" spans="1:132" x14ac:dyDescent="0.25">
      <c r="A54" s="7745" t="s">
        <v>2654</v>
      </c>
      <c r="B54" s="7728" t="s">
        <v>24</v>
      </c>
      <c r="C54" s="7729"/>
      <c r="D54" s="7740" t="s">
        <v>12</v>
      </c>
      <c r="E54" s="7741"/>
      <c r="F54" s="7741"/>
      <c r="G54" s="7741"/>
      <c r="H54" s="7741"/>
      <c r="I54" s="7741"/>
      <c r="J54" s="7741"/>
      <c r="K54" s="7741"/>
      <c r="L54" s="7741"/>
      <c r="M54" s="7741"/>
      <c r="N54" s="7741"/>
      <c r="O54" s="7741"/>
      <c r="P54" s="7741"/>
      <c r="Q54" s="7741"/>
      <c r="R54" s="7741"/>
      <c r="S54" s="7741"/>
      <c r="T54" s="7741"/>
      <c r="U54" s="7741"/>
      <c r="V54" s="7741"/>
      <c r="W54" s="7741"/>
      <c r="X54" s="7741"/>
      <c r="Y54" s="7741"/>
      <c r="Z54" s="7741"/>
      <c r="AA54" s="7741"/>
      <c r="AB54" s="7741"/>
      <c r="AC54" s="7741"/>
      <c r="AD54" s="7741"/>
      <c r="AE54" s="7741"/>
      <c r="AF54" s="7741"/>
      <c r="AG54" s="7741"/>
      <c r="AH54" s="7741"/>
      <c r="AI54" s="7741"/>
      <c r="AJ54" s="7741"/>
      <c r="AK54" s="7741"/>
      <c r="AL54" s="7741"/>
      <c r="AM54" s="7741"/>
      <c r="AN54" s="7741"/>
      <c r="AO54" s="7741"/>
      <c r="AP54" s="7741"/>
      <c r="AQ54" s="7752"/>
      <c r="AR54" s="7748" t="s">
        <v>2655</v>
      </c>
      <c r="AS54" s="7751"/>
      <c r="AT54" s="7746" t="s">
        <v>48</v>
      </c>
      <c r="AU54" s="7722"/>
      <c r="AV54" s="7670" t="s">
        <v>2</v>
      </c>
      <c r="AW54" s="7672" t="s">
        <v>3</v>
      </c>
    </row>
    <row r="55" spans="1:132" x14ac:dyDescent="0.25">
      <c r="A55" s="7151"/>
      <c r="B55" s="7292"/>
      <c r="C55" s="7293"/>
      <c r="D55" s="7743" t="s">
        <v>3777</v>
      </c>
      <c r="E55" s="7748"/>
      <c r="F55" s="7743" t="s">
        <v>3705</v>
      </c>
      <c r="G55" s="7748"/>
      <c r="H55" s="7743" t="s">
        <v>54</v>
      </c>
      <c r="I55" s="7744"/>
      <c r="J55" s="7748" t="s">
        <v>3704</v>
      </c>
      <c r="K55" s="7748"/>
      <c r="L55" s="7743" t="s">
        <v>37</v>
      </c>
      <c r="M55" s="7748"/>
      <c r="N55" s="7743" t="s">
        <v>38</v>
      </c>
      <c r="O55" s="7748"/>
      <c r="P55" s="7743" t="s">
        <v>4</v>
      </c>
      <c r="Q55" s="7748"/>
      <c r="R55" s="7743" t="s">
        <v>5</v>
      </c>
      <c r="S55" s="7748"/>
      <c r="T55" s="7743" t="s">
        <v>6</v>
      </c>
      <c r="U55" s="7744"/>
      <c r="V55" s="7743" t="s">
        <v>7</v>
      </c>
      <c r="W55" s="7744"/>
      <c r="X55" s="7743" t="s">
        <v>8</v>
      </c>
      <c r="Y55" s="7744"/>
      <c r="Z55" s="7743" t="s">
        <v>9</v>
      </c>
      <c r="AA55" s="7744"/>
      <c r="AB55" s="7743" t="s">
        <v>10</v>
      </c>
      <c r="AC55" s="7744"/>
      <c r="AD55" s="7743" t="s">
        <v>11</v>
      </c>
      <c r="AE55" s="7744"/>
      <c r="AF55" s="7743" t="s">
        <v>18</v>
      </c>
      <c r="AG55" s="7744"/>
      <c r="AH55" s="7743" t="s">
        <v>19</v>
      </c>
      <c r="AI55" s="7744"/>
      <c r="AJ55" s="7743" t="s">
        <v>20</v>
      </c>
      <c r="AK55" s="7744"/>
      <c r="AL55" s="7743" t="s">
        <v>70</v>
      </c>
      <c r="AM55" s="7744"/>
      <c r="AN55" s="7743" t="s">
        <v>71</v>
      </c>
      <c r="AO55" s="7744"/>
      <c r="AP55" s="7743" t="s">
        <v>32</v>
      </c>
      <c r="AQ55" s="7751"/>
      <c r="AR55" s="7670" t="s">
        <v>22</v>
      </c>
      <c r="AS55" s="7749" t="s">
        <v>27</v>
      </c>
      <c r="AT55" s="7723"/>
      <c r="AU55" s="7724"/>
      <c r="AV55" s="7747"/>
      <c r="AW55" s="6472"/>
    </row>
    <row r="56" spans="1:132" x14ac:dyDescent="0.25">
      <c r="A56" s="7150"/>
      <c r="B56" s="5327" t="s">
        <v>2656</v>
      </c>
      <c r="C56" s="5326" t="s">
        <v>2657</v>
      </c>
      <c r="D56" s="5324" t="s">
        <v>2656</v>
      </c>
      <c r="E56" s="5325" t="s">
        <v>2657</v>
      </c>
      <c r="F56" s="5324" t="s">
        <v>2656</v>
      </c>
      <c r="G56" s="5325" t="s">
        <v>2657</v>
      </c>
      <c r="H56" s="5324" t="s">
        <v>2656</v>
      </c>
      <c r="I56" s="5326" t="s">
        <v>2657</v>
      </c>
      <c r="J56" s="5327" t="s">
        <v>2656</v>
      </c>
      <c r="K56" s="5325" t="s">
        <v>2657</v>
      </c>
      <c r="L56" s="5324" t="s">
        <v>2656</v>
      </c>
      <c r="M56" s="5325" t="s">
        <v>2657</v>
      </c>
      <c r="N56" s="5324" t="s">
        <v>2656</v>
      </c>
      <c r="O56" s="5325" t="s">
        <v>2657</v>
      </c>
      <c r="P56" s="5324" t="s">
        <v>2656</v>
      </c>
      <c r="Q56" s="5325" t="s">
        <v>2657</v>
      </c>
      <c r="R56" s="5324" t="s">
        <v>2656</v>
      </c>
      <c r="S56" s="5325" t="s">
        <v>2657</v>
      </c>
      <c r="T56" s="5324" t="s">
        <v>2656</v>
      </c>
      <c r="U56" s="5325" t="s">
        <v>2657</v>
      </c>
      <c r="V56" s="5324" t="s">
        <v>2656</v>
      </c>
      <c r="W56" s="5325" t="s">
        <v>2657</v>
      </c>
      <c r="X56" s="5324" t="s">
        <v>2656</v>
      </c>
      <c r="Y56" s="5325" t="s">
        <v>2657</v>
      </c>
      <c r="Z56" s="5324" t="s">
        <v>2656</v>
      </c>
      <c r="AA56" s="5325" t="s">
        <v>2657</v>
      </c>
      <c r="AB56" s="5324" t="s">
        <v>2656</v>
      </c>
      <c r="AC56" s="5325" t="s">
        <v>2657</v>
      </c>
      <c r="AD56" s="5324" t="s">
        <v>2656</v>
      </c>
      <c r="AE56" s="5325" t="s">
        <v>2657</v>
      </c>
      <c r="AF56" s="5324" t="s">
        <v>2656</v>
      </c>
      <c r="AG56" s="5325" t="s">
        <v>2657</v>
      </c>
      <c r="AH56" s="5324" t="s">
        <v>2656</v>
      </c>
      <c r="AI56" s="5325" t="s">
        <v>2657</v>
      </c>
      <c r="AJ56" s="5324" t="s">
        <v>2656</v>
      </c>
      <c r="AK56" s="5325" t="s">
        <v>2657</v>
      </c>
      <c r="AL56" s="5324" t="s">
        <v>2656</v>
      </c>
      <c r="AM56" s="5325" t="s">
        <v>2657</v>
      </c>
      <c r="AN56" s="5324" t="s">
        <v>2656</v>
      </c>
      <c r="AO56" s="5325" t="s">
        <v>2657</v>
      </c>
      <c r="AP56" s="5324" t="s">
        <v>2656</v>
      </c>
      <c r="AQ56" s="5328" t="s">
        <v>2657</v>
      </c>
      <c r="AR56" s="7671"/>
      <c r="AS56" s="7750"/>
      <c r="AT56" s="4991" t="s">
        <v>41</v>
      </c>
      <c r="AU56" s="5329" t="s">
        <v>42</v>
      </c>
      <c r="AV56" s="7671"/>
      <c r="AW56" s="7287"/>
    </row>
    <row r="57" spans="1:132" x14ac:dyDescent="0.25">
      <c r="A57" s="5350" t="s">
        <v>2658</v>
      </c>
      <c r="B57" s="5331">
        <f t="shared" ref="B57:C64" si="153">+N57+P57+R57+T57+V57+X57+Z57+AB57+AD57+AF57+AH57+AJ57+AL57+AN57+AP57</f>
        <v>0</v>
      </c>
      <c r="C57" s="5332">
        <f t="shared" si="153"/>
        <v>0</v>
      </c>
      <c r="D57" s="3568"/>
      <c r="E57" s="5340"/>
      <c r="F57" s="5339"/>
      <c r="G57" s="5340"/>
      <c r="H57" s="5339"/>
      <c r="I57" s="5340"/>
      <c r="J57" s="5339"/>
      <c r="K57" s="5340"/>
      <c r="L57" s="5339"/>
      <c r="M57" s="5341"/>
      <c r="N57" s="3572"/>
      <c r="O57" s="5342"/>
      <c r="P57" s="5229"/>
      <c r="Q57" s="5342"/>
      <c r="R57" s="5229"/>
      <c r="S57" s="5342"/>
      <c r="T57" s="5229"/>
      <c r="U57" s="5342"/>
      <c r="V57" s="5229"/>
      <c r="W57" s="5342"/>
      <c r="X57" s="5229"/>
      <c r="Y57" s="5342"/>
      <c r="Z57" s="5229"/>
      <c r="AA57" s="5342"/>
      <c r="AB57" s="5229"/>
      <c r="AC57" s="5342"/>
      <c r="AD57" s="5229"/>
      <c r="AE57" s="5342"/>
      <c r="AF57" s="5229"/>
      <c r="AG57" s="5342"/>
      <c r="AH57" s="5229"/>
      <c r="AI57" s="5342"/>
      <c r="AJ57" s="5229"/>
      <c r="AK57" s="5342"/>
      <c r="AL57" s="5229"/>
      <c r="AM57" s="5342"/>
      <c r="AN57" s="5229"/>
      <c r="AO57" s="5342"/>
      <c r="AP57" s="5229"/>
      <c r="AQ57" s="5336"/>
      <c r="AR57" s="3576"/>
      <c r="AS57" s="5336"/>
      <c r="AT57" s="5337"/>
      <c r="AU57" s="5336"/>
      <c r="AV57" s="3572"/>
      <c r="AW57" s="5338"/>
      <c r="AX57" s="1755" t="str">
        <f>CB57&amp;CC57&amp;CD57&amp;CE57&amp;CK57&amp;CL57&amp;CM57&amp;CN57&amp;CO57&amp;CP57&amp;CQ57&amp;CR57&amp;CS57&amp;CT57&amp;CU57&amp;CV57&amp;CW57&amp;CX57</f>
        <v/>
      </c>
      <c r="CA57" s="603"/>
      <c r="CB57" s="4928" t="str">
        <f>IF(B57&lt;&gt;(AS57)," * La suma de las columnas "&amp;AR$10&amp;""&amp;" DEBE SER IGUAL a los Exámenes Procesados. ","")</f>
        <v/>
      </c>
      <c r="CC57" s="2873" t="str">
        <f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D57" s="2873" t="str">
        <f>IF(AND($B57&gt;0,AV57=""),"* No olvide ingresar la columna "&amp;AV$10&amp;""&amp;" *(Digite CERO si no tiene). ",IF(AV57&gt;$B57," *El Número de "&amp;AV$10&amp;""&amp;" no puede superar el Total Procesados. ",""))</f>
        <v/>
      </c>
      <c r="CE57" s="2873" t="str">
        <f>IF(AND($B57&gt;0,AW57=""),"* No olvide ingresar la columna "&amp;AW$10&amp;""&amp;" *(Digite CERO si no tiene). ",IF(AW57&gt;$B57," *El Número de "&amp;AW$10&amp;""&amp;" no puede superar el Total Procesados. ",""))</f>
        <v/>
      </c>
      <c r="CF57" s="3107"/>
      <c r="CG57" s="3107"/>
      <c r="CH57" s="3107"/>
      <c r="CI57" s="3107"/>
      <c r="CJ57" s="3107"/>
      <c r="CK57" s="2873" t="str">
        <f>IF(N57&lt;O57,CONCATENATE("* El total de Procesados debe ser mayor o igual al total de Reactivos en el grupo de edad ",$N$11),"")</f>
        <v/>
      </c>
      <c r="CL57" s="2873" t="str">
        <f>IF(P57&lt;Q57,CONCATENATE("* El total de Procesados debe ser mayor o igual al total de Reactivos en el grupo de edad ",$P$11),"")</f>
        <v/>
      </c>
      <c r="CM57" s="2873" t="str">
        <f>IF(R57&lt;S57,CONCATENATE("* El total de Procesados debe ser mayor o igual al total de Reactivos en el grupo de edad ",$R$11),"")</f>
        <v/>
      </c>
      <c r="CN57" s="2873" t="str">
        <f>IF($T57&lt;$U57,CONCATENATE("* El total de Procesados debe ser mayor o igual al total de Reactivos en el grupo de edad ",$T$11),"")</f>
        <v/>
      </c>
      <c r="CO57" s="2873" t="str">
        <f>IF(V57&lt;W57,CONCATENATE("* El total de Procesados debe ser mayor o igual al total de Reactivos en el grupo de edad ",$V$11),"")</f>
        <v/>
      </c>
      <c r="CP57" s="2873" t="str">
        <f>IF(X57&lt;Y57,CONCATENATE("* El total de Procesados debe ser mayor o igual al total de Reactivos en el grupo de edad ",$X$11),"")</f>
        <v/>
      </c>
      <c r="CQ57" s="2873" t="str">
        <f>IF(Z57&lt;AA57,CONCATENATE("* El total de Procesados debe ser mayor o igual al total de Reactivos en el grupo de edad ",$Z$11),"")</f>
        <v/>
      </c>
      <c r="CR57" s="2873" t="str">
        <f>IF(AD57&lt;AE57,CONCATENATE("* El total de Procesados debe ser mayor o igual al total de Reactivos en el grupo de edad ",$AD$11),"")</f>
        <v/>
      </c>
      <c r="CS57" s="2873" t="str">
        <f>IF(AF57&lt;AG57,CONCATENATE("* El total de Procesados debe ser mayor o igual al total de Reactivos en el grupo de edad ",$AF$11),"")</f>
        <v/>
      </c>
      <c r="CT57" s="2873" t="str">
        <f>IF(AH57&lt;AI57,CONCATENATE("* El total de Procesados debe ser mayor o igual al total de Reactivos en el grupo de edad ",$AH$11),"")</f>
        <v/>
      </c>
      <c r="CU57" s="2873" t="str">
        <f>IF(AJ57&lt;AK57,CONCATENATE("* El total de Procesados debe ser mayor o igual al total de Reactivos en el grupo de edad ",$AJ$11),"")</f>
        <v/>
      </c>
      <c r="CV57" s="2873" t="str">
        <f>IF(AL57&lt;AM57,CONCATENATE("* El total de Procesados debe ser mayor o igual al total de Reactivos en el grupo de edad ",$AL$11),"")</f>
        <v/>
      </c>
      <c r="CW57" s="2873" t="str">
        <f>IF(AN57&lt;AO57,CONCATENATE("* El total de Procesados debe ser mayor o igual al total de Reactivos en el grupo de edad ",$AN$11),"")</f>
        <v/>
      </c>
      <c r="CX57" s="2873" t="str">
        <f>IF(AP57&lt;AQ57,CONCATENATE("* El total de Procesados debe ser mayor o igual al total de Reactivos en el grupo de edad ",$AP$11),"")</f>
        <v/>
      </c>
      <c r="DE57" s="2718"/>
      <c r="DF57" s="4928">
        <f>IF(B57&lt;&gt;(AS57),1,0)</f>
        <v>0</v>
      </c>
      <c r="DG57" s="3009">
        <f>IF(AND($B57&gt;0,AND(AT57="",AU57="")),1,IF((AT57+AU57)&gt;$B57,1,0))</f>
        <v>0</v>
      </c>
      <c r="DH57" s="3009">
        <f>IF(AND($B57&gt;0,AV57=""),1,IF(AV57&gt;$B57,1,0))</f>
        <v>0</v>
      </c>
      <c r="DI57" s="3009">
        <f>IF(AND($B57&gt;0,AW57=""),1,IF(AW57&gt;$B57,1,0))</f>
        <v>0</v>
      </c>
      <c r="DJ57" s="3107"/>
      <c r="DK57" s="3107"/>
      <c r="DL57" s="3107"/>
      <c r="DM57" s="3107"/>
      <c r="DN57" s="3107"/>
      <c r="DO57" s="3009">
        <f>IF(N57&lt;O57,1,0)</f>
        <v>0</v>
      </c>
      <c r="DP57" s="3009">
        <f>IF(P57&lt;Q57,1,0)</f>
        <v>0</v>
      </c>
      <c r="DQ57" s="3009">
        <f>IF(R57&lt;S57,1,0)</f>
        <v>0</v>
      </c>
      <c r="DR57" s="3009">
        <f>IF($T57&lt;$U57,1,0)</f>
        <v>0</v>
      </c>
      <c r="DS57" s="3009">
        <f>IF(V57&lt;W57,1,0)</f>
        <v>0</v>
      </c>
      <c r="DT57" s="3009">
        <f>IF(X57&lt;Y57,1,0)</f>
        <v>0</v>
      </c>
      <c r="DU57" s="3009">
        <f>IF(Z57&lt;AA57,1,0)</f>
        <v>0</v>
      </c>
      <c r="DV57" s="3009">
        <f>IF(AD57&lt;AE57,1,0)</f>
        <v>0</v>
      </c>
      <c r="DW57" s="3009">
        <f>IF(AF57&lt;AG57,1,0)</f>
        <v>0</v>
      </c>
      <c r="DX57" s="3009">
        <f>IF(AH57&lt;AI57,1,0)</f>
        <v>0</v>
      </c>
      <c r="DY57" s="3009">
        <f>IF(AJ57&lt;AK57,1,0)</f>
        <v>0</v>
      </c>
      <c r="DZ57" s="3009">
        <f>IF(AL57&lt;AM57,1,0)</f>
        <v>0</v>
      </c>
      <c r="EA57" s="3009">
        <f>IF(AN57&lt;AO57,1,0)</f>
        <v>0</v>
      </c>
      <c r="EB57" s="3009">
        <f>IF(AP57&lt;AQ57,1,0)</f>
        <v>0</v>
      </c>
    </row>
    <row r="58" spans="1:132" x14ac:dyDescent="0.25">
      <c r="A58" s="3273" t="s">
        <v>2659</v>
      </c>
      <c r="B58" s="2014">
        <f t="shared" si="153"/>
        <v>0</v>
      </c>
      <c r="C58" s="3331">
        <f t="shared" si="153"/>
        <v>0</v>
      </c>
      <c r="D58" s="3568"/>
      <c r="E58" s="5340"/>
      <c r="F58" s="5339"/>
      <c r="G58" s="5340"/>
      <c r="H58" s="5339"/>
      <c r="I58" s="5340"/>
      <c r="J58" s="5339"/>
      <c r="K58" s="5340"/>
      <c r="L58" s="5339"/>
      <c r="M58" s="5341"/>
      <c r="N58" s="3572"/>
      <c r="O58" s="5342"/>
      <c r="P58" s="5229"/>
      <c r="Q58" s="5342"/>
      <c r="R58" s="5229"/>
      <c r="S58" s="5342"/>
      <c r="T58" s="5229"/>
      <c r="U58" s="5342"/>
      <c r="V58" s="5229"/>
      <c r="W58" s="5342"/>
      <c r="X58" s="5229"/>
      <c r="Y58" s="5342"/>
      <c r="Z58" s="5229"/>
      <c r="AA58" s="5342"/>
      <c r="AB58" s="5229"/>
      <c r="AC58" s="5342"/>
      <c r="AD58" s="5229"/>
      <c r="AE58" s="5342"/>
      <c r="AF58" s="5229"/>
      <c r="AG58" s="5342"/>
      <c r="AH58" s="5229"/>
      <c r="AI58" s="5342"/>
      <c r="AJ58" s="5229"/>
      <c r="AK58" s="5342"/>
      <c r="AL58" s="5229"/>
      <c r="AM58" s="5342"/>
      <c r="AN58" s="5229"/>
      <c r="AO58" s="5342"/>
      <c r="AP58" s="5229"/>
      <c r="AQ58" s="5336"/>
      <c r="AR58" s="3576"/>
      <c r="AS58" s="5336"/>
      <c r="AT58" s="5337"/>
      <c r="AU58" s="5336"/>
      <c r="AV58" s="3572"/>
      <c r="AW58" s="5338"/>
      <c r="AX58" s="1755" t="str">
        <f t="shared" ref="AX58:AX61" si="154">CB58&amp;CC58&amp;CD58&amp;CE58&amp;CK58&amp;CL58&amp;CM58&amp;CN58&amp;CO58&amp;CP58&amp;CQ58&amp;CR58&amp;CS58&amp;CT58&amp;CU58&amp;CV58&amp;CW58&amp;CX58</f>
        <v/>
      </c>
      <c r="CA58" s="603"/>
      <c r="CB58" s="4928" t="str">
        <f t="shared" ref="CB58:CB61" si="155">IF(B58&lt;&gt;(AS58)," * La suma de las columnas "&amp;AR$10&amp;""&amp;" DEBE SER IGUAL a los Exámenes Procesados. ","")</f>
        <v/>
      </c>
      <c r="CC58" s="2873" t="str">
        <f t="shared" ref="CC58:CC74" si="156">IF(AND($B58&gt;0,AND(AT58="",AU58="")),"* No olvide ingresar las columnas Trans Masculino o Femenino (*Digite CERO si no tiene). ",IF((AT58+AU58)&gt;$B58,"* El Número de Trans Masculino o Femenino no puede superar el Total Procesados. ",""))</f>
        <v/>
      </c>
      <c r="CD58" s="2873" t="str">
        <f t="shared" ref="CD58:CD74" si="157">IF(AND($B58&gt;0,AV58=""),"* No olvide ingresar la columna "&amp;AV$10&amp;""&amp;" *(Digite CERO si no tiene). ",IF(AV58&gt;$B58," *El Número de "&amp;AV$10&amp;""&amp;" no puede superar el Total Procesados. ",""))</f>
        <v/>
      </c>
      <c r="CE58" s="2873" t="str">
        <f t="shared" ref="CE58:CE74" si="158">IF(AND($B58&gt;0,AW58=""),"* No olvide ingresar la columna "&amp;AW$10&amp;""&amp;" *(Digite CERO si no tiene). ",IF(AW58&gt;$B58," *El Número de "&amp;AW$10&amp;""&amp;" no puede superar el Total Procesados. ",""))</f>
        <v/>
      </c>
      <c r="CF58" s="3107"/>
      <c r="CG58" s="3107"/>
      <c r="CH58" s="3107"/>
      <c r="CI58" s="3107"/>
      <c r="CJ58" s="3107"/>
      <c r="CK58" s="2873" t="str">
        <f t="shared" ref="CK58:CK61" si="159">IF(N58&lt;O58,CONCATENATE("* El total de Procesados debe ser mayor o igual al total de Reactivos en el grupo de edad ",$N$11),"")</f>
        <v/>
      </c>
      <c r="CL58" s="2873" t="str">
        <f t="shared" ref="CL58:CL63" si="160">IF(P58&lt;Q58,CONCATENATE("* El total de Procesados debe ser mayor o igual al total de Reactivos en el grupo de edad ",$P$11),"")</f>
        <v/>
      </c>
      <c r="CM58" s="2873" t="str">
        <f t="shared" ref="CM58:CM65" si="161">IF(R58&lt;S58,CONCATENATE("* El total de Procesados debe ser mayor o igual al total de Reactivos en el grupo de edad ",$R$11),"")</f>
        <v/>
      </c>
      <c r="CN58" s="2873" t="str">
        <f t="shared" ref="CN58:CN74" si="162">IF($T58&lt;$U58,CONCATENATE("* El total de Procesados debe ser mayor o igual al total de Reactivos en el grupo de edad ",$T$11),"")</f>
        <v/>
      </c>
      <c r="CO58" s="2873" t="str">
        <f t="shared" ref="CO58:CO65" si="163">IF(V58&lt;W58,CONCATENATE("* El total de Procesados debe ser mayor o igual al total de Reactivos en el grupo de edad ",$V$11),"")</f>
        <v/>
      </c>
      <c r="CP58" s="2873" t="str">
        <f t="shared" ref="CP58:CP65" si="164">IF(X58&lt;Y58,CONCATENATE("* El total de Procesados debe ser mayor o igual al total de Reactivos en el grupo de edad ",$X$11),"")</f>
        <v/>
      </c>
      <c r="CQ58" s="2873" t="str">
        <f t="shared" ref="CQ58:CQ65" si="165">IF(Z58&lt;AA58,CONCATENATE("* El total de Procesados debe ser mayor o igual al total de Reactivos en el grupo de edad ",$Z$11),"")</f>
        <v/>
      </c>
      <c r="CR58" s="2873" t="str">
        <f t="shared" ref="CR58:CR65" si="166">IF(AD58&lt;AE58,CONCATENATE("* El total de Procesados debe ser mayor o igual al total de Reactivos en el grupo de edad ",$AD$11),"")</f>
        <v/>
      </c>
      <c r="CS58" s="2873" t="str">
        <f t="shared" ref="CS58:CS65" si="167">IF(AF58&lt;AG58,CONCATENATE("* El total de Procesados debe ser mayor o igual al total de Reactivos en el grupo de edad ",$AF$11),"")</f>
        <v/>
      </c>
      <c r="CT58" s="2873" t="str">
        <f t="shared" ref="CT58:CT65" si="168">IF(AH58&lt;AI58,CONCATENATE("* El total de Procesados debe ser mayor o igual al total de Reactivos en el grupo de edad ",$AH$11),"")</f>
        <v/>
      </c>
      <c r="CU58" s="2873" t="str">
        <f t="shared" ref="CU58:CU65" si="169">IF(AJ58&lt;AK58,CONCATENATE("* El total de Procesados debe ser mayor o igual al total de Reactivos en el grupo de edad ",$AJ$11),"")</f>
        <v/>
      </c>
      <c r="CV58" s="2873" t="str">
        <f t="shared" ref="CV58:CV65" si="170">IF(AL58&lt;AM58,CONCATENATE("* El total de Procesados debe ser mayor o igual al total de Reactivos en el grupo de edad ",$AL$11),"")</f>
        <v/>
      </c>
      <c r="CW58" s="2873" t="str">
        <f t="shared" ref="CW58:CW65" si="171">IF(AN58&lt;AO58,CONCATENATE("* El total de Procesados debe ser mayor o igual al total de Reactivos en el grupo de edad ",$AN$11),"")</f>
        <v/>
      </c>
      <c r="CX58" s="2873" t="str">
        <f t="shared" ref="CX58:CX65" si="172">IF(AP58&lt;AQ58,CONCATENATE("* El total de Procesados debe ser mayor o igual al total de Reactivos en el grupo de edad ",$AP$11),"")</f>
        <v/>
      </c>
      <c r="DE58" s="2718"/>
      <c r="DF58" s="4928">
        <f t="shared" ref="DF58:DF61" si="173">IF(B58&lt;&gt;(AS58),1,0)</f>
        <v>0</v>
      </c>
      <c r="DG58" s="3009">
        <f t="shared" ref="DG58:DG74" si="174">IF(AND($B58&gt;0,AND(AT58="",AU58="")),1,IF((AT58+AU58)&gt;$B58,1,0))</f>
        <v>0</v>
      </c>
      <c r="DH58" s="3009">
        <f t="shared" ref="DH58:DH74" si="175">IF(AND($B58&gt;0,AV58=""),1,IF(AV58&gt;$B58,1,0))</f>
        <v>0</v>
      </c>
      <c r="DI58" s="3009">
        <f t="shared" ref="DI58:DI74" si="176">IF(AND($B58&gt;0,AW58=""),1,IF(AW58&gt;$B58,1,0))</f>
        <v>0</v>
      </c>
      <c r="DJ58" s="3107"/>
      <c r="DK58" s="3107"/>
      <c r="DL58" s="3107"/>
      <c r="DM58" s="3107"/>
      <c r="DN58" s="3107"/>
      <c r="DO58" s="3009">
        <f t="shared" ref="DO58:DO65" si="177">IF(N58&lt;O58,1,0)</f>
        <v>0</v>
      </c>
      <c r="DP58" s="3009">
        <f t="shared" ref="DP58:DP65" si="178">IF(P58&lt;Q58,1,0)</f>
        <v>0</v>
      </c>
      <c r="DQ58" s="3009">
        <f t="shared" ref="DQ58:DQ65" si="179">IF(R58&lt;S58,1,0)</f>
        <v>0</v>
      </c>
      <c r="DR58" s="3009">
        <f t="shared" ref="DR58:DR74" si="180">IF($T58&lt;$U58,1,0)</f>
        <v>0</v>
      </c>
      <c r="DS58" s="3009">
        <f t="shared" ref="DS58:DS65" si="181">IF(V58&lt;W58,1,0)</f>
        <v>0</v>
      </c>
      <c r="DT58" s="3009">
        <f t="shared" ref="DT58:DT65" si="182">IF(X58&lt;Y58,1,0)</f>
        <v>0</v>
      </c>
      <c r="DU58" s="3009">
        <f t="shared" ref="DU58:DU65" si="183">IF(Z58&lt;AA58,1,0)</f>
        <v>0</v>
      </c>
      <c r="DV58" s="3009">
        <f t="shared" ref="DV58:DV65" si="184">IF(AD58&lt;AE58,1,0)</f>
        <v>0</v>
      </c>
      <c r="DW58" s="3009">
        <f t="shared" ref="DW58:DW65" si="185">IF(AF58&lt;AG58,1,0)</f>
        <v>0</v>
      </c>
      <c r="DX58" s="3009">
        <f t="shared" ref="DX58:DX65" si="186">IF(AH58&lt;AI58,1,0)</f>
        <v>0</v>
      </c>
      <c r="DY58" s="3009">
        <f t="shared" ref="DY58:DY65" si="187">IF(AJ58&lt;AK58,1,0)</f>
        <v>0</v>
      </c>
      <c r="DZ58" s="3009">
        <f t="shared" ref="DZ58:DZ65" si="188">IF(AL58&lt;AM58,1,0)</f>
        <v>0</v>
      </c>
      <c r="EA58" s="3009">
        <f t="shared" ref="EA58:EA65" si="189">IF(AN58&lt;AO58,1,0)</f>
        <v>0</v>
      </c>
      <c r="EB58" s="3009">
        <f t="shared" ref="EB58:EB65" si="190">IF(AP58&lt;AQ58,1,0)</f>
        <v>0</v>
      </c>
    </row>
    <row r="59" spans="1:132" x14ac:dyDescent="0.25">
      <c r="A59" s="3273" t="s">
        <v>2660</v>
      </c>
      <c r="B59" s="2014">
        <f t="shared" si="153"/>
        <v>0</v>
      </c>
      <c r="C59" s="3331">
        <f t="shared" si="153"/>
        <v>0</v>
      </c>
      <c r="D59" s="3568"/>
      <c r="E59" s="5340"/>
      <c r="F59" s="5339"/>
      <c r="G59" s="5340"/>
      <c r="H59" s="5339"/>
      <c r="I59" s="5340"/>
      <c r="J59" s="5339"/>
      <c r="K59" s="5340"/>
      <c r="L59" s="5339"/>
      <c r="M59" s="5341"/>
      <c r="N59" s="3572"/>
      <c r="O59" s="5342"/>
      <c r="P59" s="5229"/>
      <c r="Q59" s="5342"/>
      <c r="R59" s="5229"/>
      <c r="S59" s="5342"/>
      <c r="T59" s="5229"/>
      <c r="U59" s="5342"/>
      <c r="V59" s="5229"/>
      <c r="W59" s="5342"/>
      <c r="X59" s="5229"/>
      <c r="Y59" s="5342"/>
      <c r="Z59" s="5229"/>
      <c r="AA59" s="5342"/>
      <c r="AB59" s="5229"/>
      <c r="AC59" s="5342"/>
      <c r="AD59" s="5229"/>
      <c r="AE59" s="5342"/>
      <c r="AF59" s="5229"/>
      <c r="AG59" s="5342"/>
      <c r="AH59" s="5229"/>
      <c r="AI59" s="5342"/>
      <c r="AJ59" s="5229"/>
      <c r="AK59" s="5342"/>
      <c r="AL59" s="5229"/>
      <c r="AM59" s="5342"/>
      <c r="AN59" s="5229"/>
      <c r="AO59" s="5342"/>
      <c r="AP59" s="5229"/>
      <c r="AQ59" s="5336"/>
      <c r="AR59" s="3576"/>
      <c r="AS59" s="5336"/>
      <c r="AT59" s="5337"/>
      <c r="AU59" s="5336"/>
      <c r="AV59" s="3572"/>
      <c r="AW59" s="5338"/>
      <c r="AX59" s="1755" t="str">
        <f t="shared" si="154"/>
        <v/>
      </c>
      <c r="CA59" s="603"/>
      <c r="CB59" s="4928" t="str">
        <f t="shared" si="155"/>
        <v/>
      </c>
      <c r="CC59" s="2873" t="str">
        <f t="shared" si="156"/>
        <v/>
      </c>
      <c r="CD59" s="2873" t="str">
        <f t="shared" si="157"/>
        <v/>
      </c>
      <c r="CE59" s="2873" t="str">
        <f t="shared" si="158"/>
        <v/>
      </c>
      <c r="CF59" s="3107"/>
      <c r="CG59" s="3107"/>
      <c r="CH59" s="3107"/>
      <c r="CI59" s="3107"/>
      <c r="CJ59" s="3107"/>
      <c r="CK59" s="2873" t="str">
        <f t="shared" si="159"/>
        <v/>
      </c>
      <c r="CL59" s="2873" t="str">
        <f t="shared" si="160"/>
        <v/>
      </c>
      <c r="CM59" s="2873" t="str">
        <f t="shared" si="161"/>
        <v/>
      </c>
      <c r="CN59" s="2873" t="str">
        <f t="shared" si="162"/>
        <v/>
      </c>
      <c r="CO59" s="2873" t="str">
        <f t="shared" si="163"/>
        <v/>
      </c>
      <c r="CP59" s="2873" t="str">
        <f t="shared" si="164"/>
        <v/>
      </c>
      <c r="CQ59" s="2873" t="str">
        <f t="shared" si="165"/>
        <v/>
      </c>
      <c r="CR59" s="2873" t="str">
        <f t="shared" si="166"/>
        <v/>
      </c>
      <c r="CS59" s="2873" t="str">
        <f t="shared" si="167"/>
        <v/>
      </c>
      <c r="CT59" s="2873" t="str">
        <f t="shared" si="168"/>
        <v/>
      </c>
      <c r="CU59" s="2873" t="str">
        <f t="shared" si="169"/>
        <v/>
      </c>
      <c r="CV59" s="2873" t="str">
        <f t="shared" si="170"/>
        <v/>
      </c>
      <c r="CW59" s="2873" t="str">
        <f t="shared" si="171"/>
        <v/>
      </c>
      <c r="CX59" s="2873" t="str">
        <f t="shared" si="172"/>
        <v/>
      </c>
      <c r="DE59" s="2718"/>
      <c r="DF59" s="4928">
        <f t="shared" si="173"/>
        <v>0</v>
      </c>
      <c r="DG59" s="3009">
        <f t="shared" si="174"/>
        <v>0</v>
      </c>
      <c r="DH59" s="3009">
        <f t="shared" si="175"/>
        <v>0</v>
      </c>
      <c r="DI59" s="3009">
        <f t="shared" si="176"/>
        <v>0</v>
      </c>
      <c r="DJ59" s="3107"/>
      <c r="DK59" s="3107"/>
      <c r="DL59" s="3107"/>
      <c r="DM59" s="3107"/>
      <c r="DN59" s="3107"/>
      <c r="DO59" s="3009">
        <f t="shared" si="177"/>
        <v>0</v>
      </c>
      <c r="DP59" s="3009">
        <f t="shared" si="178"/>
        <v>0</v>
      </c>
      <c r="DQ59" s="3009">
        <f t="shared" si="179"/>
        <v>0</v>
      </c>
      <c r="DR59" s="3009">
        <f t="shared" si="180"/>
        <v>0</v>
      </c>
      <c r="DS59" s="3009">
        <f t="shared" si="181"/>
        <v>0</v>
      </c>
      <c r="DT59" s="3009">
        <f t="shared" si="182"/>
        <v>0</v>
      </c>
      <c r="DU59" s="3009">
        <f t="shared" si="183"/>
        <v>0</v>
      </c>
      <c r="DV59" s="3009">
        <f t="shared" si="184"/>
        <v>0</v>
      </c>
      <c r="DW59" s="3009">
        <f t="shared" si="185"/>
        <v>0</v>
      </c>
      <c r="DX59" s="3009">
        <f t="shared" si="186"/>
        <v>0</v>
      </c>
      <c r="DY59" s="3009">
        <f t="shared" si="187"/>
        <v>0</v>
      </c>
      <c r="DZ59" s="3009">
        <f t="shared" si="188"/>
        <v>0</v>
      </c>
      <c r="EA59" s="3009">
        <f t="shared" si="189"/>
        <v>0</v>
      </c>
      <c r="EB59" s="3009">
        <f t="shared" si="190"/>
        <v>0</v>
      </c>
    </row>
    <row r="60" spans="1:132" x14ac:dyDescent="0.25">
      <c r="A60" s="3273" t="s">
        <v>2661</v>
      </c>
      <c r="B60" s="2014">
        <f t="shared" si="153"/>
        <v>0</v>
      </c>
      <c r="C60" s="3331">
        <f t="shared" si="153"/>
        <v>0</v>
      </c>
      <c r="D60" s="3568"/>
      <c r="E60" s="5340"/>
      <c r="F60" s="5339"/>
      <c r="G60" s="5340"/>
      <c r="H60" s="5339"/>
      <c r="I60" s="5340"/>
      <c r="J60" s="5339"/>
      <c r="K60" s="5340"/>
      <c r="L60" s="5339"/>
      <c r="M60" s="5341"/>
      <c r="N60" s="3572"/>
      <c r="O60" s="5342"/>
      <c r="P60" s="5229"/>
      <c r="Q60" s="5342"/>
      <c r="R60" s="5229"/>
      <c r="S60" s="5342"/>
      <c r="T60" s="5229"/>
      <c r="U60" s="5342"/>
      <c r="V60" s="5229"/>
      <c r="W60" s="5342"/>
      <c r="X60" s="5229"/>
      <c r="Y60" s="5342"/>
      <c r="Z60" s="5229"/>
      <c r="AA60" s="5342"/>
      <c r="AB60" s="5229"/>
      <c r="AC60" s="5342"/>
      <c r="AD60" s="5229"/>
      <c r="AE60" s="5342"/>
      <c r="AF60" s="5229"/>
      <c r="AG60" s="5342"/>
      <c r="AH60" s="5229"/>
      <c r="AI60" s="5342"/>
      <c r="AJ60" s="5229"/>
      <c r="AK60" s="5342"/>
      <c r="AL60" s="5229"/>
      <c r="AM60" s="5342"/>
      <c r="AN60" s="5229"/>
      <c r="AO60" s="5342"/>
      <c r="AP60" s="5229"/>
      <c r="AQ60" s="5336"/>
      <c r="AR60" s="3576"/>
      <c r="AS60" s="5336"/>
      <c r="AT60" s="5337"/>
      <c r="AU60" s="5336"/>
      <c r="AV60" s="3572"/>
      <c r="AW60" s="5338"/>
      <c r="AX60" s="1755" t="str">
        <f t="shared" si="154"/>
        <v/>
      </c>
      <c r="CA60" s="603"/>
      <c r="CB60" s="4928" t="str">
        <f t="shared" si="155"/>
        <v/>
      </c>
      <c r="CC60" s="2873" t="str">
        <f t="shared" si="156"/>
        <v/>
      </c>
      <c r="CD60" s="2873" t="str">
        <f t="shared" si="157"/>
        <v/>
      </c>
      <c r="CE60" s="2873" t="str">
        <f t="shared" si="158"/>
        <v/>
      </c>
      <c r="CF60" s="3107"/>
      <c r="CG60" s="3107"/>
      <c r="CH60" s="3107"/>
      <c r="CI60" s="3107"/>
      <c r="CJ60" s="3107"/>
      <c r="CK60" s="2873" t="str">
        <f t="shared" si="159"/>
        <v/>
      </c>
      <c r="CL60" s="2873" t="str">
        <f t="shared" si="160"/>
        <v/>
      </c>
      <c r="CM60" s="2873" t="str">
        <f t="shared" si="161"/>
        <v/>
      </c>
      <c r="CN60" s="2873" t="str">
        <f t="shared" si="162"/>
        <v/>
      </c>
      <c r="CO60" s="2873" t="str">
        <f t="shared" si="163"/>
        <v/>
      </c>
      <c r="CP60" s="2873" t="str">
        <f t="shared" si="164"/>
        <v/>
      </c>
      <c r="CQ60" s="2873" t="str">
        <f t="shared" si="165"/>
        <v/>
      </c>
      <c r="CR60" s="2873" t="str">
        <f t="shared" si="166"/>
        <v/>
      </c>
      <c r="CS60" s="2873" t="str">
        <f t="shared" si="167"/>
        <v/>
      </c>
      <c r="CT60" s="2873" t="str">
        <f t="shared" si="168"/>
        <v/>
      </c>
      <c r="CU60" s="2873" t="str">
        <f t="shared" si="169"/>
        <v/>
      </c>
      <c r="CV60" s="2873" t="str">
        <f t="shared" si="170"/>
        <v/>
      </c>
      <c r="CW60" s="2873" t="str">
        <f t="shared" si="171"/>
        <v/>
      </c>
      <c r="CX60" s="2873" t="str">
        <f t="shared" si="172"/>
        <v/>
      </c>
      <c r="DE60" s="2718"/>
      <c r="DF60" s="4928">
        <f t="shared" si="173"/>
        <v>0</v>
      </c>
      <c r="DG60" s="3009">
        <f t="shared" si="174"/>
        <v>0</v>
      </c>
      <c r="DH60" s="3009">
        <f t="shared" si="175"/>
        <v>0</v>
      </c>
      <c r="DI60" s="3009">
        <f t="shared" si="176"/>
        <v>0</v>
      </c>
      <c r="DJ60" s="3107"/>
      <c r="DK60" s="3107"/>
      <c r="DL60" s="3107"/>
      <c r="DM60" s="3107"/>
      <c r="DN60" s="3107"/>
      <c r="DO60" s="3009">
        <f t="shared" si="177"/>
        <v>0</v>
      </c>
      <c r="DP60" s="3009">
        <f t="shared" si="178"/>
        <v>0</v>
      </c>
      <c r="DQ60" s="3009">
        <f t="shared" si="179"/>
        <v>0</v>
      </c>
      <c r="DR60" s="3009">
        <f t="shared" si="180"/>
        <v>0</v>
      </c>
      <c r="DS60" s="3009">
        <f t="shared" si="181"/>
        <v>0</v>
      </c>
      <c r="DT60" s="3009">
        <f t="shared" si="182"/>
        <v>0</v>
      </c>
      <c r="DU60" s="3009">
        <f t="shared" si="183"/>
        <v>0</v>
      </c>
      <c r="DV60" s="3009">
        <f t="shared" si="184"/>
        <v>0</v>
      </c>
      <c r="DW60" s="3009">
        <f t="shared" si="185"/>
        <v>0</v>
      </c>
      <c r="DX60" s="3009">
        <f t="shared" si="186"/>
        <v>0</v>
      </c>
      <c r="DY60" s="3009">
        <f t="shared" si="187"/>
        <v>0</v>
      </c>
      <c r="DZ60" s="3009">
        <f t="shared" si="188"/>
        <v>0</v>
      </c>
      <c r="EA60" s="3009">
        <f t="shared" si="189"/>
        <v>0</v>
      </c>
      <c r="EB60" s="3009">
        <f t="shared" si="190"/>
        <v>0</v>
      </c>
    </row>
    <row r="61" spans="1:132" x14ac:dyDescent="0.25">
      <c r="A61" s="3328" t="s">
        <v>2662</v>
      </c>
      <c r="B61" s="2014">
        <f t="shared" si="153"/>
        <v>0</v>
      </c>
      <c r="C61" s="3331">
        <f t="shared" si="153"/>
        <v>0</v>
      </c>
      <c r="D61" s="3568"/>
      <c r="E61" s="5340"/>
      <c r="F61" s="5339"/>
      <c r="G61" s="5340"/>
      <c r="H61" s="5339"/>
      <c r="I61" s="5340"/>
      <c r="J61" s="5339"/>
      <c r="K61" s="5340"/>
      <c r="L61" s="5339"/>
      <c r="M61" s="5341"/>
      <c r="N61" s="3572"/>
      <c r="O61" s="5342"/>
      <c r="P61" s="5229"/>
      <c r="Q61" s="5342"/>
      <c r="R61" s="5229"/>
      <c r="S61" s="5342"/>
      <c r="T61" s="5229"/>
      <c r="U61" s="5342"/>
      <c r="V61" s="5229"/>
      <c r="W61" s="5342"/>
      <c r="X61" s="5229"/>
      <c r="Y61" s="5342"/>
      <c r="Z61" s="5229"/>
      <c r="AA61" s="5342"/>
      <c r="AB61" s="5229"/>
      <c r="AC61" s="5342"/>
      <c r="AD61" s="5229"/>
      <c r="AE61" s="5342"/>
      <c r="AF61" s="5229"/>
      <c r="AG61" s="5342"/>
      <c r="AH61" s="5229"/>
      <c r="AI61" s="5342"/>
      <c r="AJ61" s="5229"/>
      <c r="AK61" s="5342"/>
      <c r="AL61" s="5229"/>
      <c r="AM61" s="5342"/>
      <c r="AN61" s="5229"/>
      <c r="AO61" s="5342"/>
      <c r="AP61" s="5229"/>
      <c r="AQ61" s="5336"/>
      <c r="AR61" s="3576"/>
      <c r="AS61" s="5336"/>
      <c r="AT61" s="5337"/>
      <c r="AU61" s="5336"/>
      <c r="AV61" s="3572"/>
      <c r="AW61" s="5338"/>
      <c r="AX61" s="1755" t="str">
        <f t="shared" si="154"/>
        <v/>
      </c>
      <c r="CA61" s="603"/>
      <c r="CB61" s="4928" t="str">
        <f t="shared" si="155"/>
        <v/>
      </c>
      <c r="CC61" s="2873" t="str">
        <f t="shared" si="156"/>
        <v/>
      </c>
      <c r="CD61" s="2873" t="str">
        <f t="shared" si="157"/>
        <v/>
      </c>
      <c r="CE61" s="2873" t="str">
        <f t="shared" si="158"/>
        <v/>
      </c>
      <c r="CF61" s="3107"/>
      <c r="CG61" s="3107"/>
      <c r="CH61" s="3107"/>
      <c r="CI61" s="3107"/>
      <c r="CJ61" s="3107"/>
      <c r="CK61" s="2873" t="str">
        <f t="shared" si="159"/>
        <v/>
      </c>
      <c r="CL61" s="2873" t="str">
        <f t="shared" si="160"/>
        <v/>
      </c>
      <c r="CM61" s="2873" t="str">
        <f t="shared" si="161"/>
        <v/>
      </c>
      <c r="CN61" s="2873" t="str">
        <f t="shared" si="162"/>
        <v/>
      </c>
      <c r="CO61" s="2873" t="str">
        <f t="shared" si="163"/>
        <v/>
      </c>
      <c r="CP61" s="2873" t="str">
        <f t="shared" si="164"/>
        <v/>
      </c>
      <c r="CQ61" s="2873" t="str">
        <f t="shared" si="165"/>
        <v/>
      </c>
      <c r="CR61" s="2873" t="str">
        <f t="shared" si="166"/>
        <v/>
      </c>
      <c r="CS61" s="2873" t="str">
        <f t="shared" si="167"/>
        <v/>
      </c>
      <c r="CT61" s="2873" t="str">
        <f t="shared" si="168"/>
        <v/>
      </c>
      <c r="CU61" s="2873" t="str">
        <f t="shared" si="169"/>
        <v/>
      </c>
      <c r="CV61" s="2873" t="str">
        <f t="shared" si="170"/>
        <v/>
      </c>
      <c r="CW61" s="2873" t="str">
        <f t="shared" si="171"/>
        <v/>
      </c>
      <c r="CX61" s="2873" t="str">
        <f t="shared" si="172"/>
        <v/>
      </c>
      <c r="DE61" s="2718"/>
      <c r="DF61" s="4928">
        <f t="shared" si="173"/>
        <v>0</v>
      </c>
      <c r="DG61" s="3009">
        <f t="shared" si="174"/>
        <v>0</v>
      </c>
      <c r="DH61" s="3009">
        <f t="shared" si="175"/>
        <v>0</v>
      </c>
      <c r="DI61" s="3009">
        <f t="shared" si="176"/>
        <v>0</v>
      </c>
      <c r="DJ61" s="3107"/>
      <c r="DK61" s="3107"/>
      <c r="DL61" s="3107"/>
      <c r="DM61" s="3107"/>
      <c r="DN61" s="3107"/>
      <c r="DO61" s="3009">
        <f t="shared" si="177"/>
        <v>0</v>
      </c>
      <c r="DP61" s="3009">
        <f t="shared" si="178"/>
        <v>0</v>
      </c>
      <c r="DQ61" s="3009">
        <f t="shared" si="179"/>
        <v>0</v>
      </c>
      <c r="DR61" s="3009">
        <f t="shared" si="180"/>
        <v>0</v>
      </c>
      <c r="DS61" s="3009">
        <f t="shared" si="181"/>
        <v>0</v>
      </c>
      <c r="DT61" s="3009">
        <f t="shared" si="182"/>
        <v>0</v>
      </c>
      <c r="DU61" s="3009">
        <f t="shared" si="183"/>
        <v>0</v>
      </c>
      <c r="DV61" s="3009">
        <f t="shared" si="184"/>
        <v>0</v>
      </c>
      <c r="DW61" s="3009">
        <f t="shared" si="185"/>
        <v>0</v>
      </c>
      <c r="DX61" s="3009">
        <f t="shared" si="186"/>
        <v>0</v>
      </c>
      <c r="DY61" s="3009">
        <f t="shared" si="187"/>
        <v>0</v>
      </c>
      <c r="DZ61" s="3009">
        <f t="shared" si="188"/>
        <v>0</v>
      </c>
      <c r="EA61" s="3009">
        <f t="shared" si="189"/>
        <v>0</v>
      </c>
      <c r="EB61" s="3009">
        <f t="shared" si="190"/>
        <v>0</v>
      </c>
    </row>
    <row r="62" spans="1:132" x14ac:dyDescent="0.25">
      <c r="A62" s="3328" t="s">
        <v>2663</v>
      </c>
      <c r="B62" s="2014">
        <f t="shared" si="153"/>
        <v>0</v>
      </c>
      <c r="C62" s="3331">
        <f t="shared" si="153"/>
        <v>0</v>
      </c>
      <c r="D62" s="3568"/>
      <c r="E62" s="5340"/>
      <c r="F62" s="5339"/>
      <c r="G62" s="5340"/>
      <c r="H62" s="5339"/>
      <c r="I62" s="5340"/>
      <c r="J62" s="5339"/>
      <c r="K62" s="5340"/>
      <c r="L62" s="5339"/>
      <c r="M62" s="5341"/>
      <c r="N62" s="3572"/>
      <c r="O62" s="5342"/>
      <c r="P62" s="5229"/>
      <c r="Q62" s="5342"/>
      <c r="R62" s="5229"/>
      <c r="S62" s="5342"/>
      <c r="T62" s="5229"/>
      <c r="U62" s="5342"/>
      <c r="V62" s="5229"/>
      <c r="W62" s="5342"/>
      <c r="X62" s="5229"/>
      <c r="Y62" s="5342"/>
      <c r="Z62" s="5229"/>
      <c r="AA62" s="5342"/>
      <c r="AB62" s="5229"/>
      <c r="AC62" s="5342"/>
      <c r="AD62" s="5229"/>
      <c r="AE62" s="5342"/>
      <c r="AF62" s="5229"/>
      <c r="AG62" s="5342"/>
      <c r="AH62" s="5229"/>
      <c r="AI62" s="5342"/>
      <c r="AJ62" s="5229"/>
      <c r="AK62" s="5342"/>
      <c r="AL62" s="5229"/>
      <c r="AM62" s="5342"/>
      <c r="AN62" s="5229"/>
      <c r="AO62" s="5342"/>
      <c r="AP62" s="5229"/>
      <c r="AQ62" s="5336"/>
      <c r="AR62" s="3572"/>
      <c r="AS62" s="5336"/>
      <c r="AT62" s="5337"/>
      <c r="AU62" s="5336"/>
      <c r="AV62" s="3572"/>
      <c r="AW62" s="5338"/>
      <c r="AX62" s="1755" t="str">
        <f>CB62&amp;CC62&amp;CD62&amp;CE62&amp;CK62&amp;CL62&amp;CM62&amp;CN62&amp;CO62&amp;CP62&amp;CQ62&amp;CR62&amp;CS62&amp;CT62&amp;CU62&amp;CV62&amp;CW62&amp;CX62</f>
        <v/>
      </c>
      <c r="CA62" s="603"/>
      <c r="CB62" s="2873" t="str">
        <f>IF(B62&lt;&gt;(AS62+AR62)," * La suma de las columnas "&amp;AR$10&amp;""&amp;" DEBE SER IGUAL a los Exámenes Procesados. ","")</f>
        <v/>
      </c>
      <c r="CC62" s="2873" t="str">
        <f t="shared" si="156"/>
        <v/>
      </c>
      <c r="CD62" s="2873" t="str">
        <f t="shared" si="157"/>
        <v/>
      </c>
      <c r="CE62" s="2873" t="str">
        <f t="shared" si="158"/>
        <v/>
      </c>
      <c r="CF62" s="3107"/>
      <c r="CG62" s="3107"/>
      <c r="CH62" s="3107"/>
      <c r="CI62" s="3107"/>
      <c r="CJ62" s="3107"/>
      <c r="CK62" s="2873" t="str">
        <f>IF(N62&lt;O62,CONCATENATE("* El total de Procesados debe ser mayor o igual al total de Reactivos en el grupo de edad ",$N$11),"")</f>
        <v/>
      </c>
      <c r="CL62" s="2873" t="str">
        <f t="shared" si="160"/>
        <v/>
      </c>
      <c r="CM62" s="2873" t="str">
        <f t="shared" si="161"/>
        <v/>
      </c>
      <c r="CN62" s="2873" t="str">
        <f t="shared" si="162"/>
        <v/>
      </c>
      <c r="CO62" s="2873" t="str">
        <f t="shared" si="163"/>
        <v/>
      </c>
      <c r="CP62" s="2873" t="str">
        <f t="shared" si="164"/>
        <v/>
      </c>
      <c r="CQ62" s="2873" t="str">
        <f t="shared" si="165"/>
        <v/>
      </c>
      <c r="CR62" s="2873" t="str">
        <f t="shared" si="166"/>
        <v/>
      </c>
      <c r="CS62" s="2873" t="str">
        <f t="shared" si="167"/>
        <v/>
      </c>
      <c r="CT62" s="2873" t="str">
        <f t="shared" si="168"/>
        <v/>
      </c>
      <c r="CU62" s="2873" t="str">
        <f t="shared" si="169"/>
        <v/>
      </c>
      <c r="CV62" s="2873" t="str">
        <f t="shared" si="170"/>
        <v/>
      </c>
      <c r="CW62" s="2873" t="str">
        <f t="shared" si="171"/>
        <v/>
      </c>
      <c r="CX62" s="2873" t="str">
        <f t="shared" si="172"/>
        <v/>
      </c>
      <c r="DE62" s="2718"/>
      <c r="DF62" s="2873">
        <f>IF(B62&lt;&gt;(AS62+AR62),1,0)</f>
        <v>0</v>
      </c>
      <c r="DG62" s="3009">
        <f t="shared" si="174"/>
        <v>0</v>
      </c>
      <c r="DH62" s="3009">
        <f t="shared" si="175"/>
        <v>0</v>
      </c>
      <c r="DI62" s="3009">
        <f t="shared" si="176"/>
        <v>0</v>
      </c>
      <c r="DJ62" s="3107"/>
      <c r="DK62" s="3107"/>
      <c r="DL62" s="3107"/>
      <c r="DM62" s="3107"/>
      <c r="DN62" s="3107"/>
      <c r="DO62" s="3009">
        <f t="shared" si="177"/>
        <v>0</v>
      </c>
      <c r="DP62" s="3009">
        <f t="shared" si="178"/>
        <v>0</v>
      </c>
      <c r="DQ62" s="3009">
        <f t="shared" si="179"/>
        <v>0</v>
      </c>
      <c r="DR62" s="3009">
        <f t="shared" si="180"/>
        <v>0</v>
      </c>
      <c r="DS62" s="3009">
        <f t="shared" si="181"/>
        <v>0</v>
      </c>
      <c r="DT62" s="3009">
        <f t="shared" si="182"/>
        <v>0</v>
      </c>
      <c r="DU62" s="3009">
        <f t="shared" si="183"/>
        <v>0</v>
      </c>
      <c r="DV62" s="3009">
        <f t="shared" si="184"/>
        <v>0</v>
      </c>
      <c r="DW62" s="3009">
        <f t="shared" si="185"/>
        <v>0</v>
      </c>
      <c r="DX62" s="3009">
        <f t="shared" si="186"/>
        <v>0</v>
      </c>
      <c r="DY62" s="3009">
        <f t="shared" si="187"/>
        <v>0</v>
      </c>
      <c r="DZ62" s="3009">
        <f t="shared" si="188"/>
        <v>0</v>
      </c>
      <c r="EA62" s="3009">
        <f t="shared" si="189"/>
        <v>0</v>
      </c>
      <c r="EB62" s="3009">
        <f t="shared" si="190"/>
        <v>0</v>
      </c>
    </row>
    <row r="63" spans="1:132" x14ac:dyDescent="0.25">
      <c r="A63" s="3328" t="s">
        <v>2664</v>
      </c>
      <c r="B63" s="2014">
        <f t="shared" si="153"/>
        <v>0</v>
      </c>
      <c r="C63" s="3331">
        <f t="shared" si="153"/>
        <v>0</v>
      </c>
      <c r="D63" s="3568"/>
      <c r="E63" s="5340"/>
      <c r="F63" s="5339"/>
      <c r="G63" s="5340"/>
      <c r="H63" s="5339"/>
      <c r="I63" s="5340"/>
      <c r="J63" s="5339"/>
      <c r="K63" s="5340"/>
      <c r="L63" s="5339"/>
      <c r="M63" s="5341"/>
      <c r="N63" s="3572"/>
      <c r="O63" s="5342"/>
      <c r="P63" s="5229"/>
      <c r="Q63" s="5342"/>
      <c r="R63" s="5229"/>
      <c r="S63" s="5342"/>
      <c r="T63" s="5229"/>
      <c r="U63" s="5342"/>
      <c r="V63" s="5229"/>
      <c r="W63" s="5342"/>
      <c r="X63" s="5229"/>
      <c r="Y63" s="5342"/>
      <c r="Z63" s="5229"/>
      <c r="AA63" s="5342"/>
      <c r="AB63" s="5229"/>
      <c r="AC63" s="5342"/>
      <c r="AD63" s="5229"/>
      <c r="AE63" s="5342"/>
      <c r="AF63" s="5229"/>
      <c r="AG63" s="5342"/>
      <c r="AH63" s="5229"/>
      <c r="AI63" s="5342"/>
      <c r="AJ63" s="5229"/>
      <c r="AK63" s="5342"/>
      <c r="AL63" s="5229"/>
      <c r="AM63" s="5342"/>
      <c r="AN63" s="5229"/>
      <c r="AO63" s="5342"/>
      <c r="AP63" s="5229"/>
      <c r="AQ63" s="5336"/>
      <c r="AR63" s="3576"/>
      <c r="AS63" s="5336"/>
      <c r="AT63" s="5337"/>
      <c r="AU63" s="5336"/>
      <c r="AV63" s="3572"/>
      <c r="AW63" s="5338"/>
      <c r="AX63" s="1755" t="str">
        <f>CB63&amp;CC63&amp;CD63&amp;CE63&amp;CK63&amp;CL63&amp;CM63&amp;CN63&amp;CO63&amp;CP63&amp;CQ63&amp;CR63&amp;CS63&amp;CT63&amp;CU63&amp;CV63&amp;CW63&amp;CX63</f>
        <v/>
      </c>
      <c r="CA63" s="603"/>
      <c r="CB63" s="4928" t="str">
        <f t="shared" ref="CB63:CB65" si="191">IF(B63&lt;&gt;(AS63)," * La suma de las columnas "&amp;AR$10&amp;""&amp;" DEBE SER IGUAL a los Exámenes Procesados. ","")</f>
        <v/>
      </c>
      <c r="CC63" s="2873" t="str">
        <f t="shared" si="156"/>
        <v/>
      </c>
      <c r="CD63" s="2873" t="str">
        <f t="shared" si="157"/>
        <v/>
      </c>
      <c r="CE63" s="2873" t="str">
        <f t="shared" si="158"/>
        <v/>
      </c>
      <c r="CF63" s="3107"/>
      <c r="CG63" s="3107"/>
      <c r="CH63" s="3107"/>
      <c r="CI63" s="3107"/>
      <c r="CJ63" s="3107"/>
      <c r="CK63" s="2873" t="str">
        <f t="shared" ref="CK63" si="192">IF(N63&lt;O63,CONCATENATE("* El total de Procesados debe ser mayor o igual al total de Reactivos en el grupo de edad ",$N$11),"")</f>
        <v/>
      </c>
      <c r="CL63" s="2873" t="str">
        <f t="shared" si="160"/>
        <v/>
      </c>
      <c r="CM63" s="2873" t="str">
        <f t="shared" si="161"/>
        <v/>
      </c>
      <c r="CN63" s="2873" t="str">
        <f t="shared" si="162"/>
        <v/>
      </c>
      <c r="CO63" s="2873" t="str">
        <f t="shared" si="163"/>
        <v/>
      </c>
      <c r="CP63" s="2873" t="str">
        <f t="shared" si="164"/>
        <v/>
      </c>
      <c r="CQ63" s="2873" t="str">
        <f t="shared" si="165"/>
        <v/>
      </c>
      <c r="CR63" s="2873" t="str">
        <f t="shared" si="166"/>
        <v/>
      </c>
      <c r="CS63" s="2873" t="str">
        <f t="shared" si="167"/>
        <v/>
      </c>
      <c r="CT63" s="2873" t="str">
        <f t="shared" si="168"/>
        <v/>
      </c>
      <c r="CU63" s="2873" t="str">
        <f t="shared" si="169"/>
        <v/>
      </c>
      <c r="CV63" s="2873" t="str">
        <f t="shared" si="170"/>
        <v/>
      </c>
      <c r="CW63" s="2873" t="str">
        <f t="shared" si="171"/>
        <v/>
      </c>
      <c r="CX63" s="2873" t="str">
        <f t="shared" si="172"/>
        <v/>
      </c>
      <c r="DE63" s="2718"/>
      <c r="DF63" s="4928">
        <f>IF(B63&lt;&gt;(AS63),1,0)</f>
        <v>0</v>
      </c>
      <c r="DG63" s="3009">
        <f t="shared" si="174"/>
        <v>0</v>
      </c>
      <c r="DH63" s="3009">
        <f t="shared" si="175"/>
        <v>0</v>
      </c>
      <c r="DI63" s="3009">
        <f t="shared" si="176"/>
        <v>0</v>
      </c>
      <c r="DJ63" s="3107"/>
      <c r="DK63" s="3107"/>
      <c r="DL63" s="3107"/>
      <c r="DM63" s="3107"/>
      <c r="DN63" s="3107"/>
      <c r="DO63" s="3009">
        <f t="shared" si="177"/>
        <v>0</v>
      </c>
      <c r="DP63" s="3009">
        <f t="shared" si="178"/>
        <v>0</v>
      </c>
      <c r="DQ63" s="3009">
        <f t="shared" si="179"/>
        <v>0</v>
      </c>
      <c r="DR63" s="3009">
        <f t="shared" si="180"/>
        <v>0</v>
      </c>
      <c r="DS63" s="3009">
        <f t="shared" si="181"/>
        <v>0</v>
      </c>
      <c r="DT63" s="3009">
        <f t="shared" si="182"/>
        <v>0</v>
      </c>
      <c r="DU63" s="3009">
        <f t="shared" si="183"/>
        <v>0</v>
      </c>
      <c r="DV63" s="3009">
        <f t="shared" si="184"/>
        <v>0</v>
      </c>
      <c r="DW63" s="3009">
        <f t="shared" si="185"/>
        <v>0</v>
      </c>
      <c r="DX63" s="3009">
        <f t="shared" si="186"/>
        <v>0</v>
      </c>
      <c r="DY63" s="3009">
        <f t="shared" si="187"/>
        <v>0</v>
      </c>
      <c r="DZ63" s="3009">
        <f t="shared" si="188"/>
        <v>0</v>
      </c>
      <c r="EA63" s="3009">
        <f t="shared" si="189"/>
        <v>0</v>
      </c>
      <c r="EB63" s="3009">
        <f t="shared" si="190"/>
        <v>0</v>
      </c>
    </row>
    <row r="64" spans="1:132" x14ac:dyDescent="0.25">
      <c r="A64" s="3273" t="s">
        <v>2665</v>
      </c>
      <c r="B64" s="2014">
        <f t="shared" si="153"/>
        <v>0</v>
      </c>
      <c r="C64" s="3331">
        <f t="shared" si="153"/>
        <v>0</v>
      </c>
      <c r="D64" s="3568"/>
      <c r="E64" s="5340"/>
      <c r="F64" s="5339"/>
      <c r="G64" s="5340"/>
      <c r="H64" s="5339"/>
      <c r="I64" s="5340"/>
      <c r="J64" s="5339"/>
      <c r="K64" s="5340"/>
      <c r="L64" s="5339"/>
      <c r="M64" s="5341"/>
      <c r="N64" s="3572"/>
      <c r="O64" s="5342"/>
      <c r="P64" s="5229"/>
      <c r="Q64" s="5342"/>
      <c r="R64" s="5229"/>
      <c r="S64" s="5342"/>
      <c r="T64" s="5229"/>
      <c r="U64" s="5342"/>
      <c r="V64" s="5229"/>
      <c r="W64" s="5342"/>
      <c r="X64" s="5229"/>
      <c r="Y64" s="5342"/>
      <c r="Z64" s="5229"/>
      <c r="AA64" s="5342"/>
      <c r="AB64" s="5229"/>
      <c r="AC64" s="5342"/>
      <c r="AD64" s="5229"/>
      <c r="AE64" s="5342"/>
      <c r="AF64" s="5229"/>
      <c r="AG64" s="5342"/>
      <c r="AH64" s="5229"/>
      <c r="AI64" s="5342"/>
      <c r="AJ64" s="5229"/>
      <c r="AK64" s="5342"/>
      <c r="AL64" s="5229"/>
      <c r="AM64" s="5342"/>
      <c r="AN64" s="5229"/>
      <c r="AO64" s="5342"/>
      <c r="AP64" s="5229"/>
      <c r="AQ64" s="5336"/>
      <c r="AR64" s="3576"/>
      <c r="AS64" s="5336"/>
      <c r="AT64" s="5337"/>
      <c r="AU64" s="5336"/>
      <c r="AV64" s="3572"/>
      <c r="AW64" s="5338"/>
      <c r="AX64" s="1755" t="str">
        <f t="shared" ref="AX64" si="193">CB64&amp;CC64&amp;CD64&amp;CE64&amp;CK64&amp;CL64&amp;CM64&amp;CN64&amp;CO64&amp;CP64&amp;CQ64&amp;CR64&amp;CS64&amp;CT64&amp;CU64&amp;CV64&amp;CW64&amp;CX64</f>
        <v/>
      </c>
      <c r="CA64" s="603"/>
      <c r="CB64" s="4928" t="str">
        <f t="shared" si="191"/>
        <v/>
      </c>
      <c r="CC64" s="2873" t="str">
        <f t="shared" si="156"/>
        <v/>
      </c>
      <c r="CD64" s="2873" t="str">
        <f t="shared" si="157"/>
        <v/>
      </c>
      <c r="CE64" s="2873" t="str">
        <f t="shared" si="158"/>
        <v/>
      </c>
      <c r="CF64" s="3107"/>
      <c r="CG64" s="3107"/>
      <c r="CH64" s="3107"/>
      <c r="CI64" s="3107"/>
      <c r="CJ64" s="3107"/>
      <c r="CK64" s="2873" t="str">
        <f>IF(N64&lt;O64,CONCATENATE("* El total de Procesados debe ser mayor o igual al total de Reactivos en el grupo de edad ",$N$11),"")</f>
        <v/>
      </c>
      <c r="CL64" s="2873" t="str">
        <f>IF(P64&lt;Q64,CONCATENATE("* El total de Procesados debe ser mayor o igual al total de Reactivos en el grupo de edad ",$P$11),"")</f>
        <v/>
      </c>
      <c r="CM64" s="2873" t="str">
        <f t="shared" si="161"/>
        <v/>
      </c>
      <c r="CN64" s="2873" t="str">
        <f t="shared" si="162"/>
        <v/>
      </c>
      <c r="CO64" s="2873" t="str">
        <f t="shared" si="163"/>
        <v/>
      </c>
      <c r="CP64" s="2873" t="str">
        <f t="shared" si="164"/>
        <v/>
      </c>
      <c r="CQ64" s="2873" t="str">
        <f t="shared" si="165"/>
        <v/>
      </c>
      <c r="CR64" s="2873" t="str">
        <f t="shared" si="166"/>
        <v/>
      </c>
      <c r="CS64" s="2873" t="str">
        <f t="shared" si="167"/>
        <v/>
      </c>
      <c r="CT64" s="2873" t="str">
        <f t="shared" si="168"/>
        <v/>
      </c>
      <c r="CU64" s="2873" t="str">
        <f t="shared" si="169"/>
        <v/>
      </c>
      <c r="CV64" s="2873" t="str">
        <f t="shared" si="170"/>
        <v/>
      </c>
      <c r="CW64" s="2873" t="str">
        <f t="shared" si="171"/>
        <v/>
      </c>
      <c r="CX64" s="2873" t="str">
        <f t="shared" si="172"/>
        <v/>
      </c>
      <c r="DE64" s="2718"/>
      <c r="DF64" s="4928">
        <f t="shared" ref="DF64:DF65" si="194">IF(B64&lt;&gt;(AS64),1,0)</f>
        <v>0</v>
      </c>
      <c r="DG64" s="3009">
        <f t="shared" si="174"/>
        <v>0</v>
      </c>
      <c r="DH64" s="3009">
        <f t="shared" si="175"/>
        <v>0</v>
      </c>
      <c r="DI64" s="3009">
        <f t="shared" si="176"/>
        <v>0</v>
      </c>
      <c r="DJ64" s="3107"/>
      <c r="DK64" s="3107"/>
      <c r="DL64" s="3107"/>
      <c r="DM64" s="3107"/>
      <c r="DN64" s="3107"/>
      <c r="DO64" s="3009">
        <f t="shared" si="177"/>
        <v>0</v>
      </c>
      <c r="DP64" s="3009">
        <f t="shared" si="178"/>
        <v>0</v>
      </c>
      <c r="DQ64" s="3009">
        <f t="shared" si="179"/>
        <v>0</v>
      </c>
      <c r="DR64" s="3009">
        <f t="shared" si="180"/>
        <v>0</v>
      </c>
      <c r="DS64" s="3009">
        <f t="shared" si="181"/>
        <v>0</v>
      </c>
      <c r="DT64" s="3009">
        <f t="shared" si="182"/>
        <v>0</v>
      </c>
      <c r="DU64" s="3009">
        <f t="shared" si="183"/>
        <v>0</v>
      </c>
      <c r="DV64" s="3009">
        <f t="shared" si="184"/>
        <v>0</v>
      </c>
      <c r="DW64" s="3009">
        <f t="shared" si="185"/>
        <v>0</v>
      </c>
      <c r="DX64" s="3009">
        <f t="shared" si="186"/>
        <v>0</v>
      </c>
      <c r="DY64" s="3009">
        <f t="shared" si="187"/>
        <v>0</v>
      </c>
      <c r="DZ64" s="3009">
        <f t="shared" si="188"/>
        <v>0</v>
      </c>
      <c r="EA64" s="3009">
        <f t="shared" si="189"/>
        <v>0</v>
      </c>
      <c r="EB64" s="3009">
        <f t="shared" si="190"/>
        <v>0</v>
      </c>
    </row>
    <row r="65" spans="1:132" x14ac:dyDescent="0.25">
      <c r="A65" s="3273" t="s">
        <v>2666</v>
      </c>
      <c r="B65" s="2014">
        <f>+D65+F65+H65+J65+L65+N65+P65+R65+T65+V65+X65+Z65+AB65+AD65+AF65+AH65+AJ65+AL65+AN65+AP65</f>
        <v>0</v>
      </c>
      <c r="C65" s="3331">
        <f>+E65+G65+I65+K65+M65+O65+Q65+S65+U65+W65+Y65+AA65+AC65+AE65+AG65+AI65+AK65+AM65+AO65+AQ65</f>
        <v>0</v>
      </c>
      <c r="D65" s="3572"/>
      <c r="E65" s="5342"/>
      <c r="F65" s="5229"/>
      <c r="G65" s="5342"/>
      <c r="H65" s="5229"/>
      <c r="I65" s="5338"/>
      <c r="J65" s="3572"/>
      <c r="K65" s="3572"/>
      <c r="L65" s="5229"/>
      <c r="M65" s="5338"/>
      <c r="N65" s="3572"/>
      <c r="O65" s="5342"/>
      <c r="P65" s="5229"/>
      <c r="Q65" s="5342"/>
      <c r="R65" s="5229"/>
      <c r="S65" s="5342"/>
      <c r="T65" s="5229"/>
      <c r="U65" s="5342"/>
      <c r="V65" s="5229"/>
      <c r="W65" s="5342"/>
      <c r="X65" s="5229"/>
      <c r="Y65" s="5342"/>
      <c r="Z65" s="5229"/>
      <c r="AA65" s="5342"/>
      <c r="AB65" s="5229"/>
      <c r="AC65" s="5342"/>
      <c r="AD65" s="5229"/>
      <c r="AE65" s="5342"/>
      <c r="AF65" s="5229"/>
      <c r="AG65" s="5342"/>
      <c r="AH65" s="5229"/>
      <c r="AI65" s="5342"/>
      <c r="AJ65" s="5229"/>
      <c r="AK65" s="5342"/>
      <c r="AL65" s="5229"/>
      <c r="AM65" s="5342"/>
      <c r="AN65" s="5229"/>
      <c r="AO65" s="5342"/>
      <c r="AP65" s="5229"/>
      <c r="AQ65" s="5336"/>
      <c r="AR65" s="3576"/>
      <c r="AS65" s="5336"/>
      <c r="AT65" s="5337"/>
      <c r="AU65" s="5336"/>
      <c r="AV65" s="3572"/>
      <c r="AW65" s="5338"/>
      <c r="AX65" s="1755" t="str">
        <f>CB65&amp;CC65&amp;CD65&amp;CE65&amp;CF65&amp;CG65&amp;CH65&amp;CI65&amp;CJ65&amp;CK65&amp;CL65&amp;CM65&amp;CN65&amp;CO65&amp;CP65&amp;CQ65&amp;CR65&amp;CS65&amp;CT65&amp;CU65&amp;CV65&amp;CW65&amp;CX65</f>
        <v/>
      </c>
      <c r="CA65" s="603"/>
      <c r="CB65" s="4928" t="str">
        <f t="shared" si="191"/>
        <v/>
      </c>
      <c r="CC65" s="2873" t="str">
        <f t="shared" si="156"/>
        <v/>
      </c>
      <c r="CD65" s="2873" t="str">
        <f t="shared" si="157"/>
        <v/>
      </c>
      <c r="CE65" s="2873" t="str">
        <f t="shared" si="158"/>
        <v/>
      </c>
      <c r="CF65" s="2873" t="str">
        <f>IF(D65&lt;E65,CONCATENATE("* El total de Procesados debe ser mayor o igual al total de Reactivos en el grupo de edad ",$D$11),"")</f>
        <v/>
      </c>
      <c r="CG65" s="2873" t="str">
        <f>IF(F65&lt;G65,CONCATENATE("* El total de Procesados debe ser mayor o igual al total de Reactivos en el grupo de edad ",$F$11),"")</f>
        <v/>
      </c>
      <c r="CH65" s="2873" t="str">
        <f>IF(H65&lt;I65,CONCATENATE("* El total de Procesados debe ser mayor o igual al total de Reactivos en el grupo de edad ",$H$11),"")</f>
        <v/>
      </c>
      <c r="CI65" s="2873" t="str">
        <f>IF(J65&lt;K65,CONCATENATE("* El total de Procesados debe ser mayor o igual al total de Reactivos en el grupo de edad ",$J$11),"")</f>
        <v/>
      </c>
      <c r="CJ65" s="2873" t="str">
        <f>IF(L65&lt;M65,CONCATENATE("* El total de Procesados debe ser mayor o igual al total de Reactivos en el grupo de edad ",$L$11),"")</f>
        <v/>
      </c>
      <c r="CK65" s="2873" t="str">
        <f>IF(N65&lt;O65,CONCATENATE("* El total de Procesados debe ser mayor o igual al total de Reactivos en el grupo de edad ",$N$11),"")</f>
        <v/>
      </c>
      <c r="CL65" s="2873" t="str">
        <f>IF(P65&lt;Q65,CONCATENATE("* El total de Procesados debe ser mayor o igual al total de Reactivos en el grupo de edad ",$P$11),"")</f>
        <v/>
      </c>
      <c r="CM65" s="2873" t="str">
        <f t="shared" si="161"/>
        <v/>
      </c>
      <c r="CN65" s="2873" t="str">
        <f t="shared" si="162"/>
        <v/>
      </c>
      <c r="CO65" s="2873" t="str">
        <f t="shared" si="163"/>
        <v/>
      </c>
      <c r="CP65" s="2873" t="str">
        <f t="shared" si="164"/>
        <v/>
      </c>
      <c r="CQ65" s="2873" t="str">
        <f t="shared" si="165"/>
        <v/>
      </c>
      <c r="CR65" s="2873" t="str">
        <f t="shared" si="166"/>
        <v/>
      </c>
      <c r="CS65" s="2873" t="str">
        <f t="shared" si="167"/>
        <v/>
      </c>
      <c r="CT65" s="2873" t="str">
        <f t="shared" si="168"/>
        <v/>
      </c>
      <c r="CU65" s="2873" t="str">
        <f t="shared" si="169"/>
        <v/>
      </c>
      <c r="CV65" s="2873" t="str">
        <f t="shared" si="170"/>
        <v/>
      </c>
      <c r="CW65" s="2873" t="str">
        <f t="shared" si="171"/>
        <v/>
      </c>
      <c r="CX65" s="2873" t="str">
        <f t="shared" si="172"/>
        <v/>
      </c>
      <c r="DE65" s="2718"/>
      <c r="DF65" s="4928">
        <f t="shared" si="194"/>
        <v>0</v>
      </c>
      <c r="DG65" s="3009">
        <f t="shared" si="174"/>
        <v>0</v>
      </c>
      <c r="DH65" s="3009">
        <f t="shared" si="175"/>
        <v>0</v>
      </c>
      <c r="DI65" s="3009">
        <f t="shared" si="176"/>
        <v>0</v>
      </c>
      <c r="DJ65" s="3009">
        <f>IF(D65&lt;E65,1,0)</f>
        <v>0</v>
      </c>
      <c r="DK65" s="3009">
        <f>IF(F65&lt;G65,1,0)</f>
        <v>0</v>
      </c>
      <c r="DL65" s="3009">
        <f>IF(H65&lt;I65,1,0)</f>
        <v>0</v>
      </c>
      <c r="DM65" s="3009">
        <f>IF(J65&lt;K65,1,0)</f>
        <v>0</v>
      </c>
      <c r="DN65" s="3009">
        <f>IF(L65&lt;M65,1,0)</f>
        <v>0</v>
      </c>
      <c r="DO65" s="3009">
        <f t="shared" si="177"/>
        <v>0</v>
      </c>
      <c r="DP65" s="3009">
        <f t="shared" si="178"/>
        <v>0</v>
      </c>
      <c r="DQ65" s="3009">
        <f t="shared" si="179"/>
        <v>0</v>
      </c>
      <c r="DR65" s="3009">
        <f t="shared" si="180"/>
        <v>0</v>
      </c>
      <c r="DS65" s="3009">
        <f t="shared" si="181"/>
        <v>0</v>
      </c>
      <c r="DT65" s="3009">
        <f t="shared" si="182"/>
        <v>0</v>
      </c>
      <c r="DU65" s="3009">
        <f t="shared" si="183"/>
        <v>0</v>
      </c>
      <c r="DV65" s="3009">
        <f t="shared" si="184"/>
        <v>0</v>
      </c>
      <c r="DW65" s="3009">
        <f t="shared" si="185"/>
        <v>0</v>
      </c>
      <c r="DX65" s="3009">
        <f t="shared" si="186"/>
        <v>0</v>
      </c>
      <c r="DY65" s="3009">
        <f t="shared" si="187"/>
        <v>0</v>
      </c>
      <c r="DZ65" s="3009">
        <f t="shared" si="188"/>
        <v>0</v>
      </c>
      <c r="EA65" s="3009">
        <f t="shared" si="189"/>
        <v>0</v>
      </c>
      <c r="EB65" s="3009">
        <f t="shared" si="190"/>
        <v>0</v>
      </c>
    </row>
    <row r="66" spans="1:132" ht="21" x14ac:dyDescent="0.25">
      <c r="A66" s="3328" t="s">
        <v>2667</v>
      </c>
      <c r="B66" s="2014">
        <f>+D66+F66+H66</f>
        <v>0</v>
      </c>
      <c r="C66" s="3331">
        <f>+E66+G66+I66</f>
        <v>0</v>
      </c>
      <c r="D66" s="3572"/>
      <c r="E66" s="5342"/>
      <c r="F66" s="5229"/>
      <c r="G66" s="5342"/>
      <c r="H66" s="5229"/>
      <c r="I66" s="5338"/>
      <c r="J66" s="5343"/>
      <c r="K66" s="5344"/>
      <c r="L66" s="5343"/>
      <c r="M66" s="5344"/>
      <c r="N66" s="5343"/>
      <c r="O66" s="5344"/>
      <c r="P66" s="5343"/>
      <c r="Q66" s="5344"/>
      <c r="R66" s="5343"/>
      <c r="S66" s="5344"/>
      <c r="T66" s="5343"/>
      <c r="U66" s="5344"/>
      <c r="V66" s="5343"/>
      <c r="W66" s="5344"/>
      <c r="X66" s="5343"/>
      <c r="Y66" s="5344"/>
      <c r="Z66" s="5343"/>
      <c r="AA66" s="5344"/>
      <c r="AB66" s="5343"/>
      <c r="AC66" s="5344"/>
      <c r="AD66" s="5343"/>
      <c r="AE66" s="5344"/>
      <c r="AF66" s="5343"/>
      <c r="AG66" s="5344"/>
      <c r="AH66" s="5343"/>
      <c r="AI66" s="5344"/>
      <c r="AJ66" s="5343"/>
      <c r="AK66" s="5344"/>
      <c r="AL66" s="5343"/>
      <c r="AM66" s="5344"/>
      <c r="AN66" s="5343"/>
      <c r="AO66" s="5344"/>
      <c r="AP66" s="5343"/>
      <c r="AQ66" s="5345"/>
      <c r="AR66" s="3572"/>
      <c r="AS66" s="5336"/>
      <c r="AT66" s="5337"/>
      <c r="AU66" s="5336"/>
      <c r="AV66" s="3572"/>
      <c r="AW66" s="5338"/>
      <c r="AX66" s="1755" t="str">
        <f>CB66&amp;CC66&amp;CD66&amp;CE66&amp;CK66&amp;CL66&amp;CM66&amp;CN66&amp;CO66&amp;CP66&amp;CQ66&amp;CR66&amp;CS66&amp;CT66&amp;CU66&amp;CV66&amp;CW66&amp;CX66&amp;CF66&amp;CG66&amp;CH66</f>
        <v/>
      </c>
      <c r="CA66" s="603"/>
      <c r="CB66" s="2873" t="str">
        <f>IF(B66&lt;&gt;(AS66+AR66)," * La suma de las columnas "&amp;AR$10&amp;""&amp;" DEBE SER IGUAL a los Exámenes Procesados. ","")</f>
        <v/>
      </c>
      <c r="CC66" s="2873" t="str">
        <f t="shared" si="156"/>
        <v/>
      </c>
      <c r="CD66" s="2873" t="str">
        <f t="shared" si="157"/>
        <v/>
      </c>
      <c r="CE66" s="2873" t="str">
        <f t="shared" si="158"/>
        <v/>
      </c>
      <c r="CF66" s="2873" t="str">
        <f>IF(D66&lt;E66,CONCATENATE("* El total de Procesados debe ser mayor o igual al total de Reactivos en el grupo de edad ",$D$11),"")</f>
        <v/>
      </c>
      <c r="CG66" s="2873" t="str">
        <f>IF(F66&lt;G66,CONCATENATE("* El total de Procesados debe ser mayor o igual al total de Reactivos en el grupo de edad ",$F$11),"")</f>
        <v/>
      </c>
      <c r="CH66" s="2873" t="str">
        <f>IF(H66&lt;I66,CONCATENATE("* El total de Procesados debe ser mayor o igual al total de Reactivos en el grupo de edad ",$H$11),"")</f>
        <v/>
      </c>
      <c r="CI66" s="2872"/>
      <c r="CJ66" s="2872"/>
      <c r="CK66" s="3581"/>
      <c r="CL66" s="2872"/>
      <c r="CM66" s="2872"/>
      <c r="CN66" s="2872"/>
      <c r="CO66" s="2872"/>
      <c r="CP66" s="2872"/>
      <c r="CQ66" s="2872"/>
      <c r="CR66" s="2872"/>
      <c r="CS66" s="2872"/>
      <c r="CT66" s="2872"/>
      <c r="CU66" s="2872"/>
      <c r="CV66" s="2872"/>
      <c r="CW66" s="2872"/>
      <c r="CX66" s="2872"/>
      <c r="DE66" s="2718"/>
      <c r="DF66" s="2873">
        <f>IF(B66&lt;&gt;(AS66+AR66),1,0)</f>
        <v>0</v>
      </c>
      <c r="DG66" s="3009">
        <f t="shared" si="174"/>
        <v>0</v>
      </c>
      <c r="DH66" s="3009">
        <f t="shared" si="175"/>
        <v>0</v>
      </c>
      <c r="DI66" s="3009">
        <f t="shared" si="176"/>
        <v>0</v>
      </c>
      <c r="DJ66" s="3009">
        <f>IF(D66&lt;E66,1,0)</f>
        <v>0</v>
      </c>
      <c r="DK66" s="3009">
        <f>IF(F66&lt;G66,1,0)</f>
        <v>0</v>
      </c>
      <c r="DL66" s="3009">
        <f>IF(H66&lt;I66,1,0)</f>
        <v>0</v>
      </c>
      <c r="DM66" s="2872"/>
      <c r="DN66" s="2872"/>
      <c r="DO66" s="3107"/>
      <c r="DP66" s="3107"/>
      <c r="DQ66" s="3107"/>
      <c r="DR66" s="3107"/>
      <c r="DS66" s="3107"/>
      <c r="DT66" s="3107"/>
      <c r="DU66" s="3107"/>
      <c r="DV66" s="3107"/>
      <c r="DW66" s="3107"/>
      <c r="DX66" s="3107"/>
      <c r="DY66" s="3107"/>
      <c r="DZ66" s="3107"/>
      <c r="EA66" s="3107"/>
      <c r="EB66" s="3107"/>
    </row>
    <row r="67" spans="1:132" x14ac:dyDescent="0.25">
      <c r="A67" s="3328" t="s">
        <v>2668</v>
      </c>
      <c r="B67" s="2014">
        <f>+P67+R67+T67+V67+X67+Z67+AB67+AD67+AF67+AH67+AJ67+AL67+AN67+AP67</f>
        <v>0</v>
      </c>
      <c r="C67" s="3331">
        <f>+Q67+S67+U67+W67+Y67+AA67+AC67+AE67+AG67+AI67+AK67+AM67+AO67+AQ67</f>
        <v>0</v>
      </c>
      <c r="D67" s="3568"/>
      <c r="E67" s="5340"/>
      <c r="F67" s="5339"/>
      <c r="G67" s="5340"/>
      <c r="H67" s="5339"/>
      <c r="I67" s="5340"/>
      <c r="J67" s="5339"/>
      <c r="K67" s="5340"/>
      <c r="L67" s="5339"/>
      <c r="M67" s="5341"/>
      <c r="N67" s="3568"/>
      <c r="O67" s="5340"/>
      <c r="P67" s="5229"/>
      <c r="Q67" s="5342"/>
      <c r="R67" s="5229"/>
      <c r="S67" s="5342"/>
      <c r="T67" s="5229"/>
      <c r="U67" s="5342"/>
      <c r="V67" s="5229"/>
      <c r="W67" s="5342"/>
      <c r="X67" s="5229"/>
      <c r="Y67" s="5342"/>
      <c r="Z67" s="5229"/>
      <c r="AA67" s="5342"/>
      <c r="AB67" s="5229"/>
      <c r="AC67" s="5342"/>
      <c r="AD67" s="5229"/>
      <c r="AE67" s="5342"/>
      <c r="AF67" s="5229"/>
      <c r="AG67" s="5342"/>
      <c r="AH67" s="5229"/>
      <c r="AI67" s="5342"/>
      <c r="AJ67" s="5229"/>
      <c r="AK67" s="5342"/>
      <c r="AL67" s="5229"/>
      <c r="AM67" s="5342"/>
      <c r="AN67" s="5229"/>
      <c r="AO67" s="5342"/>
      <c r="AP67" s="5229"/>
      <c r="AQ67" s="5336"/>
      <c r="AR67" s="3572"/>
      <c r="AS67" s="5336"/>
      <c r="AT67" s="5337"/>
      <c r="AU67" s="5336"/>
      <c r="AV67" s="3572"/>
      <c r="AW67" s="5338"/>
      <c r="AX67" s="1755" t="str">
        <f>CB67&amp;CC67&amp;CD67&amp;CE67&amp;CK67&amp;CL67&amp;CM67&amp;CN67&amp;CO67&amp;CP67&amp;CQ67&amp;CR67&amp;CS67&amp;CT67&amp;CU67&amp;CV67&amp;CW67&amp;CX67&amp;CF67&amp;CG67&amp;CH67</f>
        <v/>
      </c>
      <c r="CA67" s="603"/>
      <c r="CB67" s="2873" t="str">
        <f t="shared" ref="CB67:CB74" si="195">IF(B67&lt;&gt;(AS67+AR67)," * La suma de las columnas "&amp;AR$10&amp;""&amp;" DEBE SER IGUAL a los Exámenes Procesados. ","")</f>
        <v/>
      </c>
      <c r="CC67" s="2873" t="str">
        <f t="shared" si="156"/>
        <v/>
      </c>
      <c r="CD67" s="2873" t="str">
        <f t="shared" si="157"/>
        <v/>
      </c>
      <c r="CE67" s="2873" t="str">
        <f t="shared" si="158"/>
        <v/>
      </c>
      <c r="CF67" s="3581"/>
      <c r="CG67" s="3581"/>
      <c r="CH67" s="2872"/>
      <c r="CI67" s="2872"/>
      <c r="CJ67" s="2872"/>
      <c r="CK67" s="3581"/>
      <c r="CL67" s="2873" t="str">
        <f>IF(P67&lt;Q67,CONCATENATE("* El total de Procesados debe ser mayor o igual al total de Reactivos en el grupo de edad ",$P$11),"")</f>
        <v/>
      </c>
      <c r="CM67" s="2873" t="str">
        <f t="shared" ref="CM67:CM74" si="196">IF(R67&lt;S67,CONCATENATE("* El total de Procesados debe ser mayor o igual al total de Reactivos en el grupo de edad ",$R$11),"")</f>
        <v/>
      </c>
      <c r="CN67" s="2873" t="str">
        <f t="shared" si="162"/>
        <v/>
      </c>
      <c r="CO67" s="2873" t="str">
        <f t="shared" ref="CO67:CO74" si="197">IF(V67&lt;W67,CONCATENATE("* El total de Procesados debe ser mayor o igual al total de Reactivos en el grupo de edad ",$V$11),"")</f>
        <v/>
      </c>
      <c r="CP67" s="2873" t="str">
        <f t="shared" ref="CP67:CP74" si="198">IF(X67&lt;Y67,CONCATENATE("* El total de Procesados debe ser mayor o igual al total de Reactivos en el grupo de edad ",$X$11),"")</f>
        <v/>
      </c>
      <c r="CQ67" s="2873" t="str">
        <f t="shared" ref="CQ67:CQ74" si="199">IF(Z67&lt;AA67,CONCATENATE("* El total de Procesados debe ser mayor o igual al total de Reactivos en el grupo de edad ",$Z$11),"")</f>
        <v/>
      </c>
      <c r="CR67" s="2873" t="str">
        <f t="shared" ref="CR67:CR74" si="200">IF(AD67&lt;AE67,CONCATENATE("* El total de Procesados debe ser mayor o igual al total de Reactivos en el grupo de edad ",$AD$11),"")</f>
        <v/>
      </c>
      <c r="CS67" s="2873" t="str">
        <f t="shared" ref="CS67:CS74" si="201">IF(AF67&lt;AG67,CONCATENATE("* El total de Procesados debe ser mayor o igual al total de Reactivos en el grupo de edad ",$AF$11),"")</f>
        <v/>
      </c>
      <c r="CT67" s="2873" t="str">
        <f t="shared" ref="CT67:CT74" si="202">IF(AH67&lt;AI67,CONCATENATE("* El total de Procesados debe ser mayor o igual al total de Reactivos en el grupo de edad ",$AH$11),"")</f>
        <v/>
      </c>
      <c r="CU67" s="2873" t="str">
        <f t="shared" ref="CU67:CU70" si="203">IF(AJ67&lt;AK67,CONCATENATE("* El total de Procesados debe ser mayor o igual al total de Reactivos en el grupo de edad ",$AJ$11),"")</f>
        <v/>
      </c>
      <c r="CV67" s="2873" t="str">
        <f t="shared" ref="CV67:CV70" si="204">IF(AL67&lt;AM67,CONCATENATE("* El total de Procesados debe ser mayor o igual al total de Reactivos en el grupo de edad ",$AL$11),"")</f>
        <v/>
      </c>
      <c r="CW67" s="2873" t="str">
        <f t="shared" ref="CW67:CW70" si="205">IF(AN67&lt;AO67,CONCATENATE("* El total de Procesados debe ser mayor o igual al total de Reactivos en el grupo de edad ",$AN$11),"")</f>
        <v/>
      </c>
      <c r="CX67" s="2873" t="str">
        <f t="shared" ref="CX67:CX70" si="206">IF(AP67&lt;AQ67,CONCATENATE("* El total de Procesados debe ser mayor o igual al total de Reactivos en el grupo de edad ",$AP$11),"")</f>
        <v/>
      </c>
      <c r="DE67" s="2718"/>
      <c r="DF67" s="2873">
        <f t="shared" ref="DF67:DF74" si="207">IF(B67&lt;&gt;(AS67+AR67),1,0)</f>
        <v>0</v>
      </c>
      <c r="DG67" s="3009">
        <f t="shared" si="174"/>
        <v>0</v>
      </c>
      <c r="DH67" s="3009">
        <f t="shared" si="175"/>
        <v>0</v>
      </c>
      <c r="DI67" s="3009">
        <f t="shared" si="176"/>
        <v>0</v>
      </c>
      <c r="DJ67" s="2872"/>
      <c r="DK67" s="2872"/>
      <c r="DL67" s="2872"/>
      <c r="DM67" s="2872"/>
      <c r="DN67" s="2872"/>
      <c r="DO67" s="3107"/>
      <c r="DP67" s="3009">
        <f t="shared" ref="DP67:DP74" si="208">IF(P67&lt;Q67,1,0)</f>
        <v>0</v>
      </c>
      <c r="DQ67" s="3009">
        <f t="shared" ref="DQ67:DQ74" si="209">IF(R67&lt;S67,1,0)</f>
        <v>0</v>
      </c>
      <c r="DR67" s="3009">
        <f t="shared" si="180"/>
        <v>0</v>
      </c>
      <c r="DS67" s="3009">
        <f t="shared" ref="DS67:DS74" si="210">IF(V67&lt;W67,1,0)</f>
        <v>0</v>
      </c>
      <c r="DT67" s="3009">
        <f t="shared" ref="DT67:DT74" si="211">IF(X67&lt;Y67,1,0)</f>
        <v>0</v>
      </c>
      <c r="DU67" s="3009">
        <f t="shared" ref="DU67:DU74" si="212">IF(Z67&lt;AA67,1,0)</f>
        <v>0</v>
      </c>
      <c r="DV67" s="3009">
        <f t="shared" ref="DV67:DV74" si="213">IF(AD67&lt;AE67,1,0)</f>
        <v>0</v>
      </c>
      <c r="DW67" s="3009">
        <f t="shared" ref="DW67:DW74" si="214">IF(AF67&lt;AG67,1,0)</f>
        <v>0</v>
      </c>
      <c r="DX67" s="3009">
        <f t="shared" ref="DX67:DX74" si="215">IF(AH67&lt;AI67,1,0)</f>
        <v>0</v>
      </c>
      <c r="DY67" s="3009">
        <f t="shared" ref="DY67:DY70" si="216">IF(AJ67&lt;AK67,1,0)</f>
        <v>0</v>
      </c>
      <c r="DZ67" s="3009">
        <f t="shared" ref="DZ67:DZ70" si="217">IF(AL67&lt;AM67,1,0)</f>
        <v>0</v>
      </c>
      <c r="EA67" s="3009">
        <f t="shared" ref="EA67:EA70" si="218">IF(AN67&lt;AO67,1,0)</f>
        <v>0</v>
      </c>
      <c r="EB67" s="3009">
        <f t="shared" ref="EB67:EB70" si="219">IF(AP67&lt;AQ67,1,0)</f>
        <v>0</v>
      </c>
    </row>
    <row r="68" spans="1:132" x14ac:dyDescent="0.25">
      <c r="A68" s="3273" t="s">
        <v>2669</v>
      </c>
      <c r="B68" s="2014">
        <f>+N68+P68+R68+T68+V68+X68+Z68+AB68+AD68+AF68+AH68+AJ68+AL68+AN68+AP68</f>
        <v>0</v>
      </c>
      <c r="C68" s="3331">
        <f>+O68+Q68+S68+U68+W68+Y68+AA68+AC68+AE68+AG68+AI68+AK68+AM68+AO68+AQ68</f>
        <v>0</v>
      </c>
      <c r="D68" s="3576"/>
      <c r="E68" s="5344"/>
      <c r="F68" s="5343"/>
      <c r="G68" s="5344"/>
      <c r="H68" s="5343"/>
      <c r="I68" s="5346"/>
      <c r="J68" s="3576"/>
      <c r="K68" s="3576"/>
      <c r="L68" s="5343"/>
      <c r="M68" s="5346"/>
      <c r="N68" s="3572"/>
      <c r="O68" s="5342"/>
      <c r="P68" s="5229"/>
      <c r="Q68" s="5342"/>
      <c r="R68" s="5229"/>
      <c r="S68" s="5342"/>
      <c r="T68" s="5229"/>
      <c r="U68" s="5342"/>
      <c r="V68" s="5229"/>
      <c r="W68" s="5342"/>
      <c r="X68" s="5229"/>
      <c r="Y68" s="5342"/>
      <c r="Z68" s="5229"/>
      <c r="AA68" s="5342"/>
      <c r="AB68" s="5229"/>
      <c r="AC68" s="5342"/>
      <c r="AD68" s="5229"/>
      <c r="AE68" s="5342"/>
      <c r="AF68" s="5229"/>
      <c r="AG68" s="5342"/>
      <c r="AH68" s="5229"/>
      <c r="AI68" s="5342"/>
      <c r="AJ68" s="5229"/>
      <c r="AK68" s="5342"/>
      <c r="AL68" s="5229"/>
      <c r="AM68" s="5342"/>
      <c r="AN68" s="5229"/>
      <c r="AO68" s="5342"/>
      <c r="AP68" s="5229"/>
      <c r="AQ68" s="5336"/>
      <c r="AR68" s="3572"/>
      <c r="AS68" s="5336"/>
      <c r="AT68" s="5337"/>
      <c r="AU68" s="5336"/>
      <c r="AV68" s="3572"/>
      <c r="AW68" s="5338"/>
      <c r="AX68" s="1755" t="str">
        <f>CB68&amp;CC68&amp;CD68&amp;CE68&amp;CK68&amp;CL68&amp;CM68&amp;CN68&amp;CO68&amp;CP68&amp;CQ68&amp;CR68&amp;CS68&amp;CT68&amp;CU68&amp;CV68&amp;CW68&amp;CX68&amp;CF68&amp;CG68&amp;CH68</f>
        <v/>
      </c>
      <c r="CA68" s="603"/>
      <c r="CB68" s="2873" t="str">
        <f t="shared" si="195"/>
        <v/>
      </c>
      <c r="CC68" s="2873" t="str">
        <f t="shared" si="156"/>
        <v/>
      </c>
      <c r="CD68" s="2873" t="str">
        <f t="shared" si="157"/>
        <v/>
      </c>
      <c r="CE68" s="2873" t="str">
        <f t="shared" si="158"/>
        <v/>
      </c>
      <c r="CF68" s="3581"/>
      <c r="CG68" s="3581"/>
      <c r="CH68" s="2872"/>
      <c r="CI68" s="2872"/>
      <c r="CJ68" s="2872"/>
      <c r="CK68" s="2873" t="str">
        <f>IF(N68&lt;O68,CONCATENATE("* El total de Procesados debe ser mayor o igual al total de Reactivos en el grupo de edad ",$N$11),"")</f>
        <v/>
      </c>
      <c r="CL68" s="2873" t="str">
        <f t="shared" ref="CL68" si="220">IF(P68&lt;Q68,CONCATENATE("* El total de Procesados debe ser mayor o igual al total de Reactivos en el grupo de edad ",$P$11),"")</f>
        <v/>
      </c>
      <c r="CM68" s="2873" t="str">
        <f t="shared" si="196"/>
        <v/>
      </c>
      <c r="CN68" s="2873" t="str">
        <f t="shared" si="162"/>
        <v/>
      </c>
      <c r="CO68" s="2873" t="str">
        <f t="shared" si="197"/>
        <v/>
      </c>
      <c r="CP68" s="2873" t="str">
        <f t="shared" si="198"/>
        <v/>
      </c>
      <c r="CQ68" s="2873" t="str">
        <f t="shared" si="199"/>
        <v/>
      </c>
      <c r="CR68" s="2873" t="str">
        <f t="shared" si="200"/>
        <v/>
      </c>
      <c r="CS68" s="2873" t="str">
        <f t="shared" si="201"/>
        <v/>
      </c>
      <c r="CT68" s="2873" t="str">
        <f t="shared" si="202"/>
        <v/>
      </c>
      <c r="CU68" s="2873" t="str">
        <f t="shared" si="203"/>
        <v/>
      </c>
      <c r="CV68" s="2873" t="str">
        <f t="shared" si="204"/>
        <v/>
      </c>
      <c r="CW68" s="2873" t="str">
        <f t="shared" si="205"/>
        <v/>
      </c>
      <c r="CX68" s="2873" t="str">
        <f t="shared" si="206"/>
        <v/>
      </c>
      <c r="DE68" s="2718"/>
      <c r="DF68" s="2873">
        <f t="shared" si="207"/>
        <v>0</v>
      </c>
      <c r="DG68" s="3009">
        <f t="shared" si="174"/>
        <v>0</v>
      </c>
      <c r="DH68" s="3009">
        <f t="shared" si="175"/>
        <v>0</v>
      </c>
      <c r="DI68" s="3009">
        <f t="shared" si="176"/>
        <v>0</v>
      </c>
      <c r="DJ68" s="2872"/>
      <c r="DK68" s="2872"/>
      <c r="DL68" s="2872"/>
      <c r="DM68" s="2872"/>
      <c r="DN68" s="2872"/>
      <c r="DO68" s="3009">
        <f t="shared" ref="DO68:DO69" si="221">IF(N68&lt;O68,1,0)</f>
        <v>0</v>
      </c>
      <c r="DP68" s="3009">
        <f t="shared" si="208"/>
        <v>0</v>
      </c>
      <c r="DQ68" s="3009">
        <f t="shared" si="209"/>
        <v>0</v>
      </c>
      <c r="DR68" s="3009">
        <f t="shared" si="180"/>
        <v>0</v>
      </c>
      <c r="DS68" s="3009">
        <f t="shared" si="210"/>
        <v>0</v>
      </c>
      <c r="DT68" s="3009">
        <f t="shared" si="211"/>
        <v>0</v>
      </c>
      <c r="DU68" s="3009">
        <f t="shared" si="212"/>
        <v>0</v>
      </c>
      <c r="DV68" s="3009">
        <f t="shared" si="213"/>
        <v>0</v>
      </c>
      <c r="DW68" s="3009">
        <f t="shared" si="214"/>
        <v>0</v>
      </c>
      <c r="DX68" s="3009">
        <f t="shared" si="215"/>
        <v>0</v>
      </c>
      <c r="DY68" s="3009">
        <f t="shared" si="216"/>
        <v>0</v>
      </c>
      <c r="DZ68" s="3009">
        <f t="shared" si="217"/>
        <v>0</v>
      </c>
      <c r="EA68" s="3009">
        <f t="shared" si="218"/>
        <v>0</v>
      </c>
      <c r="EB68" s="3009">
        <f t="shared" si="219"/>
        <v>0</v>
      </c>
    </row>
    <row r="69" spans="1:132" x14ac:dyDescent="0.25">
      <c r="A69" s="3273" t="s">
        <v>2670</v>
      </c>
      <c r="B69" s="2014">
        <f>+D69+F69+H69+J69+L69+N69+P69+R69+T69+V69+X69+Z69+AB69+AD69+AF69+AH69+AJ69+AL69+AN69+AP69</f>
        <v>0</v>
      </c>
      <c r="C69" s="3331">
        <f>+E69+G69+I69+K69+M69+O69+Q69+S69+U69+W69+Y69+AA69+AC69+AE69+AG69+AI69+AK69+AM69+AO69+AQ69</f>
        <v>0</v>
      </c>
      <c r="D69" s="3572"/>
      <c r="E69" s="5342"/>
      <c r="F69" s="5229"/>
      <c r="G69" s="5342"/>
      <c r="H69" s="5229"/>
      <c r="I69" s="5338"/>
      <c r="J69" s="3572"/>
      <c r="K69" s="3572"/>
      <c r="L69" s="5229"/>
      <c r="M69" s="5338"/>
      <c r="N69" s="3572"/>
      <c r="O69" s="5342"/>
      <c r="P69" s="5229"/>
      <c r="Q69" s="5342"/>
      <c r="R69" s="5229"/>
      <c r="S69" s="5342"/>
      <c r="T69" s="5229"/>
      <c r="U69" s="5342"/>
      <c r="V69" s="5229"/>
      <c r="W69" s="5342"/>
      <c r="X69" s="5229"/>
      <c r="Y69" s="5342"/>
      <c r="Z69" s="5229"/>
      <c r="AA69" s="5342"/>
      <c r="AB69" s="5229"/>
      <c r="AC69" s="5342"/>
      <c r="AD69" s="5229"/>
      <c r="AE69" s="5342"/>
      <c r="AF69" s="5229"/>
      <c r="AG69" s="5342"/>
      <c r="AH69" s="5229"/>
      <c r="AI69" s="5342"/>
      <c r="AJ69" s="5229"/>
      <c r="AK69" s="5342"/>
      <c r="AL69" s="5229"/>
      <c r="AM69" s="5342"/>
      <c r="AN69" s="5229"/>
      <c r="AO69" s="5342"/>
      <c r="AP69" s="5229"/>
      <c r="AQ69" s="5336"/>
      <c r="AR69" s="3572"/>
      <c r="AS69" s="5336"/>
      <c r="AT69" s="5337"/>
      <c r="AU69" s="5336"/>
      <c r="AV69" s="3572"/>
      <c r="AW69" s="5338"/>
      <c r="AX69" s="1755" t="str">
        <f>CB69&amp;CC69&amp;CD69&amp;CE69&amp;CK69&amp;CL69&amp;CM69&amp;CN69&amp;CO69&amp;CP69&amp;CQ69&amp;CR69&amp;CS69&amp;CT69&amp;CU69&amp;CV69&amp;CW69&amp;CX69&amp;CF69&amp;CG69&amp;CH69&amp;CI69&amp;CJ69</f>
        <v/>
      </c>
      <c r="CA69" s="603"/>
      <c r="CB69" s="2873" t="str">
        <f t="shared" si="195"/>
        <v/>
      </c>
      <c r="CC69" s="2873" t="str">
        <f t="shared" si="156"/>
        <v/>
      </c>
      <c r="CD69" s="2873" t="str">
        <f t="shared" si="157"/>
        <v/>
      </c>
      <c r="CE69" s="2873" t="str">
        <f t="shared" si="158"/>
        <v/>
      </c>
      <c r="CF69" s="2873" t="str">
        <f>IF(D69&lt;E69,CONCATENATE("* El total de Procesados debe ser mayor o igual al total de Reactivos en el grupo de edad ",$D$11),"")</f>
        <v/>
      </c>
      <c r="CG69" s="2873" t="str">
        <f>IF(F69&lt;G69,CONCATENATE("* El total de Procesados debe ser mayor o igual al total de Reactivos en el grupo de edad ",$F$11),"")</f>
        <v/>
      </c>
      <c r="CH69" s="2873" t="str">
        <f>IF(H69&lt;I69,CONCATENATE("* El total de Procesados debe ser mayor o igual al total de Reactivos en el grupo de edad ",$H$11),"")</f>
        <v/>
      </c>
      <c r="CI69" s="2873" t="str">
        <f>IF(J69&lt;K69,CONCATENATE("* El total de Procesados debe ser mayor o igual al total de Reactivos en el grupo de edad ",$J$11),"")</f>
        <v/>
      </c>
      <c r="CJ69" s="2873" t="str">
        <f>IF(L69&lt;M69,CONCATENATE("* El total de Procesados debe ser mayor o igual al total de Reactivos en el grupo de edad ",$L$11),"")</f>
        <v/>
      </c>
      <c r="CK69" s="2873" t="str">
        <f>IF(N69&lt;O69,CONCATENATE("* El total de Procesados debe ser mayor o igual al total de Reactivos en el grupo de edad ",$N$11),"")</f>
        <v/>
      </c>
      <c r="CL69" s="2873" t="str">
        <f>IF(P69&lt;Q69,CONCATENATE("* El total de Procesados debe ser mayor o igual al total de Reactivos en el grupo de edad ",$P$11),"")</f>
        <v/>
      </c>
      <c r="CM69" s="2873" t="str">
        <f t="shared" si="196"/>
        <v/>
      </c>
      <c r="CN69" s="2873" t="str">
        <f t="shared" si="162"/>
        <v/>
      </c>
      <c r="CO69" s="2873" t="str">
        <f t="shared" si="197"/>
        <v/>
      </c>
      <c r="CP69" s="2873" t="str">
        <f t="shared" si="198"/>
        <v/>
      </c>
      <c r="CQ69" s="2873" t="str">
        <f t="shared" si="199"/>
        <v/>
      </c>
      <c r="CR69" s="2873" t="str">
        <f t="shared" si="200"/>
        <v/>
      </c>
      <c r="CS69" s="2873" t="str">
        <f t="shared" si="201"/>
        <v/>
      </c>
      <c r="CT69" s="2873" t="str">
        <f t="shared" si="202"/>
        <v/>
      </c>
      <c r="CU69" s="2873" t="str">
        <f t="shared" si="203"/>
        <v/>
      </c>
      <c r="CV69" s="2873" t="str">
        <f t="shared" si="204"/>
        <v/>
      </c>
      <c r="CW69" s="2873" t="str">
        <f t="shared" si="205"/>
        <v/>
      </c>
      <c r="CX69" s="2873" t="str">
        <f t="shared" si="206"/>
        <v/>
      </c>
      <c r="DE69" s="2718"/>
      <c r="DF69" s="2873">
        <f t="shared" si="207"/>
        <v>0</v>
      </c>
      <c r="DG69" s="3009">
        <f t="shared" si="174"/>
        <v>0</v>
      </c>
      <c r="DH69" s="3009">
        <f t="shared" si="175"/>
        <v>0</v>
      </c>
      <c r="DI69" s="3009">
        <f t="shared" si="176"/>
        <v>0</v>
      </c>
      <c r="DJ69" s="3009">
        <f>IF(D69&lt;E69,1,0)</f>
        <v>0</v>
      </c>
      <c r="DK69" s="3009">
        <f>IF(F69&lt;G69,1,0)</f>
        <v>0</v>
      </c>
      <c r="DL69" s="3009">
        <f>IF(H69&lt;I69,1,0)</f>
        <v>0</v>
      </c>
      <c r="DM69" s="3009">
        <f>IF(J69&lt;K69,1,0)</f>
        <v>0</v>
      </c>
      <c r="DN69" s="3009">
        <f>IF(L69&lt;M69,1,0)</f>
        <v>0</v>
      </c>
      <c r="DO69" s="3009">
        <f t="shared" si="221"/>
        <v>0</v>
      </c>
      <c r="DP69" s="3009">
        <f t="shared" si="208"/>
        <v>0</v>
      </c>
      <c r="DQ69" s="3009">
        <f t="shared" si="209"/>
        <v>0</v>
      </c>
      <c r="DR69" s="3009">
        <f t="shared" si="180"/>
        <v>0</v>
      </c>
      <c r="DS69" s="3009">
        <f t="shared" si="210"/>
        <v>0</v>
      </c>
      <c r="DT69" s="3009">
        <f t="shared" si="211"/>
        <v>0</v>
      </c>
      <c r="DU69" s="3009">
        <f t="shared" si="212"/>
        <v>0</v>
      </c>
      <c r="DV69" s="3009">
        <f t="shared" si="213"/>
        <v>0</v>
      </c>
      <c r="DW69" s="3009">
        <f t="shared" si="214"/>
        <v>0</v>
      </c>
      <c r="DX69" s="3009">
        <f t="shared" si="215"/>
        <v>0</v>
      </c>
      <c r="DY69" s="3009">
        <f t="shared" si="216"/>
        <v>0</v>
      </c>
      <c r="DZ69" s="3009">
        <f t="shared" si="217"/>
        <v>0</v>
      </c>
      <c r="EA69" s="3009">
        <f t="shared" si="218"/>
        <v>0</v>
      </c>
      <c r="EB69" s="3009">
        <f t="shared" si="219"/>
        <v>0</v>
      </c>
    </row>
    <row r="70" spans="1:132" x14ac:dyDescent="0.25">
      <c r="A70" s="3578" t="s">
        <v>2671</v>
      </c>
      <c r="B70" s="2014">
        <f>+P70+R70+T70+V70+X70+Z70+AB70+AD70+AF70+AH70+AJ70+AL70+AN70+AP70</f>
        <v>0</v>
      </c>
      <c r="C70" s="3331">
        <f>+Q70+S70+U70+W70+Y70+AA70+AC70+AE70+AG70+AI70+AK70+AM70+AO70+AQ70</f>
        <v>0</v>
      </c>
      <c r="D70" s="3568"/>
      <c r="E70" s="5340"/>
      <c r="F70" s="5339"/>
      <c r="G70" s="5340"/>
      <c r="H70" s="5339"/>
      <c r="I70" s="5340"/>
      <c r="J70" s="5339"/>
      <c r="K70" s="5340"/>
      <c r="L70" s="5339"/>
      <c r="M70" s="5341"/>
      <c r="N70" s="3568"/>
      <c r="O70" s="5340"/>
      <c r="P70" s="5229"/>
      <c r="Q70" s="5342"/>
      <c r="R70" s="5229"/>
      <c r="S70" s="5342"/>
      <c r="T70" s="5229"/>
      <c r="U70" s="5342"/>
      <c r="V70" s="5229"/>
      <c r="W70" s="5342"/>
      <c r="X70" s="5229"/>
      <c r="Y70" s="5342"/>
      <c r="Z70" s="5229"/>
      <c r="AA70" s="5342"/>
      <c r="AB70" s="5229"/>
      <c r="AC70" s="5342"/>
      <c r="AD70" s="5229"/>
      <c r="AE70" s="5342"/>
      <c r="AF70" s="5229"/>
      <c r="AG70" s="5342"/>
      <c r="AH70" s="5229"/>
      <c r="AI70" s="5342"/>
      <c r="AJ70" s="5229"/>
      <c r="AK70" s="5342"/>
      <c r="AL70" s="5229"/>
      <c r="AM70" s="5342"/>
      <c r="AN70" s="5229"/>
      <c r="AO70" s="5342"/>
      <c r="AP70" s="5229"/>
      <c r="AQ70" s="5336"/>
      <c r="AR70" s="3572"/>
      <c r="AS70" s="5336"/>
      <c r="AT70" s="5337"/>
      <c r="AU70" s="5336"/>
      <c r="AV70" s="3572"/>
      <c r="AW70" s="5338"/>
      <c r="AX70" s="1755" t="str">
        <f>CB70&amp;CC70&amp;CD70&amp;CE70&amp;CK70&amp;CL70&amp;CM70&amp;CN70&amp;CO70&amp;CP70&amp;CQ70&amp;CR70&amp;CS70&amp;CT70&amp;CU70&amp;CV70&amp;CW70&amp;CX70&amp;CF70&amp;CG70&amp;CH70</f>
        <v/>
      </c>
      <c r="CA70" s="603"/>
      <c r="CB70" s="2873" t="str">
        <f t="shared" si="195"/>
        <v/>
      </c>
      <c r="CC70" s="2873" t="str">
        <f t="shared" si="156"/>
        <v/>
      </c>
      <c r="CD70" s="2873" t="str">
        <f t="shared" si="157"/>
        <v/>
      </c>
      <c r="CE70" s="2873" t="str">
        <f t="shared" si="158"/>
        <v/>
      </c>
      <c r="CF70" s="3581"/>
      <c r="CG70" s="3581"/>
      <c r="CH70" s="2872"/>
      <c r="CI70" s="2872"/>
      <c r="CJ70" s="2872"/>
      <c r="CK70" s="3581"/>
      <c r="CL70" s="2873" t="str">
        <f t="shared" ref="CL70:CL74" si="222">IF(P70&lt;Q70,CONCATENATE("* El total de Procesados debe ser mayor o igual al total de Reactivos en el grupo de edad ",$P$11),"")</f>
        <v/>
      </c>
      <c r="CM70" s="2873" t="str">
        <f t="shared" si="196"/>
        <v/>
      </c>
      <c r="CN70" s="2873" t="str">
        <f t="shared" si="162"/>
        <v/>
      </c>
      <c r="CO70" s="2873" t="str">
        <f t="shared" si="197"/>
        <v/>
      </c>
      <c r="CP70" s="2873" t="str">
        <f t="shared" si="198"/>
        <v/>
      </c>
      <c r="CQ70" s="2873" t="str">
        <f t="shared" si="199"/>
        <v/>
      </c>
      <c r="CR70" s="2873" t="str">
        <f t="shared" si="200"/>
        <v/>
      </c>
      <c r="CS70" s="2873" t="str">
        <f t="shared" si="201"/>
        <v/>
      </c>
      <c r="CT70" s="2873" t="str">
        <f t="shared" si="202"/>
        <v/>
      </c>
      <c r="CU70" s="2873" t="str">
        <f t="shared" si="203"/>
        <v/>
      </c>
      <c r="CV70" s="2873" t="str">
        <f t="shared" si="204"/>
        <v/>
      </c>
      <c r="CW70" s="2873" t="str">
        <f t="shared" si="205"/>
        <v/>
      </c>
      <c r="CX70" s="2873" t="str">
        <f t="shared" si="206"/>
        <v/>
      </c>
      <c r="DE70" s="2718"/>
      <c r="DF70" s="2873">
        <f t="shared" si="207"/>
        <v>0</v>
      </c>
      <c r="DG70" s="3009">
        <f t="shared" si="174"/>
        <v>0</v>
      </c>
      <c r="DH70" s="3009">
        <f t="shared" si="175"/>
        <v>0</v>
      </c>
      <c r="DI70" s="3009">
        <f t="shared" si="176"/>
        <v>0</v>
      </c>
      <c r="DJ70" s="2872"/>
      <c r="DK70" s="2872"/>
      <c r="DL70" s="2872"/>
      <c r="DM70" s="2872"/>
      <c r="DN70" s="2872"/>
      <c r="DO70" s="3107"/>
      <c r="DP70" s="3009">
        <f t="shared" si="208"/>
        <v>0</v>
      </c>
      <c r="DQ70" s="3009">
        <f t="shared" si="209"/>
        <v>0</v>
      </c>
      <c r="DR70" s="3009">
        <f t="shared" si="180"/>
        <v>0</v>
      </c>
      <c r="DS70" s="3009">
        <f t="shared" si="210"/>
        <v>0</v>
      </c>
      <c r="DT70" s="3009">
        <f t="shared" si="211"/>
        <v>0</v>
      </c>
      <c r="DU70" s="3009">
        <f t="shared" si="212"/>
        <v>0</v>
      </c>
      <c r="DV70" s="3009">
        <f t="shared" si="213"/>
        <v>0</v>
      </c>
      <c r="DW70" s="3009">
        <f t="shared" si="214"/>
        <v>0</v>
      </c>
      <c r="DX70" s="3009">
        <f t="shared" si="215"/>
        <v>0</v>
      </c>
      <c r="DY70" s="3009">
        <f t="shared" si="216"/>
        <v>0</v>
      </c>
      <c r="DZ70" s="3009">
        <f t="shared" si="217"/>
        <v>0</v>
      </c>
      <c r="EA70" s="3009">
        <f t="shared" si="218"/>
        <v>0</v>
      </c>
      <c r="EB70" s="3009">
        <f t="shared" si="219"/>
        <v>0</v>
      </c>
    </row>
    <row r="71" spans="1:132" x14ac:dyDescent="0.25">
      <c r="A71" s="3273" t="s">
        <v>2672</v>
      </c>
      <c r="B71" s="2014">
        <f>+P71+R71+T71+V71+X71+Z71+AB71+AD71+AF71+AH71</f>
        <v>0</v>
      </c>
      <c r="C71" s="3331">
        <f>+Q71+S71+U71+W71+Y71+AA71+AC71+AE71+AG71+AI71</f>
        <v>0</v>
      </c>
      <c r="D71" s="3568"/>
      <c r="E71" s="5340"/>
      <c r="F71" s="5339"/>
      <c r="G71" s="5340"/>
      <c r="H71" s="5339"/>
      <c r="I71" s="5340"/>
      <c r="J71" s="5339"/>
      <c r="K71" s="5340"/>
      <c r="L71" s="5339"/>
      <c r="M71" s="5341"/>
      <c r="N71" s="3568"/>
      <c r="O71" s="5340"/>
      <c r="P71" s="5229"/>
      <c r="Q71" s="5342"/>
      <c r="R71" s="5229"/>
      <c r="S71" s="5342"/>
      <c r="T71" s="5229"/>
      <c r="U71" s="5342"/>
      <c r="V71" s="5229"/>
      <c r="W71" s="5342"/>
      <c r="X71" s="5229"/>
      <c r="Y71" s="5342"/>
      <c r="Z71" s="5229"/>
      <c r="AA71" s="5342"/>
      <c r="AB71" s="5229"/>
      <c r="AC71" s="5342"/>
      <c r="AD71" s="5229"/>
      <c r="AE71" s="5342"/>
      <c r="AF71" s="5229"/>
      <c r="AG71" s="5342"/>
      <c r="AH71" s="5229"/>
      <c r="AI71" s="5342"/>
      <c r="AJ71" s="5339"/>
      <c r="AK71" s="5340"/>
      <c r="AL71" s="5339"/>
      <c r="AM71" s="5340"/>
      <c r="AN71" s="5339"/>
      <c r="AO71" s="5340"/>
      <c r="AP71" s="5339"/>
      <c r="AQ71" s="5347"/>
      <c r="AR71" s="3572"/>
      <c r="AS71" s="5336"/>
      <c r="AT71" s="5337"/>
      <c r="AU71" s="5336"/>
      <c r="AV71" s="3572"/>
      <c r="AW71" s="5338"/>
      <c r="AX71" s="1755" t="str">
        <f>CB71&amp;CC71&amp;CD71&amp;CE71&amp;CK71&amp;CL71&amp;CM71&amp;CN71&amp;CO71&amp;CP71&amp;CQ71&amp;CR71&amp;CS71&amp;CT71&amp;CU71&amp;CV71&amp;CW71&amp;CX71&amp;CF71&amp;CG71&amp;CH71</f>
        <v/>
      </c>
      <c r="CA71" s="603"/>
      <c r="CB71" s="2873" t="str">
        <f t="shared" si="195"/>
        <v/>
      </c>
      <c r="CC71" s="2873" t="str">
        <f t="shared" si="156"/>
        <v/>
      </c>
      <c r="CD71" s="2873" t="str">
        <f t="shared" si="157"/>
        <v/>
      </c>
      <c r="CE71" s="2873" t="str">
        <f t="shared" si="158"/>
        <v/>
      </c>
      <c r="CF71" s="3581"/>
      <c r="CG71" s="3581"/>
      <c r="CH71" s="2872"/>
      <c r="CI71" s="2872"/>
      <c r="CJ71" s="2872"/>
      <c r="CK71" s="3581"/>
      <c r="CL71" s="2873" t="str">
        <f t="shared" si="222"/>
        <v/>
      </c>
      <c r="CM71" s="2873" t="str">
        <f t="shared" si="196"/>
        <v/>
      </c>
      <c r="CN71" s="2873" t="str">
        <f t="shared" si="162"/>
        <v/>
      </c>
      <c r="CO71" s="2873" t="str">
        <f t="shared" si="197"/>
        <v/>
      </c>
      <c r="CP71" s="2873" t="str">
        <f t="shared" si="198"/>
        <v/>
      </c>
      <c r="CQ71" s="2873" t="str">
        <f t="shared" si="199"/>
        <v/>
      </c>
      <c r="CR71" s="2873" t="str">
        <f t="shared" si="200"/>
        <v/>
      </c>
      <c r="CS71" s="2873" t="str">
        <f t="shared" si="201"/>
        <v/>
      </c>
      <c r="CT71" s="2873" t="str">
        <f t="shared" si="202"/>
        <v/>
      </c>
      <c r="CU71" s="3107"/>
      <c r="CV71" s="3107"/>
      <c r="CW71" s="3107"/>
      <c r="CX71" s="3107"/>
      <c r="DE71" s="2718"/>
      <c r="DF71" s="2873">
        <f t="shared" si="207"/>
        <v>0</v>
      </c>
      <c r="DG71" s="3009">
        <f t="shared" si="174"/>
        <v>0</v>
      </c>
      <c r="DH71" s="3009">
        <f t="shared" si="175"/>
        <v>0</v>
      </c>
      <c r="DI71" s="3009">
        <f t="shared" si="176"/>
        <v>0</v>
      </c>
      <c r="DJ71" s="2872"/>
      <c r="DK71" s="2872"/>
      <c r="DL71" s="2872"/>
      <c r="DM71" s="2872"/>
      <c r="DN71" s="2872"/>
      <c r="DO71" s="3107"/>
      <c r="DP71" s="3009">
        <f t="shared" si="208"/>
        <v>0</v>
      </c>
      <c r="DQ71" s="3009">
        <f t="shared" si="209"/>
        <v>0</v>
      </c>
      <c r="DR71" s="3009">
        <f t="shared" si="180"/>
        <v>0</v>
      </c>
      <c r="DS71" s="3009">
        <f t="shared" si="210"/>
        <v>0</v>
      </c>
      <c r="DT71" s="3009">
        <f t="shared" si="211"/>
        <v>0</v>
      </c>
      <c r="DU71" s="3009">
        <f t="shared" si="212"/>
        <v>0</v>
      </c>
      <c r="DV71" s="3009">
        <f t="shared" si="213"/>
        <v>0</v>
      </c>
      <c r="DW71" s="3009">
        <f t="shared" si="214"/>
        <v>0</v>
      </c>
      <c r="DX71" s="3009">
        <f t="shared" si="215"/>
        <v>0</v>
      </c>
      <c r="DY71" s="3107"/>
      <c r="DZ71" s="3107"/>
      <c r="EA71" s="3107"/>
      <c r="EB71" s="3107"/>
    </row>
    <row r="72" spans="1:132" x14ac:dyDescent="0.25">
      <c r="A72" s="3273" t="s">
        <v>2673</v>
      </c>
      <c r="B72" s="2014">
        <f t="shared" ref="B72:C74" si="223">+D72+F72+H72+J72+L72+N72+P72+R72+T72+V72+X72+Z72+AB72+AD72+AF72+AH72+AJ72+AL72+AN72+AP72</f>
        <v>0</v>
      </c>
      <c r="C72" s="3331">
        <f t="shared" si="223"/>
        <v>0</v>
      </c>
      <c r="D72" s="3572"/>
      <c r="E72" s="5342"/>
      <c r="F72" s="5229"/>
      <c r="G72" s="5342"/>
      <c r="H72" s="5229"/>
      <c r="I72" s="5338"/>
      <c r="J72" s="3572"/>
      <c r="K72" s="3572"/>
      <c r="L72" s="5229"/>
      <c r="M72" s="5338"/>
      <c r="N72" s="3572"/>
      <c r="O72" s="5342"/>
      <c r="P72" s="5229"/>
      <c r="Q72" s="5342"/>
      <c r="R72" s="5229"/>
      <c r="S72" s="5342"/>
      <c r="T72" s="5229"/>
      <c r="U72" s="5342"/>
      <c r="V72" s="5229"/>
      <c r="W72" s="5342"/>
      <c r="X72" s="5229"/>
      <c r="Y72" s="5342"/>
      <c r="Z72" s="5229"/>
      <c r="AA72" s="5342"/>
      <c r="AB72" s="5229"/>
      <c r="AC72" s="5342"/>
      <c r="AD72" s="5229"/>
      <c r="AE72" s="5342"/>
      <c r="AF72" s="5229"/>
      <c r="AG72" s="5342"/>
      <c r="AH72" s="5229"/>
      <c r="AI72" s="5342"/>
      <c r="AJ72" s="5229"/>
      <c r="AK72" s="5342"/>
      <c r="AL72" s="5229"/>
      <c r="AM72" s="5342"/>
      <c r="AN72" s="5229"/>
      <c r="AO72" s="5342"/>
      <c r="AP72" s="5229"/>
      <c r="AQ72" s="5336"/>
      <c r="AR72" s="3572"/>
      <c r="AS72" s="5336"/>
      <c r="AT72" s="5337"/>
      <c r="AU72" s="5336"/>
      <c r="AV72" s="3572"/>
      <c r="AW72" s="5338"/>
      <c r="AX72" s="1755" t="str">
        <f>CB72&amp;CC72&amp;CD72&amp;CE72&amp;CK72&amp;CL72&amp;CM72&amp;CN72&amp;CO72&amp;CP72&amp;CQ72&amp;CR72&amp;CS72&amp;CT72&amp;CU72&amp;CV72&amp;CW72&amp;CX72&amp;CF72&amp;CG72&amp;CH72&amp;CI72&amp;CJ72</f>
        <v/>
      </c>
      <c r="CA72" s="603"/>
      <c r="CB72" s="2873" t="str">
        <f t="shared" si="195"/>
        <v/>
      </c>
      <c r="CC72" s="2873" t="str">
        <f t="shared" si="156"/>
        <v/>
      </c>
      <c r="CD72" s="2873" t="str">
        <f t="shared" si="157"/>
        <v/>
      </c>
      <c r="CE72" s="2873" t="str">
        <f t="shared" si="158"/>
        <v/>
      </c>
      <c r="CF72" s="2873" t="str">
        <f t="shared" ref="CF72:CF74" si="224">IF(D72&lt;E72,CONCATENATE("* El total de Procesados debe ser mayor o igual al total de Reactivos en el grupo de edad ",$D$11),"")</f>
        <v/>
      </c>
      <c r="CG72" s="2873" t="str">
        <f t="shared" ref="CG72:CG74" si="225">IF(F72&lt;G72,CONCATENATE("* El total de Procesados debe ser mayor o igual al total de Reactivos en el grupo de edad ",$F$11),"")</f>
        <v/>
      </c>
      <c r="CH72" s="2873" t="str">
        <f t="shared" ref="CH72:CH74" si="226">IF(H72&lt;I72,CONCATENATE("* El total de Procesados debe ser mayor o igual al total de Reactivos en el grupo de edad ",$H$11),"")</f>
        <v/>
      </c>
      <c r="CI72" s="2873" t="str">
        <f t="shared" ref="CI72:CI74" si="227">IF(J72&lt;K72,CONCATENATE("* El total de Procesados debe ser mayor o igual al total de Reactivos en el grupo de edad ",$J$11),"")</f>
        <v/>
      </c>
      <c r="CJ72" s="2873" t="str">
        <f t="shared" ref="CJ72:CJ74" si="228">IF(L72&lt;M72,CONCATENATE("* El total de Procesados debe ser mayor o igual al total de Reactivos en el grupo de edad ",$L$11),"")</f>
        <v/>
      </c>
      <c r="CK72" s="2873" t="str">
        <f t="shared" ref="CK72:CK74" si="229">IF(N72&lt;O72,CONCATENATE("* El total de Procesados debe ser mayor o igual al total de Reactivos en el grupo de edad ",$N$11),"")</f>
        <v/>
      </c>
      <c r="CL72" s="2873" t="str">
        <f t="shared" si="222"/>
        <v/>
      </c>
      <c r="CM72" s="2873" t="str">
        <f t="shared" si="196"/>
        <v/>
      </c>
      <c r="CN72" s="2873" t="str">
        <f t="shared" si="162"/>
        <v/>
      </c>
      <c r="CO72" s="2873" t="str">
        <f t="shared" si="197"/>
        <v/>
      </c>
      <c r="CP72" s="2873" t="str">
        <f t="shared" si="198"/>
        <v/>
      </c>
      <c r="CQ72" s="2873" t="str">
        <f t="shared" si="199"/>
        <v/>
      </c>
      <c r="CR72" s="2873" t="str">
        <f t="shared" si="200"/>
        <v/>
      </c>
      <c r="CS72" s="2873" t="str">
        <f t="shared" si="201"/>
        <v/>
      </c>
      <c r="CT72" s="2873" t="str">
        <f t="shared" si="202"/>
        <v/>
      </c>
      <c r="CU72" s="2873" t="str">
        <f t="shared" ref="CU72:CU74" si="230">IF(AJ72&lt;AK72,CONCATENATE("* El total de Procesados debe ser mayor o igual al total de Reactivos en el grupo de edad ",$AJ$11),"")</f>
        <v/>
      </c>
      <c r="CV72" s="2873" t="str">
        <f t="shared" ref="CV72:CV74" si="231">IF(AL72&lt;AM72,CONCATENATE("* El total de Procesados debe ser mayor o igual al total de Reactivos en el grupo de edad ",$AL$11),"")</f>
        <v/>
      </c>
      <c r="CW72" s="2873" t="str">
        <f t="shared" ref="CW72:CW74" si="232">IF(AN72&lt;AO72,CONCATENATE("* El total de Procesados debe ser mayor o igual al total de Reactivos en el grupo de edad ",$AN$11),"")</f>
        <v/>
      </c>
      <c r="CX72" s="2873" t="str">
        <f t="shared" ref="CX72:CX74" si="233">IF(AP72&lt;AQ72,CONCATENATE("* El total de Procesados debe ser mayor o igual al total de Reactivos en el grupo de edad ",$AP$11),"")</f>
        <v/>
      </c>
      <c r="DE72" s="2718"/>
      <c r="DF72" s="2873">
        <f t="shared" si="207"/>
        <v>0</v>
      </c>
      <c r="DG72" s="3009">
        <f t="shared" si="174"/>
        <v>0</v>
      </c>
      <c r="DH72" s="3009">
        <f t="shared" si="175"/>
        <v>0</v>
      </c>
      <c r="DI72" s="3009">
        <f t="shared" si="176"/>
        <v>0</v>
      </c>
      <c r="DJ72" s="3009">
        <f t="shared" ref="DJ72:DJ74" si="234">IF(D72&lt;E72,1,0)</f>
        <v>0</v>
      </c>
      <c r="DK72" s="3009">
        <f t="shared" ref="DK72:DK74" si="235">IF(F72&lt;G72,1,0)</f>
        <v>0</v>
      </c>
      <c r="DL72" s="3009">
        <f t="shared" ref="DL72:DL74" si="236">IF(H72&lt;I72,1,0)</f>
        <v>0</v>
      </c>
      <c r="DM72" s="3009">
        <f t="shared" ref="DM72:DM74" si="237">IF(J72&lt;K72,1,0)</f>
        <v>0</v>
      </c>
      <c r="DN72" s="3009">
        <f t="shared" ref="DN72:DN74" si="238">IF(L72&lt;M72,1,0)</f>
        <v>0</v>
      </c>
      <c r="DO72" s="3009">
        <f t="shared" ref="DO72:DO74" si="239">IF(N72&lt;O72,1,0)</f>
        <v>0</v>
      </c>
      <c r="DP72" s="3009">
        <f t="shared" si="208"/>
        <v>0</v>
      </c>
      <c r="DQ72" s="3009">
        <f t="shared" si="209"/>
        <v>0</v>
      </c>
      <c r="DR72" s="3009">
        <f t="shared" si="180"/>
        <v>0</v>
      </c>
      <c r="DS72" s="3009">
        <f t="shared" si="210"/>
        <v>0</v>
      </c>
      <c r="DT72" s="3009">
        <f t="shared" si="211"/>
        <v>0</v>
      </c>
      <c r="DU72" s="3009">
        <f t="shared" si="212"/>
        <v>0</v>
      </c>
      <c r="DV72" s="3009">
        <f t="shared" si="213"/>
        <v>0</v>
      </c>
      <c r="DW72" s="3009">
        <f t="shared" si="214"/>
        <v>0</v>
      </c>
      <c r="DX72" s="3009">
        <f t="shared" si="215"/>
        <v>0</v>
      </c>
      <c r="DY72" s="3009">
        <f t="shared" ref="DY72:DY74" si="240">IF(AJ72&lt;AK72,1,0)</f>
        <v>0</v>
      </c>
      <c r="DZ72" s="3009">
        <f t="shared" ref="DZ72:DZ74" si="241">IF(AL72&lt;AM72,1,0)</f>
        <v>0</v>
      </c>
      <c r="EA72" s="3009">
        <f t="shared" ref="EA72:EA74" si="242">IF(AN72&lt;AO72,1,0)</f>
        <v>0</v>
      </c>
      <c r="EB72" s="3009">
        <f t="shared" ref="EB72:EB74" si="243">IF(AP72&lt;AQ72,1,0)</f>
        <v>0</v>
      </c>
    </row>
    <row r="73" spans="1:132" x14ac:dyDescent="0.25">
      <c r="A73" s="3273" t="s">
        <v>2674</v>
      </c>
      <c r="B73" s="2014">
        <f t="shared" si="223"/>
        <v>0</v>
      </c>
      <c r="C73" s="3331">
        <f t="shared" si="223"/>
        <v>0</v>
      </c>
      <c r="D73" s="3572"/>
      <c r="E73" s="5342"/>
      <c r="F73" s="5229"/>
      <c r="G73" s="5342"/>
      <c r="H73" s="5229"/>
      <c r="I73" s="5338"/>
      <c r="J73" s="3572"/>
      <c r="K73" s="3572"/>
      <c r="L73" s="5229"/>
      <c r="M73" s="5338"/>
      <c r="N73" s="3572"/>
      <c r="O73" s="5342"/>
      <c r="P73" s="5229"/>
      <c r="Q73" s="5342"/>
      <c r="R73" s="5229"/>
      <c r="S73" s="5342"/>
      <c r="T73" s="5229"/>
      <c r="U73" s="5342"/>
      <c r="V73" s="5229"/>
      <c r="W73" s="5342"/>
      <c r="X73" s="5229"/>
      <c r="Y73" s="5342"/>
      <c r="Z73" s="5229"/>
      <c r="AA73" s="5342"/>
      <c r="AB73" s="5229"/>
      <c r="AC73" s="5342"/>
      <c r="AD73" s="5229"/>
      <c r="AE73" s="5342"/>
      <c r="AF73" s="5229"/>
      <c r="AG73" s="5342"/>
      <c r="AH73" s="5229"/>
      <c r="AI73" s="5342"/>
      <c r="AJ73" s="5229"/>
      <c r="AK73" s="5342"/>
      <c r="AL73" s="5229"/>
      <c r="AM73" s="5342"/>
      <c r="AN73" s="5229"/>
      <c r="AO73" s="5342"/>
      <c r="AP73" s="5229"/>
      <c r="AQ73" s="5336"/>
      <c r="AR73" s="3572"/>
      <c r="AS73" s="5336"/>
      <c r="AT73" s="5337"/>
      <c r="AU73" s="5336"/>
      <c r="AV73" s="3572"/>
      <c r="AW73" s="5338"/>
      <c r="AX73" s="1755" t="str">
        <f t="shared" ref="AX73:AX74" si="244">CB73&amp;CC73&amp;CD73&amp;CE73&amp;CK73&amp;CL73&amp;CM73&amp;CN73&amp;CO73&amp;CP73&amp;CQ73&amp;CR73&amp;CS73&amp;CT73&amp;CU73&amp;CV73&amp;CW73&amp;CX73&amp;CF73&amp;CG73&amp;CH73&amp;CI73&amp;CJ73</f>
        <v/>
      </c>
      <c r="CA73" s="603"/>
      <c r="CB73" s="2873" t="str">
        <f t="shared" si="195"/>
        <v/>
      </c>
      <c r="CC73" s="2873" t="str">
        <f t="shared" si="156"/>
        <v/>
      </c>
      <c r="CD73" s="2873" t="str">
        <f t="shared" si="157"/>
        <v/>
      </c>
      <c r="CE73" s="2873" t="str">
        <f t="shared" si="158"/>
        <v/>
      </c>
      <c r="CF73" s="2873" t="str">
        <f t="shared" si="224"/>
        <v/>
      </c>
      <c r="CG73" s="2873" t="str">
        <f t="shared" si="225"/>
        <v/>
      </c>
      <c r="CH73" s="2873" t="str">
        <f t="shared" si="226"/>
        <v/>
      </c>
      <c r="CI73" s="2873" t="str">
        <f t="shared" si="227"/>
        <v/>
      </c>
      <c r="CJ73" s="2873" t="str">
        <f t="shared" si="228"/>
        <v/>
      </c>
      <c r="CK73" s="2873" t="str">
        <f t="shared" si="229"/>
        <v/>
      </c>
      <c r="CL73" s="2873" t="str">
        <f t="shared" si="222"/>
        <v/>
      </c>
      <c r="CM73" s="2873" t="str">
        <f t="shared" si="196"/>
        <v/>
      </c>
      <c r="CN73" s="2873" t="str">
        <f t="shared" si="162"/>
        <v/>
      </c>
      <c r="CO73" s="2873" t="str">
        <f t="shared" si="197"/>
        <v/>
      </c>
      <c r="CP73" s="2873" t="str">
        <f t="shared" si="198"/>
        <v/>
      </c>
      <c r="CQ73" s="2873" t="str">
        <f t="shared" si="199"/>
        <v/>
      </c>
      <c r="CR73" s="2873" t="str">
        <f t="shared" si="200"/>
        <v/>
      </c>
      <c r="CS73" s="2873" t="str">
        <f t="shared" si="201"/>
        <v/>
      </c>
      <c r="CT73" s="2873" t="str">
        <f t="shared" si="202"/>
        <v/>
      </c>
      <c r="CU73" s="2873" t="str">
        <f t="shared" si="230"/>
        <v/>
      </c>
      <c r="CV73" s="2873" t="str">
        <f t="shared" si="231"/>
        <v/>
      </c>
      <c r="CW73" s="2873" t="str">
        <f t="shared" si="232"/>
        <v/>
      </c>
      <c r="CX73" s="2873" t="str">
        <f t="shared" si="233"/>
        <v/>
      </c>
      <c r="DE73" s="2718"/>
      <c r="DF73" s="2873">
        <f t="shared" si="207"/>
        <v>0</v>
      </c>
      <c r="DG73" s="3009">
        <f t="shared" si="174"/>
        <v>0</v>
      </c>
      <c r="DH73" s="3009">
        <f t="shared" si="175"/>
        <v>0</v>
      </c>
      <c r="DI73" s="3009">
        <f t="shared" si="176"/>
        <v>0</v>
      </c>
      <c r="DJ73" s="3009">
        <f t="shared" si="234"/>
        <v>0</v>
      </c>
      <c r="DK73" s="3009">
        <f t="shared" si="235"/>
        <v>0</v>
      </c>
      <c r="DL73" s="3009">
        <f t="shared" si="236"/>
        <v>0</v>
      </c>
      <c r="DM73" s="3009">
        <f t="shared" si="237"/>
        <v>0</v>
      </c>
      <c r="DN73" s="3009">
        <f t="shared" si="238"/>
        <v>0</v>
      </c>
      <c r="DO73" s="3009">
        <f t="shared" si="239"/>
        <v>0</v>
      </c>
      <c r="DP73" s="3009">
        <f t="shared" si="208"/>
        <v>0</v>
      </c>
      <c r="DQ73" s="3009">
        <f t="shared" si="209"/>
        <v>0</v>
      </c>
      <c r="DR73" s="3009">
        <f t="shared" si="180"/>
        <v>0</v>
      </c>
      <c r="DS73" s="3009">
        <f t="shared" si="210"/>
        <v>0</v>
      </c>
      <c r="DT73" s="3009">
        <f t="shared" si="211"/>
        <v>0</v>
      </c>
      <c r="DU73" s="3009">
        <f t="shared" si="212"/>
        <v>0</v>
      </c>
      <c r="DV73" s="3009">
        <f t="shared" si="213"/>
        <v>0</v>
      </c>
      <c r="DW73" s="3009">
        <f t="shared" si="214"/>
        <v>0</v>
      </c>
      <c r="DX73" s="3009">
        <f t="shared" si="215"/>
        <v>0</v>
      </c>
      <c r="DY73" s="3009">
        <f t="shared" si="240"/>
        <v>0</v>
      </c>
      <c r="DZ73" s="3009">
        <f t="shared" si="241"/>
        <v>0</v>
      </c>
      <c r="EA73" s="3009">
        <f t="shared" si="242"/>
        <v>0</v>
      </c>
      <c r="EB73" s="3009">
        <f t="shared" si="243"/>
        <v>0</v>
      </c>
    </row>
    <row r="74" spans="1:132" x14ac:dyDescent="0.25">
      <c r="A74" s="5351" t="s">
        <v>2675</v>
      </c>
      <c r="B74" s="5298">
        <f t="shared" si="223"/>
        <v>0</v>
      </c>
      <c r="C74" s="5299">
        <f t="shared" si="223"/>
        <v>0</v>
      </c>
      <c r="D74" s="288"/>
      <c r="E74" s="3585"/>
      <c r="F74" s="3586"/>
      <c r="G74" s="3585"/>
      <c r="H74" s="3586"/>
      <c r="I74" s="3587"/>
      <c r="J74" s="288"/>
      <c r="K74" s="288"/>
      <c r="L74" s="3586"/>
      <c r="M74" s="3587"/>
      <c r="N74" s="288"/>
      <c r="O74" s="3585"/>
      <c r="P74" s="3586"/>
      <c r="Q74" s="3585"/>
      <c r="R74" s="3586"/>
      <c r="S74" s="3585"/>
      <c r="T74" s="3586"/>
      <c r="U74" s="3585"/>
      <c r="V74" s="3586"/>
      <c r="W74" s="3585"/>
      <c r="X74" s="3586"/>
      <c r="Y74" s="3585"/>
      <c r="Z74" s="3586"/>
      <c r="AA74" s="3585"/>
      <c r="AB74" s="3586"/>
      <c r="AC74" s="3585"/>
      <c r="AD74" s="3586"/>
      <c r="AE74" s="3585"/>
      <c r="AF74" s="3586"/>
      <c r="AG74" s="3585"/>
      <c r="AH74" s="3586"/>
      <c r="AI74" s="3585"/>
      <c r="AJ74" s="3586"/>
      <c r="AK74" s="3585"/>
      <c r="AL74" s="3586"/>
      <c r="AM74" s="3585"/>
      <c r="AN74" s="3586"/>
      <c r="AO74" s="3585"/>
      <c r="AP74" s="3586"/>
      <c r="AQ74" s="3588"/>
      <c r="AR74" s="288"/>
      <c r="AS74" s="3588"/>
      <c r="AT74" s="3589"/>
      <c r="AU74" s="3588"/>
      <c r="AV74" s="288"/>
      <c r="AW74" s="3587"/>
      <c r="AX74" s="1755" t="str">
        <f t="shared" si="244"/>
        <v/>
      </c>
      <c r="CA74" s="603"/>
      <c r="CB74" s="2873" t="str">
        <f t="shared" si="195"/>
        <v/>
      </c>
      <c r="CC74" s="2873" t="str">
        <f t="shared" si="156"/>
        <v/>
      </c>
      <c r="CD74" s="2873" t="str">
        <f t="shared" si="157"/>
        <v/>
      </c>
      <c r="CE74" s="2873" t="str">
        <f t="shared" si="158"/>
        <v/>
      </c>
      <c r="CF74" s="2873" t="str">
        <f t="shared" si="224"/>
        <v/>
      </c>
      <c r="CG74" s="2873" t="str">
        <f t="shared" si="225"/>
        <v/>
      </c>
      <c r="CH74" s="2873" t="str">
        <f t="shared" si="226"/>
        <v/>
      </c>
      <c r="CI74" s="2873" t="str">
        <f t="shared" si="227"/>
        <v/>
      </c>
      <c r="CJ74" s="2873" t="str">
        <f t="shared" si="228"/>
        <v/>
      </c>
      <c r="CK74" s="2873" t="str">
        <f t="shared" si="229"/>
        <v/>
      </c>
      <c r="CL74" s="2873" t="str">
        <f t="shared" si="222"/>
        <v/>
      </c>
      <c r="CM74" s="2873" t="str">
        <f t="shared" si="196"/>
        <v/>
      </c>
      <c r="CN74" s="2873" t="str">
        <f t="shared" si="162"/>
        <v/>
      </c>
      <c r="CO74" s="2873" t="str">
        <f t="shared" si="197"/>
        <v/>
      </c>
      <c r="CP74" s="2873" t="str">
        <f t="shared" si="198"/>
        <v/>
      </c>
      <c r="CQ74" s="2873" t="str">
        <f t="shared" si="199"/>
        <v/>
      </c>
      <c r="CR74" s="2873" t="str">
        <f t="shared" si="200"/>
        <v/>
      </c>
      <c r="CS74" s="2873" t="str">
        <f t="shared" si="201"/>
        <v/>
      </c>
      <c r="CT74" s="2873" t="str">
        <f t="shared" si="202"/>
        <v/>
      </c>
      <c r="CU74" s="2873" t="str">
        <f t="shared" si="230"/>
        <v/>
      </c>
      <c r="CV74" s="2873" t="str">
        <f t="shared" si="231"/>
        <v/>
      </c>
      <c r="CW74" s="2873" t="str">
        <f t="shared" si="232"/>
        <v/>
      </c>
      <c r="CX74" s="2873" t="str">
        <f t="shared" si="233"/>
        <v/>
      </c>
      <c r="DE74" s="2718"/>
      <c r="DF74" s="2873">
        <f t="shared" si="207"/>
        <v>0</v>
      </c>
      <c r="DG74" s="3009">
        <f t="shared" si="174"/>
        <v>0</v>
      </c>
      <c r="DH74" s="3009">
        <f t="shared" si="175"/>
        <v>0</v>
      </c>
      <c r="DI74" s="3009">
        <f t="shared" si="176"/>
        <v>0</v>
      </c>
      <c r="DJ74" s="3009">
        <f t="shared" si="234"/>
        <v>0</v>
      </c>
      <c r="DK74" s="3009">
        <f t="shared" si="235"/>
        <v>0</v>
      </c>
      <c r="DL74" s="3009">
        <f t="shared" si="236"/>
        <v>0</v>
      </c>
      <c r="DM74" s="3009">
        <f t="shared" si="237"/>
        <v>0</v>
      </c>
      <c r="DN74" s="3009">
        <f t="shared" si="238"/>
        <v>0</v>
      </c>
      <c r="DO74" s="3009">
        <f t="shared" si="239"/>
        <v>0</v>
      </c>
      <c r="DP74" s="3009">
        <f t="shared" si="208"/>
        <v>0</v>
      </c>
      <c r="DQ74" s="3009">
        <f t="shared" si="209"/>
        <v>0</v>
      </c>
      <c r="DR74" s="3009">
        <f t="shared" si="180"/>
        <v>0</v>
      </c>
      <c r="DS74" s="3009">
        <f t="shared" si="210"/>
        <v>0</v>
      </c>
      <c r="DT74" s="3009">
        <f t="shared" si="211"/>
        <v>0</v>
      </c>
      <c r="DU74" s="3009">
        <f t="shared" si="212"/>
        <v>0</v>
      </c>
      <c r="DV74" s="3009">
        <f t="shared" si="213"/>
        <v>0</v>
      </c>
      <c r="DW74" s="3009">
        <f t="shared" si="214"/>
        <v>0</v>
      </c>
      <c r="DX74" s="3009">
        <f t="shared" si="215"/>
        <v>0</v>
      </c>
      <c r="DY74" s="3009">
        <f t="shared" si="240"/>
        <v>0</v>
      </c>
      <c r="DZ74" s="3009">
        <f t="shared" si="241"/>
        <v>0</v>
      </c>
      <c r="EA74" s="3009">
        <f t="shared" si="242"/>
        <v>0</v>
      </c>
      <c r="EB74" s="3009">
        <f t="shared" si="243"/>
        <v>0</v>
      </c>
    </row>
    <row r="75" spans="1:132" ht="18" customHeight="1" x14ac:dyDescent="0.25">
      <c r="A75" s="5349" t="s">
        <v>2678</v>
      </c>
      <c r="B75" s="5349"/>
      <c r="C75" s="5349"/>
      <c r="D75" s="5349"/>
      <c r="E75" s="5349"/>
      <c r="F75" s="5349"/>
      <c r="G75" s="5349"/>
      <c r="H75" s="5349"/>
      <c r="I75" s="5349"/>
      <c r="J75" s="5349"/>
      <c r="K75" s="5349"/>
      <c r="L75" s="5349"/>
      <c r="M75" s="5349"/>
      <c r="N75" s="5349"/>
      <c r="O75" s="5349"/>
      <c r="P75" s="5349"/>
      <c r="Q75" s="5349"/>
      <c r="R75" s="5349"/>
      <c r="S75" s="5349"/>
      <c r="T75" s="5349"/>
      <c r="U75" s="5349"/>
      <c r="V75" s="5349"/>
      <c r="W75" s="5349"/>
      <c r="X75" s="5349"/>
      <c r="Y75" s="5349"/>
      <c r="Z75" s="5349"/>
      <c r="AA75" s="5349"/>
      <c r="AB75" s="5349"/>
      <c r="AC75" s="5349"/>
      <c r="AD75" s="5349"/>
      <c r="AE75" s="5349"/>
      <c r="AF75" s="5349"/>
      <c r="AG75" s="5349"/>
      <c r="AH75" s="5349"/>
      <c r="AI75" s="5349"/>
      <c r="AJ75" s="5349"/>
      <c r="AK75" s="5349"/>
      <c r="AL75" s="5349"/>
      <c r="AM75" s="5349"/>
      <c r="AN75" s="5349"/>
      <c r="AO75" s="5349"/>
      <c r="AP75" s="5349"/>
      <c r="AQ75" s="5349"/>
      <c r="AR75" s="603"/>
      <c r="AS75" s="603"/>
      <c r="AT75" s="603"/>
      <c r="AU75" s="603"/>
      <c r="AV75" s="603"/>
      <c r="AW75" s="603"/>
    </row>
    <row r="76" spans="1:132" x14ac:dyDescent="0.25">
      <c r="A76" s="7745" t="s">
        <v>2654</v>
      </c>
      <c r="B76" s="7728" t="s">
        <v>24</v>
      </c>
      <c r="C76" s="7729"/>
      <c r="D76" s="7740" t="s">
        <v>12</v>
      </c>
      <c r="E76" s="7741"/>
      <c r="F76" s="7741"/>
      <c r="G76" s="7741"/>
      <c r="H76" s="7741"/>
      <c r="I76" s="7741"/>
      <c r="J76" s="7741"/>
      <c r="K76" s="7741"/>
      <c r="L76" s="7741"/>
      <c r="M76" s="7741"/>
      <c r="N76" s="7741"/>
      <c r="O76" s="7741"/>
      <c r="P76" s="7741"/>
      <c r="Q76" s="7741"/>
      <c r="R76" s="7741"/>
      <c r="S76" s="7741"/>
      <c r="T76" s="7741"/>
      <c r="U76" s="7741"/>
      <c r="V76" s="7741"/>
      <c r="W76" s="7741"/>
      <c r="X76" s="7741"/>
      <c r="Y76" s="7741"/>
      <c r="Z76" s="7741"/>
      <c r="AA76" s="7741"/>
      <c r="AB76" s="7741"/>
      <c r="AC76" s="7741"/>
      <c r="AD76" s="7741"/>
      <c r="AE76" s="7741"/>
      <c r="AF76" s="7741"/>
      <c r="AG76" s="7741"/>
      <c r="AH76" s="7741"/>
      <c r="AI76" s="7741"/>
      <c r="AJ76" s="7741"/>
      <c r="AK76" s="7741"/>
      <c r="AL76" s="7741"/>
      <c r="AM76" s="7741"/>
      <c r="AN76" s="7741"/>
      <c r="AO76" s="7741"/>
      <c r="AP76" s="7741"/>
      <c r="AQ76" s="7752"/>
      <c r="AR76" s="7748" t="s">
        <v>2655</v>
      </c>
      <c r="AS76" s="7751"/>
      <c r="AT76" s="7746" t="s">
        <v>48</v>
      </c>
      <c r="AU76" s="7722"/>
      <c r="AV76" s="7670" t="s">
        <v>2</v>
      </c>
      <c r="AW76" s="7672" t="s">
        <v>3</v>
      </c>
    </row>
    <row r="77" spans="1:132" x14ac:dyDescent="0.25">
      <c r="A77" s="7151"/>
      <c r="B77" s="7292"/>
      <c r="C77" s="7293"/>
      <c r="D77" s="7743" t="s">
        <v>3777</v>
      </c>
      <c r="E77" s="7748"/>
      <c r="F77" s="7743" t="s">
        <v>3705</v>
      </c>
      <c r="G77" s="7748"/>
      <c r="H77" s="7743" t="s">
        <v>54</v>
      </c>
      <c r="I77" s="7744"/>
      <c r="J77" s="7748" t="s">
        <v>3704</v>
      </c>
      <c r="K77" s="7748"/>
      <c r="L77" s="7743" t="s">
        <v>37</v>
      </c>
      <c r="M77" s="7748"/>
      <c r="N77" s="7743" t="s">
        <v>38</v>
      </c>
      <c r="O77" s="7748"/>
      <c r="P77" s="7743" t="s">
        <v>4</v>
      </c>
      <c r="Q77" s="7748"/>
      <c r="R77" s="7743" t="s">
        <v>5</v>
      </c>
      <c r="S77" s="7748"/>
      <c r="T77" s="7743" t="s">
        <v>6</v>
      </c>
      <c r="U77" s="7744"/>
      <c r="V77" s="7743" t="s">
        <v>7</v>
      </c>
      <c r="W77" s="7744"/>
      <c r="X77" s="7743" t="s">
        <v>8</v>
      </c>
      <c r="Y77" s="7744"/>
      <c r="Z77" s="7743" t="s">
        <v>9</v>
      </c>
      <c r="AA77" s="7744"/>
      <c r="AB77" s="7743" t="s">
        <v>10</v>
      </c>
      <c r="AC77" s="7744"/>
      <c r="AD77" s="7743" t="s">
        <v>11</v>
      </c>
      <c r="AE77" s="7744"/>
      <c r="AF77" s="7743" t="s">
        <v>18</v>
      </c>
      <c r="AG77" s="7744"/>
      <c r="AH77" s="7743" t="s">
        <v>19</v>
      </c>
      <c r="AI77" s="7744"/>
      <c r="AJ77" s="7743" t="s">
        <v>20</v>
      </c>
      <c r="AK77" s="7744"/>
      <c r="AL77" s="7743" t="s">
        <v>70</v>
      </c>
      <c r="AM77" s="7744"/>
      <c r="AN77" s="7743" t="s">
        <v>71</v>
      </c>
      <c r="AO77" s="7744"/>
      <c r="AP77" s="7743" t="s">
        <v>32</v>
      </c>
      <c r="AQ77" s="7751"/>
      <c r="AR77" s="7670" t="s">
        <v>22</v>
      </c>
      <c r="AS77" s="7749" t="s">
        <v>27</v>
      </c>
      <c r="AT77" s="7723"/>
      <c r="AU77" s="7724"/>
      <c r="AV77" s="7747"/>
      <c r="AW77" s="6472"/>
    </row>
    <row r="78" spans="1:132" x14ac:dyDescent="0.25">
      <c r="A78" s="7150"/>
      <c r="B78" s="5327" t="s">
        <v>2656</v>
      </c>
      <c r="C78" s="5326" t="s">
        <v>2657</v>
      </c>
      <c r="D78" s="5324" t="s">
        <v>2656</v>
      </c>
      <c r="E78" s="5325" t="s">
        <v>2657</v>
      </c>
      <c r="F78" s="5324" t="s">
        <v>2656</v>
      </c>
      <c r="G78" s="5325" t="s">
        <v>2657</v>
      </c>
      <c r="H78" s="5324" t="s">
        <v>2656</v>
      </c>
      <c r="I78" s="5326" t="s">
        <v>2657</v>
      </c>
      <c r="J78" s="5327" t="s">
        <v>2656</v>
      </c>
      <c r="K78" s="5325" t="s">
        <v>2657</v>
      </c>
      <c r="L78" s="5324" t="s">
        <v>2656</v>
      </c>
      <c r="M78" s="5325" t="s">
        <v>2657</v>
      </c>
      <c r="N78" s="5324" t="s">
        <v>2656</v>
      </c>
      <c r="O78" s="5325" t="s">
        <v>2657</v>
      </c>
      <c r="P78" s="5324" t="s">
        <v>2656</v>
      </c>
      <c r="Q78" s="5325" t="s">
        <v>2657</v>
      </c>
      <c r="R78" s="5324" t="s">
        <v>2656</v>
      </c>
      <c r="S78" s="5325" t="s">
        <v>2657</v>
      </c>
      <c r="T78" s="5324" t="s">
        <v>2656</v>
      </c>
      <c r="U78" s="5325" t="s">
        <v>2657</v>
      </c>
      <c r="V78" s="5324" t="s">
        <v>2656</v>
      </c>
      <c r="W78" s="5325" t="s">
        <v>2657</v>
      </c>
      <c r="X78" s="5324" t="s">
        <v>2656</v>
      </c>
      <c r="Y78" s="5325" t="s">
        <v>2657</v>
      </c>
      <c r="Z78" s="5324" t="s">
        <v>2656</v>
      </c>
      <c r="AA78" s="5325" t="s">
        <v>2657</v>
      </c>
      <c r="AB78" s="5324" t="s">
        <v>2656</v>
      </c>
      <c r="AC78" s="5325" t="s">
        <v>2657</v>
      </c>
      <c r="AD78" s="5324" t="s">
        <v>2656</v>
      </c>
      <c r="AE78" s="5325" t="s">
        <v>2657</v>
      </c>
      <c r="AF78" s="5324" t="s">
        <v>2656</v>
      </c>
      <c r="AG78" s="5325" t="s">
        <v>2657</v>
      </c>
      <c r="AH78" s="5324" t="s">
        <v>2656</v>
      </c>
      <c r="AI78" s="5325" t="s">
        <v>2657</v>
      </c>
      <c r="AJ78" s="5324" t="s">
        <v>2656</v>
      </c>
      <c r="AK78" s="5325" t="s">
        <v>2657</v>
      </c>
      <c r="AL78" s="5324" t="s">
        <v>2656</v>
      </c>
      <c r="AM78" s="5325" t="s">
        <v>2657</v>
      </c>
      <c r="AN78" s="5324" t="s">
        <v>2656</v>
      </c>
      <c r="AO78" s="5325" t="s">
        <v>2657</v>
      </c>
      <c r="AP78" s="5324" t="s">
        <v>2656</v>
      </c>
      <c r="AQ78" s="5328" t="s">
        <v>2657</v>
      </c>
      <c r="AR78" s="7671"/>
      <c r="AS78" s="7750"/>
      <c r="AT78" s="4991" t="s">
        <v>41</v>
      </c>
      <c r="AU78" s="5329" t="s">
        <v>42</v>
      </c>
      <c r="AV78" s="7671"/>
      <c r="AW78" s="7287"/>
    </row>
    <row r="79" spans="1:132" x14ac:dyDescent="0.25">
      <c r="A79" s="5350" t="s">
        <v>2658</v>
      </c>
      <c r="B79" s="5331">
        <f>+N79+P79+R79+T79+V79+X79+Z79+AB79+AD79+AF79+AH79+AJ79+AL79+AN79+AP79</f>
        <v>0</v>
      </c>
      <c r="C79" s="5332">
        <f t="shared" ref="B79:C86" si="245">+O79+Q79+S79+U79+W79+Y79+AA79+AC79+AE79+AG79+AI79+AK79+AM79+AO79+AQ79</f>
        <v>0</v>
      </c>
      <c r="D79" s="3568"/>
      <c r="E79" s="5340"/>
      <c r="F79" s="5339"/>
      <c r="G79" s="5340"/>
      <c r="H79" s="5339"/>
      <c r="I79" s="5340"/>
      <c r="J79" s="5339"/>
      <c r="K79" s="5340"/>
      <c r="L79" s="5339"/>
      <c r="M79" s="5341"/>
      <c r="N79" s="3572"/>
      <c r="O79" s="5342"/>
      <c r="P79" s="5229"/>
      <c r="Q79" s="5342"/>
      <c r="R79" s="5229"/>
      <c r="S79" s="5342"/>
      <c r="T79" s="5229"/>
      <c r="U79" s="5342"/>
      <c r="V79" s="5229"/>
      <c r="W79" s="5342"/>
      <c r="X79" s="5229"/>
      <c r="Y79" s="5342"/>
      <c r="Z79" s="5229"/>
      <c r="AA79" s="5342"/>
      <c r="AB79" s="5229"/>
      <c r="AC79" s="5342"/>
      <c r="AD79" s="5229"/>
      <c r="AE79" s="5342"/>
      <c r="AF79" s="5229"/>
      <c r="AG79" s="5342"/>
      <c r="AH79" s="5229"/>
      <c r="AI79" s="5342"/>
      <c r="AJ79" s="5229"/>
      <c r="AK79" s="5342"/>
      <c r="AL79" s="5229"/>
      <c r="AM79" s="5342"/>
      <c r="AN79" s="5229"/>
      <c r="AO79" s="5342"/>
      <c r="AP79" s="5229"/>
      <c r="AQ79" s="5336"/>
      <c r="AR79" s="3576"/>
      <c r="AS79" s="5336"/>
      <c r="AT79" s="5337"/>
      <c r="AU79" s="5336"/>
      <c r="AV79" s="3572"/>
      <c r="AW79" s="5338"/>
      <c r="AX79" s="1755" t="str">
        <f>CB79&amp;CC79&amp;CD79&amp;CE79&amp;CK79&amp;CL79&amp;CM79&amp;CN79&amp;CO79&amp;CP79&amp;CQ79&amp;CR79&amp;CS79&amp;CT79&amp;CU79&amp;CV79&amp;CW79&amp;CX79</f>
        <v/>
      </c>
      <c r="CA79" s="603"/>
      <c r="CB79" s="4928" t="str">
        <f>IF(B79&lt;&gt;(AS79)," * La suma de las columnas "&amp;AR$10&amp;""&amp;" DEBE SER IGUAL a los Exámenes Procesados. ","")</f>
        <v/>
      </c>
      <c r="CC79" s="2873" t="str">
        <f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D79" s="2873" t="str">
        <f>IF(AND($B79&gt;0,AV79=""),"* No olvide ingresar la columna "&amp;AV$10&amp;""&amp;" *(Digite CERO si no tiene). ",IF(AV79&gt;$B79," *El Número de "&amp;AV$10&amp;""&amp;" no puede superar el Total Procesados. ",""))</f>
        <v/>
      </c>
      <c r="CE79" s="2873" t="str">
        <f>IF(AND($B79&gt;0,AW79=""),"* No olvide ingresar la columna "&amp;AW$10&amp;""&amp;" *(Digite CERO si no tiene). ",IF(AW79&gt;$B79," *El Número de "&amp;AW$10&amp;""&amp;" no puede superar el Total Procesados. ",""))</f>
        <v/>
      </c>
      <c r="CF79" s="3107"/>
      <c r="CG79" s="3107"/>
      <c r="CH79" s="3107"/>
      <c r="CI79" s="3107"/>
      <c r="CJ79" s="3107"/>
      <c r="CK79" s="2873" t="str">
        <f>IF(N79&lt;O79,CONCATENATE("* El total de Procesados debe ser mayor o igual al total de Reactivos en el grupo de edad ",$N$11),"")</f>
        <v/>
      </c>
      <c r="CL79" s="2873" t="str">
        <f>IF(P79&lt;Q79,CONCATENATE("* El total de Procesados debe ser mayor o igual al total de Reactivos en el grupo de edad ",$P$11),"")</f>
        <v/>
      </c>
      <c r="CM79" s="2873" t="str">
        <f>IF(R79&lt;S79,CONCATENATE("* El total de Procesados debe ser mayor o igual al total de Reactivos en el grupo de edad ",$R$11),"")</f>
        <v/>
      </c>
      <c r="CN79" s="2873" t="str">
        <f>IF($T79&lt;$U79,CONCATENATE("* El total de Procesados debe ser mayor o igual al total de Reactivos en el grupo de edad ",$T$11),"")</f>
        <v/>
      </c>
      <c r="CO79" s="2873" t="str">
        <f>IF(V79&lt;W79,CONCATENATE("* El total de Procesados debe ser mayor o igual al total de Reactivos en el grupo de edad ",$V$11),"")</f>
        <v/>
      </c>
      <c r="CP79" s="2873" t="str">
        <f>IF(X79&lt;Y79,CONCATENATE("* El total de Procesados debe ser mayor o igual al total de Reactivos en el grupo de edad ",$X$11),"")</f>
        <v/>
      </c>
      <c r="CQ79" s="2873" t="str">
        <f>IF(Z79&lt;AA79,CONCATENATE("* El total de Procesados debe ser mayor o igual al total de Reactivos en el grupo de edad ",$Z$11),"")</f>
        <v/>
      </c>
      <c r="CR79" s="2873" t="str">
        <f>IF(AD79&lt;AE79,CONCATENATE("* El total de Procesados debe ser mayor o igual al total de Reactivos en el grupo de edad ",$AD$11),"")</f>
        <v/>
      </c>
      <c r="CS79" s="2873" t="str">
        <f>IF(AF79&lt;AG79,CONCATENATE("* El total de Procesados debe ser mayor o igual al total de Reactivos en el grupo de edad ",$AF$11),"")</f>
        <v/>
      </c>
      <c r="CT79" s="2873" t="str">
        <f>IF(AH79&lt;AI79,CONCATENATE("* El total de Procesados debe ser mayor o igual al total de Reactivos en el grupo de edad ",$AH$11),"")</f>
        <v/>
      </c>
      <c r="CU79" s="2873" t="str">
        <f>IF(AJ79&lt;AK79,CONCATENATE("* El total de Procesados debe ser mayor o igual al total de Reactivos en el grupo de edad ",$AJ$11),"")</f>
        <v/>
      </c>
      <c r="CV79" s="2873" t="str">
        <f>IF(AL79&lt;AM79,CONCATENATE("* El total de Procesados debe ser mayor o igual al total de Reactivos en el grupo de edad ",$AL$11),"")</f>
        <v/>
      </c>
      <c r="CW79" s="2873" t="str">
        <f>IF(AN79&lt;AO79,CONCATENATE("* El total de Procesados debe ser mayor o igual al total de Reactivos en el grupo de edad ",$AN$11),"")</f>
        <v/>
      </c>
      <c r="CX79" s="2873" t="str">
        <f>IF(AP79&lt;AQ79,CONCATENATE("* El total de Procesados debe ser mayor o igual al total de Reactivos en el grupo de edad ",$AP$11),"")</f>
        <v/>
      </c>
      <c r="DE79" s="2718"/>
      <c r="DF79" s="4928">
        <f>IF(B79&lt;&gt;(AS79),1,0)</f>
        <v>0</v>
      </c>
      <c r="DG79" s="3009">
        <f>IF(AND($B79&gt;0,AND(AT79="",AU79="")),1,IF((AT79+AU79)&gt;$B79,1,0))</f>
        <v>0</v>
      </c>
      <c r="DH79" s="3009">
        <f>IF(AND($B79&gt;0,AV79=""),1,IF(AV79&gt;$B79,1,0))</f>
        <v>0</v>
      </c>
      <c r="DI79" s="3009">
        <f>IF(AND($B79&gt;0,AW79=""),1,IF(AW79&gt;$B79,1,0))</f>
        <v>0</v>
      </c>
      <c r="DJ79" s="3107"/>
      <c r="DK79" s="3107"/>
      <c r="DL79" s="3107"/>
      <c r="DM79" s="3107"/>
      <c r="DN79" s="3107"/>
      <c r="DO79" s="3009">
        <f>IF(N79&lt;O79,1,0)</f>
        <v>0</v>
      </c>
      <c r="DP79" s="3009">
        <f>IF(P79&lt;Q79,1,0)</f>
        <v>0</v>
      </c>
      <c r="DQ79" s="3009">
        <f>IF(R79&lt;S79,1,0)</f>
        <v>0</v>
      </c>
      <c r="DR79" s="3009">
        <f>IF($T79&lt;$U79,1,0)</f>
        <v>0</v>
      </c>
      <c r="DS79" s="3009">
        <f>IF(V79&lt;W79,1,0)</f>
        <v>0</v>
      </c>
      <c r="DT79" s="3009">
        <f>IF(X79&lt;Y79,1,0)</f>
        <v>0</v>
      </c>
      <c r="DU79" s="3009">
        <f>IF(Z79&lt;AA79,1,0)</f>
        <v>0</v>
      </c>
      <c r="DV79" s="3009">
        <f>IF(AD79&lt;AE79,1,0)</f>
        <v>0</v>
      </c>
      <c r="DW79" s="3009">
        <f>IF(AF79&lt;AG79,1,0)</f>
        <v>0</v>
      </c>
      <c r="DX79" s="3009">
        <f>IF(AH79&lt;AI79,1,0)</f>
        <v>0</v>
      </c>
      <c r="DY79" s="3009">
        <f>IF(AJ79&lt;AK79,1,0)</f>
        <v>0</v>
      </c>
      <c r="DZ79" s="3009">
        <f>IF(AL79&lt;AM79,1,0)</f>
        <v>0</v>
      </c>
      <c r="EA79" s="3009">
        <f>IF(AN79&lt;AO79,1,0)</f>
        <v>0</v>
      </c>
      <c r="EB79" s="3009">
        <f>IF(AP79&lt;AQ79,1,0)</f>
        <v>0</v>
      </c>
    </row>
    <row r="80" spans="1:132" x14ac:dyDescent="0.25">
      <c r="A80" s="3273" t="s">
        <v>2659</v>
      </c>
      <c r="B80" s="2014">
        <f t="shared" si="245"/>
        <v>0</v>
      </c>
      <c r="C80" s="3331">
        <f t="shared" si="245"/>
        <v>0</v>
      </c>
      <c r="D80" s="3568"/>
      <c r="E80" s="5340"/>
      <c r="F80" s="5339"/>
      <c r="G80" s="5340"/>
      <c r="H80" s="5339"/>
      <c r="I80" s="5340"/>
      <c r="J80" s="5339"/>
      <c r="K80" s="5340"/>
      <c r="L80" s="5339"/>
      <c r="M80" s="5341"/>
      <c r="N80" s="3572"/>
      <c r="O80" s="5342"/>
      <c r="P80" s="5229"/>
      <c r="Q80" s="5342"/>
      <c r="R80" s="5229"/>
      <c r="S80" s="5342"/>
      <c r="T80" s="5229"/>
      <c r="U80" s="5342"/>
      <c r="V80" s="5229"/>
      <c r="W80" s="5342"/>
      <c r="X80" s="5229"/>
      <c r="Y80" s="5342"/>
      <c r="Z80" s="5229"/>
      <c r="AA80" s="5342"/>
      <c r="AB80" s="5229"/>
      <c r="AC80" s="5342"/>
      <c r="AD80" s="5229"/>
      <c r="AE80" s="5342"/>
      <c r="AF80" s="5229"/>
      <c r="AG80" s="5342"/>
      <c r="AH80" s="5229"/>
      <c r="AI80" s="5342"/>
      <c r="AJ80" s="5229"/>
      <c r="AK80" s="5342"/>
      <c r="AL80" s="5229"/>
      <c r="AM80" s="5342"/>
      <c r="AN80" s="5229"/>
      <c r="AO80" s="5342"/>
      <c r="AP80" s="5229"/>
      <c r="AQ80" s="5336"/>
      <c r="AR80" s="3576"/>
      <c r="AS80" s="5336"/>
      <c r="AT80" s="5337"/>
      <c r="AU80" s="5336"/>
      <c r="AV80" s="3572"/>
      <c r="AW80" s="5338"/>
      <c r="AX80" s="1755" t="str">
        <f>CB80&amp;CC80&amp;CD80&amp;CE80&amp;CK80&amp;CL80&amp;CM80&amp;CN80&amp;CO80&amp;CP80&amp;CQ80&amp;CR80&amp;CS80&amp;CT80&amp;CU80&amp;CV80&amp;CW80&amp;CX80</f>
        <v/>
      </c>
      <c r="CA80" s="603"/>
      <c r="CB80" s="4928" t="str">
        <f t="shared" ref="CB80:CB83" si="246">IF(B80&lt;&gt;(AS80)," * La suma de las columnas "&amp;AR$10&amp;""&amp;" DEBE SER IGUAL a los Exámenes Procesados. ","")</f>
        <v/>
      </c>
      <c r="CC80" s="2873" t="str">
        <f t="shared" ref="CC80:CC96" si="247">IF(AND($B80&gt;0,AND(AT80="",AU80="")),"* No olvide ingresar las columnas Trans Masculino o Femenino (*Digite CERO si no tiene). ",IF((AT80+AU80)&gt;$B80,"* El Número de Trans Masculino o Femenino no puede superar el Total Procesados. ",""))</f>
        <v/>
      </c>
      <c r="CD80" s="2873" t="str">
        <f t="shared" ref="CD80:CD96" si="248">IF(AND($B80&gt;0,AV80=""),"* No olvide ingresar la columna "&amp;AV$10&amp;""&amp;" *(Digite CERO si no tiene). ",IF(AV80&gt;$B80," *El Número de "&amp;AV$10&amp;""&amp;" no puede superar el Total Procesados. ",""))</f>
        <v/>
      </c>
      <c r="CE80" s="2873" t="str">
        <f t="shared" ref="CE80:CE96" si="249">IF(AND($B80&gt;0,AW80=""),"* No olvide ingresar la columna "&amp;AW$10&amp;""&amp;" *(Digite CERO si no tiene). ",IF(AW80&gt;$B80," *El Número de "&amp;AW$10&amp;""&amp;" no puede superar el Total Procesados. ",""))</f>
        <v/>
      </c>
      <c r="CF80" s="3107"/>
      <c r="CG80" s="3107"/>
      <c r="CH80" s="3107"/>
      <c r="CI80" s="3107"/>
      <c r="CJ80" s="3107"/>
      <c r="CK80" s="2873" t="str">
        <f t="shared" ref="CK80:CK83" si="250">IF(N80&lt;O80,CONCATENATE("* El total de Procesados debe ser mayor o igual al total de Reactivos en el grupo de edad ",$N$11),"")</f>
        <v/>
      </c>
      <c r="CL80" s="2873" t="str">
        <f t="shared" ref="CL80:CL85" si="251">IF(P80&lt;Q80,CONCATENATE("* El total de Procesados debe ser mayor o igual al total de Reactivos en el grupo de edad ",$P$11),"")</f>
        <v/>
      </c>
      <c r="CM80" s="2873" t="str">
        <f t="shared" ref="CM80:CM87" si="252">IF(R80&lt;S80,CONCATENATE("* El total de Procesados debe ser mayor o igual al total de Reactivos en el grupo de edad ",$R$11),"")</f>
        <v/>
      </c>
      <c r="CN80" s="2873" t="str">
        <f t="shared" ref="CN80:CN96" si="253">IF($T80&lt;$U80,CONCATENATE("* El total de Procesados debe ser mayor o igual al total de Reactivos en el grupo de edad ",$T$11),"")</f>
        <v/>
      </c>
      <c r="CO80" s="2873" t="str">
        <f t="shared" ref="CO80:CO87" si="254">IF(V80&lt;W80,CONCATENATE("* El total de Procesados debe ser mayor o igual al total de Reactivos en el grupo de edad ",$V$11),"")</f>
        <v/>
      </c>
      <c r="CP80" s="2873" t="str">
        <f t="shared" ref="CP80:CP87" si="255">IF(X80&lt;Y80,CONCATENATE("* El total de Procesados debe ser mayor o igual al total de Reactivos en el grupo de edad ",$X$11),"")</f>
        <v/>
      </c>
      <c r="CQ80" s="2873" t="str">
        <f t="shared" ref="CQ80:CQ87" si="256">IF(Z80&lt;AA80,CONCATENATE("* El total de Procesados debe ser mayor o igual al total de Reactivos en el grupo de edad ",$Z$11),"")</f>
        <v/>
      </c>
      <c r="CR80" s="2873" t="str">
        <f t="shared" ref="CR80:CR87" si="257">IF(AD80&lt;AE80,CONCATENATE("* El total de Procesados debe ser mayor o igual al total de Reactivos en el grupo de edad ",$AD$11),"")</f>
        <v/>
      </c>
      <c r="CS80" s="2873" t="str">
        <f t="shared" ref="CS80:CS87" si="258">IF(AF80&lt;AG80,CONCATENATE("* El total de Procesados debe ser mayor o igual al total de Reactivos en el grupo de edad ",$AF$11),"")</f>
        <v/>
      </c>
      <c r="CT80" s="2873" t="str">
        <f t="shared" ref="CT80:CT87" si="259">IF(AH80&lt;AI80,CONCATENATE("* El total de Procesados debe ser mayor o igual al total de Reactivos en el grupo de edad ",$AH$11),"")</f>
        <v/>
      </c>
      <c r="CU80" s="2873" t="str">
        <f t="shared" ref="CU80:CU87" si="260">IF(AJ80&lt;AK80,CONCATENATE("* El total de Procesados debe ser mayor o igual al total de Reactivos en el grupo de edad ",$AJ$11),"")</f>
        <v/>
      </c>
      <c r="CV80" s="2873" t="str">
        <f t="shared" ref="CV80:CV87" si="261">IF(AL80&lt;AM80,CONCATENATE("* El total de Procesados debe ser mayor o igual al total de Reactivos en el grupo de edad ",$AL$11),"")</f>
        <v/>
      </c>
      <c r="CW80" s="2873" t="str">
        <f t="shared" ref="CW80:CW87" si="262">IF(AN80&lt;AO80,CONCATENATE("* El total de Procesados debe ser mayor o igual al total de Reactivos en el grupo de edad ",$AN$11),"")</f>
        <v/>
      </c>
      <c r="CX80" s="2873" t="str">
        <f t="shared" ref="CX80:CX87" si="263">IF(AP80&lt;AQ80,CONCATENATE("* El total de Procesados debe ser mayor o igual al total de Reactivos en el grupo de edad ",$AP$11),"")</f>
        <v/>
      </c>
      <c r="DE80" s="2718"/>
      <c r="DF80" s="4928">
        <f t="shared" ref="DF80:DF83" si="264">IF(B80&lt;&gt;(AS80),1,0)</f>
        <v>0</v>
      </c>
      <c r="DG80" s="3009">
        <f t="shared" ref="DG80:DG96" si="265">IF(AND($B80&gt;0,AND(AT80="",AU80="")),1,IF((AT80+AU80)&gt;$B80,1,0))</f>
        <v>0</v>
      </c>
      <c r="DH80" s="3009">
        <f t="shared" ref="DH80:DH96" si="266">IF(AND($B80&gt;0,AV80=""),1,IF(AV80&gt;$B80,1,0))</f>
        <v>0</v>
      </c>
      <c r="DI80" s="3009">
        <f t="shared" ref="DI80:DI96" si="267">IF(AND($B80&gt;0,AW80=""),1,IF(AW80&gt;$B80,1,0))</f>
        <v>0</v>
      </c>
      <c r="DJ80" s="3107"/>
      <c r="DK80" s="3107"/>
      <c r="DL80" s="3107"/>
      <c r="DM80" s="3107"/>
      <c r="DN80" s="3107"/>
      <c r="DO80" s="3009">
        <f t="shared" ref="DO80:DO87" si="268">IF(N80&lt;O80,1,0)</f>
        <v>0</v>
      </c>
      <c r="DP80" s="3009">
        <f t="shared" ref="DP80:DP87" si="269">IF(P80&lt;Q80,1,0)</f>
        <v>0</v>
      </c>
      <c r="DQ80" s="3009">
        <f t="shared" ref="DQ80:DQ87" si="270">IF(R80&lt;S80,1,0)</f>
        <v>0</v>
      </c>
      <c r="DR80" s="3009">
        <f t="shared" ref="DR80:DR96" si="271">IF($T80&lt;$U80,1,0)</f>
        <v>0</v>
      </c>
      <c r="DS80" s="3009">
        <f t="shared" ref="DS80:DS87" si="272">IF(V80&lt;W80,1,0)</f>
        <v>0</v>
      </c>
      <c r="DT80" s="3009">
        <f t="shared" ref="DT80:DT87" si="273">IF(X80&lt;Y80,1,0)</f>
        <v>0</v>
      </c>
      <c r="DU80" s="3009">
        <f t="shared" ref="DU80:DU87" si="274">IF(Z80&lt;AA80,1,0)</f>
        <v>0</v>
      </c>
      <c r="DV80" s="3009">
        <f t="shared" ref="DV80:DV87" si="275">IF(AD80&lt;AE80,1,0)</f>
        <v>0</v>
      </c>
      <c r="DW80" s="3009">
        <f t="shared" ref="DW80:DW87" si="276">IF(AF80&lt;AG80,1,0)</f>
        <v>0</v>
      </c>
      <c r="DX80" s="3009">
        <f t="shared" ref="DX80:DX87" si="277">IF(AH80&lt;AI80,1,0)</f>
        <v>0</v>
      </c>
      <c r="DY80" s="3009">
        <f t="shared" ref="DY80:DY87" si="278">IF(AJ80&lt;AK80,1,0)</f>
        <v>0</v>
      </c>
      <c r="DZ80" s="3009">
        <f t="shared" ref="DZ80:DZ87" si="279">IF(AL80&lt;AM80,1,0)</f>
        <v>0</v>
      </c>
      <c r="EA80" s="3009">
        <f t="shared" ref="EA80:EA87" si="280">IF(AN80&lt;AO80,1,0)</f>
        <v>0</v>
      </c>
      <c r="EB80" s="3009">
        <f t="shared" ref="EB80:EB87" si="281">IF(AP80&lt;AQ80,1,0)</f>
        <v>0</v>
      </c>
    </row>
    <row r="81" spans="1:132" x14ac:dyDescent="0.25">
      <c r="A81" s="3273" t="s">
        <v>2660</v>
      </c>
      <c r="B81" s="2014">
        <f t="shared" si="245"/>
        <v>0</v>
      </c>
      <c r="C81" s="3331">
        <f t="shared" si="245"/>
        <v>0</v>
      </c>
      <c r="D81" s="3568"/>
      <c r="E81" s="5340"/>
      <c r="F81" s="5339"/>
      <c r="G81" s="5340"/>
      <c r="H81" s="5339"/>
      <c r="I81" s="5340"/>
      <c r="J81" s="5339"/>
      <c r="K81" s="5340"/>
      <c r="L81" s="5339"/>
      <c r="M81" s="5341"/>
      <c r="N81" s="3572"/>
      <c r="O81" s="5342"/>
      <c r="P81" s="5229"/>
      <c r="Q81" s="5342"/>
      <c r="R81" s="5229"/>
      <c r="S81" s="5342"/>
      <c r="T81" s="5229"/>
      <c r="U81" s="5342"/>
      <c r="V81" s="5229"/>
      <c r="W81" s="5342"/>
      <c r="X81" s="5229"/>
      <c r="Y81" s="5342"/>
      <c r="Z81" s="5229"/>
      <c r="AA81" s="5342"/>
      <c r="AB81" s="5229"/>
      <c r="AC81" s="5342"/>
      <c r="AD81" s="5229"/>
      <c r="AE81" s="5342"/>
      <c r="AF81" s="5229"/>
      <c r="AG81" s="5342"/>
      <c r="AH81" s="5229"/>
      <c r="AI81" s="5342"/>
      <c r="AJ81" s="5229"/>
      <c r="AK81" s="5342"/>
      <c r="AL81" s="5229"/>
      <c r="AM81" s="5342"/>
      <c r="AN81" s="5229"/>
      <c r="AO81" s="5342"/>
      <c r="AP81" s="5229"/>
      <c r="AQ81" s="5336"/>
      <c r="AR81" s="3576"/>
      <c r="AS81" s="5336"/>
      <c r="AT81" s="5337"/>
      <c r="AU81" s="5336"/>
      <c r="AV81" s="3572"/>
      <c r="AW81" s="5338"/>
      <c r="AX81" s="1755" t="str">
        <f t="shared" ref="AX81:AX83" si="282">CB81&amp;CC81&amp;CD81&amp;CE81&amp;CK81&amp;CL81&amp;CM81&amp;CN81&amp;CO81&amp;CP81&amp;CQ81&amp;CR81&amp;CS81&amp;CT81&amp;CU81&amp;CV81&amp;CW81&amp;CX81</f>
        <v/>
      </c>
      <c r="CA81" s="603"/>
      <c r="CB81" s="4928" t="str">
        <f t="shared" si="246"/>
        <v/>
      </c>
      <c r="CC81" s="2873" t="str">
        <f t="shared" si="247"/>
        <v/>
      </c>
      <c r="CD81" s="2873" t="str">
        <f t="shared" si="248"/>
        <v/>
      </c>
      <c r="CE81" s="2873" t="str">
        <f t="shared" si="249"/>
        <v/>
      </c>
      <c r="CF81" s="3107"/>
      <c r="CG81" s="3107"/>
      <c r="CH81" s="3107"/>
      <c r="CI81" s="3107"/>
      <c r="CJ81" s="3107"/>
      <c r="CK81" s="2873" t="str">
        <f t="shared" si="250"/>
        <v/>
      </c>
      <c r="CL81" s="2873" t="str">
        <f t="shared" si="251"/>
        <v/>
      </c>
      <c r="CM81" s="2873" t="str">
        <f t="shared" si="252"/>
        <v/>
      </c>
      <c r="CN81" s="2873" t="str">
        <f t="shared" si="253"/>
        <v/>
      </c>
      <c r="CO81" s="2873" t="str">
        <f t="shared" si="254"/>
        <v/>
      </c>
      <c r="CP81" s="2873" t="str">
        <f t="shared" si="255"/>
        <v/>
      </c>
      <c r="CQ81" s="2873" t="str">
        <f t="shared" si="256"/>
        <v/>
      </c>
      <c r="CR81" s="2873" t="str">
        <f t="shared" si="257"/>
        <v/>
      </c>
      <c r="CS81" s="2873" t="str">
        <f t="shared" si="258"/>
        <v/>
      </c>
      <c r="CT81" s="2873" t="str">
        <f t="shared" si="259"/>
        <v/>
      </c>
      <c r="CU81" s="2873" t="str">
        <f t="shared" si="260"/>
        <v/>
      </c>
      <c r="CV81" s="2873" t="str">
        <f t="shared" si="261"/>
        <v/>
      </c>
      <c r="CW81" s="2873" t="str">
        <f t="shared" si="262"/>
        <v/>
      </c>
      <c r="CX81" s="2873" t="str">
        <f t="shared" si="263"/>
        <v/>
      </c>
      <c r="DE81" s="2718"/>
      <c r="DF81" s="4928">
        <f t="shared" si="264"/>
        <v>0</v>
      </c>
      <c r="DG81" s="3009">
        <f t="shared" si="265"/>
        <v>0</v>
      </c>
      <c r="DH81" s="3009">
        <f t="shared" si="266"/>
        <v>0</v>
      </c>
      <c r="DI81" s="3009">
        <f t="shared" si="267"/>
        <v>0</v>
      </c>
      <c r="DJ81" s="3107"/>
      <c r="DK81" s="3107"/>
      <c r="DL81" s="3107"/>
      <c r="DM81" s="3107"/>
      <c r="DN81" s="3107"/>
      <c r="DO81" s="3009">
        <f t="shared" si="268"/>
        <v>0</v>
      </c>
      <c r="DP81" s="3009">
        <f t="shared" si="269"/>
        <v>0</v>
      </c>
      <c r="DQ81" s="3009">
        <f t="shared" si="270"/>
        <v>0</v>
      </c>
      <c r="DR81" s="3009">
        <f t="shared" si="271"/>
        <v>0</v>
      </c>
      <c r="DS81" s="3009">
        <f t="shared" si="272"/>
        <v>0</v>
      </c>
      <c r="DT81" s="3009">
        <f t="shared" si="273"/>
        <v>0</v>
      </c>
      <c r="DU81" s="3009">
        <f t="shared" si="274"/>
        <v>0</v>
      </c>
      <c r="DV81" s="3009">
        <f t="shared" si="275"/>
        <v>0</v>
      </c>
      <c r="DW81" s="3009">
        <f t="shared" si="276"/>
        <v>0</v>
      </c>
      <c r="DX81" s="3009">
        <f t="shared" si="277"/>
        <v>0</v>
      </c>
      <c r="DY81" s="3009">
        <f t="shared" si="278"/>
        <v>0</v>
      </c>
      <c r="DZ81" s="3009">
        <f t="shared" si="279"/>
        <v>0</v>
      </c>
      <c r="EA81" s="3009">
        <f t="shared" si="280"/>
        <v>0</v>
      </c>
      <c r="EB81" s="3009">
        <f t="shared" si="281"/>
        <v>0</v>
      </c>
    </row>
    <row r="82" spans="1:132" x14ac:dyDescent="0.25">
      <c r="A82" s="3273" t="s">
        <v>2661</v>
      </c>
      <c r="B82" s="2014">
        <f t="shared" si="245"/>
        <v>0</v>
      </c>
      <c r="C82" s="3331">
        <f t="shared" si="245"/>
        <v>0</v>
      </c>
      <c r="D82" s="3568"/>
      <c r="E82" s="5340"/>
      <c r="F82" s="5339"/>
      <c r="G82" s="5340"/>
      <c r="H82" s="5339"/>
      <c r="I82" s="5340"/>
      <c r="J82" s="5339"/>
      <c r="K82" s="5340"/>
      <c r="L82" s="5339"/>
      <c r="M82" s="5341"/>
      <c r="N82" s="3572"/>
      <c r="O82" s="5342"/>
      <c r="P82" s="5229"/>
      <c r="Q82" s="5342"/>
      <c r="R82" s="5229"/>
      <c r="S82" s="5342"/>
      <c r="T82" s="5229"/>
      <c r="U82" s="5342"/>
      <c r="V82" s="5229"/>
      <c r="W82" s="5342"/>
      <c r="X82" s="5229"/>
      <c r="Y82" s="5342"/>
      <c r="Z82" s="5229"/>
      <c r="AA82" s="5342"/>
      <c r="AB82" s="5229"/>
      <c r="AC82" s="5342"/>
      <c r="AD82" s="5229"/>
      <c r="AE82" s="5342"/>
      <c r="AF82" s="5229"/>
      <c r="AG82" s="5342"/>
      <c r="AH82" s="5229"/>
      <c r="AI82" s="5342"/>
      <c r="AJ82" s="5229"/>
      <c r="AK82" s="5342"/>
      <c r="AL82" s="5229"/>
      <c r="AM82" s="5342"/>
      <c r="AN82" s="5229"/>
      <c r="AO82" s="5342"/>
      <c r="AP82" s="5229"/>
      <c r="AQ82" s="5336"/>
      <c r="AR82" s="3576"/>
      <c r="AS82" s="5336"/>
      <c r="AT82" s="5337"/>
      <c r="AU82" s="5336"/>
      <c r="AV82" s="3572"/>
      <c r="AW82" s="5338"/>
      <c r="AX82" s="1755" t="str">
        <f t="shared" si="282"/>
        <v/>
      </c>
      <c r="CA82" s="603"/>
      <c r="CB82" s="4928" t="str">
        <f t="shared" si="246"/>
        <v/>
      </c>
      <c r="CC82" s="2873" t="str">
        <f t="shared" si="247"/>
        <v/>
      </c>
      <c r="CD82" s="2873" t="str">
        <f t="shared" si="248"/>
        <v/>
      </c>
      <c r="CE82" s="2873" t="str">
        <f t="shared" si="249"/>
        <v/>
      </c>
      <c r="CF82" s="3107"/>
      <c r="CG82" s="3107"/>
      <c r="CH82" s="3107"/>
      <c r="CI82" s="3107"/>
      <c r="CJ82" s="3107"/>
      <c r="CK82" s="2873" t="str">
        <f t="shared" si="250"/>
        <v/>
      </c>
      <c r="CL82" s="2873" t="str">
        <f t="shared" si="251"/>
        <v/>
      </c>
      <c r="CM82" s="2873" t="str">
        <f t="shared" si="252"/>
        <v/>
      </c>
      <c r="CN82" s="2873" t="str">
        <f t="shared" si="253"/>
        <v/>
      </c>
      <c r="CO82" s="2873" t="str">
        <f t="shared" si="254"/>
        <v/>
      </c>
      <c r="CP82" s="2873" t="str">
        <f t="shared" si="255"/>
        <v/>
      </c>
      <c r="CQ82" s="2873" t="str">
        <f t="shared" si="256"/>
        <v/>
      </c>
      <c r="CR82" s="2873" t="str">
        <f t="shared" si="257"/>
        <v/>
      </c>
      <c r="CS82" s="2873" t="str">
        <f t="shared" si="258"/>
        <v/>
      </c>
      <c r="CT82" s="2873" t="str">
        <f t="shared" si="259"/>
        <v/>
      </c>
      <c r="CU82" s="2873" t="str">
        <f t="shared" si="260"/>
        <v/>
      </c>
      <c r="CV82" s="2873" t="str">
        <f t="shared" si="261"/>
        <v/>
      </c>
      <c r="CW82" s="2873" t="str">
        <f t="shared" si="262"/>
        <v/>
      </c>
      <c r="CX82" s="2873" t="str">
        <f t="shared" si="263"/>
        <v/>
      </c>
      <c r="DE82" s="2718"/>
      <c r="DF82" s="4928">
        <f t="shared" si="264"/>
        <v>0</v>
      </c>
      <c r="DG82" s="3009">
        <f t="shared" si="265"/>
        <v>0</v>
      </c>
      <c r="DH82" s="3009">
        <f t="shared" si="266"/>
        <v>0</v>
      </c>
      <c r="DI82" s="3009">
        <f t="shared" si="267"/>
        <v>0</v>
      </c>
      <c r="DJ82" s="3107"/>
      <c r="DK82" s="3107"/>
      <c r="DL82" s="3107"/>
      <c r="DM82" s="3107"/>
      <c r="DN82" s="3107"/>
      <c r="DO82" s="3009">
        <f t="shared" si="268"/>
        <v>0</v>
      </c>
      <c r="DP82" s="3009">
        <f t="shared" si="269"/>
        <v>0</v>
      </c>
      <c r="DQ82" s="3009">
        <f t="shared" si="270"/>
        <v>0</v>
      </c>
      <c r="DR82" s="3009">
        <f t="shared" si="271"/>
        <v>0</v>
      </c>
      <c r="DS82" s="3009">
        <f t="shared" si="272"/>
        <v>0</v>
      </c>
      <c r="DT82" s="3009">
        <f t="shared" si="273"/>
        <v>0</v>
      </c>
      <c r="DU82" s="3009">
        <f t="shared" si="274"/>
        <v>0</v>
      </c>
      <c r="DV82" s="3009">
        <f t="shared" si="275"/>
        <v>0</v>
      </c>
      <c r="DW82" s="3009">
        <f t="shared" si="276"/>
        <v>0</v>
      </c>
      <c r="DX82" s="3009">
        <f t="shared" si="277"/>
        <v>0</v>
      </c>
      <c r="DY82" s="3009">
        <f t="shared" si="278"/>
        <v>0</v>
      </c>
      <c r="DZ82" s="3009">
        <f t="shared" si="279"/>
        <v>0</v>
      </c>
      <c r="EA82" s="3009">
        <f t="shared" si="280"/>
        <v>0</v>
      </c>
      <c r="EB82" s="3009">
        <f t="shared" si="281"/>
        <v>0</v>
      </c>
    </row>
    <row r="83" spans="1:132" x14ac:dyDescent="0.25">
      <c r="A83" s="3328" t="s">
        <v>2662</v>
      </c>
      <c r="B83" s="2014">
        <f t="shared" si="245"/>
        <v>0</v>
      </c>
      <c r="C83" s="3331">
        <f t="shared" si="245"/>
        <v>0</v>
      </c>
      <c r="D83" s="3568"/>
      <c r="E83" s="5340"/>
      <c r="F83" s="5339"/>
      <c r="G83" s="5340"/>
      <c r="H83" s="5339"/>
      <c r="I83" s="5340"/>
      <c r="J83" s="5339"/>
      <c r="K83" s="5340"/>
      <c r="L83" s="5339"/>
      <c r="M83" s="5341"/>
      <c r="N83" s="3572"/>
      <c r="O83" s="5342"/>
      <c r="P83" s="5229"/>
      <c r="Q83" s="5342"/>
      <c r="R83" s="5229"/>
      <c r="S83" s="5342"/>
      <c r="T83" s="5229"/>
      <c r="U83" s="5342"/>
      <c r="V83" s="5229"/>
      <c r="W83" s="5342"/>
      <c r="X83" s="5229"/>
      <c r="Y83" s="5342"/>
      <c r="Z83" s="5229"/>
      <c r="AA83" s="5342"/>
      <c r="AB83" s="5229"/>
      <c r="AC83" s="5342"/>
      <c r="AD83" s="5229"/>
      <c r="AE83" s="5342"/>
      <c r="AF83" s="5229"/>
      <c r="AG83" s="5342"/>
      <c r="AH83" s="5229"/>
      <c r="AI83" s="5342"/>
      <c r="AJ83" s="5229"/>
      <c r="AK83" s="5342"/>
      <c r="AL83" s="5229"/>
      <c r="AM83" s="5342"/>
      <c r="AN83" s="5229"/>
      <c r="AO83" s="5342"/>
      <c r="AP83" s="5229"/>
      <c r="AQ83" s="5336"/>
      <c r="AR83" s="3576"/>
      <c r="AS83" s="5336"/>
      <c r="AT83" s="5337"/>
      <c r="AU83" s="5336"/>
      <c r="AV83" s="3572"/>
      <c r="AW83" s="5338"/>
      <c r="AX83" s="1755" t="str">
        <f t="shared" si="282"/>
        <v/>
      </c>
      <c r="CA83" s="603"/>
      <c r="CB83" s="4928" t="str">
        <f t="shared" si="246"/>
        <v/>
      </c>
      <c r="CC83" s="2873" t="str">
        <f t="shared" si="247"/>
        <v/>
      </c>
      <c r="CD83" s="2873" t="str">
        <f t="shared" si="248"/>
        <v/>
      </c>
      <c r="CE83" s="2873" t="str">
        <f t="shared" si="249"/>
        <v/>
      </c>
      <c r="CF83" s="3107"/>
      <c r="CG83" s="3107"/>
      <c r="CH83" s="3107"/>
      <c r="CI83" s="3107"/>
      <c r="CJ83" s="3107"/>
      <c r="CK83" s="2873" t="str">
        <f t="shared" si="250"/>
        <v/>
      </c>
      <c r="CL83" s="2873" t="str">
        <f t="shared" si="251"/>
        <v/>
      </c>
      <c r="CM83" s="2873" t="str">
        <f t="shared" si="252"/>
        <v/>
      </c>
      <c r="CN83" s="2873" t="str">
        <f t="shared" si="253"/>
        <v/>
      </c>
      <c r="CO83" s="2873" t="str">
        <f t="shared" si="254"/>
        <v/>
      </c>
      <c r="CP83" s="2873" t="str">
        <f t="shared" si="255"/>
        <v/>
      </c>
      <c r="CQ83" s="2873" t="str">
        <f t="shared" si="256"/>
        <v/>
      </c>
      <c r="CR83" s="2873" t="str">
        <f t="shared" si="257"/>
        <v/>
      </c>
      <c r="CS83" s="2873" t="str">
        <f t="shared" si="258"/>
        <v/>
      </c>
      <c r="CT83" s="2873" t="str">
        <f t="shared" si="259"/>
        <v/>
      </c>
      <c r="CU83" s="2873" t="str">
        <f t="shared" si="260"/>
        <v/>
      </c>
      <c r="CV83" s="2873" t="str">
        <f t="shared" si="261"/>
        <v/>
      </c>
      <c r="CW83" s="2873" t="str">
        <f t="shared" si="262"/>
        <v/>
      </c>
      <c r="CX83" s="2873" t="str">
        <f t="shared" si="263"/>
        <v/>
      </c>
      <c r="DE83" s="2718"/>
      <c r="DF83" s="4928">
        <f t="shared" si="264"/>
        <v>0</v>
      </c>
      <c r="DG83" s="3009">
        <f t="shared" si="265"/>
        <v>0</v>
      </c>
      <c r="DH83" s="3009">
        <f t="shared" si="266"/>
        <v>0</v>
      </c>
      <c r="DI83" s="3009">
        <f t="shared" si="267"/>
        <v>0</v>
      </c>
      <c r="DJ83" s="3107"/>
      <c r="DK83" s="3107"/>
      <c r="DL83" s="3107"/>
      <c r="DM83" s="3107"/>
      <c r="DN83" s="3107"/>
      <c r="DO83" s="3009">
        <f t="shared" si="268"/>
        <v>0</v>
      </c>
      <c r="DP83" s="3009">
        <f t="shared" si="269"/>
        <v>0</v>
      </c>
      <c r="DQ83" s="3009">
        <f t="shared" si="270"/>
        <v>0</v>
      </c>
      <c r="DR83" s="3009">
        <f t="shared" si="271"/>
        <v>0</v>
      </c>
      <c r="DS83" s="3009">
        <f t="shared" si="272"/>
        <v>0</v>
      </c>
      <c r="DT83" s="3009">
        <f t="shared" si="273"/>
        <v>0</v>
      </c>
      <c r="DU83" s="3009">
        <f t="shared" si="274"/>
        <v>0</v>
      </c>
      <c r="DV83" s="3009">
        <f t="shared" si="275"/>
        <v>0</v>
      </c>
      <c r="DW83" s="3009">
        <f t="shared" si="276"/>
        <v>0</v>
      </c>
      <c r="DX83" s="3009">
        <f t="shared" si="277"/>
        <v>0</v>
      </c>
      <c r="DY83" s="3009">
        <f t="shared" si="278"/>
        <v>0</v>
      </c>
      <c r="DZ83" s="3009">
        <f t="shared" si="279"/>
        <v>0</v>
      </c>
      <c r="EA83" s="3009">
        <f t="shared" si="280"/>
        <v>0</v>
      </c>
      <c r="EB83" s="3009">
        <f t="shared" si="281"/>
        <v>0</v>
      </c>
    </row>
    <row r="84" spans="1:132" x14ac:dyDescent="0.25">
      <c r="A84" s="3328" t="s">
        <v>2663</v>
      </c>
      <c r="B84" s="2014">
        <f t="shared" si="245"/>
        <v>0</v>
      </c>
      <c r="C84" s="3331">
        <f t="shared" si="245"/>
        <v>0</v>
      </c>
      <c r="D84" s="3568"/>
      <c r="E84" s="5340"/>
      <c r="F84" s="5339"/>
      <c r="G84" s="5340"/>
      <c r="H84" s="5339"/>
      <c r="I84" s="5340"/>
      <c r="J84" s="5339"/>
      <c r="K84" s="5340"/>
      <c r="L84" s="5339"/>
      <c r="M84" s="5341"/>
      <c r="N84" s="3572"/>
      <c r="O84" s="5342"/>
      <c r="P84" s="5229"/>
      <c r="Q84" s="5342"/>
      <c r="R84" s="5229"/>
      <c r="S84" s="5342"/>
      <c r="T84" s="5229"/>
      <c r="U84" s="5342"/>
      <c r="V84" s="5229"/>
      <c r="W84" s="5342"/>
      <c r="X84" s="5229"/>
      <c r="Y84" s="5342"/>
      <c r="Z84" s="5229"/>
      <c r="AA84" s="5342"/>
      <c r="AB84" s="5229"/>
      <c r="AC84" s="5342"/>
      <c r="AD84" s="5229"/>
      <c r="AE84" s="5342"/>
      <c r="AF84" s="5229"/>
      <c r="AG84" s="5342"/>
      <c r="AH84" s="5229"/>
      <c r="AI84" s="5342"/>
      <c r="AJ84" s="5229"/>
      <c r="AK84" s="5342"/>
      <c r="AL84" s="5229"/>
      <c r="AM84" s="5342"/>
      <c r="AN84" s="5229"/>
      <c r="AO84" s="5342"/>
      <c r="AP84" s="5229"/>
      <c r="AQ84" s="5336"/>
      <c r="AR84" s="3572"/>
      <c r="AS84" s="5336"/>
      <c r="AT84" s="5337"/>
      <c r="AU84" s="5336"/>
      <c r="AV84" s="3572"/>
      <c r="AW84" s="5338"/>
      <c r="AX84" s="1755" t="str">
        <f>CB84&amp;CC84&amp;CD84&amp;CE84&amp;CK84&amp;CL84&amp;CM84&amp;CN84&amp;CO84&amp;CP84&amp;CQ84&amp;CR84&amp;CS84&amp;CT84&amp;CU84&amp;CV84&amp;CW84&amp;CX84</f>
        <v/>
      </c>
      <c r="CA84" s="603"/>
      <c r="CB84" s="2873" t="str">
        <f>IF(B84&lt;&gt;(AS84+AR84)," * La suma de las columnas "&amp;AR$10&amp;""&amp;" DEBE SER IGUAL a los Exámenes Procesados. ","")</f>
        <v/>
      </c>
      <c r="CC84" s="2873" t="str">
        <f t="shared" si="247"/>
        <v/>
      </c>
      <c r="CD84" s="2873" t="str">
        <f t="shared" si="248"/>
        <v/>
      </c>
      <c r="CE84" s="2873" t="str">
        <f t="shared" si="249"/>
        <v/>
      </c>
      <c r="CF84" s="3107"/>
      <c r="CG84" s="3107"/>
      <c r="CH84" s="3107"/>
      <c r="CI84" s="3107"/>
      <c r="CJ84" s="3107"/>
      <c r="CK84" s="2873" t="str">
        <f>IF(N84&lt;O84,CONCATENATE("* El total de Procesados debe ser mayor o igual al total de Reactivos en el grupo de edad ",$N$11),"")</f>
        <v/>
      </c>
      <c r="CL84" s="2873" t="str">
        <f t="shared" si="251"/>
        <v/>
      </c>
      <c r="CM84" s="2873" t="str">
        <f t="shared" si="252"/>
        <v/>
      </c>
      <c r="CN84" s="2873" t="str">
        <f t="shared" si="253"/>
        <v/>
      </c>
      <c r="CO84" s="2873" t="str">
        <f t="shared" si="254"/>
        <v/>
      </c>
      <c r="CP84" s="2873" t="str">
        <f t="shared" si="255"/>
        <v/>
      </c>
      <c r="CQ84" s="2873" t="str">
        <f t="shared" si="256"/>
        <v/>
      </c>
      <c r="CR84" s="2873" t="str">
        <f t="shared" si="257"/>
        <v/>
      </c>
      <c r="CS84" s="2873" t="str">
        <f t="shared" si="258"/>
        <v/>
      </c>
      <c r="CT84" s="2873" t="str">
        <f t="shared" si="259"/>
        <v/>
      </c>
      <c r="CU84" s="2873" t="str">
        <f t="shared" si="260"/>
        <v/>
      </c>
      <c r="CV84" s="2873" t="str">
        <f t="shared" si="261"/>
        <v/>
      </c>
      <c r="CW84" s="2873" t="str">
        <f t="shared" si="262"/>
        <v/>
      </c>
      <c r="CX84" s="2873" t="str">
        <f t="shared" si="263"/>
        <v/>
      </c>
      <c r="DE84" s="2718"/>
      <c r="DF84" s="2873">
        <f>IF(B84&lt;&gt;(AS84+AR84),1,0)</f>
        <v>0</v>
      </c>
      <c r="DG84" s="3009">
        <f t="shared" si="265"/>
        <v>0</v>
      </c>
      <c r="DH84" s="3009">
        <f t="shared" si="266"/>
        <v>0</v>
      </c>
      <c r="DI84" s="3009">
        <f t="shared" si="267"/>
        <v>0</v>
      </c>
      <c r="DJ84" s="3107"/>
      <c r="DK84" s="3107"/>
      <c r="DL84" s="3107"/>
      <c r="DM84" s="3107"/>
      <c r="DN84" s="3107"/>
      <c r="DO84" s="3009">
        <f t="shared" si="268"/>
        <v>0</v>
      </c>
      <c r="DP84" s="3009">
        <f t="shared" si="269"/>
        <v>0</v>
      </c>
      <c r="DQ84" s="3009">
        <f t="shared" si="270"/>
        <v>0</v>
      </c>
      <c r="DR84" s="3009">
        <f t="shared" si="271"/>
        <v>0</v>
      </c>
      <c r="DS84" s="3009">
        <f t="shared" si="272"/>
        <v>0</v>
      </c>
      <c r="DT84" s="3009">
        <f t="shared" si="273"/>
        <v>0</v>
      </c>
      <c r="DU84" s="3009">
        <f t="shared" si="274"/>
        <v>0</v>
      </c>
      <c r="DV84" s="3009">
        <f t="shared" si="275"/>
        <v>0</v>
      </c>
      <c r="DW84" s="3009">
        <f t="shared" si="276"/>
        <v>0</v>
      </c>
      <c r="DX84" s="3009">
        <f t="shared" si="277"/>
        <v>0</v>
      </c>
      <c r="DY84" s="3009">
        <f t="shared" si="278"/>
        <v>0</v>
      </c>
      <c r="DZ84" s="3009">
        <f t="shared" si="279"/>
        <v>0</v>
      </c>
      <c r="EA84" s="3009">
        <f t="shared" si="280"/>
        <v>0</v>
      </c>
      <c r="EB84" s="3009">
        <f t="shared" si="281"/>
        <v>0</v>
      </c>
    </row>
    <row r="85" spans="1:132" x14ac:dyDescent="0.25">
      <c r="A85" s="3328" t="s">
        <v>2664</v>
      </c>
      <c r="B85" s="2014">
        <f t="shared" si="245"/>
        <v>0</v>
      </c>
      <c r="C85" s="3331">
        <f t="shared" si="245"/>
        <v>0</v>
      </c>
      <c r="D85" s="3568"/>
      <c r="E85" s="5340"/>
      <c r="F85" s="5339"/>
      <c r="G85" s="5340"/>
      <c r="H85" s="5339"/>
      <c r="I85" s="5340"/>
      <c r="J85" s="5339"/>
      <c r="K85" s="5340"/>
      <c r="L85" s="5339"/>
      <c r="M85" s="5341"/>
      <c r="N85" s="3572"/>
      <c r="O85" s="5342"/>
      <c r="P85" s="5229"/>
      <c r="Q85" s="5342"/>
      <c r="R85" s="5229"/>
      <c r="S85" s="5342"/>
      <c r="T85" s="5229"/>
      <c r="U85" s="5342"/>
      <c r="V85" s="5229"/>
      <c r="W85" s="5342"/>
      <c r="X85" s="5229"/>
      <c r="Y85" s="5342"/>
      <c r="Z85" s="5229"/>
      <c r="AA85" s="5342"/>
      <c r="AB85" s="5229"/>
      <c r="AC85" s="5342"/>
      <c r="AD85" s="5229"/>
      <c r="AE85" s="5342"/>
      <c r="AF85" s="5229"/>
      <c r="AG85" s="5342"/>
      <c r="AH85" s="5229"/>
      <c r="AI85" s="5342"/>
      <c r="AJ85" s="5229"/>
      <c r="AK85" s="5342"/>
      <c r="AL85" s="5229"/>
      <c r="AM85" s="5342"/>
      <c r="AN85" s="5229"/>
      <c r="AO85" s="5342"/>
      <c r="AP85" s="5229"/>
      <c r="AQ85" s="5336"/>
      <c r="AR85" s="3576"/>
      <c r="AS85" s="5336"/>
      <c r="AT85" s="5337"/>
      <c r="AU85" s="5336"/>
      <c r="AV85" s="3572"/>
      <c r="AW85" s="5338"/>
      <c r="AX85" s="1755" t="str">
        <f>CB85&amp;CC85&amp;CD85&amp;CE85&amp;CK85&amp;CL85&amp;CM85&amp;CN85&amp;CO85&amp;CP85&amp;CQ85&amp;CR85&amp;CS85&amp;CT85&amp;CU85&amp;CV85&amp;CW85&amp;CX85</f>
        <v/>
      </c>
      <c r="CA85" s="603"/>
      <c r="CB85" s="4928" t="str">
        <f t="shared" ref="CB85:CB87" si="283">IF(B85&lt;&gt;(AS85)," * La suma de las columnas "&amp;AR$10&amp;""&amp;" DEBE SER IGUAL a los Exámenes Procesados. ","")</f>
        <v/>
      </c>
      <c r="CC85" s="2873" t="str">
        <f t="shared" si="247"/>
        <v/>
      </c>
      <c r="CD85" s="2873" t="str">
        <f t="shared" si="248"/>
        <v/>
      </c>
      <c r="CE85" s="2873" t="str">
        <f t="shared" si="249"/>
        <v/>
      </c>
      <c r="CF85" s="3107"/>
      <c r="CG85" s="3107"/>
      <c r="CH85" s="3107"/>
      <c r="CI85" s="3107"/>
      <c r="CJ85" s="3107"/>
      <c r="CK85" s="2873" t="str">
        <f t="shared" ref="CK85" si="284">IF(N85&lt;O85,CONCATENATE("* El total de Procesados debe ser mayor o igual al total de Reactivos en el grupo de edad ",$N$11),"")</f>
        <v/>
      </c>
      <c r="CL85" s="2873" t="str">
        <f t="shared" si="251"/>
        <v/>
      </c>
      <c r="CM85" s="2873" t="str">
        <f t="shared" si="252"/>
        <v/>
      </c>
      <c r="CN85" s="2873" t="str">
        <f t="shared" si="253"/>
        <v/>
      </c>
      <c r="CO85" s="2873" t="str">
        <f t="shared" si="254"/>
        <v/>
      </c>
      <c r="CP85" s="2873" t="str">
        <f t="shared" si="255"/>
        <v/>
      </c>
      <c r="CQ85" s="2873" t="str">
        <f t="shared" si="256"/>
        <v/>
      </c>
      <c r="CR85" s="2873" t="str">
        <f t="shared" si="257"/>
        <v/>
      </c>
      <c r="CS85" s="2873" t="str">
        <f t="shared" si="258"/>
        <v/>
      </c>
      <c r="CT85" s="2873" t="str">
        <f t="shared" si="259"/>
        <v/>
      </c>
      <c r="CU85" s="2873" t="str">
        <f t="shared" si="260"/>
        <v/>
      </c>
      <c r="CV85" s="2873" t="str">
        <f t="shared" si="261"/>
        <v/>
      </c>
      <c r="CW85" s="2873" t="str">
        <f t="shared" si="262"/>
        <v/>
      </c>
      <c r="CX85" s="2873" t="str">
        <f t="shared" si="263"/>
        <v/>
      </c>
      <c r="DE85" s="2718"/>
      <c r="DF85" s="4928">
        <f>IF(B85&lt;&gt;(AS85),1,0)</f>
        <v>0</v>
      </c>
      <c r="DG85" s="3009">
        <f t="shared" si="265"/>
        <v>0</v>
      </c>
      <c r="DH85" s="3009">
        <f t="shared" si="266"/>
        <v>0</v>
      </c>
      <c r="DI85" s="3009">
        <f t="shared" si="267"/>
        <v>0</v>
      </c>
      <c r="DJ85" s="3107"/>
      <c r="DK85" s="3107"/>
      <c r="DL85" s="3107"/>
      <c r="DM85" s="3107"/>
      <c r="DN85" s="3107"/>
      <c r="DO85" s="3009">
        <f t="shared" si="268"/>
        <v>0</v>
      </c>
      <c r="DP85" s="3009">
        <f t="shared" si="269"/>
        <v>0</v>
      </c>
      <c r="DQ85" s="3009">
        <f t="shared" si="270"/>
        <v>0</v>
      </c>
      <c r="DR85" s="3009">
        <f t="shared" si="271"/>
        <v>0</v>
      </c>
      <c r="DS85" s="3009">
        <f t="shared" si="272"/>
        <v>0</v>
      </c>
      <c r="DT85" s="3009">
        <f t="shared" si="273"/>
        <v>0</v>
      </c>
      <c r="DU85" s="3009">
        <f t="shared" si="274"/>
        <v>0</v>
      </c>
      <c r="DV85" s="3009">
        <f t="shared" si="275"/>
        <v>0</v>
      </c>
      <c r="DW85" s="3009">
        <f t="shared" si="276"/>
        <v>0</v>
      </c>
      <c r="DX85" s="3009">
        <f t="shared" si="277"/>
        <v>0</v>
      </c>
      <c r="DY85" s="3009">
        <f t="shared" si="278"/>
        <v>0</v>
      </c>
      <c r="DZ85" s="3009">
        <f t="shared" si="279"/>
        <v>0</v>
      </c>
      <c r="EA85" s="3009">
        <f t="shared" si="280"/>
        <v>0</v>
      </c>
      <c r="EB85" s="3009">
        <f t="shared" si="281"/>
        <v>0</v>
      </c>
    </row>
    <row r="86" spans="1:132" x14ac:dyDescent="0.25">
      <c r="A86" s="3273" t="s">
        <v>2665</v>
      </c>
      <c r="B86" s="2014">
        <f t="shared" si="245"/>
        <v>0</v>
      </c>
      <c r="C86" s="3331">
        <f t="shared" si="245"/>
        <v>0</v>
      </c>
      <c r="D86" s="3568"/>
      <c r="E86" s="5340"/>
      <c r="F86" s="5339"/>
      <c r="G86" s="5340"/>
      <c r="H86" s="5339"/>
      <c r="I86" s="5340"/>
      <c r="J86" s="5339"/>
      <c r="K86" s="5340"/>
      <c r="L86" s="5339"/>
      <c r="M86" s="5341"/>
      <c r="N86" s="3572"/>
      <c r="O86" s="5342"/>
      <c r="P86" s="5229"/>
      <c r="Q86" s="5342"/>
      <c r="R86" s="5229"/>
      <c r="S86" s="5342"/>
      <c r="T86" s="5229"/>
      <c r="U86" s="5342"/>
      <c r="V86" s="5229"/>
      <c r="W86" s="5342"/>
      <c r="X86" s="5229"/>
      <c r="Y86" s="5342"/>
      <c r="Z86" s="5229"/>
      <c r="AA86" s="5342"/>
      <c r="AB86" s="5229"/>
      <c r="AC86" s="5342"/>
      <c r="AD86" s="5229"/>
      <c r="AE86" s="5342"/>
      <c r="AF86" s="5229"/>
      <c r="AG86" s="5342"/>
      <c r="AH86" s="5229"/>
      <c r="AI86" s="5342"/>
      <c r="AJ86" s="5229"/>
      <c r="AK86" s="5342"/>
      <c r="AL86" s="5229"/>
      <c r="AM86" s="5342"/>
      <c r="AN86" s="5229"/>
      <c r="AO86" s="5342"/>
      <c r="AP86" s="5229"/>
      <c r="AQ86" s="5336"/>
      <c r="AR86" s="3576"/>
      <c r="AS86" s="5336"/>
      <c r="AT86" s="5337"/>
      <c r="AU86" s="5336"/>
      <c r="AV86" s="3572"/>
      <c r="AW86" s="5338"/>
      <c r="AX86" s="1755" t="str">
        <f t="shared" ref="AX86" si="285">CB86&amp;CC86&amp;CD86&amp;CE86&amp;CK86&amp;CL86&amp;CM86&amp;CN86&amp;CO86&amp;CP86&amp;CQ86&amp;CR86&amp;CS86&amp;CT86&amp;CU86&amp;CV86&amp;CW86&amp;CX86</f>
        <v/>
      </c>
      <c r="CA86" s="603"/>
      <c r="CB86" s="4928" t="str">
        <f t="shared" si="283"/>
        <v/>
      </c>
      <c r="CC86" s="2873" t="str">
        <f t="shared" si="247"/>
        <v/>
      </c>
      <c r="CD86" s="2873" t="str">
        <f t="shared" si="248"/>
        <v/>
      </c>
      <c r="CE86" s="2873" t="str">
        <f t="shared" si="249"/>
        <v/>
      </c>
      <c r="CF86" s="3107"/>
      <c r="CG86" s="3107"/>
      <c r="CH86" s="3107"/>
      <c r="CI86" s="3107"/>
      <c r="CJ86" s="3107"/>
      <c r="CK86" s="2873" t="str">
        <f>IF(N86&lt;O86,CONCATENATE("* El total de Procesados debe ser mayor o igual al total de Reactivos en el grupo de edad ",$N$11),"")</f>
        <v/>
      </c>
      <c r="CL86" s="2873" t="str">
        <f>IF(P86&lt;Q86,CONCATENATE("* El total de Procesados debe ser mayor o igual al total de Reactivos en el grupo de edad ",$P$11),"")</f>
        <v/>
      </c>
      <c r="CM86" s="2873" t="str">
        <f t="shared" si="252"/>
        <v/>
      </c>
      <c r="CN86" s="2873" t="str">
        <f t="shared" si="253"/>
        <v/>
      </c>
      <c r="CO86" s="2873" t="str">
        <f t="shared" si="254"/>
        <v/>
      </c>
      <c r="CP86" s="2873" t="str">
        <f t="shared" si="255"/>
        <v/>
      </c>
      <c r="CQ86" s="2873" t="str">
        <f t="shared" si="256"/>
        <v/>
      </c>
      <c r="CR86" s="2873" t="str">
        <f t="shared" si="257"/>
        <v/>
      </c>
      <c r="CS86" s="2873" t="str">
        <f t="shared" si="258"/>
        <v/>
      </c>
      <c r="CT86" s="2873" t="str">
        <f t="shared" si="259"/>
        <v/>
      </c>
      <c r="CU86" s="2873" t="str">
        <f t="shared" si="260"/>
        <v/>
      </c>
      <c r="CV86" s="2873" t="str">
        <f t="shared" si="261"/>
        <v/>
      </c>
      <c r="CW86" s="2873" t="str">
        <f t="shared" si="262"/>
        <v/>
      </c>
      <c r="CX86" s="2873" t="str">
        <f t="shared" si="263"/>
        <v/>
      </c>
      <c r="DE86" s="2718"/>
      <c r="DF86" s="4928">
        <f t="shared" ref="DF86:DF87" si="286">IF(B86&lt;&gt;(AS86),1,0)</f>
        <v>0</v>
      </c>
      <c r="DG86" s="3009">
        <f t="shared" si="265"/>
        <v>0</v>
      </c>
      <c r="DH86" s="3009">
        <f t="shared" si="266"/>
        <v>0</v>
      </c>
      <c r="DI86" s="3009">
        <f t="shared" si="267"/>
        <v>0</v>
      </c>
      <c r="DJ86" s="3107"/>
      <c r="DK86" s="3107"/>
      <c r="DL86" s="3107"/>
      <c r="DM86" s="3107"/>
      <c r="DN86" s="3107"/>
      <c r="DO86" s="3009">
        <f t="shared" si="268"/>
        <v>0</v>
      </c>
      <c r="DP86" s="3009">
        <f t="shared" si="269"/>
        <v>0</v>
      </c>
      <c r="DQ86" s="3009">
        <f t="shared" si="270"/>
        <v>0</v>
      </c>
      <c r="DR86" s="3009">
        <f t="shared" si="271"/>
        <v>0</v>
      </c>
      <c r="DS86" s="3009">
        <f t="shared" si="272"/>
        <v>0</v>
      </c>
      <c r="DT86" s="3009">
        <f t="shared" si="273"/>
        <v>0</v>
      </c>
      <c r="DU86" s="3009">
        <f t="shared" si="274"/>
        <v>0</v>
      </c>
      <c r="DV86" s="3009">
        <f t="shared" si="275"/>
        <v>0</v>
      </c>
      <c r="DW86" s="3009">
        <f t="shared" si="276"/>
        <v>0</v>
      </c>
      <c r="DX86" s="3009">
        <f t="shared" si="277"/>
        <v>0</v>
      </c>
      <c r="DY86" s="3009">
        <f t="shared" si="278"/>
        <v>0</v>
      </c>
      <c r="DZ86" s="3009">
        <f t="shared" si="279"/>
        <v>0</v>
      </c>
      <c r="EA86" s="3009">
        <f t="shared" si="280"/>
        <v>0</v>
      </c>
      <c r="EB86" s="3009">
        <f t="shared" si="281"/>
        <v>0</v>
      </c>
    </row>
    <row r="87" spans="1:132" x14ac:dyDescent="0.25">
      <c r="A87" s="3273" t="s">
        <v>2666</v>
      </c>
      <c r="B87" s="2014">
        <f>+D87+F87+H87+J87+L87+N87+P87+R87+T87+V87+X87+Z87+AB87+AD87+AF87+AH87+AJ87+AL87+AN87+AP87</f>
        <v>0</v>
      </c>
      <c r="C87" s="3331">
        <f>+E87+G87+I87+K87+M87+O87+Q87+S87+U87+W87+Y87+AA87+AC87+AE87+AG87+AI87+AK87+AM87+AO87+AQ87</f>
        <v>0</v>
      </c>
      <c r="D87" s="3572"/>
      <c r="E87" s="5342"/>
      <c r="F87" s="5229"/>
      <c r="G87" s="5342"/>
      <c r="H87" s="5229"/>
      <c r="I87" s="5338"/>
      <c r="J87" s="3572"/>
      <c r="K87" s="3572"/>
      <c r="L87" s="5229"/>
      <c r="M87" s="5338"/>
      <c r="N87" s="3572"/>
      <c r="O87" s="5342"/>
      <c r="P87" s="5229"/>
      <c r="Q87" s="5342"/>
      <c r="R87" s="5229"/>
      <c r="S87" s="5342"/>
      <c r="T87" s="5229"/>
      <c r="U87" s="5342"/>
      <c r="V87" s="5229"/>
      <c r="W87" s="5342"/>
      <c r="X87" s="5229"/>
      <c r="Y87" s="5342"/>
      <c r="Z87" s="5229"/>
      <c r="AA87" s="5342"/>
      <c r="AB87" s="5229"/>
      <c r="AC87" s="5342"/>
      <c r="AD87" s="5229"/>
      <c r="AE87" s="5342"/>
      <c r="AF87" s="5229"/>
      <c r="AG87" s="5342"/>
      <c r="AH87" s="5229"/>
      <c r="AI87" s="5342"/>
      <c r="AJ87" s="5229"/>
      <c r="AK87" s="5342"/>
      <c r="AL87" s="5229"/>
      <c r="AM87" s="5342"/>
      <c r="AN87" s="5229"/>
      <c r="AO87" s="5342"/>
      <c r="AP87" s="5229"/>
      <c r="AQ87" s="5336"/>
      <c r="AR87" s="3576"/>
      <c r="AS87" s="5336"/>
      <c r="AT87" s="5337"/>
      <c r="AU87" s="5336"/>
      <c r="AV87" s="3572"/>
      <c r="AW87" s="5338"/>
      <c r="AX87" s="1755" t="str">
        <f>CB87&amp;CC87&amp;CD87&amp;CE87&amp;CF87&amp;CG87&amp;CH87&amp;CI87&amp;CJ87&amp;CK87&amp;CL87&amp;CM87&amp;CN87&amp;CO87&amp;CP87&amp;CQ87&amp;CR87&amp;CS87&amp;CT87&amp;CU87&amp;CV87&amp;CW87&amp;CX87</f>
        <v/>
      </c>
      <c r="CA87" s="603"/>
      <c r="CB87" s="4928" t="str">
        <f t="shared" si="283"/>
        <v/>
      </c>
      <c r="CC87" s="2873" t="str">
        <f t="shared" si="247"/>
        <v/>
      </c>
      <c r="CD87" s="2873" t="str">
        <f t="shared" si="248"/>
        <v/>
      </c>
      <c r="CE87" s="2873" t="str">
        <f t="shared" si="249"/>
        <v/>
      </c>
      <c r="CF87" s="2873" t="str">
        <f>IF(D87&lt;E87,CONCATENATE("* El total de Procesados debe ser mayor o igual al total de Reactivos en el grupo de edad ",$D$11),"")</f>
        <v/>
      </c>
      <c r="CG87" s="2873" t="str">
        <f>IF(F87&lt;G87,CONCATENATE("* El total de Procesados debe ser mayor o igual al total de Reactivos en el grupo de edad ",$F$11),"")</f>
        <v/>
      </c>
      <c r="CH87" s="2873" t="str">
        <f>IF(H87&lt;I87,CONCATENATE("* El total de Procesados debe ser mayor o igual al total de Reactivos en el grupo de edad ",$H$11),"")</f>
        <v/>
      </c>
      <c r="CI87" s="2873" t="str">
        <f>IF(J87&lt;K87,CONCATENATE("* El total de Procesados debe ser mayor o igual al total de Reactivos en el grupo de edad ",$J$11),"")</f>
        <v/>
      </c>
      <c r="CJ87" s="2873" t="str">
        <f>IF(L87&lt;M87,CONCATENATE("* El total de Procesados debe ser mayor o igual al total de Reactivos en el grupo de edad ",$L$11),"")</f>
        <v/>
      </c>
      <c r="CK87" s="2873" t="str">
        <f>IF(N87&lt;O87,CONCATENATE("* El total de Procesados debe ser mayor o igual al total de Reactivos en el grupo de edad ",$N$11),"")</f>
        <v/>
      </c>
      <c r="CL87" s="2873" t="str">
        <f>IF(P87&lt;Q87,CONCATENATE("* El total de Procesados debe ser mayor o igual al total de Reactivos en el grupo de edad ",$P$11),"")</f>
        <v/>
      </c>
      <c r="CM87" s="2873" t="str">
        <f t="shared" si="252"/>
        <v/>
      </c>
      <c r="CN87" s="2873" t="str">
        <f t="shared" si="253"/>
        <v/>
      </c>
      <c r="CO87" s="2873" t="str">
        <f t="shared" si="254"/>
        <v/>
      </c>
      <c r="CP87" s="2873" t="str">
        <f t="shared" si="255"/>
        <v/>
      </c>
      <c r="CQ87" s="2873" t="str">
        <f t="shared" si="256"/>
        <v/>
      </c>
      <c r="CR87" s="2873" t="str">
        <f t="shared" si="257"/>
        <v/>
      </c>
      <c r="CS87" s="2873" t="str">
        <f t="shared" si="258"/>
        <v/>
      </c>
      <c r="CT87" s="2873" t="str">
        <f t="shared" si="259"/>
        <v/>
      </c>
      <c r="CU87" s="2873" t="str">
        <f t="shared" si="260"/>
        <v/>
      </c>
      <c r="CV87" s="2873" t="str">
        <f t="shared" si="261"/>
        <v/>
      </c>
      <c r="CW87" s="2873" t="str">
        <f t="shared" si="262"/>
        <v/>
      </c>
      <c r="CX87" s="2873" t="str">
        <f t="shared" si="263"/>
        <v/>
      </c>
      <c r="DE87" s="2718"/>
      <c r="DF87" s="4928">
        <f t="shared" si="286"/>
        <v>0</v>
      </c>
      <c r="DG87" s="3009">
        <f t="shared" si="265"/>
        <v>0</v>
      </c>
      <c r="DH87" s="3009">
        <f t="shared" si="266"/>
        <v>0</v>
      </c>
      <c r="DI87" s="3009">
        <f t="shared" si="267"/>
        <v>0</v>
      </c>
      <c r="DJ87" s="3009">
        <f>IF(D87&lt;E87,1,0)</f>
        <v>0</v>
      </c>
      <c r="DK87" s="3009">
        <f>IF(F87&lt;G87,1,0)</f>
        <v>0</v>
      </c>
      <c r="DL87" s="3009">
        <f>IF(H87&lt;I87,1,0)</f>
        <v>0</v>
      </c>
      <c r="DM87" s="3009">
        <f>IF(J87&lt;K87,1,0)</f>
        <v>0</v>
      </c>
      <c r="DN87" s="3009">
        <f>IF(L87&lt;M87,1,0)</f>
        <v>0</v>
      </c>
      <c r="DO87" s="3009">
        <f t="shared" si="268"/>
        <v>0</v>
      </c>
      <c r="DP87" s="3009">
        <f t="shared" si="269"/>
        <v>0</v>
      </c>
      <c r="DQ87" s="3009">
        <f t="shared" si="270"/>
        <v>0</v>
      </c>
      <c r="DR87" s="3009">
        <f t="shared" si="271"/>
        <v>0</v>
      </c>
      <c r="DS87" s="3009">
        <f t="shared" si="272"/>
        <v>0</v>
      </c>
      <c r="DT87" s="3009">
        <f t="shared" si="273"/>
        <v>0</v>
      </c>
      <c r="DU87" s="3009">
        <f t="shared" si="274"/>
        <v>0</v>
      </c>
      <c r="DV87" s="3009">
        <f t="shared" si="275"/>
        <v>0</v>
      </c>
      <c r="DW87" s="3009">
        <f t="shared" si="276"/>
        <v>0</v>
      </c>
      <c r="DX87" s="3009">
        <f t="shared" si="277"/>
        <v>0</v>
      </c>
      <c r="DY87" s="3009">
        <f t="shared" si="278"/>
        <v>0</v>
      </c>
      <c r="DZ87" s="3009">
        <f t="shared" si="279"/>
        <v>0</v>
      </c>
      <c r="EA87" s="3009">
        <f t="shared" si="280"/>
        <v>0</v>
      </c>
      <c r="EB87" s="3009">
        <f t="shared" si="281"/>
        <v>0</v>
      </c>
    </row>
    <row r="88" spans="1:132" ht="21" x14ac:dyDescent="0.25">
      <c r="A88" s="3328" t="s">
        <v>2667</v>
      </c>
      <c r="B88" s="2014">
        <f>+D88+F88+H88</f>
        <v>0</v>
      </c>
      <c r="C88" s="3331">
        <f>+E88+G88+I88</f>
        <v>0</v>
      </c>
      <c r="D88" s="3572"/>
      <c r="E88" s="5342"/>
      <c r="F88" s="5229"/>
      <c r="G88" s="5342"/>
      <c r="H88" s="5229"/>
      <c r="I88" s="5338"/>
      <c r="J88" s="5343"/>
      <c r="K88" s="5344"/>
      <c r="L88" s="5343"/>
      <c r="M88" s="5344"/>
      <c r="N88" s="5343"/>
      <c r="O88" s="5344"/>
      <c r="P88" s="5343"/>
      <c r="Q88" s="5344"/>
      <c r="R88" s="5343"/>
      <c r="S88" s="5344"/>
      <c r="T88" s="5343"/>
      <c r="U88" s="5344"/>
      <c r="V88" s="5343"/>
      <c r="W88" s="5344"/>
      <c r="X88" s="5343"/>
      <c r="Y88" s="5344"/>
      <c r="Z88" s="5343"/>
      <c r="AA88" s="5344"/>
      <c r="AB88" s="5343"/>
      <c r="AC88" s="5344"/>
      <c r="AD88" s="5343"/>
      <c r="AE88" s="5344"/>
      <c r="AF88" s="5343"/>
      <c r="AG88" s="5344"/>
      <c r="AH88" s="5343"/>
      <c r="AI88" s="5344"/>
      <c r="AJ88" s="5343"/>
      <c r="AK88" s="5344"/>
      <c r="AL88" s="5343"/>
      <c r="AM88" s="5344"/>
      <c r="AN88" s="5343"/>
      <c r="AO88" s="5344"/>
      <c r="AP88" s="5343"/>
      <c r="AQ88" s="5345"/>
      <c r="AR88" s="3572"/>
      <c r="AS88" s="5336"/>
      <c r="AT88" s="5337"/>
      <c r="AU88" s="5336"/>
      <c r="AV88" s="3572"/>
      <c r="AW88" s="5338"/>
      <c r="AX88" s="1755" t="str">
        <f>CB88&amp;CC88&amp;CD88&amp;CE88&amp;CF88&amp;CG88&amp;CH88</f>
        <v/>
      </c>
      <c r="CA88" s="603"/>
      <c r="CB88" s="2873" t="str">
        <f>IF(B88&lt;&gt;(AS88+AR88)," * La suma de las columnas "&amp;AR$10&amp;""&amp;" DEBE SER IGUAL a los Exámenes Procesados. ","")</f>
        <v/>
      </c>
      <c r="CC88" s="2873" t="str">
        <f t="shared" si="247"/>
        <v/>
      </c>
      <c r="CD88" s="2873" t="str">
        <f t="shared" si="248"/>
        <v/>
      </c>
      <c r="CE88" s="2873" t="str">
        <f t="shared" si="249"/>
        <v/>
      </c>
      <c r="CF88" s="2873" t="str">
        <f>IF(D88&lt;E88,CONCATENATE("* El total de Procesados debe ser mayor o igual al total de Reactivos en el grupo de edad ",$D$11),"")</f>
        <v/>
      </c>
      <c r="CG88" s="2873" t="str">
        <f>IF(F88&lt;G88,CONCATENATE("* El total de Procesados debe ser mayor o igual al total de Reactivos en el grupo de edad ",$F$11),"")</f>
        <v/>
      </c>
      <c r="CH88" s="2873" t="str">
        <f>IF(H88&lt;I88,CONCATENATE("* El total de Procesados debe ser mayor o igual al total de Reactivos en el grupo de edad ",$H$11),"")</f>
        <v/>
      </c>
      <c r="CI88" s="2872"/>
      <c r="CJ88" s="2872"/>
      <c r="CK88" s="3581"/>
      <c r="CL88" s="2872"/>
      <c r="CM88" s="2872"/>
      <c r="CN88" s="2872"/>
      <c r="CO88" s="2872"/>
      <c r="CP88" s="2872"/>
      <c r="CQ88" s="2872"/>
      <c r="CR88" s="2872"/>
      <c r="CS88" s="2872"/>
      <c r="CT88" s="2872"/>
      <c r="CU88" s="2872"/>
      <c r="CV88" s="2872"/>
      <c r="CW88" s="2872"/>
      <c r="CX88" s="2872"/>
      <c r="DE88" s="2718"/>
      <c r="DF88" s="2873">
        <f>IF(B88&lt;&gt;(AS88+AR88),1,0)</f>
        <v>0</v>
      </c>
      <c r="DG88" s="3009">
        <f t="shared" si="265"/>
        <v>0</v>
      </c>
      <c r="DH88" s="3009">
        <f t="shared" si="266"/>
        <v>0</v>
      </c>
      <c r="DI88" s="3009">
        <f t="shared" si="267"/>
        <v>0</v>
      </c>
      <c r="DJ88" s="3009">
        <f>IF(D88&lt;E88,1,0)</f>
        <v>0</v>
      </c>
      <c r="DK88" s="3009">
        <f>IF(F88&lt;G88,1,0)</f>
        <v>0</v>
      </c>
      <c r="DL88" s="3009">
        <f>IF(H88&lt;I88,1,0)</f>
        <v>0</v>
      </c>
      <c r="DM88" s="2872"/>
      <c r="DN88" s="2872"/>
      <c r="DO88" s="3107"/>
      <c r="DP88" s="3107"/>
      <c r="DQ88" s="3107"/>
      <c r="DR88" s="3107"/>
      <c r="DS88" s="3107"/>
      <c r="DT88" s="3107"/>
      <c r="DU88" s="3107"/>
      <c r="DV88" s="3107"/>
      <c r="DW88" s="3107"/>
      <c r="DX88" s="3107"/>
      <c r="DY88" s="3107"/>
      <c r="DZ88" s="3107"/>
      <c r="EA88" s="3107"/>
      <c r="EB88" s="3107"/>
    </row>
    <row r="89" spans="1:132" x14ac:dyDescent="0.25">
      <c r="A89" s="3328" t="s">
        <v>2668</v>
      </c>
      <c r="B89" s="2014">
        <f>+P89+R89+T89+V89+X89+Z89+AB89+AD89+AF89+AH89+AJ89+AL89+AN89+AP89</f>
        <v>0</v>
      </c>
      <c r="C89" s="3331">
        <f>+Q89+S89+U89+W89+Y89+AA89+AC89+AE89+AG89+AI89+AK89+AM89+AO89+AQ89</f>
        <v>0</v>
      </c>
      <c r="D89" s="3568"/>
      <c r="E89" s="5340"/>
      <c r="F89" s="5339"/>
      <c r="G89" s="5340"/>
      <c r="H89" s="5339"/>
      <c r="I89" s="5340"/>
      <c r="J89" s="5339"/>
      <c r="K89" s="5340"/>
      <c r="L89" s="5339"/>
      <c r="M89" s="5341"/>
      <c r="N89" s="3568"/>
      <c r="O89" s="5340"/>
      <c r="P89" s="5229"/>
      <c r="Q89" s="5342"/>
      <c r="R89" s="5229"/>
      <c r="S89" s="5342"/>
      <c r="T89" s="5229"/>
      <c r="U89" s="5342"/>
      <c r="V89" s="5229"/>
      <c r="W89" s="5342"/>
      <c r="X89" s="5229"/>
      <c r="Y89" s="5342"/>
      <c r="Z89" s="5229"/>
      <c r="AA89" s="5342"/>
      <c r="AB89" s="5229"/>
      <c r="AC89" s="5342"/>
      <c r="AD89" s="5229"/>
      <c r="AE89" s="5342"/>
      <c r="AF89" s="5229"/>
      <c r="AG89" s="5342"/>
      <c r="AH89" s="5229"/>
      <c r="AI89" s="5342"/>
      <c r="AJ89" s="5229"/>
      <c r="AK89" s="5342"/>
      <c r="AL89" s="5229"/>
      <c r="AM89" s="5342"/>
      <c r="AN89" s="5229"/>
      <c r="AO89" s="5342"/>
      <c r="AP89" s="5229"/>
      <c r="AQ89" s="5336"/>
      <c r="AR89" s="3572"/>
      <c r="AS89" s="5336"/>
      <c r="AT89" s="5337"/>
      <c r="AU89" s="5336"/>
      <c r="AV89" s="3572"/>
      <c r="AW89" s="5338"/>
      <c r="AX89" s="1755" t="str">
        <f>CB89&amp;CC89&amp;CD89&amp;CE89&amp;CL89&amp;CM89&amp;CN89&amp;CO89&amp;CP89&amp;CQ89&amp;CR89&amp;CS89&amp;CT89&amp;CU89&amp;CV89&amp;CW89&amp;CX89</f>
        <v/>
      </c>
      <c r="CA89" s="603"/>
      <c r="CB89" s="2873" t="str">
        <f t="shared" ref="CB89:CB96" si="287">IF(B89&lt;&gt;(AS89+AR89)," * La suma de las columnas "&amp;AR$10&amp;""&amp;" DEBE SER IGUAL a los Exámenes Procesados. ","")</f>
        <v/>
      </c>
      <c r="CC89" s="2873" t="str">
        <f t="shared" si="247"/>
        <v/>
      </c>
      <c r="CD89" s="2873" t="str">
        <f t="shared" si="248"/>
        <v/>
      </c>
      <c r="CE89" s="2873" t="str">
        <f t="shared" si="249"/>
        <v/>
      </c>
      <c r="CF89" s="3581"/>
      <c r="CG89" s="3581"/>
      <c r="CH89" s="2872"/>
      <c r="CI89" s="2872"/>
      <c r="CJ89" s="2872"/>
      <c r="CK89" s="3581"/>
      <c r="CL89" s="2873" t="str">
        <f>IF(P89&lt;Q89,CONCATENATE("* El total de Procesados debe ser mayor o igual al total de Reactivos en el grupo de edad ",$P$11),"")</f>
        <v/>
      </c>
      <c r="CM89" s="2873" t="str">
        <f t="shared" ref="CM89:CM96" si="288">IF(R89&lt;S89,CONCATENATE("* El total de Procesados debe ser mayor o igual al total de Reactivos en el grupo de edad ",$R$11),"")</f>
        <v/>
      </c>
      <c r="CN89" s="2873" t="str">
        <f t="shared" si="253"/>
        <v/>
      </c>
      <c r="CO89" s="2873" t="str">
        <f t="shared" ref="CO89:CO96" si="289">IF(V89&lt;W89,CONCATENATE("* El total de Procesados debe ser mayor o igual al total de Reactivos en el grupo de edad ",$V$11),"")</f>
        <v/>
      </c>
      <c r="CP89" s="2873" t="str">
        <f t="shared" ref="CP89:CP96" si="290">IF(X89&lt;Y89,CONCATENATE("* El total de Procesados debe ser mayor o igual al total de Reactivos en el grupo de edad ",$X$11),"")</f>
        <v/>
      </c>
      <c r="CQ89" s="2873" t="str">
        <f t="shared" ref="CQ89:CQ96" si="291">IF(Z89&lt;AA89,CONCATENATE("* El total de Procesados debe ser mayor o igual al total de Reactivos en el grupo de edad ",$Z$11),"")</f>
        <v/>
      </c>
      <c r="CR89" s="2873" t="str">
        <f t="shared" ref="CR89:CR96" si="292">IF(AD89&lt;AE89,CONCATENATE("* El total de Procesados debe ser mayor o igual al total de Reactivos en el grupo de edad ",$AD$11),"")</f>
        <v/>
      </c>
      <c r="CS89" s="2873" t="str">
        <f t="shared" ref="CS89:CS96" si="293">IF(AF89&lt;AG89,CONCATENATE("* El total de Procesados debe ser mayor o igual al total de Reactivos en el grupo de edad ",$AF$11),"")</f>
        <v/>
      </c>
      <c r="CT89" s="2873" t="str">
        <f t="shared" ref="CT89:CT96" si="294">IF(AH89&lt;AI89,CONCATENATE("* El total de Procesados debe ser mayor o igual al total de Reactivos en el grupo de edad ",$AH$11),"")</f>
        <v/>
      </c>
      <c r="CU89" s="2873" t="str">
        <f t="shared" ref="CU89:CU92" si="295">IF(AJ89&lt;AK89,CONCATENATE("* El total de Procesados debe ser mayor o igual al total de Reactivos en el grupo de edad ",$AJ$11),"")</f>
        <v/>
      </c>
      <c r="CV89" s="2873" t="str">
        <f t="shared" ref="CV89:CV92" si="296">IF(AL89&lt;AM89,CONCATENATE("* El total de Procesados debe ser mayor o igual al total de Reactivos en el grupo de edad ",$AL$11),"")</f>
        <v/>
      </c>
      <c r="CW89" s="2873" t="str">
        <f t="shared" ref="CW89:CW92" si="297">IF(AN89&lt;AO89,CONCATENATE("* El total de Procesados debe ser mayor o igual al total de Reactivos en el grupo de edad ",$AN$11),"")</f>
        <v/>
      </c>
      <c r="CX89" s="2873" t="str">
        <f t="shared" ref="CX89:CX92" si="298">IF(AP89&lt;AQ89,CONCATENATE("* El total de Procesados debe ser mayor o igual al total de Reactivos en el grupo de edad ",$AP$11),"")</f>
        <v/>
      </c>
      <c r="DE89" s="2718"/>
      <c r="DF89" s="2873">
        <f t="shared" ref="DF89:DF96" si="299">IF(B89&lt;&gt;(AS89+AR89),1,0)</f>
        <v>0</v>
      </c>
      <c r="DG89" s="3009">
        <f t="shared" si="265"/>
        <v>0</v>
      </c>
      <c r="DH89" s="3009">
        <f t="shared" si="266"/>
        <v>0</v>
      </c>
      <c r="DI89" s="3009">
        <f t="shared" si="267"/>
        <v>0</v>
      </c>
      <c r="DJ89" s="2872"/>
      <c r="DK89" s="2872"/>
      <c r="DL89" s="2872"/>
      <c r="DM89" s="2872"/>
      <c r="DN89" s="2872"/>
      <c r="DO89" s="3107"/>
      <c r="DP89" s="3009">
        <f t="shared" ref="DP89:DP96" si="300">IF(P89&lt;Q89,1,0)</f>
        <v>0</v>
      </c>
      <c r="DQ89" s="3009">
        <f t="shared" ref="DQ89:DQ96" si="301">IF(R89&lt;S89,1,0)</f>
        <v>0</v>
      </c>
      <c r="DR89" s="3009">
        <f t="shared" si="271"/>
        <v>0</v>
      </c>
      <c r="DS89" s="3009">
        <f t="shared" ref="DS89:DS96" si="302">IF(V89&lt;W89,1,0)</f>
        <v>0</v>
      </c>
      <c r="DT89" s="3009">
        <f t="shared" ref="DT89:DT96" si="303">IF(X89&lt;Y89,1,0)</f>
        <v>0</v>
      </c>
      <c r="DU89" s="3009">
        <f t="shared" ref="DU89:DU96" si="304">IF(Z89&lt;AA89,1,0)</f>
        <v>0</v>
      </c>
      <c r="DV89" s="3009">
        <f t="shared" ref="DV89:DV96" si="305">IF(AD89&lt;AE89,1,0)</f>
        <v>0</v>
      </c>
      <c r="DW89" s="3009">
        <f t="shared" ref="DW89:DW96" si="306">IF(AF89&lt;AG89,1,0)</f>
        <v>0</v>
      </c>
      <c r="DX89" s="3009">
        <f t="shared" ref="DX89:DX96" si="307">IF(AH89&lt;AI89,1,0)</f>
        <v>0</v>
      </c>
      <c r="DY89" s="3009">
        <f t="shared" ref="DY89:DY92" si="308">IF(AJ89&lt;AK89,1,0)</f>
        <v>0</v>
      </c>
      <c r="DZ89" s="3009">
        <f t="shared" ref="DZ89:DZ92" si="309">IF(AL89&lt;AM89,1,0)</f>
        <v>0</v>
      </c>
      <c r="EA89" s="3009">
        <f t="shared" ref="EA89:EA92" si="310">IF(AN89&lt;AO89,1,0)</f>
        <v>0</v>
      </c>
      <c r="EB89" s="3009">
        <f t="shared" ref="EB89:EB92" si="311">IF(AP89&lt;AQ89,1,0)</f>
        <v>0</v>
      </c>
    </row>
    <row r="90" spans="1:132" x14ac:dyDescent="0.25">
      <c r="A90" s="3273" t="s">
        <v>2669</v>
      </c>
      <c r="B90" s="2014">
        <f>+N90+P90+R90+T90+V90+X90+Z90+AB90+AD90+AF90+AH90+AJ90+AL90+AN90+AP90</f>
        <v>0</v>
      </c>
      <c r="C90" s="3331">
        <f>+O90+Q90+S90+U90+W90+Y90+AA90+AC90+AE90+AG90+AI90+AK90+AM90+AO90+AQ90</f>
        <v>0</v>
      </c>
      <c r="D90" s="3576"/>
      <c r="E90" s="5344"/>
      <c r="F90" s="5343"/>
      <c r="G90" s="5344"/>
      <c r="H90" s="5343"/>
      <c r="I90" s="5346"/>
      <c r="J90" s="3576"/>
      <c r="K90" s="3576"/>
      <c r="L90" s="5343"/>
      <c r="M90" s="5346"/>
      <c r="N90" s="3572"/>
      <c r="O90" s="5342"/>
      <c r="P90" s="5229"/>
      <c r="Q90" s="5342"/>
      <c r="R90" s="5229"/>
      <c r="S90" s="5342"/>
      <c r="T90" s="5229"/>
      <c r="U90" s="5342"/>
      <c r="V90" s="5229"/>
      <c r="W90" s="5342"/>
      <c r="X90" s="5229"/>
      <c r="Y90" s="5342"/>
      <c r="Z90" s="5229"/>
      <c r="AA90" s="5342"/>
      <c r="AB90" s="5229"/>
      <c r="AC90" s="5342"/>
      <c r="AD90" s="5229"/>
      <c r="AE90" s="5342"/>
      <c r="AF90" s="5229"/>
      <c r="AG90" s="5342"/>
      <c r="AH90" s="5229"/>
      <c r="AI90" s="5342"/>
      <c r="AJ90" s="5229"/>
      <c r="AK90" s="5342"/>
      <c r="AL90" s="5229"/>
      <c r="AM90" s="5342"/>
      <c r="AN90" s="5229"/>
      <c r="AO90" s="5342"/>
      <c r="AP90" s="5229"/>
      <c r="AQ90" s="5336"/>
      <c r="AR90" s="3572"/>
      <c r="AS90" s="5336"/>
      <c r="AT90" s="5337"/>
      <c r="AU90" s="5336"/>
      <c r="AV90" s="3572"/>
      <c r="AW90" s="5338"/>
      <c r="AX90" s="1755" t="str">
        <f>CB90&amp;CC90&amp;CD90&amp;CE90&amp;CK90&amp;CL90&amp;CM90&amp;CN90&amp;CO90&amp;CP90&amp;CQ90&amp;CR90&amp;CS90&amp;CT90&amp;CU90&amp;CV90&amp;CW90&amp;CX90</f>
        <v/>
      </c>
      <c r="CA90" s="603"/>
      <c r="CB90" s="2873" t="str">
        <f t="shared" si="287"/>
        <v/>
      </c>
      <c r="CC90" s="2873" t="str">
        <f t="shared" si="247"/>
        <v/>
      </c>
      <c r="CD90" s="2873" t="str">
        <f t="shared" si="248"/>
        <v/>
      </c>
      <c r="CE90" s="2873" t="str">
        <f t="shared" si="249"/>
        <v/>
      </c>
      <c r="CF90" s="3581"/>
      <c r="CG90" s="3581"/>
      <c r="CH90" s="2872"/>
      <c r="CI90" s="2872"/>
      <c r="CJ90" s="2872"/>
      <c r="CK90" s="2873" t="str">
        <f>IF(N90&lt;O90,CONCATENATE("* El total de Procesados debe ser mayor o igual al total de Reactivos en el grupo de edad ",$N$11),"")</f>
        <v/>
      </c>
      <c r="CL90" s="2873" t="str">
        <f t="shared" ref="CL90" si="312">IF(P90&lt;Q90,CONCATENATE("* El total de Procesados debe ser mayor o igual al total de Reactivos en el grupo de edad ",$P$11),"")</f>
        <v/>
      </c>
      <c r="CM90" s="2873" t="str">
        <f t="shared" si="288"/>
        <v/>
      </c>
      <c r="CN90" s="2873" t="str">
        <f t="shared" si="253"/>
        <v/>
      </c>
      <c r="CO90" s="2873" t="str">
        <f t="shared" si="289"/>
        <v/>
      </c>
      <c r="CP90" s="2873" t="str">
        <f t="shared" si="290"/>
        <v/>
      </c>
      <c r="CQ90" s="2873" t="str">
        <f t="shared" si="291"/>
        <v/>
      </c>
      <c r="CR90" s="2873" t="str">
        <f t="shared" si="292"/>
        <v/>
      </c>
      <c r="CS90" s="2873" t="str">
        <f t="shared" si="293"/>
        <v/>
      </c>
      <c r="CT90" s="2873" t="str">
        <f t="shared" si="294"/>
        <v/>
      </c>
      <c r="CU90" s="2873" t="str">
        <f t="shared" si="295"/>
        <v/>
      </c>
      <c r="CV90" s="2873" t="str">
        <f t="shared" si="296"/>
        <v/>
      </c>
      <c r="CW90" s="2873" t="str">
        <f t="shared" si="297"/>
        <v/>
      </c>
      <c r="CX90" s="2873" t="str">
        <f t="shared" si="298"/>
        <v/>
      </c>
      <c r="DE90" s="2718"/>
      <c r="DF90" s="2873">
        <f t="shared" si="299"/>
        <v>0</v>
      </c>
      <c r="DG90" s="3009">
        <f t="shared" si="265"/>
        <v>0</v>
      </c>
      <c r="DH90" s="3009">
        <f t="shared" si="266"/>
        <v>0</v>
      </c>
      <c r="DI90" s="3009">
        <f t="shared" si="267"/>
        <v>0</v>
      </c>
      <c r="DJ90" s="2872"/>
      <c r="DK90" s="2872"/>
      <c r="DL90" s="2872"/>
      <c r="DM90" s="2872"/>
      <c r="DN90" s="2872"/>
      <c r="DO90" s="3009">
        <f t="shared" ref="DO90:DO91" si="313">IF(N90&lt;O90,1,0)</f>
        <v>0</v>
      </c>
      <c r="DP90" s="3009">
        <f t="shared" si="300"/>
        <v>0</v>
      </c>
      <c r="DQ90" s="3009">
        <f t="shared" si="301"/>
        <v>0</v>
      </c>
      <c r="DR90" s="3009">
        <f t="shared" si="271"/>
        <v>0</v>
      </c>
      <c r="DS90" s="3009">
        <f t="shared" si="302"/>
        <v>0</v>
      </c>
      <c r="DT90" s="3009">
        <f t="shared" si="303"/>
        <v>0</v>
      </c>
      <c r="DU90" s="3009">
        <f t="shared" si="304"/>
        <v>0</v>
      </c>
      <c r="DV90" s="3009">
        <f t="shared" si="305"/>
        <v>0</v>
      </c>
      <c r="DW90" s="3009">
        <f t="shared" si="306"/>
        <v>0</v>
      </c>
      <c r="DX90" s="3009">
        <f t="shared" si="307"/>
        <v>0</v>
      </c>
      <c r="DY90" s="3009">
        <f t="shared" si="308"/>
        <v>0</v>
      </c>
      <c r="DZ90" s="3009">
        <f t="shared" si="309"/>
        <v>0</v>
      </c>
      <c r="EA90" s="3009">
        <f t="shared" si="310"/>
        <v>0</v>
      </c>
      <c r="EB90" s="3009">
        <f t="shared" si="311"/>
        <v>0</v>
      </c>
    </row>
    <row r="91" spans="1:132" x14ac:dyDescent="0.25">
      <c r="A91" s="3273" t="s">
        <v>2670</v>
      </c>
      <c r="B91" s="2014">
        <f>+D91+F91+H91+J91+L91+N91+P91+R91+T91+V91+X91+Z91+AB91+AD91+AF91+AH91+AJ91+AL91+AN91+AP91</f>
        <v>0</v>
      </c>
      <c r="C91" s="3331">
        <f>+E91+G91+I91+K91+M91+O91+Q91+S91+U91+W91+Y91+AA91+AC91+AE91+AG91+AI91+AK91+AM91+AO91+AQ91</f>
        <v>0</v>
      </c>
      <c r="D91" s="3572"/>
      <c r="E91" s="5342"/>
      <c r="F91" s="5229"/>
      <c r="G91" s="5342"/>
      <c r="H91" s="5229"/>
      <c r="I91" s="5338"/>
      <c r="J91" s="3572"/>
      <c r="K91" s="3572"/>
      <c r="L91" s="5229"/>
      <c r="M91" s="5338"/>
      <c r="N91" s="3572"/>
      <c r="O91" s="5342"/>
      <c r="P91" s="5229"/>
      <c r="Q91" s="5342"/>
      <c r="R91" s="5229"/>
      <c r="S91" s="5342"/>
      <c r="T91" s="5229"/>
      <c r="U91" s="5342"/>
      <c r="V91" s="5229"/>
      <c r="W91" s="5342"/>
      <c r="X91" s="5229"/>
      <c r="Y91" s="5342"/>
      <c r="Z91" s="5229"/>
      <c r="AA91" s="5342"/>
      <c r="AB91" s="5229"/>
      <c r="AC91" s="5342"/>
      <c r="AD91" s="5229"/>
      <c r="AE91" s="5342"/>
      <c r="AF91" s="5229"/>
      <c r="AG91" s="5342"/>
      <c r="AH91" s="5229"/>
      <c r="AI91" s="5342"/>
      <c r="AJ91" s="5229"/>
      <c r="AK91" s="5342"/>
      <c r="AL91" s="5229"/>
      <c r="AM91" s="5342"/>
      <c r="AN91" s="5229"/>
      <c r="AO91" s="5342"/>
      <c r="AP91" s="5229"/>
      <c r="AQ91" s="5336"/>
      <c r="AR91" s="3572"/>
      <c r="AS91" s="5336"/>
      <c r="AT91" s="5337"/>
      <c r="AU91" s="5336"/>
      <c r="AV91" s="3572"/>
      <c r="AW91" s="5338"/>
      <c r="AX91" s="1755" t="str">
        <f>CB91&amp;CC91&amp;CD91&amp;CE91&amp;CF91&amp;CG91&amp;CH91&amp;CI91&amp;CJ91&amp;CK91&amp;CL91&amp;CM91&amp;CN91&amp;CO91&amp;CP91&amp;CQ91&amp;CR91&amp;CS91&amp;CT91&amp;CU91&amp;CV91&amp;CW91&amp;CX91</f>
        <v/>
      </c>
      <c r="CA91" s="603"/>
      <c r="CB91" s="2873" t="str">
        <f t="shared" si="287"/>
        <v/>
      </c>
      <c r="CC91" s="2873" t="str">
        <f t="shared" si="247"/>
        <v/>
      </c>
      <c r="CD91" s="2873" t="str">
        <f t="shared" si="248"/>
        <v/>
      </c>
      <c r="CE91" s="2873" t="str">
        <f t="shared" si="249"/>
        <v/>
      </c>
      <c r="CF91" s="2873" t="str">
        <f>IF(D91&lt;E91,CONCATENATE("* El total de Procesados debe ser mayor o igual al total de Reactivos en el grupo de edad ",$D$11),"")</f>
        <v/>
      </c>
      <c r="CG91" s="2873" t="str">
        <f>IF(F91&lt;G91,CONCATENATE("* El total de Procesados debe ser mayor o igual al total de Reactivos en el grupo de edad ",$F$11),"")</f>
        <v/>
      </c>
      <c r="CH91" s="2873" t="str">
        <f>IF(H91&lt;I91,CONCATENATE("* El total de Procesados debe ser mayor o igual al total de Reactivos en el grupo de edad ",$H$11),"")</f>
        <v/>
      </c>
      <c r="CI91" s="2873" t="str">
        <f>IF(J91&lt;K91,CONCATENATE("* El total de Procesados debe ser mayor o igual al total de Reactivos en el grupo de edad ",$J$11),"")</f>
        <v/>
      </c>
      <c r="CJ91" s="2873" t="str">
        <f>IF(L91&lt;M91,CONCATENATE("* El total de Procesados debe ser mayor o igual al total de Reactivos en el grupo de edad ",$L$11),"")</f>
        <v/>
      </c>
      <c r="CK91" s="2873" t="str">
        <f>IF(N91&lt;O91,CONCATENATE("* El total de Procesados debe ser mayor o igual al total de Reactivos en el grupo de edad ",$N$11),"")</f>
        <v/>
      </c>
      <c r="CL91" s="2873" t="str">
        <f>IF(P91&lt;Q91,CONCATENATE("* El total de Procesados debe ser mayor o igual al total de Reactivos en el grupo de edad ",$P$11),"")</f>
        <v/>
      </c>
      <c r="CM91" s="2873" t="str">
        <f t="shared" si="288"/>
        <v/>
      </c>
      <c r="CN91" s="2873" t="str">
        <f t="shared" si="253"/>
        <v/>
      </c>
      <c r="CO91" s="2873" t="str">
        <f t="shared" si="289"/>
        <v/>
      </c>
      <c r="CP91" s="2873" t="str">
        <f t="shared" si="290"/>
        <v/>
      </c>
      <c r="CQ91" s="2873" t="str">
        <f t="shared" si="291"/>
        <v/>
      </c>
      <c r="CR91" s="2873" t="str">
        <f t="shared" si="292"/>
        <v/>
      </c>
      <c r="CS91" s="2873" t="str">
        <f t="shared" si="293"/>
        <v/>
      </c>
      <c r="CT91" s="2873" t="str">
        <f t="shared" si="294"/>
        <v/>
      </c>
      <c r="CU91" s="2873" t="str">
        <f t="shared" si="295"/>
        <v/>
      </c>
      <c r="CV91" s="2873" t="str">
        <f t="shared" si="296"/>
        <v/>
      </c>
      <c r="CW91" s="2873" t="str">
        <f t="shared" si="297"/>
        <v/>
      </c>
      <c r="CX91" s="2873" t="str">
        <f t="shared" si="298"/>
        <v/>
      </c>
      <c r="DE91" s="2718"/>
      <c r="DF91" s="2873">
        <f t="shared" si="299"/>
        <v>0</v>
      </c>
      <c r="DG91" s="3009">
        <f t="shared" si="265"/>
        <v>0</v>
      </c>
      <c r="DH91" s="3009">
        <f t="shared" si="266"/>
        <v>0</v>
      </c>
      <c r="DI91" s="3009">
        <f t="shared" si="267"/>
        <v>0</v>
      </c>
      <c r="DJ91" s="3009">
        <f>IF(D91&lt;E91,1,0)</f>
        <v>0</v>
      </c>
      <c r="DK91" s="3009">
        <f>IF(F91&lt;G91,1,0)</f>
        <v>0</v>
      </c>
      <c r="DL91" s="3009">
        <f>IF(H91&lt;I91,1,0)</f>
        <v>0</v>
      </c>
      <c r="DM91" s="3009">
        <f>IF(J91&lt;K91,1,0)</f>
        <v>0</v>
      </c>
      <c r="DN91" s="3009">
        <f>IF(L91&lt;M91,1,0)</f>
        <v>0</v>
      </c>
      <c r="DO91" s="3009">
        <f t="shared" si="313"/>
        <v>0</v>
      </c>
      <c r="DP91" s="3009">
        <f t="shared" si="300"/>
        <v>0</v>
      </c>
      <c r="DQ91" s="3009">
        <f t="shared" si="301"/>
        <v>0</v>
      </c>
      <c r="DR91" s="3009">
        <f t="shared" si="271"/>
        <v>0</v>
      </c>
      <c r="DS91" s="3009">
        <f t="shared" si="302"/>
        <v>0</v>
      </c>
      <c r="DT91" s="3009">
        <f t="shared" si="303"/>
        <v>0</v>
      </c>
      <c r="DU91" s="3009">
        <f t="shared" si="304"/>
        <v>0</v>
      </c>
      <c r="DV91" s="3009">
        <f t="shared" si="305"/>
        <v>0</v>
      </c>
      <c r="DW91" s="3009">
        <f t="shared" si="306"/>
        <v>0</v>
      </c>
      <c r="DX91" s="3009">
        <f t="shared" si="307"/>
        <v>0</v>
      </c>
      <c r="DY91" s="3009">
        <f t="shared" si="308"/>
        <v>0</v>
      </c>
      <c r="DZ91" s="3009">
        <f t="shared" si="309"/>
        <v>0</v>
      </c>
      <c r="EA91" s="3009">
        <f t="shared" si="310"/>
        <v>0</v>
      </c>
      <c r="EB91" s="3009">
        <f t="shared" si="311"/>
        <v>0</v>
      </c>
    </row>
    <row r="92" spans="1:132" x14ac:dyDescent="0.25">
      <c r="A92" s="3578" t="s">
        <v>2671</v>
      </c>
      <c r="B92" s="2014">
        <f>+P92+R92+T92+V92+X92+Z92+AB92+AD92+AF92+AH92+AJ92+AL92+AN92+AP92</f>
        <v>0</v>
      </c>
      <c r="C92" s="3331">
        <f>+Q92+S92+U92+W92+Y92+AA92+AC92+AE92+AG92+AI92+AK92+AM92+AO92+AQ92</f>
        <v>0</v>
      </c>
      <c r="D92" s="3568"/>
      <c r="E92" s="5340"/>
      <c r="F92" s="5339"/>
      <c r="G92" s="5340"/>
      <c r="H92" s="5339"/>
      <c r="I92" s="5340"/>
      <c r="J92" s="5339"/>
      <c r="K92" s="5340"/>
      <c r="L92" s="5339"/>
      <c r="M92" s="5341"/>
      <c r="N92" s="3568"/>
      <c r="O92" s="5340"/>
      <c r="P92" s="5229"/>
      <c r="Q92" s="5342"/>
      <c r="R92" s="5229"/>
      <c r="S92" s="5342"/>
      <c r="T92" s="5229"/>
      <c r="U92" s="5342"/>
      <c r="V92" s="5229"/>
      <c r="W92" s="5342"/>
      <c r="X92" s="5229"/>
      <c r="Y92" s="5342"/>
      <c r="Z92" s="5229"/>
      <c r="AA92" s="5342"/>
      <c r="AB92" s="5229"/>
      <c r="AC92" s="5342"/>
      <c r="AD92" s="5229"/>
      <c r="AE92" s="5342"/>
      <c r="AF92" s="5229"/>
      <c r="AG92" s="5342"/>
      <c r="AH92" s="5229"/>
      <c r="AI92" s="5342"/>
      <c r="AJ92" s="5229"/>
      <c r="AK92" s="5342"/>
      <c r="AL92" s="5229"/>
      <c r="AM92" s="5342"/>
      <c r="AN92" s="5229"/>
      <c r="AO92" s="5342"/>
      <c r="AP92" s="5229"/>
      <c r="AQ92" s="5336"/>
      <c r="AR92" s="3572"/>
      <c r="AS92" s="5336"/>
      <c r="AT92" s="5337"/>
      <c r="AU92" s="5336"/>
      <c r="AV92" s="3572"/>
      <c r="AW92" s="5338"/>
      <c r="AX92" s="1755" t="str">
        <f t="shared" ref="AX92" si="314">CB92&amp;CC92&amp;CD92&amp;CE92&amp;CL92&amp;CM92&amp;CN92&amp;CO92&amp;CP92&amp;CQ92&amp;CR92&amp;CS92&amp;CT92&amp;CU92&amp;CV92&amp;CW92&amp;CX92</f>
        <v/>
      </c>
      <c r="CA92" s="603"/>
      <c r="CB92" s="2873" t="str">
        <f t="shared" si="287"/>
        <v/>
      </c>
      <c r="CC92" s="2873" t="str">
        <f t="shared" si="247"/>
        <v/>
      </c>
      <c r="CD92" s="2873" t="str">
        <f t="shared" si="248"/>
        <v/>
      </c>
      <c r="CE92" s="2873" t="str">
        <f t="shared" si="249"/>
        <v/>
      </c>
      <c r="CF92" s="3581"/>
      <c r="CG92" s="3581"/>
      <c r="CH92" s="2872"/>
      <c r="CI92" s="2872"/>
      <c r="CJ92" s="2872"/>
      <c r="CK92" s="3581"/>
      <c r="CL92" s="2873" t="str">
        <f t="shared" ref="CL92:CL96" si="315">IF(P92&lt;Q92,CONCATENATE("* El total de Procesados debe ser mayor o igual al total de Reactivos en el grupo de edad ",$P$11),"")</f>
        <v/>
      </c>
      <c r="CM92" s="2873" t="str">
        <f t="shared" si="288"/>
        <v/>
      </c>
      <c r="CN92" s="2873" t="str">
        <f t="shared" si="253"/>
        <v/>
      </c>
      <c r="CO92" s="2873" t="str">
        <f t="shared" si="289"/>
        <v/>
      </c>
      <c r="CP92" s="2873" t="str">
        <f t="shared" si="290"/>
        <v/>
      </c>
      <c r="CQ92" s="2873" t="str">
        <f t="shared" si="291"/>
        <v/>
      </c>
      <c r="CR92" s="2873" t="str">
        <f t="shared" si="292"/>
        <v/>
      </c>
      <c r="CS92" s="2873" t="str">
        <f t="shared" si="293"/>
        <v/>
      </c>
      <c r="CT92" s="2873" t="str">
        <f t="shared" si="294"/>
        <v/>
      </c>
      <c r="CU92" s="2873" t="str">
        <f t="shared" si="295"/>
        <v/>
      </c>
      <c r="CV92" s="2873" t="str">
        <f t="shared" si="296"/>
        <v/>
      </c>
      <c r="CW92" s="2873" t="str">
        <f t="shared" si="297"/>
        <v/>
      </c>
      <c r="CX92" s="2873" t="str">
        <f t="shared" si="298"/>
        <v/>
      </c>
      <c r="DE92" s="2718"/>
      <c r="DF92" s="2873">
        <f t="shared" si="299"/>
        <v>0</v>
      </c>
      <c r="DG92" s="3009">
        <f t="shared" si="265"/>
        <v>0</v>
      </c>
      <c r="DH92" s="3009">
        <f t="shared" si="266"/>
        <v>0</v>
      </c>
      <c r="DI92" s="3009">
        <f t="shared" si="267"/>
        <v>0</v>
      </c>
      <c r="DJ92" s="2872"/>
      <c r="DK92" s="2872"/>
      <c r="DL92" s="2872"/>
      <c r="DM92" s="2872"/>
      <c r="DN92" s="2872"/>
      <c r="DO92" s="3107"/>
      <c r="DP92" s="3009">
        <f t="shared" si="300"/>
        <v>0</v>
      </c>
      <c r="DQ92" s="3009">
        <f t="shared" si="301"/>
        <v>0</v>
      </c>
      <c r="DR92" s="3009">
        <f t="shared" si="271"/>
        <v>0</v>
      </c>
      <c r="DS92" s="3009">
        <f t="shared" si="302"/>
        <v>0</v>
      </c>
      <c r="DT92" s="3009">
        <f t="shared" si="303"/>
        <v>0</v>
      </c>
      <c r="DU92" s="3009">
        <f t="shared" si="304"/>
        <v>0</v>
      </c>
      <c r="DV92" s="3009">
        <f t="shared" si="305"/>
        <v>0</v>
      </c>
      <c r="DW92" s="3009">
        <f t="shared" si="306"/>
        <v>0</v>
      </c>
      <c r="DX92" s="3009">
        <f t="shared" si="307"/>
        <v>0</v>
      </c>
      <c r="DY92" s="3009">
        <f t="shared" si="308"/>
        <v>0</v>
      </c>
      <c r="DZ92" s="3009">
        <f t="shared" si="309"/>
        <v>0</v>
      </c>
      <c r="EA92" s="3009">
        <f t="shared" si="310"/>
        <v>0</v>
      </c>
      <c r="EB92" s="3009">
        <f t="shared" si="311"/>
        <v>0</v>
      </c>
    </row>
    <row r="93" spans="1:132" x14ac:dyDescent="0.25">
      <c r="A93" s="3273" t="s">
        <v>2672</v>
      </c>
      <c r="B93" s="2014">
        <f>+P93+R93+T93+V93+X93+Z93+AB93+AD93+AF93+AH93</f>
        <v>0</v>
      </c>
      <c r="C93" s="3331">
        <f>+Q93+S93+U93+W93+Y93+AA93+AC93+AE93+AG93+AI93</f>
        <v>0</v>
      </c>
      <c r="D93" s="3568"/>
      <c r="E93" s="5340"/>
      <c r="F93" s="5339"/>
      <c r="G93" s="5340"/>
      <c r="H93" s="5339"/>
      <c r="I93" s="5340"/>
      <c r="J93" s="5339"/>
      <c r="K93" s="5340"/>
      <c r="L93" s="5339"/>
      <c r="M93" s="5341"/>
      <c r="N93" s="3568"/>
      <c r="O93" s="5340"/>
      <c r="P93" s="5229"/>
      <c r="Q93" s="5342"/>
      <c r="R93" s="5229"/>
      <c r="S93" s="5342"/>
      <c r="T93" s="5229"/>
      <c r="U93" s="5342"/>
      <c r="V93" s="5229"/>
      <c r="W93" s="5342"/>
      <c r="X93" s="5229"/>
      <c r="Y93" s="5342"/>
      <c r="Z93" s="5229"/>
      <c r="AA93" s="5342"/>
      <c r="AB93" s="5229"/>
      <c r="AC93" s="5342"/>
      <c r="AD93" s="5229"/>
      <c r="AE93" s="5342"/>
      <c r="AF93" s="5229"/>
      <c r="AG93" s="5342"/>
      <c r="AH93" s="5229"/>
      <c r="AI93" s="5342"/>
      <c r="AJ93" s="5339"/>
      <c r="AK93" s="5340"/>
      <c r="AL93" s="5339"/>
      <c r="AM93" s="5340"/>
      <c r="AN93" s="5339"/>
      <c r="AO93" s="5340"/>
      <c r="AP93" s="5339"/>
      <c r="AQ93" s="5347"/>
      <c r="AR93" s="3572"/>
      <c r="AS93" s="5336"/>
      <c r="AT93" s="5337"/>
      <c r="AU93" s="5336"/>
      <c r="AV93" s="3572"/>
      <c r="AW93" s="5338"/>
      <c r="AX93" s="1755" t="str">
        <f>CB93&amp;CC93&amp;CD93&amp;CE93&amp;CL93&amp;CM93&amp;CN93&amp;CO93&amp;CP93&amp;CQ93&amp;CR93&amp;CS93&amp;CT93</f>
        <v/>
      </c>
      <c r="CA93" s="603"/>
      <c r="CB93" s="2873" t="str">
        <f t="shared" si="287"/>
        <v/>
      </c>
      <c r="CC93" s="2873" t="str">
        <f t="shared" si="247"/>
        <v/>
      </c>
      <c r="CD93" s="2873" t="str">
        <f t="shared" si="248"/>
        <v/>
      </c>
      <c r="CE93" s="2873" t="str">
        <f t="shared" si="249"/>
        <v/>
      </c>
      <c r="CF93" s="3581"/>
      <c r="CG93" s="3581"/>
      <c r="CH93" s="2872"/>
      <c r="CI93" s="2872"/>
      <c r="CJ93" s="2872"/>
      <c r="CK93" s="3581"/>
      <c r="CL93" s="2873" t="str">
        <f t="shared" si="315"/>
        <v/>
      </c>
      <c r="CM93" s="2873" t="str">
        <f t="shared" si="288"/>
        <v/>
      </c>
      <c r="CN93" s="2873" t="str">
        <f t="shared" si="253"/>
        <v/>
      </c>
      <c r="CO93" s="2873" t="str">
        <f t="shared" si="289"/>
        <v/>
      </c>
      <c r="CP93" s="2873" t="str">
        <f t="shared" si="290"/>
        <v/>
      </c>
      <c r="CQ93" s="2873" t="str">
        <f t="shared" si="291"/>
        <v/>
      </c>
      <c r="CR93" s="2873" t="str">
        <f t="shared" si="292"/>
        <v/>
      </c>
      <c r="CS93" s="2873" t="str">
        <f t="shared" si="293"/>
        <v/>
      </c>
      <c r="CT93" s="2873" t="str">
        <f t="shared" si="294"/>
        <v/>
      </c>
      <c r="CU93" s="3107"/>
      <c r="CV93" s="3107"/>
      <c r="CW93" s="3107"/>
      <c r="CX93" s="3107"/>
      <c r="DE93" s="2718"/>
      <c r="DF93" s="2873">
        <f t="shared" si="299"/>
        <v>0</v>
      </c>
      <c r="DG93" s="3009">
        <f t="shared" si="265"/>
        <v>0</v>
      </c>
      <c r="DH93" s="3009">
        <f t="shared" si="266"/>
        <v>0</v>
      </c>
      <c r="DI93" s="3009">
        <f t="shared" si="267"/>
        <v>0</v>
      </c>
      <c r="DJ93" s="2872"/>
      <c r="DK93" s="2872"/>
      <c r="DL93" s="2872"/>
      <c r="DM93" s="2872"/>
      <c r="DN93" s="2872"/>
      <c r="DO93" s="3107"/>
      <c r="DP93" s="3009">
        <f t="shared" si="300"/>
        <v>0</v>
      </c>
      <c r="DQ93" s="3009">
        <f t="shared" si="301"/>
        <v>0</v>
      </c>
      <c r="DR93" s="3009">
        <f t="shared" si="271"/>
        <v>0</v>
      </c>
      <c r="DS93" s="3009">
        <f t="shared" si="302"/>
        <v>0</v>
      </c>
      <c r="DT93" s="3009">
        <f t="shared" si="303"/>
        <v>0</v>
      </c>
      <c r="DU93" s="3009">
        <f t="shared" si="304"/>
        <v>0</v>
      </c>
      <c r="DV93" s="3009">
        <f t="shared" si="305"/>
        <v>0</v>
      </c>
      <c r="DW93" s="3009">
        <f t="shared" si="306"/>
        <v>0</v>
      </c>
      <c r="DX93" s="3009">
        <f t="shared" si="307"/>
        <v>0</v>
      </c>
      <c r="DY93" s="3107"/>
      <c r="DZ93" s="3107"/>
      <c r="EA93" s="3107"/>
      <c r="EB93" s="3107"/>
    </row>
    <row r="94" spans="1:132" x14ac:dyDescent="0.25">
      <c r="A94" s="3273" t="s">
        <v>2673</v>
      </c>
      <c r="B94" s="2014">
        <f t="shared" ref="B94:C96" si="316">+D94+F94+H94+J94+L94+N94+P94+R94+T94+V94+X94+Z94+AB94+AD94+AF94+AH94+AJ94+AL94+AN94+AP94</f>
        <v>0</v>
      </c>
      <c r="C94" s="3331">
        <f t="shared" si="316"/>
        <v>0</v>
      </c>
      <c r="D94" s="3572"/>
      <c r="E94" s="5342"/>
      <c r="F94" s="5229"/>
      <c r="G94" s="5342"/>
      <c r="H94" s="5229"/>
      <c r="I94" s="5338"/>
      <c r="J94" s="3572"/>
      <c r="K94" s="3572"/>
      <c r="L94" s="5229"/>
      <c r="M94" s="5338"/>
      <c r="N94" s="3572"/>
      <c r="O94" s="5342"/>
      <c r="P94" s="5229"/>
      <c r="Q94" s="5342"/>
      <c r="R94" s="5229"/>
      <c r="S94" s="5342"/>
      <c r="T94" s="5229"/>
      <c r="U94" s="5342"/>
      <c r="V94" s="5229"/>
      <c r="W94" s="5342"/>
      <c r="X94" s="5229"/>
      <c r="Y94" s="5342"/>
      <c r="Z94" s="5229"/>
      <c r="AA94" s="5342"/>
      <c r="AB94" s="5229"/>
      <c r="AC94" s="5342"/>
      <c r="AD94" s="5229"/>
      <c r="AE94" s="5342"/>
      <c r="AF94" s="5229"/>
      <c r="AG94" s="5342"/>
      <c r="AH94" s="5229"/>
      <c r="AI94" s="5342"/>
      <c r="AJ94" s="5229"/>
      <c r="AK94" s="5342"/>
      <c r="AL94" s="5229"/>
      <c r="AM94" s="5342"/>
      <c r="AN94" s="5229"/>
      <c r="AO94" s="5342"/>
      <c r="AP94" s="5229"/>
      <c r="AQ94" s="5336"/>
      <c r="AR94" s="3572"/>
      <c r="AS94" s="5336"/>
      <c r="AT94" s="5337"/>
      <c r="AU94" s="5336"/>
      <c r="AV94" s="3572"/>
      <c r="AW94" s="5338"/>
      <c r="AX94" s="1755" t="str">
        <f>CB94&amp;CC94&amp;CD94&amp;CE94&amp;CK94&amp;CL94&amp;CM94&amp;CN94&amp;CO94&amp;CP94&amp;CQ94&amp;CR94&amp;CS94&amp;CT94&amp;CU94&amp;CV94&amp;CW94&amp;CX94&amp;CF94&amp;CG94&amp;CH94&amp;CI94&amp;CJ94</f>
        <v/>
      </c>
      <c r="CA94" s="603"/>
      <c r="CB94" s="2873" t="str">
        <f t="shared" si="287"/>
        <v/>
      </c>
      <c r="CC94" s="2873" t="str">
        <f t="shared" si="247"/>
        <v/>
      </c>
      <c r="CD94" s="2873" t="str">
        <f t="shared" si="248"/>
        <v/>
      </c>
      <c r="CE94" s="2873" t="str">
        <f t="shared" si="249"/>
        <v/>
      </c>
      <c r="CF94" s="2873" t="str">
        <f t="shared" ref="CF94:CF96" si="317">IF(D94&lt;E94,CONCATENATE("* El total de Procesados debe ser mayor o igual al total de Reactivos en el grupo de edad ",$D$11),"")</f>
        <v/>
      </c>
      <c r="CG94" s="2873" t="str">
        <f t="shared" ref="CG94:CG96" si="318">IF(F94&lt;G94,CONCATENATE("* El total de Procesados debe ser mayor o igual al total de Reactivos en el grupo de edad ",$F$11),"")</f>
        <v/>
      </c>
      <c r="CH94" s="2873" t="str">
        <f t="shared" ref="CH94:CH96" si="319">IF(H94&lt;I94,CONCATENATE("* El total de Procesados debe ser mayor o igual al total de Reactivos en el grupo de edad ",$H$11),"")</f>
        <v/>
      </c>
      <c r="CI94" s="2873" t="str">
        <f t="shared" ref="CI94:CI96" si="320">IF(J94&lt;K94,CONCATENATE("* El total de Procesados debe ser mayor o igual al total de Reactivos en el grupo de edad ",$J$11),"")</f>
        <v/>
      </c>
      <c r="CJ94" s="2873" t="str">
        <f t="shared" ref="CJ94:CJ96" si="321">IF(L94&lt;M94,CONCATENATE("* El total de Procesados debe ser mayor o igual al total de Reactivos en el grupo de edad ",$L$11),"")</f>
        <v/>
      </c>
      <c r="CK94" s="2873" t="str">
        <f t="shared" ref="CK94:CK96" si="322">IF(N94&lt;O94,CONCATENATE("* El total de Procesados debe ser mayor o igual al total de Reactivos en el grupo de edad ",$N$11),"")</f>
        <v/>
      </c>
      <c r="CL94" s="2873" t="str">
        <f t="shared" si="315"/>
        <v/>
      </c>
      <c r="CM94" s="2873" t="str">
        <f t="shared" si="288"/>
        <v/>
      </c>
      <c r="CN94" s="2873" t="str">
        <f t="shared" si="253"/>
        <v/>
      </c>
      <c r="CO94" s="2873" t="str">
        <f t="shared" si="289"/>
        <v/>
      </c>
      <c r="CP94" s="2873" t="str">
        <f t="shared" si="290"/>
        <v/>
      </c>
      <c r="CQ94" s="2873" t="str">
        <f t="shared" si="291"/>
        <v/>
      </c>
      <c r="CR94" s="2873" t="str">
        <f t="shared" si="292"/>
        <v/>
      </c>
      <c r="CS94" s="2873" t="str">
        <f t="shared" si="293"/>
        <v/>
      </c>
      <c r="CT94" s="2873" t="str">
        <f t="shared" si="294"/>
        <v/>
      </c>
      <c r="CU94" s="2873" t="str">
        <f t="shared" ref="CU94:CU96" si="323">IF(AJ94&lt;AK94,CONCATENATE("* El total de Procesados debe ser mayor o igual al total de Reactivos en el grupo de edad ",$AJ$11),"")</f>
        <v/>
      </c>
      <c r="CV94" s="2873" t="str">
        <f t="shared" ref="CV94:CV96" si="324">IF(AL94&lt;AM94,CONCATENATE("* El total de Procesados debe ser mayor o igual al total de Reactivos en el grupo de edad ",$AL$11),"")</f>
        <v/>
      </c>
      <c r="CW94" s="2873" t="str">
        <f t="shared" ref="CW94:CW96" si="325">IF(AN94&lt;AO94,CONCATENATE("* El total de Procesados debe ser mayor o igual al total de Reactivos en el grupo de edad ",$AN$11),"")</f>
        <v/>
      </c>
      <c r="CX94" s="2873" t="str">
        <f t="shared" ref="CX94:CX96" si="326">IF(AP94&lt;AQ94,CONCATENATE("* El total de Procesados debe ser mayor o igual al total de Reactivos en el grupo de edad ",$AP$11),"")</f>
        <v/>
      </c>
      <c r="DE94" s="2718"/>
      <c r="DF94" s="2873">
        <f t="shared" si="299"/>
        <v>0</v>
      </c>
      <c r="DG94" s="3009">
        <f t="shared" si="265"/>
        <v>0</v>
      </c>
      <c r="DH94" s="3009">
        <f t="shared" si="266"/>
        <v>0</v>
      </c>
      <c r="DI94" s="3009">
        <f t="shared" si="267"/>
        <v>0</v>
      </c>
      <c r="DJ94" s="3009">
        <f t="shared" ref="DJ94:DJ96" si="327">IF(D94&lt;E94,1,0)</f>
        <v>0</v>
      </c>
      <c r="DK94" s="3009">
        <f t="shared" ref="DK94:DK96" si="328">IF(F94&lt;G94,1,0)</f>
        <v>0</v>
      </c>
      <c r="DL94" s="3009">
        <f t="shared" ref="DL94:DL96" si="329">IF(H94&lt;I94,1,0)</f>
        <v>0</v>
      </c>
      <c r="DM94" s="3009">
        <f t="shared" ref="DM94:DM96" si="330">IF(J94&lt;K94,1,0)</f>
        <v>0</v>
      </c>
      <c r="DN94" s="3009">
        <f t="shared" ref="DN94:DN96" si="331">IF(L94&lt;M94,1,0)</f>
        <v>0</v>
      </c>
      <c r="DO94" s="3009">
        <f t="shared" ref="DO94:DO96" si="332">IF(N94&lt;O94,1,0)</f>
        <v>0</v>
      </c>
      <c r="DP94" s="3009">
        <f t="shared" si="300"/>
        <v>0</v>
      </c>
      <c r="DQ94" s="3009">
        <f t="shared" si="301"/>
        <v>0</v>
      </c>
      <c r="DR94" s="3009">
        <f t="shared" si="271"/>
        <v>0</v>
      </c>
      <c r="DS94" s="3009">
        <f t="shared" si="302"/>
        <v>0</v>
      </c>
      <c r="DT94" s="3009">
        <f t="shared" si="303"/>
        <v>0</v>
      </c>
      <c r="DU94" s="3009">
        <f t="shared" si="304"/>
        <v>0</v>
      </c>
      <c r="DV94" s="3009">
        <f t="shared" si="305"/>
        <v>0</v>
      </c>
      <c r="DW94" s="3009">
        <f t="shared" si="306"/>
        <v>0</v>
      </c>
      <c r="DX94" s="3009">
        <f t="shared" si="307"/>
        <v>0</v>
      </c>
      <c r="DY94" s="3009">
        <f t="shared" ref="DY94:DY96" si="333">IF(AJ94&lt;AK94,1,0)</f>
        <v>0</v>
      </c>
      <c r="DZ94" s="3009">
        <f t="shared" ref="DZ94:DZ96" si="334">IF(AL94&lt;AM94,1,0)</f>
        <v>0</v>
      </c>
      <c r="EA94" s="3009">
        <f t="shared" ref="EA94:EA96" si="335">IF(AN94&lt;AO94,1,0)</f>
        <v>0</v>
      </c>
      <c r="EB94" s="3009">
        <f t="shared" ref="EB94:EB96" si="336">IF(AP94&lt;AQ94,1,0)</f>
        <v>0</v>
      </c>
    </row>
    <row r="95" spans="1:132" x14ac:dyDescent="0.25">
      <c r="A95" s="3273" t="s">
        <v>2674</v>
      </c>
      <c r="B95" s="2014">
        <f t="shared" si="316"/>
        <v>0</v>
      </c>
      <c r="C95" s="3331">
        <f t="shared" si="316"/>
        <v>0</v>
      </c>
      <c r="D95" s="3572"/>
      <c r="E95" s="5342"/>
      <c r="F95" s="5229"/>
      <c r="G95" s="5342"/>
      <c r="H95" s="5229"/>
      <c r="I95" s="5338"/>
      <c r="J95" s="3572"/>
      <c r="K95" s="3572"/>
      <c r="L95" s="5229"/>
      <c r="M95" s="5338"/>
      <c r="N95" s="3572"/>
      <c r="O95" s="5342"/>
      <c r="P95" s="5229"/>
      <c r="Q95" s="5342"/>
      <c r="R95" s="5229"/>
      <c r="S95" s="5342"/>
      <c r="T95" s="5229"/>
      <c r="U95" s="5342"/>
      <c r="V95" s="5229"/>
      <c r="W95" s="5342"/>
      <c r="X95" s="5229"/>
      <c r="Y95" s="5342"/>
      <c r="Z95" s="5229"/>
      <c r="AA95" s="5342"/>
      <c r="AB95" s="5229"/>
      <c r="AC95" s="5342"/>
      <c r="AD95" s="5229"/>
      <c r="AE95" s="5342"/>
      <c r="AF95" s="5229"/>
      <c r="AG95" s="5342"/>
      <c r="AH95" s="5229"/>
      <c r="AI95" s="5342"/>
      <c r="AJ95" s="5229"/>
      <c r="AK95" s="5342"/>
      <c r="AL95" s="5229"/>
      <c r="AM95" s="5342"/>
      <c r="AN95" s="5229"/>
      <c r="AO95" s="5342"/>
      <c r="AP95" s="5229"/>
      <c r="AQ95" s="5336"/>
      <c r="AR95" s="3572"/>
      <c r="AS95" s="5336"/>
      <c r="AT95" s="5337"/>
      <c r="AU95" s="5336"/>
      <c r="AV95" s="3572"/>
      <c r="AW95" s="5338"/>
      <c r="AX95" s="1755" t="str">
        <f t="shared" ref="AX95:AX96" si="337">CB95&amp;CC95&amp;CD95&amp;CE95&amp;CK95&amp;CL95&amp;CM95&amp;CN95&amp;CO95&amp;CP95&amp;CQ95&amp;CR95&amp;CS95&amp;CT95&amp;CU95&amp;CV95&amp;CW95&amp;CX95&amp;CF95&amp;CG95&amp;CH95&amp;CI95&amp;CJ95</f>
        <v/>
      </c>
      <c r="CA95" s="603"/>
      <c r="CB95" s="2873" t="str">
        <f t="shared" si="287"/>
        <v/>
      </c>
      <c r="CC95" s="2873" t="str">
        <f t="shared" si="247"/>
        <v/>
      </c>
      <c r="CD95" s="2873" t="str">
        <f t="shared" si="248"/>
        <v/>
      </c>
      <c r="CE95" s="2873" t="str">
        <f t="shared" si="249"/>
        <v/>
      </c>
      <c r="CF95" s="2873" t="str">
        <f t="shared" si="317"/>
        <v/>
      </c>
      <c r="CG95" s="2873" t="str">
        <f t="shared" si="318"/>
        <v/>
      </c>
      <c r="CH95" s="2873" t="str">
        <f t="shared" si="319"/>
        <v/>
      </c>
      <c r="CI95" s="2873" t="str">
        <f t="shared" si="320"/>
        <v/>
      </c>
      <c r="CJ95" s="2873" t="str">
        <f t="shared" si="321"/>
        <v/>
      </c>
      <c r="CK95" s="2873" t="str">
        <f t="shared" si="322"/>
        <v/>
      </c>
      <c r="CL95" s="2873" t="str">
        <f t="shared" si="315"/>
        <v/>
      </c>
      <c r="CM95" s="2873" t="str">
        <f t="shared" si="288"/>
        <v/>
      </c>
      <c r="CN95" s="2873" t="str">
        <f t="shared" si="253"/>
        <v/>
      </c>
      <c r="CO95" s="2873" t="str">
        <f t="shared" si="289"/>
        <v/>
      </c>
      <c r="CP95" s="2873" t="str">
        <f t="shared" si="290"/>
        <v/>
      </c>
      <c r="CQ95" s="2873" t="str">
        <f t="shared" si="291"/>
        <v/>
      </c>
      <c r="CR95" s="2873" t="str">
        <f t="shared" si="292"/>
        <v/>
      </c>
      <c r="CS95" s="2873" t="str">
        <f t="shared" si="293"/>
        <v/>
      </c>
      <c r="CT95" s="2873" t="str">
        <f t="shared" si="294"/>
        <v/>
      </c>
      <c r="CU95" s="2873" t="str">
        <f t="shared" si="323"/>
        <v/>
      </c>
      <c r="CV95" s="2873" t="str">
        <f t="shared" si="324"/>
        <v/>
      </c>
      <c r="CW95" s="2873" t="str">
        <f t="shared" si="325"/>
        <v/>
      </c>
      <c r="CX95" s="2873" t="str">
        <f t="shared" si="326"/>
        <v/>
      </c>
      <c r="DE95" s="2718"/>
      <c r="DF95" s="2873">
        <f t="shared" si="299"/>
        <v>0</v>
      </c>
      <c r="DG95" s="3009">
        <f t="shared" si="265"/>
        <v>0</v>
      </c>
      <c r="DH95" s="3009">
        <f t="shared" si="266"/>
        <v>0</v>
      </c>
      <c r="DI95" s="3009">
        <f t="shared" si="267"/>
        <v>0</v>
      </c>
      <c r="DJ95" s="3009">
        <f t="shared" si="327"/>
        <v>0</v>
      </c>
      <c r="DK95" s="3009">
        <f t="shared" si="328"/>
        <v>0</v>
      </c>
      <c r="DL95" s="3009">
        <f t="shared" si="329"/>
        <v>0</v>
      </c>
      <c r="DM95" s="3009">
        <f t="shared" si="330"/>
        <v>0</v>
      </c>
      <c r="DN95" s="3009">
        <f t="shared" si="331"/>
        <v>0</v>
      </c>
      <c r="DO95" s="3009">
        <f t="shared" si="332"/>
        <v>0</v>
      </c>
      <c r="DP95" s="3009">
        <f t="shared" si="300"/>
        <v>0</v>
      </c>
      <c r="DQ95" s="3009">
        <f t="shared" si="301"/>
        <v>0</v>
      </c>
      <c r="DR95" s="3009">
        <f t="shared" si="271"/>
        <v>0</v>
      </c>
      <c r="DS95" s="3009">
        <f t="shared" si="302"/>
        <v>0</v>
      </c>
      <c r="DT95" s="3009">
        <f t="shared" si="303"/>
        <v>0</v>
      </c>
      <c r="DU95" s="3009">
        <f t="shared" si="304"/>
        <v>0</v>
      </c>
      <c r="DV95" s="3009">
        <f t="shared" si="305"/>
        <v>0</v>
      </c>
      <c r="DW95" s="3009">
        <f t="shared" si="306"/>
        <v>0</v>
      </c>
      <c r="DX95" s="3009">
        <f t="shared" si="307"/>
        <v>0</v>
      </c>
      <c r="DY95" s="3009">
        <f t="shared" si="333"/>
        <v>0</v>
      </c>
      <c r="DZ95" s="3009">
        <f t="shared" si="334"/>
        <v>0</v>
      </c>
      <c r="EA95" s="3009">
        <f t="shared" si="335"/>
        <v>0</v>
      </c>
      <c r="EB95" s="3009">
        <f t="shared" si="336"/>
        <v>0</v>
      </c>
    </row>
    <row r="96" spans="1:132" x14ac:dyDescent="0.25">
      <c r="A96" s="5351" t="s">
        <v>2675</v>
      </c>
      <c r="B96" s="5298">
        <f t="shared" si="316"/>
        <v>0</v>
      </c>
      <c r="C96" s="5299">
        <f t="shared" si="316"/>
        <v>0</v>
      </c>
      <c r="D96" s="288"/>
      <c r="E96" s="3585"/>
      <c r="F96" s="3586"/>
      <c r="G96" s="3585"/>
      <c r="H96" s="3586"/>
      <c r="I96" s="3587"/>
      <c r="J96" s="288"/>
      <c r="K96" s="288"/>
      <c r="L96" s="3586"/>
      <c r="M96" s="3587"/>
      <c r="N96" s="288"/>
      <c r="O96" s="3585"/>
      <c r="P96" s="3586"/>
      <c r="Q96" s="3585"/>
      <c r="R96" s="3586"/>
      <c r="S96" s="3585"/>
      <c r="T96" s="3586"/>
      <c r="U96" s="3585"/>
      <c r="V96" s="3586"/>
      <c r="W96" s="3585"/>
      <c r="X96" s="3586"/>
      <c r="Y96" s="3585"/>
      <c r="Z96" s="3586"/>
      <c r="AA96" s="3585"/>
      <c r="AB96" s="3586"/>
      <c r="AC96" s="3585"/>
      <c r="AD96" s="3586"/>
      <c r="AE96" s="3585"/>
      <c r="AF96" s="3586"/>
      <c r="AG96" s="3585"/>
      <c r="AH96" s="3586"/>
      <c r="AI96" s="3585"/>
      <c r="AJ96" s="3586"/>
      <c r="AK96" s="3585"/>
      <c r="AL96" s="3586"/>
      <c r="AM96" s="3585"/>
      <c r="AN96" s="3586"/>
      <c r="AO96" s="3585"/>
      <c r="AP96" s="3586"/>
      <c r="AQ96" s="3588"/>
      <c r="AR96" s="288"/>
      <c r="AS96" s="3588"/>
      <c r="AT96" s="3589"/>
      <c r="AU96" s="3588"/>
      <c r="AV96" s="288"/>
      <c r="AW96" s="3587"/>
      <c r="AX96" s="1755" t="str">
        <f t="shared" si="337"/>
        <v/>
      </c>
      <c r="CA96" s="603"/>
      <c r="CB96" s="2873" t="str">
        <f t="shared" si="287"/>
        <v/>
      </c>
      <c r="CC96" s="2873" t="str">
        <f t="shared" si="247"/>
        <v/>
      </c>
      <c r="CD96" s="2873" t="str">
        <f t="shared" si="248"/>
        <v/>
      </c>
      <c r="CE96" s="2873" t="str">
        <f t="shared" si="249"/>
        <v/>
      </c>
      <c r="CF96" s="2873" t="str">
        <f t="shared" si="317"/>
        <v/>
      </c>
      <c r="CG96" s="2873" t="str">
        <f t="shared" si="318"/>
        <v/>
      </c>
      <c r="CH96" s="2873" t="str">
        <f t="shared" si="319"/>
        <v/>
      </c>
      <c r="CI96" s="2873" t="str">
        <f t="shared" si="320"/>
        <v/>
      </c>
      <c r="CJ96" s="2873" t="str">
        <f t="shared" si="321"/>
        <v/>
      </c>
      <c r="CK96" s="2873" t="str">
        <f t="shared" si="322"/>
        <v/>
      </c>
      <c r="CL96" s="2873" t="str">
        <f t="shared" si="315"/>
        <v/>
      </c>
      <c r="CM96" s="2873" t="str">
        <f t="shared" si="288"/>
        <v/>
      </c>
      <c r="CN96" s="2873" t="str">
        <f t="shared" si="253"/>
        <v/>
      </c>
      <c r="CO96" s="2873" t="str">
        <f t="shared" si="289"/>
        <v/>
      </c>
      <c r="CP96" s="2873" t="str">
        <f t="shared" si="290"/>
        <v/>
      </c>
      <c r="CQ96" s="2873" t="str">
        <f t="shared" si="291"/>
        <v/>
      </c>
      <c r="CR96" s="2873" t="str">
        <f t="shared" si="292"/>
        <v/>
      </c>
      <c r="CS96" s="2873" t="str">
        <f t="shared" si="293"/>
        <v/>
      </c>
      <c r="CT96" s="2873" t="str">
        <f t="shared" si="294"/>
        <v/>
      </c>
      <c r="CU96" s="2873" t="str">
        <f t="shared" si="323"/>
        <v/>
      </c>
      <c r="CV96" s="2873" t="str">
        <f t="shared" si="324"/>
        <v/>
      </c>
      <c r="CW96" s="2873" t="str">
        <f t="shared" si="325"/>
        <v/>
      </c>
      <c r="CX96" s="2873" t="str">
        <f t="shared" si="326"/>
        <v/>
      </c>
      <c r="DE96" s="2718"/>
      <c r="DF96" s="2873">
        <f t="shared" si="299"/>
        <v>0</v>
      </c>
      <c r="DG96" s="3009">
        <f t="shared" si="265"/>
        <v>0</v>
      </c>
      <c r="DH96" s="3009">
        <f t="shared" si="266"/>
        <v>0</v>
      </c>
      <c r="DI96" s="3009">
        <f t="shared" si="267"/>
        <v>0</v>
      </c>
      <c r="DJ96" s="3009">
        <f t="shared" si="327"/>
        <v>0</v>
      </c>
      <c r="DK96" s="3009">
        <f t="shared" si="328"/>
        <v>0</v>
      </c>
      <c r="DL96" s="3009">
        <f t="shared" si="329"/>
        <v>0</v>
      </c>
      <c r="DM96" s="3009">
        <f t="shared" si="330"/>
        <v>0</v>
      </c>
      <c r="DN96" s="3009">
        <f t="shared" si="331"/>
        <v>0</v>
      </c>
      <c r="DO96" s="3009">
        <f t="shared" si="332"/>
        <v>0</v>
      </c>
      <c r="DP96" s="3009">
        <f t="shared" si="300"/>
        <v>0</v>
      </c>
      <c r="DQ96" s="3009">
        <f t="shared" si="301"/>
        <v>0</v>
      </c>
      <c r="DR96" s="3009">
        <f t="shared" si="271"/>
        <v>0</v>
      </c>
      <c r="DS96" s="3009">
        <f t="shared" si="302"/>
        <v>0</v>
      </c>
      <c r="DT96" s="3009">
        <f t="shared" si="303"/>
        <v>0</v>
      </c>
      <c r="DU96" s="3009">
        <f t="shared" si="304"/>
        <v>0</v>
      </c>
      <c r="DV96" s="3009">
        <f t="shared" si="305"/>
        <v>0</v>
      </c>
      <c r="DW96" s="3009">
        <f t="shared" si="306"/>
        <v>0</v>
      </c>
      <c r="DX96" s="3009">
        <f t="shared" si="307"/>
        <v>0</v>
      </c>
      <c r="DY96" s="3009">
        <f t="shared" si="333"/>
        <v>0</v>
      </c>
      <c r="DZ96" s="3009">
        <f t="shared" si="334"/>
        <v>0</v>
      </c>
      <c r="EA96" s="3009">
        <f t="shared" si="335"/>
        <v>0</v>
      </c>
      <c r="EB96" s="3009">
        <f t="shared" si="336"/>
        <v>0</v>
      </c>
    </row>
    <row r="97" spans="1:132" ht="18" customHeight="1" x14ac:dyDescent="0.25">
      <c r="A97" s="5349" t="s">
        <v>2679</v>
      </c>
      <c r="B97" s="5349"/>
      <c r="C97" s="5349"/>
      <c r="D97" s="5349"/>
      <c r="E97" s="5349"/>
      <c r="F97" s="5349"/>
      <c r="G97" s="5349"/>
      <c r="H97" s="5349"/>
      <c r="I97" s="5349"/>
      <c r="J97" s="5349"/>
      <c r="K97" s="5349"/>
      <c r="L97" s="5349"/>
      <c r="M97" s="5349"/>
      <c r="N97" s="5349"/>
      <c r="O97" s="5349"/>
      <c r="P97" s="5349"/>
      <c r="Q97" s="5349"/>
      <c r="R97" s="5349"/>
      <c r="S97" s="5349"/>
      <c r="T97" s="5349"/>
      <c r="U97" s="5349"/>
      <c r="V97" s="5349"/>
      <c r="W97" s="5349"/>
      <c r="X97" s="5349"/>
      <c r="Y97" s="5349"/>
      <c r="Z97" s="5349"/>
      <c r="AA97" s="5349"/>
      <c r="AB97" s="5349"/>
      <c r="AC97" s="5349"/>
      <c r="AD97" s="5349"/>
      <c r="AE97" s="5349"/>
      <c r="AF97" s="5349"/>
      <c r="AG97" s="5349"/>
      <c r="AH97" s="5349"/>
      <c r="AI97" s="5349"/>
      <c r="AJ97" s="5349"/>
      <c r="AK97" s="5349"/>
      <c r="AL97" s="5349"/>
      <c r="AM97" s="5349"/>
      <c r="AN97" s="5349"/>
      <c r="AO97" s="5349"/>
      <c r="AP97" s="5349"/>
      <c r="AQ97" s="5349"/>
      <c r="AR97" s="603"/>
      <c r="AS97" s="603"/>
      <c r="AT97" s="603"/>
      <c r="AU97" s="603"/>
      <c r="AV97" s="603"/>
      <c r="AW97" s="603"/>
    </row>
    <row r="98" spans="1:132" x14ac:dyDescent="0.25">
      <c r="A98" s="7745" t="s">
        <v>2654</v>
      </c>
      <c r="B98" s="7728" t="s">
        <v>24</v>
      </c>
      <c r="C98" s="7729"/>
      <c r="D98" s="7740" t="s">
        <v>12</v>
      </c>
      <c r="E98" s="7741"/>
      <c r="F98" s="7741"/>
      <c r="G98" s="7741"/>
      <c r="H98" s="7741"/>
      <c r="I98" s="7741"/>
      <c r="J98" s="7741"/>
      <c r="K98" s="7741"/>
      <c r="L98" s="7741"/>
      <c r="M98" s="7741"/>
      <c r="N98" s="7741"/>
      <c r="O98" s="7741"/>
      <c r="P98" s="7741"/>
      <c r="Q98" s="7741"/>
      <c r="R98" s="7741"/>
      <c r="S98" s="7741"/>
      <c r="T98" s="7741"/>
      <c r="U98" s="7741"/>
      <c r="V98" s="7741"/>
      <c r="W98" s="7741"/>
      <c r="X98" s="7741"/>
      <c r="Y98" s="7741"/>
      <c r="Z98" s="7741"/>
      <c r="AA98" s="7741"/>
      <c r="AB98" s="7741"/>
      <c r="AC98" s="7741"/>
      <c r="AD98" s="7741"/>
      <c r="AE98" s="7741"/>
      <c r="AF98" s="7741"/>
      <c r="AG98" s="7741"/>
      <c r="AH98" s="7741"/>
      <c r="AI98" s="7741"/>
      <c r="AJ98" s="7741"/>
      <c r="AK98" s="7741"/>
      <c r="AL98" s="7741"/>
      <c r="AM98" s="7741"/>
      <c r="AN98" s="7741"/>
      <c r="AO98" s="7741"/>
      <c r="AP98" s="7741"/>
      <c r="AQ98" s="7752"/>
      <c r="AR98" s="7748" t="s">
        <v>2655</v>
      </c>
      <c r="AS98" s="7751"/>
      <c r="AT98" s="7746" t="s">
        <v>48</v>
      </c>
      <c r="AU98" s="7722"/>
      <c r="AV98" s="7670" t="s">
        <v>2</v>
      </c>
      <c r="AW98" s="7672" t="s">
        <v>3</v>
      </c>
    </row>
    <row r="99" spans="1:132" x14ac:dyDescent="0.25">
      <c r="A99" s="7151"/>
      <c r="B99" s="7292"/>
      <c r="C99" s="7293"/>
      <c r="D99" s="7743" t="s">
        <v>3777</v>
      </c>
      <c r="E99" s="7748"/>
      <c r="F99" s="7743" t="s">
        <v>53</v>
      </c>
      <c r="G99" s="7748"/>
      <c r="H99" s="7743" t="s">
        <v>54</v>
      </c>
      <c r="I99" s="7744"/>
      <c r="J99" s="7748" t="s">
        <v>55</v>
      </c>
      <c r="K99" s="7748"/>
      <c r="L99" s="7743" t="s">
        <v>56</v>
      </c>
      <c r="M99" s="7748"/>
      <c r="N99" s="7743" t="s">
        <v>38</v>
      </c>
      <c r="O99" s="7748"/>
      <c r="P99" s="7743" t="s">
        <v>4</v>
      </c>
      <c r="Q99" s="7748"/>
      <c r="R99" s="7743" t="s">
        <v>5</v>
      </c>
      <c r="S99" s="7748"/>
      <c r="T99" s="7743" t="s">
        <v>6</v>
      </c>
      <c r="U99" s="7744"/>
      <c r="V99" s="7743" t="s">
        <v>7</v>
      </c>
      <c r="W99" s="7744"/>
      <c r="X99" s="7743" t="s">
        <v>8</v>
      </c>
      <c r="Y99" s="7744"/>
      <c r="Z99" s="7743" t="s">
        <v>9</v>
      </c>
      <c r="AA99" s="7744"/>
      <c r="AB99" s="7743" t="s">
        <v>10</v>
      </c>
      <c r="AC99" s="7744"/>
      <c r="AD99" s="7743" t="s">
        <v>11</v>
      </c>
      <c r="AE99" s="7744"/>
      <c r="AF99" s="7743" t="s">
        <v>18</v>
      </c>
      <c r="AG99" s="7744"/>
      <c r="AH99" s="7743" t="s">
        <v>19</v>
      </c>
      <c r="AI99" s="7744"/>
      <c r="AJ99" s="7743" t="s">
        <v>20</v>
      </c>
      <c r="AK99" s="7744"/>
      <c r="AL99" s="7743" t="s">
        <v>70</v>
      </c>
      <c r="AM99" s="7744"/>
      <c r="AN99" s="7743" t="s">
        <v>71</v>
      </c>
      <c r="AO99" s="7744"/>
      <c r="AP99" s="7743" t="s">
        <v>32</v>
      </c>
      <c r="AQ99" s="7751"/>
      <c r="AR99" s="7670" t="s">
        <v>22</v>
      </c>
      <c r="AS99" s="7749" t="s">
        <v>27</v>
      </c>
      <c r="AT99" s="7723"/>
      <c r="AU99" s="7724"/>
      <c r="AV99" s="7747"/>
      <c r="AW99" s="6472"/>
    </row>
    <row r="100" spans="1:132" x14ac:dyDescent="0.25">
      <c r="A100" s="7150"/>
      <c r="B100" s="5327" t="s">
        <v>2656</v>
      </c>
      <c r="C100" s="5326" t="s">
        <v>2657</v>
      </c>
      <c r="D100" s="5324" t="s">
        <v>2656</v>
      </c>
      <c r="E100" s="5325" t="s">
        <v>2657</v>
      </c>
      <c r="F100" s="5324" t="s">
        <v>2656</v>
      </c>
      <c r="G100" s="5325" t="s">
        <v>2657</v>
      </c>
      <c r="H100" s="5324" t="s">
        <v>2656</v>
      </c>
      <c r="I100" s="5326" t="s">
        <v>2657</v>
      </c>
      <c r="J100" s="5327" t="s">
        <v>2656</v>
      </c>
      <c r="K100" s="5325" t="s">
        <v>2657</v>
      </c>
      <c r="L100" s="5324" t="s">
        <v>2656</v>
      </c>
      <c r="M100" s="5325" t="s">
        <v>2657</v>
      </c>
      <c r="N100" s="5324" t="s">
        <v>2656</v>
      </c>
      <c r="O100" s="5325" t="s">
        <v>2657</v>
      </c>
      <c r="P100" s="5324" t="s">
        <v>2656</v>
      </c>
      <c r="Q100" s="5325" t="s">
        <v>2657</v>
      </c>
      <c r="R100" s="5324" t="s">
        <v>2656</v>
      </c>
      <c r="S100" s="5325" t="s">
        <v>2657</v>
      </c>
      <c r="T100" s="5324" t="s">
        <v>2656</v>
      </c>
      <c r="U100" s="5325" t="s">
        <v>2657</v>
      </c>
      <c r="V100" s="5324" t="s">
        <v>2656</v>
      </c>
      <c r="W100" s="5325" t="s">
        <v>2657</v>
      </c>
      <c r="X100" s="5324" t="s">
        <v>2656</v>
      </c>
      <c r="Y100" s="5325" t="s">
        <v>2657</v>
      </c>
      <c r="Z100" s="5324" t="s">
        <v>2656</v>
      </c>
      <c r="AA100" s="5325" t="s">
        <v>2657</v>
      </c>
      <c r="AB100" s="5324" t="s">
        <v>2656</v>
      </c>
      <c r="AC100" s="5325" t="s">
        <v>2657</v>
      </c>
      <c r="AD100" s="5324" t="s">
        <v>2656</v>
      </c>
      <c r="AE100" s="5325" t="s">
        <v>2657</v>
      </c>
      <c r="AF100" s="5324" t="s">
        <v>2656</v>
      </c>
      <c r="AG100" s="5325" t="s">
        <v>2657</v>
      </c>
      <c r="AH100" s="5324" t="s">
        <v>2656</v>
      </c>
      <c r="AI100" s="5325" t="s">
        <v>2657</v>
      </c>
      <c r="AJ100" s="5324" t="s">
        <v>2656</v>
      </c>
      <c r="AK100" s="5325" t="s">
        <v>2657</v>
      </c>
      <c r="AL100" s="5324" t="s">
        <v>2656</v>
      </c>
      <c r="AM100" s="5325" t="s">
        <v>2657</v>
      </c>
      <c r="AN100" s="5324" t="s">
        <v>2656</v>
      </c>
      <c r="AO100" s="5325" t="s">
        <v>2657</v>
      </c>
      <c r="AP100" s="5324" t="s">
        <v>2656</v>
      </c>
      <c r="AQ100" s="5328" t="s">
        <v>2657</v>
      </c>
      <c r="AR100" s="7671"/>
      <c r="AS100" s="7750"/>
      <c r="AT100" s="4991" t="s">
        <v>41</v>
      </c>
      <c r="AU100" s="5329" t="s">
        <v>42</v>
      </c>
      <c r="AV100" s="7671"/>
      <c r="AW100" s="7287"/>
    </row>
    <row r="101" spans="1:132" x14ac:dyDescent="0.25">
      <c r="A101" s="5350" t="s">
        <v>2658</v>
      </c>
      <c r="B101" s="5331">
        <f t="shared" ref="B101:C108" si="338">+N101+P101+R101+T101+V101+X101+Z101+AB101+AD101+AF101+AH101+AJ101+AL101+AN101+AP101</f>
        <v>0</v>
      </c>
      <c r="C101" s="5332">
        <f t="shared" si="338"/>
        <v>0</v>
      </c>
      <c r="D101" s="3568"/>
      <c r="E101" s="5340"/>
      <c r="F101" s="5339"/>
      <c r="G101" s="5340"/>
      <c r="H101" s="5339"/>
      <c r="I101" s="5340"/>
      <c r="J101" s="5339"/>
      <c r="K101" s="5340"/>
      <c r="L101" s="5339"/>
      <c r="M101" s="5341"/>
      <c r="N101" s="3572"/>
      <c r="O101" s="5342"/>
      <c r="P101" s="5229"/>
      <c r="Q101" s="5342"/>
      <c r="R101" s="5229"/>
      <c r="S101" s="5342"/>
      <c r="T101" s="5229"/>
      <c r="U101" s="5342"/>
      <c r="V101" s="5229"/>
      <c r="W101" s="5342"/>
      <c r="X101" s="5229"/>
      <c r="Y101" s="5342"/>
      <c r="Z101" s="5229"/>
      <c r="AA101" s="5342"/>
      <c r="AB101" s="5229"/>
      <c r="AC101" s="5342"/>
      <c r="AD101" s="5229"/>
      <c r="AE101" s="5342"/>
      <c r="AF101" s="5229"/>
      <c r="AG101" s="5342"/>
      <c r="AH101" s="5229"/>
      <c r="AI101" s="5342"/>
      <c r="AJ101" s="5229"/>
      <c r="AK101" s="5342"/>
      <c r="AL101" s="5229"/>
      <c r="AM101" s="5342"/>
      <c r="AN101" s="5229"/>
      <c r="AO101" s="5342"/>
      <c r="AP101" s="5229"/>
      <c r="AQ101" s="5336"/>
      <c r="AR101" s="3576"/>
      <c r="AS101" s="5336"/>
      <c r="AT101" s="5337"/>
      <c r="AU101" s="5336"/>
      <c r="AV101" s="3572"/>
      <c r="AW101" s="5338"/>
      <c r="AX101" s="1755" t="str">
        <f>CB101&amp;CC101&amp;CD101&amp;CE101&amp;CK101&amp;CL101&amp;CM101&amp;CN101&amp;CO101&amp;CP101&amp;CQ101&amp;CR101&amp;CS101&amp;CT101&amp;CU101&amp;CV101&amp;CW101&amp;CX101</f>
        <v/>
      </c>
      <c r="CA101" s="603"/>
      <c r="CB101" s="4928" t="str">
        <f>IF(B101&lt;&gt;(AS101)," * La suma de las columnas "&amp;AR$10&amp;""&amp;" DEBE SER IGUAL a los Exámenes Procesados. ","")</f>
        <v/>
      </c>
      <c r="CC101" s="2873" t="str">
        <f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D101" s="2873" t="str">
        <f>IF(AND($B101&gt;0,AV101=""),"* No olvide ingresar la columna "&amp;AV$10&amp;""&amp;" *(Digite CERO si no tiene). ",IF(AV101&gt;$B101," *El Número de "&amp;AV$10&amp;""&amp;" no puede superar el Total Procesados. ",""))</f>
        <v/>
      </c>
      <c r="CE101" s="2873" t="str">
        <f>IF(AND($B101&gt;0,AW101=""),"* No olvide ingresar la columna "&amp;AW$10&amp;""&amp;" *(Digite CERO si no tiene). ",IF(AW101&gt;$B101," *El Número de "&amp;AW$10&amp;""&amp;" no puede superar el Total Procesados. ",""))</f>
        <v/>
      </c>
      <c r="CF101" s="3107"/>
      <c r="CG101" s="3107"/>
      <c r="CH101" s="3107"/>
      <c r="CI101" s="3107"/>
      <c r="CJ101" s="3107"/>
      <c r="CK101" s="2873" t="str">
        <f>IF(N101&lt;O101,CONCATENATE("* El total de Procesados debe ser mayor o igual al total de Reactivos en el grupo de edad ",$N$11),"")</f>
        <v/>
      </c>
      <c r="CL101" s="2873" t="str">
        <f>IF(P101&lt;Q101,CONCATENATE("* El total de Procesados debe ser mayor o igual al total de Reactivos en el grupo de edad ",$P$11),"")</f>
        <v/>
      </c>
      <c r="CM101" s="2873" t="str">
        <f>IF(R101&lt;S101,CONCATENATE("* El total de Procesados debe ser mayor o igual al total de Reactivos en el grupo de edad ",$R$11),"")</f>
        <v/>
      </c>
      <c r="CN101" s="2873" t="str">
        <f>IF($T101&lt;$U101,CONCATENATE("* El total de Procesados debe ser mayor o igual al total de Reactivos en el grupo de edad ",$T$11),"")</f>
        <v/>
      </c>
      <c r="CO101" s="2873" t="str">
        <f>IF(V101&lt;W101,CONCATENATE("* El total de Procesados debe ser mayor o igual al total de Reactivos en el grupo de edad ",$V$11),"")</f>
        <v/>
      </c>
      <c r="CP101" s="2873" t="str">
        <f>IF(X101&lt;Y101,CONCATENATE("* El total de Procesados debe ser mayor o igual al total de Reactivos en el grupo de edad ",$X$11),"")</f>
        <v/>
      </c>
      <c r="CQ101" s="2873" t="str">
        <f>IF(Z101&lt;AA101,CONCATENATE("* El total de Procesados debe ser mayor o igual al total de Reactivos en el grupo de edad ",$Z$11),"")</f>
        <v/>
      </c>
      <c r="CR101" s="2873" t="str">
        <f>IF(AD101&lt;AE101,CONCATENATE("* El total de Procesados debe ser mayor o igual al total de Reactivos en el grupo de edad ",$AD$11),"")</f>
        <v/>
      </c>
      <c r="CS101" s="2873" t="str">
        <f>IF(AF101&lt;AG101,CONCATENATE("* El total de Procesados debe ser mayor o igual al total de Reactivos en el grupo de edad ",$AF$11),"")</f>
        <v/>
      </c>
      <c r="CT101" s="2873" t="str">
        <f>IF(AH101&lt;AI101,CONCATENATE("* El total de Procesados debe ser mayor o igual al total de Reactivos en el grupo de edad ",$AH$11),"")</f>
        <v/>
      </c>
      <c r="CU101" s="2873" t="str">
        <f>IF(AJ101&lt;AK101,CONCATENATE("* El total de Procesados debe ser mayor o igual al total de Reactivos en el grupo de edad ",$AJ$11),"")</f>
        <v/>
      </c>
      <c r="CV101" s="2873" t="str">
        <f>IF(AL101&lt;AM101,CONCATENATE("* El total de Procesados debe ser mayor o igual al total de Reactivos en el grupo de edad ",$AL$11),"")</f>
        <v/>
      </c>
      <c r="CW101" s="2873" t="str">
        <f>IF(AN101&lt;AO101,CONCATENATE("* El total de Procesados debe ser mayor o igual al total de Reactivos en el grupo de edad ",$AN$11),"")</f>
        <v/>
      </c>
      <c r="CX101" s="2873" t="str">
        <f>IF(AP101&lt;AQ101,CONCATENATE("* El total de Procesados debe ser mayor o igual al total de Reactivos en el grupo de edad ",$AP$11),"")</f>
        <v/>
      </c>
      <c r="DE101" s="2718"/>
      <c r="DF101" s="4928">
        <f>IF(B101&lt;&gt;(AS101),1,0)</f>
        <v>0</v>
      </c>
      <c r="DG101" s="3009">
        <f>IF(AND($B101&gt;0,AND(AT101="",AU101="")),1,IF((AT101+AU101)&gt;$B101,1,0))</f>
        <v>0</v>
      </c>
      <c r="DH101" s="3009">
        <f>IF(AND($B101&gt;0,AV101=""),1,IF(AV101&gt;$B101,1,0))</f>
        <v>0</v>
      </c>
      <c r="DI101" s="3009">
        <f>IF(AND($B101&gt;0,AW101=""),1,IF(AW101&gt;$B101,1,0))</f>
        <v>0</v>
      </c>
      <c r="DJ101" s="3107"/>
      <c r="DK101" s="3107"/>
      <c r="DL101" s="3107"/>
      <c r="DM101" s="3107"/>
      <c r="DN101" s="3107"/>
      <c r="DO101" s="3009">
        <f>IF(N101&lt;O101,1,0)</f>
        <v>0</v>
      </c>
      <c r="DP101" s="3009">
        <f>IF(P101&lt;Q101,1,0)</f>
        <v>0</v>
      </c>
      <c r="DQ101" s="3009">
        <f>IF(R101&lt;S101,1,0)</f>
        <v>0</v>
      </c>
      <c r="DR101" s="3009">
        <f>IF($T101&lt;$U101,1,0)</f>
        <v>0</v>
      </c>
      <c r="DS101" s="3009">
        <f>IF(V101&lt;W101,1,0)</f>
        <v>0</v>
      </c>
      <c r="DT101" s="3009">
        <f>IF(X101&lt;Y101,1,0)</f>
        <v>0</v>
      </c>
      <c r="DU101" s="3009">
        <f>IF(Z101&lt;AA101,1,0)</f>
        <v>0</v>
      </c>
      <c r="DV101" s="3009">
        <f>IF(AD101&lt;AE101,1,0)</f>
        <v>0</v>
      </c>
      <c r="DW101" s="3009">
        <f>IF(AF101&lt;AG101,1,0)</f>
        <v>0</v>
      </c>
      <c r="DX101" s="3009">
        <f>IF(AH101&lt;AI101,1,0)</f>
        <v>0</v>
      </c>
      <c r="DY101" s="3009">
        <f>IF(AJ101&lt;AK101,1,0)</f>
        <v>0</v>
      </c>
      <c r="DZ101" s="3009">
        <f>IF(AL101&lt;AM101,1,0)</f>
        <v>0</v>
      </c>
      <c r="EA101" s="3009">
        <f>IF(AN101&lt;AO101,1,0)</f>
        <v>0</v>
      </c>
      <c r="EB101" s="3009">
        <f>IF(AP101&lt;AQ101,1,0)</f>
        <v>0</v>
      </c>
    </row>
    <row r="102" spans="1:132" x14ac:dyDescent="0.25">
      <c r="A102" s="3273" t="s">
        <v>2659</v>
      </c>
      <c r="B102" s="2014">
        <f t="shared" si="338"/>
        <v>0</v>
      </c>
      <c r="C102" s="3331">
        <f t="shared" si="338"/>
        <v>0</v>
      </c>
      <c r="D102" s="3568"/>
      <c r="E102" s="5340"/>
      <c r="F102" s="5339"/>
      <c r="G102" s="5340"/>
      <c r="H102" s="5339"/>
      <c r="I102" s="5340"/>
      <c r="J102" s="5339"/>
      <c r="K102" s="5340"/>
      <c r="L102" s="5339"/>
      <c r="M102" s="5341"/>
      <c r="N102" s="3572"/>
      <c r="O102" s="5342"/>
      <c r="P102" s="5229"/>
      <c r="Q102" s="5342"/>
      <c r="R102" s="5229"/>
      <c r="S102" s="5342"/>
      <c r="T102" s="5229"/>
      <c r="U102" s="5342"/>
      <c r="V102" s="5229"/>
      <c r="W102" s="5342"/>
      <c r="X102" s="5229"/>
      <c r="Y102" s="5342"/>
      <c r="Z102" s="5229"/>
      <c r="AA102" s="5342"/>
      <c r="AB102" s="5229"/>
      <c r="AC102" s="5342"/>
      <c r="AD102" s="5229"/>
      <c r="AE102" s="5342"/>
      <c r="AF102" s="5229"/>
      <c r="AG102" s="5342"/>
      <c r="AH102" s="5229"/>
      <c r="AI102" s="5342"/>
      <c r="AJ102" s="5229"/>
      <c r="AK102" s="5342"/>
      <c r="AL102" s="5229"/>
      <c r="AM102" s="5342"/>
      <c r="AN102" s="5229"/>
      <c r="AO102" s="5342"/>
      <c r="AP102" s="5229"/>
      <c r="AQ102" s="5336"/>
      <c r="AR102" s="3576"/>
      <c r="AS102" s="5336"/>
      <c r="AT102" s="5337"/>
      <c r="AU102" s="5336"/>
      <c r="AV102" s="3572"/>
      <c r="AW102" s="5338"/>
      <c r="AX102" s="1755" t="str">
        <f t="shared" ref="AX102:AX105" si="339">CB102&amp;CC102&amp;CD102&amp;CE102&amp;CK102&amp;CL102&amp;CM102&amp;CN102&amp;CO102&amp;CP102&amp;CQ102&amp;CR102&amp;CS102&amp;CT102&amp;CU102&amp;CV102&amp;CW102&amp;CX102</f>
        <v/>
      </c>
      <c r="CA102" s="603"/>
      <c r="CB102" s="4928" t="str">
        <f t="shared" ref="CB102:CB105" si="340">IF(B102&lt;&gt;(AS102)," * La suma de las columnas "&amp;AR$10&amp;""&amp;" DEBE SER IGUAL a los Exámenes Procesados. ","")</f>
        <v/>
      </c>
      <c r="CC102" s="2873" t="str">
        <f t="shared" ref="CC102:CC118" si="341">IF(AND($B102&gt;0,AND(AT102="",AU102="")),"* No olvide ingresar las columnas Trans Masculino o Femenino (*Digite CERO si no tiene). ",IF((AT102+AU102)&gt;$B102,"* El Número de Trans Masculino o Femenino no puede superar el Total Procesados. ",""))</f>
        <v/>
      </c>
      <c r="CD102" s="2873" t="str">
        <f t="shared" ref="CD102:CD118" si="342">IF(AND($B102&gt;0,AV102=""),"* No olvide ingresar la columna "&amp;AV$10&amp;""&amp;" *(Digite CERO si no tiene). ",IF(AV102&gt;$B102," *El Número de "&amp;AV$10&amp;""&amp;" no puede superar el Total Procesados. ",""))</f>
        <v/>
      </c>
      <c r="CE102" s="2873" t="str">
        <f t="shared" ref="CE102:CE118" si="343">IF(AND($B102&gt;0,AW102=""),"* No olvide ingresar la columna "&amp;AW$10&amp;""&amp;" *(Digite CERO si no tiene). ",IF(AW102&gt;$B102," *El Número de "&amp;AW$10&amp;""&amp;" no puede superar el Total Procesados. ",""))</f>
        <v/>
      </c>
      <c r="CF102" s="3107"/>
      <c r="CG102" s="3107"/>
      <c r="CH102" s="3107"/>
      <c r="CI102" s="3107"/>
      <c r="CJ102" s="3107"/>
      <c r="CK102" s="2873" t="str">
        <f t="shared" ref="CK102:CK105" si="344">IF(N102&lt;O102,CONCATENATE("* El total de Procesados debe ser mayor o igual al total de Reactivos en el grupo de edad ",$N$11),"")</f>
        <v/>
      </c>
      <c r="CL102" s="2873" t="str">
        <f t="shared" ref="CL102:CL107" si="345">IF(P102&lt;Q102,CONCATENATE("* El total de Procesados debe ser mayor o igual al total de Reactivos en el grupo de edad ",$P$11),"")</f>
        <v/>
      </c>
      <c r="CM102" s="2873" t="str">
        <f t="shared" ref="CM102:CM109" si="346">IF(R102&lt;S102,CONCATENATE("* El total de Procesados debe ser mayor o igual al total de Reactivos en el grupo de edad ",$R$11),"")</f>
        <v/>
      </c>
      <c r="CN102" s="2873" t="str">
        <f t="shared" ref="CN102:CN118" si="347">IF($T102&lt;$U102,CONCATENATE("* El total de Procesados debe ser mayor o igual al total de Reactivos en el grupo de edad ",$T$11),"")</f>
        <v/>
      </c>
      <c r="CO102" s="2873" t="str">
        <f t="shared" ref="CO102:CO109" si="348">IF(V102&lt;W102,CONCATENATE("* El total de Procesados debe ser mayor o igual al total de Reactivos en el grupo de edad ",$V$11),"")</f>
        <v/>
      </c>
      <c r="CP102" s="2873" t="str">
        <f t="shared" ref="CP102:CP109" si="349">IF(X102&lt;Y102,CONCATENATE("* El total de Procesados debe ser mayor o igual al total de Reactivos en el grupo de edad ",$X$11),"")</f>
        <v/>
      </c>
      <c r="CQ102" s="2873" t="str">
        <f t="shared" ref="CQ102:CQ109" si="350">IF(Z102&lt;AA102,CONCATENATE("* El total de Procesados debe ser mayor o igual al total de Reactivos en el grupo de edad ",$Z$11),"")</f>
        <v/>
      </c>
      <c r="CR102" s="2873" t="str">
        <f t="shared" ref="CR102:CR109" si="351">IF(AD102&lt;AE102,CONCATENATE("* El total de Procesados debe ser mayor o igual al total de Reactivos en el grupo de edad ",$AD$11),"")</f>
        <v/>
      </c>
      <c r="CS102" s="2873" t="str">
        <f t="shared" ref="CS102:CS109" si="352">IF(AF102&lt;AG102,CONCATENATE("* El total de Procesados debe ser mayor o igual al total de Reactivos en el grupo de edad ",$AF$11),"")</f>
        <v/>
      </c>
      <c r="CT102" s="2873" t="str">
        <f t="shared" ref="CT102:CT109" si="353">IF(AH102&lt;AI102,CONCATENATE("* El total de Procesados debe ser mayor o igual al total de Reactivos en el grupo de edad ",$AH$11),"")</f>
        <v/>
      </c>
      <c r="CU102" s="2873" t="str">
        <f t="shared" ref="CU102:CU109" si="354">IF(AJ102&lt;AK102,CONCATENATE("* El total de Procesados debe ser mayor o igual al total de Reactivos en el grupo de edad ",$AJ$11),"")</f>
        <v/>
      </c>
      <c r="CV102" s="2873" t="str">
        <f t="shared" ref="CV102:CV109" si="355">IF(AL102&lt;AM102,CONCATENATE("* El total de Procesados debe ser mayor o igual al total de Reactivos en el grupo de edad ",$AL$11),"")</f>
        <v/>
      </c>
      <c r="CW102" s="2873" t="str">
        <f t="shared" ref="CW102:CW109" si="356">IF(AN102&lt;AO102,CONCATENATE("* El total de Procesados debe ser mayor o igual al total de Reactivos en el grupo de edad ",$AN$11),"")</f>
        <v/>
      </c>
      <c r="CX102" s="2873" t="str">
        <f t="shared" ref="CX102:CX109" si="357">IF(AP102&lt;AQ102,CONCATENATE("* El total de Procesados debe ser mayor o igual al total de Reactivos en el grupo de edad ",$AP$11),"")</f>
        <v/>
      </c>
      <c r="DE102" s="2718"/>
      <c r="DF102" s="4928">
        <f t="shared" ref="DF102:DF105" si="358">IF(B102&lt;&gt;(AS102),1,0)</f>
        <v>0</v>
      </c>
      <c r="DG102" s="3009">
        <f t="shared" ref="DG102:DG118" si="359">IF(AND($B102&gt;0,AND(AT102="",AU102="")),1,IF((AT102+AU102)&gt;$B102,1,0))</f>
        <v>0</v>
      </c>
      <c r="DH102" s="3009">
        <f t="shared" ref="DH102:DH118" si="360">IF(AND($B102&gt;0,AV102=""),1,IF(AV102&gt;$B102,1,0))</f>
        <v>0</v>
      </c>
      <c r="DI102" s="3009">
        <f t="shared" ref="DI102:DI118" si="361">IF(AND($B102&gt;0,AW102=""),1,IF(AW102&gt;$B102,1,0))</f>
        <v>0</v>
      </c>
      <c r="DJ102" s="3107"/>
      <c r="DK102" s="3107"/>
      <c r="DL102" s="3107"/>
      <c r="DM102" s="3107"/>
      <c r="DN102" s="3107"/>
      <c r="DO102" s="3009">
        <f t="shared" ref="DO102:DO109" si="362">IF(N102&lt;O102,1,0)</f>
        <v>0</v>
      </c>
      <c r="DP102" s="3009">
        <f t="shared" ref="DP102:DP109" si="363">IF(P102&lt;Q102,1,0)</f>
        <v>0</v>
      </c>
      <c r="DQ102" s="3009">
        <f t="shared" ref="DQ102:DQ109" si="364">IF(R102&lt;S102,1,0)</f>
        <v>0</v>
      </c>
      <c r="DR102" s="3009">
        <f t="shared" ref="DR102:DR118" si="365">IF($T102&lt;$U102,1,0)</f>
        <v>0</v>
      </c>
      <c r="DS102" s="3009">
        <f t="shared" ref="DS102:DS109" si="366">IF(V102&lt;W102,1,0)</f>
        <v>0</v>
      </c>
      <c r="DT102" s="3009">
        <f t="shared" ref="DT102:DT109" si="367">IF(X102&lt;Y102,1,0)</f>
        <v>0</v>
      </c>
      <c r="DU102" s="3009">
        <f t="shared" ref="DU102:DU109" si="368">IF(Z102&lt;AA102,1,0)</f>
        <v>0</v>
      </c>
      <c r="DV102" s="3009">
        <f t="shared" ref="DV102:DV109" si="369">IF(AD102&lt;AE102,1,0)</f>
        <v>0</v>
      </c>
      <c r="DW102" s="3009">
        <f t="shared" ref="DW102:DW109" si="370">IF(AF102&lt;AG102,1,0)</f>
        <v>0</v>
      </c>
      <c r="DX102" s="3009">
        <f t="shared" ref="DX102:DX109" si="371">IF(AH102&lt;AI102,1,0)</f>
        <v>0</v>
      </c>
      <c r="DY102" s="3009">
        <f t="shared" ref="DY102:DY109" si="372">IF(AJ102&lt;AK102,1,0)</f>
        <v>0</v>
      </c>
      <c r="DZ102" s="3009">
        <f t="shared" ref="DZ102:DZ109" si="373">IF(AL102&lt;AM102,1,0)</f>
        <v>0</v>
      </c>
      <c r="EA102" s="3009">
        <f t="shared" ref="EA102:EA109" si="374">IF(AN102&lt;AO102,1,0)</f>
        <v>0</v>
      </c>
      <c r="EB102" s="3009">
        <f t="shared" ref="EB102:EB109" si="375">IF(AP102&lt;AQ102,1,0)</f>
        <v>0</v>
      </c>
    </row>
    <row r="103" spans="1:132" x14ac:dyDescent="0.25">
      <c r="A103" s="3273" t="s">
        <v>2660</v>
      </c>
      <c r="B103" s="2014">
        <f t="shared" si="338"/>
        <v>0</v>
      </c>
      <c r="C103" s="3331">
        <f t="shared" si="338"/>
        <v>0</v>
      </c>
      <c r="D103" s="3568"/>
      <c r="E103" s="5340"/>
      <c r="F103" s="5339"/>
      <c r="G103" s="5340"/>
      <c r="H103" s="5339"/>
      <c r="I103" s="5340"/>
      <c r="J103" s="5339"/>
      <c r="K103" s="5340"/>
      <c r="L103" s="5339"/>
      <c r="M103" s="5341"/>
      <c r="N103" s="3572"/>
      <c r="O103" s="5342"/>
      <c r="P103" s="5229"/>
      <c r="Q103" s="5342"/>
      <c r="R103" s="5229"/>
      <c r="S103" s="5342"/>
      <c r="T103" s="5229"/>
      <c r="U103" s="5342"/>
      <c r="V103" s="5229"/>
      <c r="W103" s="5342"/>
      <c r="X103" s="5229"/>
      <c r="Y103" s="5342"/>
      <c r="Z103" s="5229"/>
      <c r="AA103" s="5342"/>
      <c r="AB103" s="5229"/>
      <c r="AC103" s="5342"/>
      <c r="AD103" s="5229"/>
      <c r="AE103" s="5342"/>
      <c r="AF103" s="5229"/>
      <c r="AG103" s="5342"/>
      <c r="AH103" s="5229"/>
      <c r="AI103" s="5342"/>
      <c r="AJ103" s="5229"/>
      <c r="AK103" s="5342"/>
      <c r="AL103" s="5229"/>
      <c r="AM103" s="5342"/>
      <c r="AN103" s="5229"/>
      <c r="AO103" s="5342"/>
      <c r="AP103" s="5229"/>
      <c r="AQ103" s="5336"/>
      <c r="AR103" s="3576"/>
      <c r="AS103" s="5336"/>
      <c r="AT103" s="5337"/>
      <c r="AU103" s="5336"/>
      <c r="AV103" s="3572"/>
      <c r="AW103" s="5338"/>
      <c r="AX103" s="1755" t="str">
        <f t="shared" si="339"/>
        <v/>
      </c>
      <c r="CA103" s="603"/>
      <c r="CB103" s="4928" t="str">
        <f t="shared" si="340"/>
        <v/>
      </c>
      <c r="CC103" s="2873" t="str">
        <f t="shared" si="341"/>
        <v/>
      </c>
      <c r="CD103" s="2873" t="str">
        <f t="shared" si="342"/>
        <v/>
      </c>
      <c r="CE103" s="2873" t="str">
        <f t="shared" si="343"/>
        <v/>
      </c>
      <c r="CF103" s="3107"/>
      <c r="CG103" s="3107"/>
      <c r="CH103" s="3107"/>
      <c r="CI103" s="3107"/>
      <c r="CJ103" s="3107"/>
      <c r="CK103" s="2873" t="str">
        <f t="shared" si="344"/>
        <v/>
      </c>
      <c r="CL103" s="2873" t="str">
        <f t="shared" si="345"/>
        <v/>
      </c>
      <c r="CM103" s="2873" t="str">
        <f t="shared" si="346"/>
        <v/>
      </c>
      <c r="CN103" s="2873" t="str">
        <f t="shared" si="347"/>
        <v/>
      </c>
      <c r="CO103" s="2873" t="str">
        <f t="shared" si="348"/>
        <v/>
      </c>
      <c r="CP103" s="2873" t="str">
        <f t="shared" si="349"/>
        <v/>
      </c>
      <c r="CQ103" s="2873" t="str">
        <f t="shared" si="350"/>
        <v/>
      </c>
      <c r="CR103" s="2873" t="str">
        <f t="shared" si="351"/>
        <v/>
      </c>
      <c r="CS103" s="2873" t="str">
        <f t="shared" si="352"/>
        <v/>
      </c>
      <c r="CT103" s="2873" t="str">
        <f t="shared" si="353"/>
        <v/>
      </c>
      <c r="CU103" s="2873" t="str">
        <f t="shared" si="354"/>
        <v/>
      </c>
      <c r="CV103" s="2873" t="str">
        <f t="shared" si="355"/>
        <v/>
      </c>
      <c r="CW103" s="2873" t="str">
        <f t="shared" si="356"/>
        <v/>
      </c>
      <c r="CX103" s="2873" t="str">
        <f t="shared" si="357"/>
        <v/>
      </c>
      <c r="DE103" s="2718"/>
      <c r="DF103" s="4928">
        <f t="shared" si="358"/>
        <v>0</v>
      </c>
      <c r="DG103" s="3009">
        <f t="shared" si="359"/>
        <v>0</v>
      </c>
      <c r="DH103" s="3009">
        <f t="shared" si="360"/>
        <v>0</v>
      </c>
      <c r="DI103" s="3009">
        <f t="shared" si="361"/>
        <v>0</v>
      </c>
      <c r="DJ103" s="3107"/>
      <c r="DK103" s="3107"/>
      <c r="DL103" s="3107"/>
      <c r="DM103" s="3107"/>
      <c r="DN103" s="3107"/>
      <c r="DO103" s="3009">
        <f t="shared" si="362"/>
        <v>0</v>
      </c>
      <c r="DP103" s="3009">
        <f t="shared" si="363"/>
        <v>0</v>
      </c>
      <c r="DQ103" s="3009">
        <f t="shared" si="364"/>
        <v>0</v>
      </c>
      <c r="DR103" s="3009">
        <f t="shared" si="365"/>
        <v>0</v>
      </c>
      <c r="DS103" s="3009">
        <f t="shared" si="366"/>
        <v>0</v>
      </c>
      <c r="DT103" s="3009">
        <f t="shared" si="367"/>
        <v>0</v>
      </c>
      <c r="DU103" s="3009">
        <f t="shared" si="368"/>
        <v>0</v>
      </c>
      <c r="DV103" s="3009">
        <f t="shared" si="369"/>
        <v>0</v>
      </c>
      <c r="DW103" s="3009">
        <f t="shared" si="370"/>
        <v>0</v>
      </c>
      <c r="DX103" s="3009">
        <f t="shared" si="371"/>
        <v>0</v>
      </c>
      <c r="DY103" s="3009">
        <f t="shared" si="372"/>
        <v>0</v>
      </c>
      <c r="DZ103" s="3009">
        <f t="shared" si="373"/>
        <v>0</v>
      </c>
      <c r="EA103" s="3009">
        <f t="shared" si="374"/>
        <v>0</v>
      </c>
      <c r="EB103" s="3009">
        <f t="shared" si="375"/>
        <v>0</v>
      </c>
    </row>
    <row r="104" spans="1:132" x14ac:dyDescent="0.25">
      <c r="A104" s="3273" t="s">
        <v>2661</v>
      </c>
      <c r="B104" s="2014">
        <f t="shared" si="338"/>
        <v>0</v>
      </c>
      <c r="C104" s="3331">
        <f t="shared" si="338"/>
        <v>0</v>
      </c>
      <c r="D104" s="3568"/>
      <c r="E104" s="5340"/>
      <c r="F104" s="5339"/>
      <c r="G104" s="5340"/>
      <c r="H104" s="5339"/>
      <c r="I104" s="5340"/>
      <c r="J104" s="5339"/>
      <c r="K104" s="5340"/>
      <c r="L104" s="5339"/>
      <c r="M104" s="5341"/>
      <c r="N104" s="3572"/>
      <c r="O104" s="5342"/>
      <c r="P104" s="5229"/>
      <c r="Q104" s="5342"/>
      <c r="R104" s="5229"/>
      <c r="S104" s="5342"/>
      <c r="T104" s="5229"/>
      <c r="U104" s="5342"/>
      <c r="V104" s="5229"/>
      <c r="W104" s="5342"/>
      <c r="X104" s="5229"/>
      <c r="Y104" s="5342"/>
      <c r="Z104" s="5229"/>
      <c r="AA104" s="5342"/>
      <c r="AB104" s="5229"/>
      <c r="AC104" s="5342"/>
      <c r="AD104" s="5229"/>
      <c r="AE104" s="5342"/>
      <c r="AF104" s="5229"/>
      <c r="AG104" s="5342"/>
      <c r="AH104" s="5229"/>
      <c r="AI104" s="5342"/>
      <c r="AJ104" s="5229"/>
      <c r="AK104" s="5342"/>
      <c r="AL104" s="5229"/>
      <c r="AM104" s="5342"/>
      <c r="AN104" s="5229"/>
      <c r="AO104" s="5342"/>
      <c r="AP104" s="5229"/>
      <c r="AQ104" s="5336"/>
      <c r="AR104" s="3576"/>
      <c r="AS104" s="5336"/>
      <c r="AT104" s="5337"/>
      <c r="AU104" s="5336"/>
      <c r="AV104" s="3572"/>
      <c r="AW104" s="5338"/>
      <c r="AX104" s="1755" t="str">
        <f t="shared" si="339"/>
        <v/>
      </c>
      <c r="CA104" s="603"/>
      <c r="CB104" s="4928" t="str">
        <f t="shared" si="340"/>
        <v/>
      </c>
      <c r="CC104" s="2873" t="str">
        <f t="shared" si="341"/>
        <v/>
      </c>
      <c r="CD104" s="2873" t="str">
        <f t="shared" si="342"/>
        <v/>
      </c>
      <c r="CE104" s="2873" t="str">
        <f t="shared" si="343"/>
        <v/>
      </c>
      <c r="CF104" s="3107"/>
      <c r="CG104" s="3107"/>
      <c r="CH104" s="3107"/>
      <c r="CI104" s="3107"/>
      <c r="CJ104" s="3107"/>
      <c r="CK104" s="2873" t="str">
        <f t="shared" si="344"/>
        <v/>
      </c>
      <c r="CL104" s="2873" t="str">
        <f t="shared" si="345"/>
        <v/>
      </c>
      <c r="CM104" s="2873" t="str">
        <f t="shared" si="346"/>
        <v/>
      </c>
      <c r="CN104" s="2873" t="str">
        <f t="shared" si="347"/>
        <v/>
      </c>
      <c r="CO104" s="2873" t="str">
        <f t="shared" si="348"/>
        <v/>
      </c>
      <c r="CP104" s="2873" t="str">
        <f t="shared" si="349"/>
        <v/>
      </c>
      <c r="CQ104" s="2873" t="str">
        <f t="shared" si="350"/>
        <v/>
      </c>
      <c r="CR104" s="2873" t="str">
        <f t="shared" si="351"/>
        <v/>
      </c>
      <c r="CS104" s="2873" t="str">
        <f t="shared" si="352"/>
        <v/>
      </c>
      <c r="CT104" s="2873" t="str">
        <f t="shared" si="353"/>
        <v/>
      </c>
      <c r="CU104" s="2873" t="str">
        <f t="shared" si="354"/>
        <v/>
      </c>
      <c r="CV104" s="2873" t="str">
        <f t="shared" si="355"/>
        <v/>
      </c>
      <c r="CW104" s="2873" t="str">
        <f t="shared" si="356"/>
        <v/>
      </c>
      <c r="CX104" s="2873" t="str">
        <f t="shared" si="357"/>
        <v/>
      </c>
      <c r="DE104" s="2718"/>
      <c r="DF104" s="4928">
        <f t="shared" si="358"/>
        <v>0</v>
      </c>
      <c r="DG104" s="3009">
        <f t="shared" si="359"/>
        <v>0</v>
      </c>
      <c r="DH104" s="3009">
        <f t="shared" si="360"/>
        <v>0</v>
      </c>
      <c r="DI104" s="3009">
        <f t="shared" si="361"/>
        <v>0</v>
      </c>
      <c r="DJ104" s="3107"/>
      <c r="DK104" s="3107"/>
      <c r="DL104" s="3107"/>
      <c r="DM104" s="3107"/>
      <c r="DN104" s="3107"/>
      <c r="DO104" s="3009">
        <f t="shared" si="362"/>
        <v>0</v>
      </c>
      <c r="DP104" s="3009">
        <f t="shared" si="363"/>
        <v>0</v>
      </c>
      <c r="DQ104" s="3009">
        <f t="shared" si="364"/>
        <v>0</v>
      </c>
      <c r="DR104" s="3009">
        <f t="shared" si="365"/>
        <v>0</v>
      </c>
      <c r="DS104" s="3009">
        <f t="shared" si="366"/>
        <v>0</v>
      </c>
      <c r="DT104" s="3009">
        <f t="shared" si="367"/>
        <v>0</v>
      </c>
      <c r="DU104" s="3009">
        <f t="shared" si="368"/>
        <v>0</v>
      </c>
      <c r="DV104" s="3009">
        <f t="shared" si="369"/>
        <v>0</v>
      </c>
      <c r="DW104" s="3009">
        <f t="shared" si="370"/>
        <v>0</v>
      </c>
      <c r="DX104" s="3009">
        <f t="shared" si="371"/>
        <v>0</v>
      </c>
      <c r="DY104" s="3009">
        <f t="shared" si="372"/>
        <v>0</v>
      </c>
      <c r="DZ104" s="3009">
        <f t="shared" si="373"/>
        <v>0</v>
      </c>
      <c r="EA104" s="3009">
        <f t="shared" si="374"/>
        <v>0</v>
      </c>
      <c r="EB104" s="3009">
        <f t="shared" si="375"/>
        <v>0</v>
      </c>
    </row>
    <row r="105" spans="1:132" x14ac:dyDescent="0.25">
      <c r="A105" s="3328" t="s">
        <v>2662</v>
      </c>
      <c r="B105" s="2014">
        <f t="shared" si="338"/>
        <v>0</v>
      </c>
      <c r="C105" s="3331">
        <f t="shared" si="338"/>
        <v>0</v>
      </c>
      <c r="D105" s="3568"/>
      <c r="E105" s="5340"/>
      <c r="F105" s="5339"/>
      <c r="G105" s="5340"/>
      <c r="H105" s="5339"/>
      <c r="I105" s="5340"/>
      <c r="J105" s="5339"/>
      <c r="K105" s="5340"/>
      <c r="L105" s="5339"/>
      <c r="M105" s="5341"/>
      <c r="N105" s="3572"/>
      <c r="O105" s="5342"/>
      <c r="P105" s="5229"/>
      <c r="Q105" s="5342"/>
      <c r="R105" s="5229"/>
      <c r="S105" s="5342"/>
      <c r="T105" s="5229"/>
      <c r="U105" s="5342"/>
      <c r="V105" s="5229"/>
      <c r="W105" s="5342"/>
      <c r="X105" s="5229"/>
      <c r="Y105" s="5342"/>
      <c r="Z105" s="5229"/>
      <c r="AA105" s="5342"/>
      <c r="AB105" s="5229"/>
      <c r="AC105" s="5342"/>
      <c r="AD105" s="5229"/>
      <c r="AE105" s="5342"/>
      <c r="AF105" s="5229"/>
      <c r="AG105" s="5342"/>
      <c r="AH105" s="5229"/>
      <c r="AI105" s="5342"/>
      <c r="AJ105" s="5229"/>
      <c r="AK105" s="5342"/>
      <c r="AL105" s="5229"/>
      <c r="AM105" s="5342"/>
      <c r="AN105" s="5229"/>
      <c r="AO105" s="5342"/>
      <c r="AP105" s="5229"/>
      <c r="AQ105" s="5336"/>
      <c r="AR105" s="3576"/>
      <c r="AS105" s="5336"/>
      <c r="AT105" s="5337"/>
      <c r="AU105" s="5336"/>
      <c r="AV105" s="3572"/>
      <c r="AW105" s="5338"/>
      <c r="AX105" s="1755" t="str">
        <f t="shared" si="339"/>
        <v/>
      </c>
      <c r="CA105" s="603"/>
      <c r="CB105" s="4928" t="str">
        <f t="shared" si="340"/>
        <v/>
      </c>
      <c r="CC105" s="2873" t="str">
        <f t="shared" si="341"/>
        <v/>
      </c>
      <c r="CD105" s="2873" t="str">
        <f t="shared" si="342"/>
        <v/>
      </c>
      <c r="CE105" s="2873" t="str">
        <f t="shared" si="343"/>
        <v/>
      </c>
      <c r="CF105" s="3107"/>
      <c r="CG105" s="3107"/>
      <c r="CH105" s="3107"/>
      <c r="CI105" s="3107"/>
      <c r="CJ105" s="3107"/>
      <c r="CK105" s="2873" t="str">
        <f t="shared" si="344"/>
        <v/>
      </c>
      <c r="CL105" s="2873" t="str">
        <f t="shared" si="345"/>
        <v/>
      </c>
      <c r="CM105" s="2873" t="str">
        <f t="shared" si="346"/>
        <v/>
      </c>
      <c r="CN105" s="2873" t="str">
        <f t="shared" si="347"/>
        <v/>
      </c>
      <c r="CO105" s="2873" t="str">
        <f t="shared" si="348"/>
        <v/>
      </c>
      <c r="CP105" s="2873" t="str">
        <f t="shared" si="349"/>
        <v/>
      </c>
      <c r="CQ105" s="2873" t="str">
        <f t="shared" si="350"/>
        <v/>
      </c>
      <c r="CR105" s="2873" t="str">
        <f t="shared" si="351"/>
        <v/>
      </c>
      <c r="CS105" s="2873" t="str">
        <f t="shared" si="352"/>
        <v/>
      </c>
      <c r="CT105" s="2873" t="str">
        <f t="shared" si="353"/>
        <v/>
      </c>
      <c r="CU105" s="2873" t="str">
        <f t="shared" si="354"/>
        <v/>
      </c>
      <c r="CV105" s="2873" t="str">
        <f t="shared" si="355"/>
        <v/>
      </c>
      <c r="CW105" s="2873" t="str">
        <f t="shared" si="356"/>
        <v/>
      </c>
      <c r="CX105" s="2873" t="str">
        <f t="shared" si="357"/>
        <v/>
      </c>
      <c r="DE105" s="2718"/>
      <c r="DF105" s="4928">
        <f t="shared" si="358"/>
        <v>0</v>
      </c>
      <c r="DG105" s="3009">
        <f t="shared" si="359"/>
        <v>0</v>
      </c>
      <c r="DH105" s="3009">
        <f t="shared" si="360"/>
        <v>0</v>
      </c>
      <c r="DI105" s="3009">
        <f t="shared" si="361"/>
        <v>0</v>
      </c>
      <c r="DJ105" s="3107"/>
      <c r="DK105" s="3107"/>
      <c r="DL105" s="3107"/>
      <c r="DM105" s="3107"/>
      <c r="DN105" s="3107"/>
      <c r="DO105" s="3009">
        <f t="shared" si="362"/>
        <v>0</v>
      </c>
      <c r="DP105" s="3009">
        <f t="shared" si="363"/>
        <v>0</v>
      </c>
      <c r="DQ105" s="3009">
        <f t="shared" si="364"/>
        <v>0</v>
      </c>
      <c r="DR105" s="3009">
        <f t="shared" si="365"/>
        <v>0</v>
      </c>
      <c r="DS105" s="3009">
        <f t="shared" si="366"/>
        <v>0</v>
      </c>
      <c r="DT105" s="3009">
        <f t="shared" si="367"/>
        <v>0</v>
      </c>
      <c r="DU105" s="3009">
        <f t="shared" si="368"/>
        <v>0</v>
      </c>
      <c r="DV105" s="3009">
        <f t="shared" si="369"/>
        <v>0</v>
      </c>
      <c r="DW105" s="3009">
        <f t="shared" si="370"/>
        <v>0</v>
      </c>
      <c r="DX105" s="3009">
        <f t="shared" si="371"/>
        <v>0</v>
      </c>
      <c r="DY105" s="3009">
        <f t="shared" si="372"/>
        <v>0</v>
      </c>
      <c r="DZ105" s="3009">
        <f t="shared" si="373"/>
        <v>0</v>
      </c>
      <c r="EA105" s="3009">
        <f t="shared" si="374"/>
        <v>0</v>
      </c>
      <c r="EB105" s="3009">
        <f t="shared" si="375"/>
        <v>0</v>
      </c>
    </row>
    <row r="106" spans="1:132" x14ac:dyDescent="0.25">
      <c r="A106" s="3328" t="s">
        <v>2663</v>
      </c>
      <c r="B106" s="2014">
        <f t="shared" si="338"/>
        <v>0</v>
      </c>
      <c r="C106" s="3331">
        <f t="shared" si="338"/>
        <v>0</v>
      </c>
      <c r="D106" s="3568"/>
      <c r="E106" s="5340"/>
      <c r="F106" s="5339"/>
      <c r="G106" s="5340"/>
      <c r="H106" s="5339"/>
      <c r="I106" s="5340"/>
      <c r="J106" s="5339"/>
      <c r="K106" s="5340"/>
      <c r="L106" s="5339"/>
      <c r="M106" s="5341"/>
      <c r="N106" s="3572"/>
      <c r="O106" s="5342"/>
      <c r="P106" s="5229"/>
      <c r="Q106" s="5342"/>
      <c r="R106" s="5229"/>
      <c r="S106" s="5342"/>
      <c r="T106" s="5229"/>
      <c r="U106" s="5342"/>
      <c r="V106" s="5229"/>
      <c r="W106" s="5342"/>
      <c r="X106" s="5229"/>
      <c r="Y106" s="5342"/>
      <c r="Z106" s="5229"/>
      <c r="AA106" s="5342"/>
      <c r="AB106" s="5229"/>
      <c r="AC106" s="5342"/>
      <c r="AD106" s="5229"/>
      <c r="AE106" s="5342"/>
      <c r="AF106" s="5229"/>
      <c r="AG106" s="5342"/>
      <c r="AH106" s="5229"/>
      <c r="AI106" s="5342"/>
      <c r="AJ106" s="5229"/>
      <c r="AK106" s="5342"/>
      <c r="AL106" s="5229"/>
      <c r="AM106" s="5342"/>
      <c r="AN106" s="5229"/>
      <c r="AO106" s="5342"/>
      <c r="AP106" s="5229"/>
      <c r="AQ106" s="5336"/>
      <c r="AR106" s="3572"/>
      <c r="AS106" s="5336"/>
      <c r="AT106" s="5337"/>
      <c r="AU106" s="5336"/>
      <c r="AV106" s="3572"/>
      <c r="AW106" s="5338"/>
      <c r="AX106" s="1755" t="str">
        <f>CB106&amp;CC106&amp;CD106&amp;CE106&amp;CK106&amp;CL106&amp;CM106&amp;CN106&amp;CO106&amp;CP106&amp;CQ106&amp;CR106&amp;CS106&amp;CT106&amp;CU106&amp;CV106&amp;CW106&amp;CX106</f>
        <v/>
      </c>
      <c r="CA106" s="603"/>
      <c r="CB106" s="2873" t="str">
        <f>IF(B106&lt;&gt;(AS106+AR106)," * La suma de las columnas "&amp;AR$10&amp;""&amp;" DEBE SER IGUAL a los Exámenes Procesados. ","")</f>
        <v/>
      </c>
      <c r="CC106" s="2873" t="str">
        <f t="shared" si="341"/>
        <v/>
      </c>
      <c r="CD106" s="2873" t="str">
        <f t="shared" si="342"/>
        <v/>
      </c>
      <c r="CE106" s="2873" t="str">
        <f t="shared" si="343"/>
        <v/>
      </c>
      <c r="CF106" s="3107"/>
      <c r="CG106" s="3107"/>
      <c r="CH106" s="3107"/>
      <c r="CI106" s="3107"/>
      <c r="CJ106" s="3107"/>
      <c r="CK106" s="2873" t="str">
        <f>IF(N106&lt;O106,CONCATENATE("* El total de Procesados debe ser mayor o igual al total de Reactivos en el grupo de edad ",$N$11),"")</f>
        <v/>
      </c>
      <c r="CL106" s="2873" t="str">
        <f t="shared" si="345"/>
        <v/>
      </c>
      <c r="CM106" s="2873" t="str">
        <f t="shared" si="346"/>
        <v/>
      </c>
      <c r="CN106" s="2873" t="str">
        <f t="shared" si="347"/>
        <v/>
      </c>
      <c r="CO106" s="2873" t="str">
        <f t="shared" si="348"/>
        <v/>
      </c>
      <c r="CP106" s="2873" t="str">
        <f t="shared" si="349"/>
        <v/>
      </c>
      <c r="CQ106" s="2873" t="str">
        <f t="shared" si="350"/>
        <v/>
      </c>
      <c r="CR106" s="2873" t="str">
        <f t="shared" si="351"/>
        <v/>
      </c>
      <c r="CS106" s="2873" t="str">
        <f t="shared" si="352"/>
        <v/>
      </c>
      <c r="CT106" s="2873" t="str">
        <f t="shared" si="353"/>
        <v/>
      </c>
      <c r="CU106" s="2873" t="str">
        <f t="shared" si="354"/>
        <v/>
      </c>
      <c r="CV106" s="2873" t="str">
        <f t="shared" si="355"/>
        <v/>
      </c>
      <c r="CW106" s="2873" t="str">
        <f t="shared" si="356"/>
        <v/>
      </c>
      <c r="CX106" s="2873" t="str">
        <f t="shared" si="357"/>
        <v/>
      </c>
      <c r="DE106" s="2718"/>
      <c r="DF106" s="2873">
        <f>IF(B106&lt;&gt;(AS106+AR106),1,0)</f>
        <v>0</v>
      </c>
      <c r="DG106" s="3009">
        <f t="shared" si="359"/>
        <v>0</v>
      </c>
      <c r="DH106" s="3009">
        <f t="shared" si="360"/>
        <v>0</v>
      </c>
      <c r="DI106" s="3009">
        <f t="shared" si="361"/>
        <v>0</v>
      </c>
      <c r="DJ106" s="3107"/>
      <c r="DK106" s="3107"/>
      <c r="DL106" s="3107"/>
      <c r="DM106" s="3107"/>
      <c r="DN106" s="3107"/>
      <c r="DO106" s="3009">
        <f t="shared" si="362"/>
        <v>0</v>
      </c>
      <c r="DP106" s="3009">
        <f t="shared" si="363"/>
        <v>0</v>
      </c>
      <c r="DQ106" s="3009">
        <f t="shared" si="364"/>
        <v>0</v>
      </c>
      <c r="DR106" s="3009">
        <f t="shared" si="365"/>
        <v>0</v>
      </c>
      <c r="DS106" s="3009">
        <f t="shared" si="366"/>
        <v>0</v>
      </c>
      <c r="DT106" s="3009">
        <f t="shared" si="367"/>
        <v>0</v>
      </c>
      <c r="DU106" s="3009">
        <f t="shared" si="368"/>
        <v>0</v>
      </c>
      <c r="DV106" s="3009">
        <f t="shared" si="369"/>
        <v>0</v>
      </c>
      <c r="DW106" s="3009">
        <f t="shared" si="370"/>
        <v>0</v>
      </c>
      <c r="DX106" s="3009">
        <f t="shared" si="371"/>
        <v>0</v>
      </c>
      <c r="DY106" s="3009">
        <f t="shared" si="372"/>
        <v>0</v>
      </c>
      <c r="DZ106" s="3009">
        <f t="shared" si="373"/>
        <v>0</v>
      </c>
      <c r="EA106" s="3009">
        <f t="shared" si="374"/>
        <v>0</v>
      </c>
      <c r="EB106" s="3009">
        <f t="shared" si="375"/>
        <v>0</v>
      </c>
    </row>
    <row r="107" spans="1:132" x14ac:dyDescent="0.25">
      <c r="A107" s="3328" t="s">
        <v>2664</v>
      </c>
      <c r="B107" s="2014">
        <f t="shared" si="338"/>
        <v>0</v>
      </c>
      <c r="C107" s="3331">
        <f t="shared" si="338"/>
        <v>0</v>
      </c>
      <c r="D107" s="3568"/>
      <c r="E107" s="5340"/>
      <c r="F107" s="5339"/>
      <c r="G107" s="5340"/>
      <c r="H107" s="5339"/>
      <c r="I107" s="5340"/>
      <c r="J107" s="5339"/>
      <c r="K107" s="5340"/>
      <c r="L107" s="5339"/>
      <c r="M107" s="5341"/>
      <c r="N107" s="3572"/>
      <c r="O107" s="5342"/>
      <c r="P107" s="5229"/>
      <c r="Q107" s="5342"/>
      <c r="R107" s="5229"/>
      <c r="S107" s="5342"/>
      <c r="T107" s="5229"/>
      <c r="U107" s="5342"/>
      <c r="V107" s="5229"/>
      <c r="W107" s="5342"/>
      <c r="X107" s="5229"/>
      <c r="Y107" s="5342"/>
      <c r="Z107" s="5229"/>
      <c r="AA107" s="5342"/>
      <c r="AB107" s="5229"/>
      <c r="AC107" s="5342"/>
      <c r="AD107" s="5229"/>
      <c r="AE107" s="5342"/>
      <c r="AF107" s="5229"/>
      <c r="AG107" s="5342"/>
      <c r="AH107" s="5229"/>
      <c r="AI107" s="5342"/>
      <c r="AJ107" s="5229"/>
      <c r="AK107" s="5342"/>
      <c r="AL107" s="5229"/>
      <c r="AM107" s="5342"/>
      <c r="AN107" s="5229"/>
      <c r="AO107" s="5342"/>
      <c r="AP107" s="5229"/>
      <c r="AQ107" s="5336"/>
      <c r="AR107" s="3576"/>
      <c r="AS107" s="5336"/>
      <c r="AT107" s="5337"/>
      <c r="AU107" s="5336"/>
      <c r="AV107" s="3572"/>
      <c r="AW107" s="5338"/>
      <c r="AX107" s="1755" t="str">
        <f>CB107&amp;CC107&amp;CD107&amp;CE107&amp;CK107&amp;CL107&amp;CM107&amp;CN107&amp;CO107&amp;CP107&amp;CQ107&amp;CR107&amp;CS107&amp;CT107&amp;CU107&amp;CV107&amp;CW107&amp;CX107</f>
        <v/>
      </c>
      <c r="CA107" s="603"/>
      <c r="CB107" s="4928" t="str">
        <f t="shared" ref="CB107:CB109" si="376">IF(B107&lt;&gt;(AS107)," * La suma de las columnas "&amp;AR$10&amp;""&amp;" DEBE SER IGUAL a los Exámenes Procesados. ","")</f>
        <v/>
      </c>
      <c r="CC107" s="2873" t="str">
        <f t="shared" si="341"/>
        <v/>
      </c>
      <c r="CD107" s="2873" t="str">
        <f t="shared" si="342"/>
        <v/>
      </c>
      <c r="CE107" s="2873" t="str">
        <f t="shared" si="343"/>
        <v/>
      </c>
      <c r="CF107" s="3107"/>
      <c r="CG107" s="3107"/>
      <c r="CH107" s="3107"/>
      <c r="CI107" s="3107"/>
      <c r="CJ107" s="3107"/>
      <c r="CK107" s="2873" t="str">
        <f t="shared" ref="CK107" si="377">IF(N107&lt;O107,CONCATENATE("* El total de Procesados debe ser mayor o igual al total de Reactivos en el grupo de edad ",$N$11),"")</f>
        <v/>
      </c>
      <c r="CL107" s="2873" t="str">
        <f t="shared" si="345"/>
        <v/>
      </c>
      <c r="CM107" s="2873" t="str">
        <f t="shared" si="346"/>
        <v/>
      </c>
      <c r="CN107" s="2873" t="str">
        <f t="shared" si="347"/>
        <v/>
      </c>
      <c r="CO107" s="2873" t="str">
        <f t="shared" si="348"/>
        <v/>
      </c>
      <c r="CP107" s="2873" t="str">
        <f t="shared" si="349"/>
        <v/>
      </c>
      <c r="CQ107" s="2873" t="str">
        <f t="shared" si="350"/>
        <v/>
      </c>
      <c r="CR107" s="2873" t="str">
        <f t="shared" si="351"/>
        <v/>
      </c>
      <c r="CS107" s="2873" t="str">
        <f t="shared" si="352"/>
        <v/>
      </c>
      <c r="CT107" s="2873" t="str">
        <f t="shared" si="353"/>
        <v/>
      </c>
      <c r="CU107" s="2873" t="str">
        <f t="shared" si="354"/>
        <v/>
      </c>
      <c r="CV107" s="2873" t="str">
        <f t="shared" si="355"/>
        <v/>
      </c>
      <c r="CW107" s="2873" t="str">
        <f t="shared" si="356"/>
        <v/>
      </c>
      <c r="CX107" s="2873" t="str">
        <f t="shared" si="357"/>
        <v/>
      </c>
      <c r="DE107" s="2718"/>
      <c r="DF107" s="4928">
        <f>IF(B107&lt;&gt;(AS107),1,0)</f>
        <v>0</v>
      </c>
      <c r="DG107" s="3009">
        <f t="shared" si="359"/>
        <v>0</v>
      </c>
      <c r="DH107" s="3009">
        <f t="shared" si="360"/>
        <v>0</v>
      </c>
      <c r="DI107" s="3009">
        <f t="shared" si="361"/>
        <v>0</v>
      </c>
      <c r="DJ107" s="3107"/>
      <c r="DK107" s="3107"/>
      <c r="DL107" s="3107"/>
      <c r="DM107" s="3107"/>
      <c r="DN107" s="3107"/>
      <c r="DO107" s="3009">
        <f t="shared" si="362"/>
        <v>0</v>
      </c>
      <c r="DP107" s="3009">
        <f t="shared" si="363"/>
        <v>0</v>
      </c>
      <c r="DQ107" s="3009">
        <f t="shared" si="364"/>
        <v>0</v>
      </c>
      <c r="DR107" s="3009">
        <f t="shared" si="365"/>
        <v>0</v>
      </c>
      <c r="DS107" s="3009">
        <f t="shared" si="366"/>
        <v>0</v>
      </c>
      <c r="DT107" s="3009">
        <f t="shared" si="367"/>
        <v>0</v>
      </c>
      <c r="DU107" s="3009">
        <f t="shared" si="368"/>
        <v>0</v>
      </c>
      <c r="DV107" s="3009">
        <f t="shared" si="369"/>
        <v>0</v>
      </c>
      <c r="DW107" s="3009">
        <f t="shared" si="370"/>
        <v>0</v>
      </c>
      <c r="DX107" s="3009">
        <f t="shared" si="371"/>
        <v>0</v>
      </c>
      <c r="DY107" s="3009">
        <f t="shared" si="372"/>
        <v>0</v>
      </c>
      <c r="DZ107" s="3009">
        <f t="shared" si="373"/>
        <v>0</v>
      </c>
      <c r="EA107" s="3009">
        <f t="shared" si="374"/>
        <v>0</v>
      </c>
      <c r="EB107" s="3009">
        <f t="shared" si="375"/>
        <v>0</v>
      </c>
    </row>
    <row r="108" spans="1:132" x14ac:dyDescent="0.25">
      <c r="A108" s="3273" t="s">
        <v>2665</v>
      </c>
      <c r="B108" s="2014">
        <f t="shared" si="338"/>
        <v>0</v>
      </c>
      <c r="C108" s="3331">
        <f t="shared" si="338"/>
        <v>0</v>
      </c>
      <c r="D108" s="3568"/>
      <c r="E108" s="5340"/>
      <c r="F108" s="5339"/>
      <c r="G108" s="5340"/>
      <c r="H108" s="5339"/>
      <c r="I108" s="5340"/>
      <c r="J108" s="5339"/>
      <c r="K108" s="5340"/>
      <c r="L108" s="5339"/>
      <c r="M108" s="5341"/>
      <c r="N108" s="3572"/>
      <c r="O108" s="5342"/>
      <c r="P108" s="5229"/>
      <c r="Q108" s="5342"/>
      <c r="R108" s="5229"/>
      <c r="S108" s="5342"/>
      <c r="T108" s="5229"/>
      <c r="U108" s="5342"/>
      <c r="V108" s="5229"/>
      <c r="W108" s="5342"/>
      <c r="X108" s="5229"/>
      <c r="Y108" s="5342"/>
      <c r="Z108" s="5229"/>
      <c r="AA108" s="5342"/>
      <c r="AB108" s="5229"/>
      <c r="AC108" s="5342"/>
      <c r="AD108" s="5229"/>
      <c r="AE108" s="5342"/>
      <c r="AF108" s="5229"/>
      <c r="AG108" s="5342"/>
      <c r="AH108" s="5229"/>
      <c r="AI108" s="5342"/>
      <c r="AJ108" s="5229"/>
      <c r="AK108" s="5342"/>
      <c r="AL108" s="5229"/>
      <c r="AM108" s="5342"/>
      <c r="AN108" s="5229"/>
      <c r="AO108" s="5342"/>
      <c r="AP108" s="5229"/>
      <c r="AQ108" s="5336"/>
      <c r="AR108" s="3576"/>
      <c r="AS108" s="5336"/>
      <c r="AT108" s="5337"/>
      <c r="AU108" s="5336"/>
      <c r="AV108" s="3572"/>
      <c r="AW108" s="5338"/>
      <c r="AX108" s="1755" t="str">
        <f t="shared" ref="AX108" si="378">CB108&amp;CC108&amp;CD108&amp;CE108&amp;CK108&amp;CL108&amp;CM108&amp;CN108&amp;CO108&amp;CP108&amp;CQ108&amp;CR108&amp;CS108&amp;CT108&amp;CU108&amp;CV108&amp;CW108&amp;CX108</f>
        <v/>
      </c>
      <c r="CA108" s="603"/>
      <c r="CB108" s="4928" t="str">
        <f t="shared" si="376"/>
        <v/>
      </c>
      <c r="CC108" s="2873" t="str">
        <f t="shared" si="341"/>
        <v/>
      </c>
      <c r="CD108" s="2873" t="str">
        <f t="shared" si="342"/>
        <v/>
      </c>
      <c r="CE108" s="2873" t="str">
        <f t="shared" si="343"/>
        <v/>
      </c>
      <c r="CF108" s="3107"/>
      <c r="CG108" s="3107"/>
      <c r="CH108" s="3107"/>
      <c r="CI108" s="3107"/>
      <c r="CJ108" s="3107"/>
      <c r="CK108" s="2873" t="str">
        <f>IF(N108&lt;O108,CONCATENATE("* El total de Procesados debe ser mayor o igual al total de Reactivos en el grupo de edad ",$N$11),"")</f>
        <v/>
      </c>
      <c r="CL108" s="2873" t="str">
        <f>IF(P108&lt;Q108,CONCATENATE("* El total de Procesados debe ser mayor o igual al total de Reactivos en el grupo de edad ",$P$11),"")</f>
        <v/>
      </c>
      <c r="CM108" s="2873" t="str">
        <f t="shared" si="346"/>
        <v/>
      </c>
      <c r="CN108" s="2873" t="str">
        <f t="shared" si="347"/>
        <v/>
      </c>
      <c r="CO108" s="2873" t="str">
        <f t="shared" si="348"/>
        <v/>
      </c>
      <c r="CP108" s="2873" t="str">
        <f t="shared" si="349"/>
        <v/>
      </c>
      <c r="CQ108" s="2873" t="str">
        <f t="shared" si="350"/>
        <v/>
      </c>
      <c r="CR108" s="2873" t="str">
        <f t="shared" si="351"/>
        <v/>
      </c>
      <c r="CS108" s="2873" t="str">
        <f t="shared" si="352"/>
        <v/>
      </c>
      <c r="CT108" s="2873" t="str">
        <f t="shared" si="353"/>
        <v/>
      </c>
      <c r="CU108" s="2873" t="str">
        <f t="shared" si="354"/>
        <v/>
      </c>
      <c r="CV108" s="2873" t="str">
        <f t="shared" si="355"/>
        <v/>
      </c>
      <c r="CW108" s="2873" t="str">
        <f t="shared" si="356"/>
        <v/>
      </c>
      <c r="CX108" s="2873" t="str">
        <f t="shared" si="357"/>
        <v/>
      </c>
      <c r="DE108" s="2718"/>
      <c r="DF108" s="4928">
        <f t="shared" ref="DF108:DF109" si="379">IF(B108&lt;&gt;(AS108),1,0)</f>
        <v>0</v>
      </c>
      <c r="DG108" s="3009">
        <f t="shared" si="359"/>
        <v>0</v>
      </c>
      <c r="DH108" s="3009">
        <f t="shared" si="360"/>
        <v>0</v>
      </c>
      <c r="DI108" s="3009">
        <f t="shared" si="361"/>
        <v>0</v>
      </c>
      <c r="DJ108" s="3107"/>
      <c r="DK108" s="3107"/>
      <c r="DL108" s="3107"/>
      <c r="DM108" s="3107"/>
      <c r="DN108" s="3107"/>
      <c r="DO108" s="3009">
        <f t="shared" si="362"/>
        <v>0</v>
      </c>
      <c r="DP108" s="3009">
        <f t="shared" si="363"/>
        <v>0</v>
      </c>
      <c r="DQ108" s="3009">
        <f t="shared" si="364"/>
        <v>0</v>
      </c>
      <c r="DR108" s="3009">
        <f t="shared" si="365"/>
        <v>0</v>
      </c>
      <c r="DS108" s="3009">
        <f t="shared" si="366"/>
        <v>0</v>
      </c>
      <c r="DT108" s="3009">
        <f t="shared" si="367"/>
        <v>0</v>
      </c>
      <c r="DU108" s="3009">
        <f t="shared" si="368"/>
        <v>0</v>
      </c>
      <c r="DV108" s="3009">
        <f t="shared" si="369"/>
        <v>0</v>
      </c>
      <c r="DW108" s="3009">
        <f t="shared" si="370"/>
        <v>0</v>
      </c>
      <c r="DX108" s="3009">
        <f t="shared" si="371"/>
        <v>0</v>
      </c>
      <c r="DY108" s="3009">
        <f t="shared" si="372"/>
        <v>0</v>
      </c>
      <c r="DZ108" s="3009">
        <f t="shared" si="373"/>
        <v>0</v>
      </c>
      <c r="EA108" s="3009">
        <f t="shared" si="374"/>
        <v>0</v>
      </c>
      <c r="EB108" s="3009">
        <f t="shared" si="375"/>
        <v>0</v>
      </c>
    </row>
    <row r="109" spans="1:132" x14ac:dyDescent="0.25">
      <c r="A109" s="3273" t="s">
        <v>2666</v>
      </c>
      <c r="B109" s="2014">
        <f>+D109+F109+H109+J109+L109+N109+P109+R109+T109+V109+X109+Z109+AB109+AD109+AF109+AH109+AJ109+AL109+AN109+AP109</f>
        <v>0</v>
      </c>
      <c r="C109" s="3331">
        <f>+E109+G109+I109+K109+M109+O109+Q109+S109+U109+W109+Y109+AA109+AC109+AE109+AG109+AI109+AK109+AM109+AO109+AQ109</f>
        <v>0</v>
      </c>
      <c r="D109" s="3572"/>
      <c r="E109" s="5342"/>
      <c r="F109" s="5229"/>
      <c r="G109" s="5342"/>
      <c r="H109" s="5229"/>
      <c r="I109" s="5338"/>
      <c r="J109" s="3572"/>
      <c r="K109" s="3572"/>
      <c r="L109" s="5229"/>
      <c r="M109" s="5338"/>
      <c r="N109" s="3572"/>
      <c r="O109" s="5342"/>
      <c r="P109" s="5229"/>
      <c r="Q109" s="5342"/>
      <c r="R109" s="5229"/>
      <c r="S109" s="5342"/>
      <c r="T109" s="5229"/>
      <c r="U109" s="5342"/>
      <c r="V109" s="5229"/>
      <c r="W109" s="5342"/>
      <c r="X109" s="5229"/>
      <c r="Y109" s="5342"/>
      <c r="Z109" s="5229"/>
      <c r="AA109" s="5342"/>
      <c r="AB109" s="5229"/>
      <c r="AC109" s="5342"/>
      <c r="AD109" s="5229"/>
      <c r="AE109" s="5342"/>
      <c r="AF109" s="5229"/>
      <c r="AG109" s="5342"/>
      <c r="AH109" s="5229"/>
      <c r="AI109" s="5342"/>
      <c r="AJ109" s="5229"/>
      <c r="AK109" s="5342"/>
      <c r="AL109" s="5229"/>
      <c r="AM109" s="5342"/>
      <c r="AN109" s="5229"/>
      <c r="AO109" s="5342"/>
      <c r="AP109" s="5229"/>
      <c r="AQ109" s="5336"/>
      <c r="AR109" s="3576"/>
      <c r="AS109" s="5336"/>
      <c r="AT109" s="5337"/>
      <c r="AU109" s="5336"/>
      <c r="AV109" s="3572"/>
      <c r="AW109" s="5338"/>
      <c r="AX109" s="1755" t="str">
        <f>CB109&amp;CC109&amp;CD109&amp;CE109&amp;CF109&amp;CG109&amp;CH109&amp;CI109&amp;CJ109&amp;CK109&amp;CL109&amp;CM109&amp;CN109&amp;CO109&amp;CP109&amp;CQ109&amp;CR109&amp;CS109&amp;CT109&amp;CU109&amp;CV109&amp;CW109&amp;CX109</f>
        <v/>
      </c>
      <c r="CA109" s="603"/>
      <c r="CB109" s="4928" t="str">
        <f t="shared" si="376"/>
        <v/>
      </c>
      <c r="CC109" s="2873" t="str">
        <f t="shared" si="341"/>
        <v/>
      </c>
      <c r="CD109" s="2873" t="str">
        <f t="shared" si="342"/>
        <v/>
      </c>
      <c r="CE109" s="2873" t="str">
        <f t="shared" si="343"/>
        <v/>
      </c>
      <c r="CF109" s="2873" t="str">
        <f>IF(D109&lt;E109,CONCATENATE("* El total de Procesados debe ser mayor o igual al total de Reactivos en el grupo de edad ",$D$11),"")</f>
        <v/>
      </c>
      <c r="CG109" s="2873" t="str">
        <f>IF(F109&lt;G109,CONCATENATE("* El total de Procesados debe ser mayor o igual al total de Reactivos en el grupo de edad ",$F$11),"")</f>
        <v/>
      </c>
      <c r="CH109" s="2873" t="str">
        <f>IF(H109&lt;I109,CONCATENATE("* El total de Procesados debe ser mayor o igual al total de Reactivos en el grupo de edad ",$H$11),"")</f>
        <v/>
      </c>
      <c r="CI109" s="2873" t="str">
        <f>IF(J109&lt;K109,CONCATENATE("* El total de Procesados debe ser mayor o igual al total de Reactivos en el grupo de edad ",$J$11),"")</f>
        <v/>
      </c>
      <c r="CJ109" s="2873" t="str">
        <f>IF(L109&lt;M109,CONCATENATE("* El total de Procesados debe ser mayor o igual al total de Reactivos en el grupo de edad ",$L$11),"")</f>
        <v/>
      </c>
      <c r="CK109" s="2873" t="str">
        <f>IF(N109&lt;O109,CONCATENATE("* El total de Procesados debe ser mayor o igual al total de Reactivos en el grupo de edad ",$N$11),"")</f>
        <v/>
      </c>
      <c r="CL109" s="2873" t="str">
        <f>IF(P109&lt;Q109,CONCATENATE("* El total de Procesados debe ser mayor o igual al total de Reactivos en el grupo de edad ",$P$11),"")</f>
        <v/>
      </c>
      <c r="CM109" s="2873" t="str">
        <f t="shared" si="346"/>
        <v/>
      </c>
      <c r="CN109" s="2873" t="str">
        <f t="shared" si="347"/>
        <v/>
      </c>
      <c r="CO109" s="2873" t="str">
        <f t="shared" si="348"/>
        <v/>
      </c>
      <c r="CP109" s="2873" t="str">
        <f t="shared" si="349"/>
        <v/>
      </c>
      <c r="CQ109" s="2873" t="str">
        <f t="shared" si="350"/>
        <v/>
      </c>
      <c r="CR109" s="2873" t="str">
        <f t="shared" si="351"/>
        <v/>
      </c>
      <c r="CS109" s="2873" t="str">
        <f t="shared" si="352"/>
        <v/>
      </c>
      <c r="CT109" s="2873" t="str">
        <f t="shared" si="353"/>
        <v/>
      </c>
      <c r="CU109" s="2873" t="str">
        <f t="shared" si="354"/>
        <v/>
      </c>
      <c r="CV109" s="2873" t="str">
        <f t="shared" si="355"/>
        <v/>
      </c>
      <c r="CW109" s="2873" t="str">
        <f t="shared" si="356"/>
        <v/>
      </c>
      <c r="CX109" s="2873" t="str">
        <f t="shared" si="357"/>
        <v/>
      </c>
      <c r="DE109" s="2718"/>
      <c r="DF109" s="4928">
        <f t="shared" si="379"/>
        <v>0</v>
      </c>
      <c r="DG109" s="3009">
        <f t="shared" si="359"/>
        <v>0</v>
      </c>
      <c r="DH109" s="3009">
        <f t="shared" si="360"/>
        <v>0</v>
      </c>
      <c r="DI109" s="3009">
        <f t="shared" si="361"/>
        <v>0</v>
      </c>
      <c r="DJ109" s="3009">
        <f>IF(D109&lt;E109,1,0)</f>
        <v>0</v>
      </c>
      <c r="DK109" s="3009">
        <f>IF(F109&lt;G109,1,0)</f>
        <v>0</v>
      </c>
      <c r="DL109" s="3009">
        <f>IF(H109&lt;I109,1,0)</f>
        <v>0</v>
      </c>
      <c r="DM109" s="3009">
        <f>IF(J109&lt;K109,1,0)</f>
        <v>0</v>
      </c>
      <c r="DN109" s="3009">
        <f>IF(L109&lt;M109,1,0)</f>
        <v>0</v>
      </c>
      <c r="DO109" s="3009">
        <f t="shared" si="362"/>
        <v>0</v>
      </c>
      <c r="DP109" s="3009">
        <f t="shared" si="363"/>
        <v>0</v>
      </c>
      <c r="DQ109" s="3009">
        <f t="shared" si="364"/>
        <v>0</v>
      </c>
      <c r="DR109" s="3009">
        <f t="shared" si="365"/>
        <v>0</v>
      </c>
      <c r="DS109" s="3009">
        <f t="shared" si="366"/>
        <v>0</v>
      </c>
      <c r="DT109" s="3009">
        <f t="shared" si="367"/>
        <v>0</v>
      </c>
      <c r="DU109" s="3009">
        <f t="shared" si="368"/>
        <v>0</v>
      </c>
      <c r="DV109" s="3009">
        <f t="shared" si="369"/>
        <v>0</v>
      </c>
      <c r="DW109" s="3009">
        <f t="shared" si="370"/>
        <v>0</v>
      </c>
      <c r="DX109" s="3009">
        <f t="shared" si="371"/>
        <v>0</v>
      </c>
      <c r="DY109" s="3009">
        <f t="shared" si="372"/>
        <v>0</v>
      </c>
      <c r="DZ109" s="3009">
        <f t="shared" si="373"/>
        <v>0</v>
      </c>
      <c r="EA109" s="3009">
        <f t="shared" si="374"/>
        <v>0</v>
      </c>
      <c r="EB109" s="3009">
        <f t="shared" si="375"/>
        <v>0</v>
      </c>
    </row>
    <row r="110" spans="1:132" ht="21" x14ac:dyDescent="0.25">
      <c r="A110" s="3328" t="s">
        <v>2667</v>
      </c>
      <c r="B110" s="2014">
        <f>+D110+F110+H110</f>
        <v>0</v>
      </c>
      <c r="C110" s="3331">
        <f>+E110+G110+I110</f>
        <v>0</v>
      </c>
      <c r="D110" s="3572"/>
      <c r="E110" s="5342"/>
      <c r="F110" s="5229"/>
      <c r="G110" s="5342"/>
      <c r="H110" s="5229"/>
      <c r="I110" s="5338"/>
      <c r="J110" s="5343"/>
      <c r="K110" s="5344"/>
      <c r="L110" s="5343"/>
      <c r="M110" s="5344"/>
      <c r="N110" s="5343"/>
      <c r="O110" s="5344"/>
      <c r="P110" s="5343"/>
      <c r="Q110" s="5344"/>
      <c r="R110" s="5343"/>
      <c r="S110" s="5344"/>
      <c r="T110" s="5343"/>
      <c r="U110" s="5344"/>
      <c r="V110" s="5343"/>
      <c r="W110" s="5344"/>
      <c r="X110" s="5343"/>
      <c r="Y110" s="5344"/>
      <c r="Z110" s="5343"/>
      <c r="AA110" s="5344"/>
      <c r="AB110" s="5343"/>
      <c r="AC110" s="5344"/>
      <c r="AD110" s="5343"/>
      <c r="AE110" s="5344"/>
      <c r="AF110" s="5343"/>
      <c r="AG110" s="5344"/>
      <c r="AH110" s="5343"/>
      <c r="AI110" s="5344"/>
      <c r="AJ110" s="5343"/>
      <c r="AK110" s="5344"/>
      <c r="AL110" s="5343"/>
      <c r="AM110" s="5344"/>
      <c r="AN110" s="5343"/>
      <c r="AO110" s="5344"/>
      <c r="AP110" s="5343"/>
      <c r="AQ110" s="5345"/>
      <c r="AR110" s="3572"/>
      <c r="AS110" s="5336"/>
      <c r="AT110" s="5337"/>
      <c r="AU110" s="5336"/>
      <c r="AV110" s="3572"/>
      <c r="AW110" s="5338"/>
      <c r="AX110" s="1755" t="str">
        <f>CB110&amp;CC110&amp;CD110&amp;CE110&amp;CF110&amp;CG110&amp;CH110</f>
        <v/>
      </c>
      <c r="CA110" s="603"/>
      <c r="CB110" s="2873" t="str">
        <f>IF(B110&lt;&gt;(AS110+AR110)," * La suma de las columnas "&amp;AR$10&amp;""&amp;" DEBE SER IGUAL a los Exámenes Procesados. ","")</f>
        <v/>
      </c>
      <c r="CC110" s="2873" t="str">
        <f t="shared" si="341"/>
        <v/>
      </c>
      <c r="CD110" s="2873" t="str">
        <f t="shared" si="342"/>
        <v/>
      </c>
      <c r="CE110" s="2873" t="str">
        <f t="shared" si="343"/>
        <v/>
      </c>
      <c r="CF110" s="2873" t="str">
        <f>IF(D110&lt;E110,CONCATENATE("* El total de Procesados debe ser mayor o igual al total de Reactivos en el grupo de edad ",$D$11),"")</f>
        <v/>
      </c>
      <c r="CG110" s="2873" t="str">
        <f>IF(F110&lt;G110,CONCATENATE("* El total de Procesados debe ser mayor o igual al total de Reactivos en el grupo de edad ",$F$11),"")</f>
        <v/>
      </c>
      <c r="CH110" s="2873" t="str">
        <f>IF(H110&lt;I110,CONCATENATE("* El total de Procesados debe ser mayor o igual al total de Reactivos en el grupo de edad ",$H$11),"")</f>
        <v/>
      </c>
      <c r="CI110" s="2872"/>
      <c r="CJ110" s="2872"/>
      <c r="CK110" s="3581"/>
      <c r="CL110" s="2872"/>
      <c r="CM110" s="2872"/>
      <c r="CN110" s="2872"/>
      <c r="CO110" s="2872"/>
      <c r="CP110" s="2872"/>
      <c r="CQ110" s="2872"/>
      <c r="CR110" s="2872"/>
      <c r="CS110" s="2872"/>
      <c r="CT110" s="2872"/>
      <c r="CU110" s="2872"/>
      <c r="CV110" s="2872"/>
      <c r="CW110" s="2872"/>
      <c r="CX110" s="2872"/>
      <c r="DE110" s="2718"/>
      <c r="DF110" s="2873">
        <f>IF(B110&lt;&gt;(AS110+AR110),1,0)</f>
        <v>0</v>
      </c>
      <c r="DG110" s="3009">
        <f t="shared" si="359"/>
        <v>0</v>
      </c>
      <c r="DH110" s="3009">
        <f t="shared" si="360"/>
        <v>0</v>
      </c>
      <c r="DI110" s="3009">
        <f t="shared" si="361"/>
        <v>0</v>
      </c>
      <c r="DJ110" s="3009">
        <f>IF(D110&lt;E110,1,0)</f>
        <v>0</v>
      </c>
      <c r="DK110" s="3009">
        <f>IF(F110&lt;G110,1,0)</f>
        <v>0</v>
      </c>
      <c r="DL110" s="3009">
        <f>IF(H110&lt;I110,1,0)</f>
        <v>0</v>
      </c>
      <c r="DM110" s="2872"/>
      <c r="DN110" s="2872"/>
      <c r="DO110" s="3107"/>
      <c r="DP110" s="3107"/>
      <c r="DQ110" s="3107"/>
      <c r="DR110" s="3107"/>
      <c r="DS110" s="3107"/>
      <c r="DT110" s="3107"/>
      <c r="DU110" s="3107"/>
      <c r="DV110" s="3107"/>
      <c r="DW110" s="3107"/>
      <c r="DX110" s="3107"/>
      <c r="DY110" s="3107"/>
      <c r="DZ110" s="3107"/>
      <c r="EA110" s="3107"/>
      <c r="EB110" s="3107"/>
    </row>
    <row r="111" spans="1:132" x14ac:dyDescent="0.25">
      <c r="A111" s="3328" t="s">
        <v>2668</v>
      </c>
      <c r="B111" s="2014">
        <f>+P111+R111+T111+V111+X111+Z111+AB111+AD111+AF111+AH111+AJ111+AL111+AN111+AP111</f>
        <v>0</v>
      </c>
      <c r="C111" s="3331">
        <f>+Q111+S111+U111+W111+Y111+AA111+AC111+AE111+AG111+AI111+AK111+AM111+AO111+AQ111</f>
        <v>0</v>
      </c>
      <c r="D111" s="3568"/>
      <c r="E111" s="5340"/>
      <c r="F111" s="5339"/>
      <c r="G111" s="5340"/>
      <c r="H111" s="5339"/>
      <c r="I111" s="5340"/>
      <c r="J111" s="5339"/>
      <c r="K111" s="5340"/>
      <c r="L111" s="5339"/>
      <c r="M111" s="5341"/>
      <c r="N111" s="3568"/>
      <c r="O111" s="5340"/>
      <c r="P111" s="5229"/>
      <c r="Q111" s="5342"/>
      <c r="R111" s="5229"/>
      <c r="S111" s="5342"/>
      <c r="T111" s="5229"/>
      <c r="U111" s="5342"/>
      <c r="V111" s="5229"/>
      <c r="W111" s="5342"/>
      <c r="X111" s="5229"/>
      <c r="Y111" s="5342"/>
      <c r="Z111" s="5229"/>
      <c r="AA111" s="5342"/>
      <c r="AB111" s="5229"/>
      <c r="AC111" s="5342"/>
      <c r="AD111" s="5229"/>
      <c r="AE111" s="5342"/>
      <c r="AF111" s="5229"/>
      <c r="AG111" s="5342"/>
      <c r="AH111" s="5229"/>
      <c r="AI111" s="5342"/>
      <c r="AJ111" s="5229"/>
      <c r="AK111" s="5342"/>
      <c r="AL111" s="5229"/>
      <c r="AM111" s="5342"/>
      <c r="AN111" s="5229"/>
      <c r="AO111" s="5342"/>
      <c r="AP111" s="5229"/>
      <c r="AQ111" s="5336"/>
      <c r="AR111" s="3572"/>
      <c r="AS111" s="5336"/>
      <c r="AT111" s="5337"/>
      <c r="AU111" s="5336"/>
      <c r="AV111" s="3572"/>
      <c r="AW111" s="5338"/>
      <c r="AX111" s="1755" t="str">
        <f>CB111&amp;CC111&amp;CD111&amp;CE111&amp;CF111&amp;CG111&amp;CH111&amp;CL111&amp;CM111&amp;CN111&amp;CO111&amp;CP111&amp;CQ111&amp;CR111&amp;CS111&amp;CT111&amp;CU111&amp;CV111&amp;CW111&amp;CX111</f>
        <v/>
      </c>
      <c r="CA111" s="603"/>
      <c r="CB111" s="2873" t="str">
        <f t="shared" ref="CB111:CB118" si="380">IF(B111&lt;&gt;(AS111+AR111)," * La suma de las columnas "&amp;AR$10&amp;""&amp;" DEBE SER IGUAL a los Exámenes Procesados. ","")</f>
        <v/>
      </c>
      <c r="CC111" s="2873" t="str">
        <f t="shared" si="341"/>
        <v/>
      </c>
      <c r="CD111" s="2873" t="str">
        <f t="shared" si="342"/>
        <v/>
      </c>
      <c r="CE111" s="2873" t="str">
        <f t="shared" si="343"/>
        <v/>
      </c>
      <c r="CF111" s="3581"/>
      <c r="CG111" s="3581"/>
      <c r="CH111" s="2872"/>
      <c r="CI111" s="2872"/>
      <c r="CJ111" s="2872"/>
      <c r="CK111" s="3581"/>
      <c r="CL111" s="2873" t="str">
        <f>IF(P111&lt;Q111,CONCATENATE("* El total de Procesados debe ser mayor o igual al total de Reactivos en el grupo de edad ",$P$11),"")</f>
        <v/>
      </c>
      <c r="CM111" s="2873" t="str">
        <f t="shared" ref="CM111:CM118" si="381">IF(R111&lt;S111,CONCATENATE("* El total de Procesados debe ser mayor o igual al total de Reactivos en el grupo de edad ",$R$11),"")</f>
        <v/>
      </c>
      <c r="CN111" s="2873" t="str">
        <f t="shared" si="347"/>
        <v/>
      </c>
      <c r="CO111" s="2873" t="str">
        <f t="shared" ref="CO111:CO118" si="382">IF(V111&lt;W111,CONCATENATE("* El total de Procesados debe ser mayor o igual al total de Reactivos en el grupo de edad ",$V$11),"")</f>
        <v/>
      </c>
      <c r="CP111" s="2873" t="str">
        <f t="shared" ref="CP111:CP118" si="383">IF(X111&lt;Y111,CONCATENATE("* El total de Procesados debe ser mayor o igual al total de Reactivos en el grupo de edad ",$X$11),"")</f>
        <v/>
      </c>
      <c r="CQ111" s="2873" t="str">
        <f t="shared" ref="CQ111:CQ118" si="384">IF(Z111&lt;AA111,CONCATENATE("* El total de Procesados debe ser mayor o igual al total de Reactivos en el grupo de edad ",$Z$11),"")</f>
        <v/>
      </c>
      <c r="CR111" s="2873" t="str">
        <f t="shared" ref="CR111:CR118" si="385">IF(AD111&lt;AE111,CONCATENATE("* El total de Procesados debe ser mayor o igual al total de Reactivos en el grupo de edad ",$AD$11),"")</f>
        <v/>
      </c>
      <c r="CS111" s="2873" t="str">
        <f t="shared" ref="CS111:CS118" si="386">IF(AF111&lt;AG111,CONCATENATE("* El total de Procesados debe ser mayor o igual al total de Reactivos en el grupo de edad ",$AF$11),"")</f>
        <v/>
      </c>
      <c r="CT111" s="2873" t="str">
        <f t="shared" ref="CT111:CT118" si="387">IF(AH111&lt;AI111,CONCATENATE("* El total de Procesados debe ser mayor o igual al total de Reactivos en el grupo de edad ",$AH$11),"")</f>
        <v/>
      </c>
      <c r="CU111" s="2873" t="str">
        <f t="shared" ref="CU111:CU114" si="388">IF(AJ111&lt;AK111,CONCATENATE("* El total de Procesados debe ser mayor o igual al total de Reactivos en el grupo de edad ",$AJ$11),"")</f>
        <v/>
      </c>
      <c r="CV111" s="2873" t="str">
        <f t="shared" ref="CV111:CV114" si="389">IF(AL111&lt;AM111,CONCATENATE("* El total de Procesados debe ser mayor o igual al total de Reactivos en el grupo de edad ",$AL$11),"")</f>
        <v/>
      </c>
      <c r="CW111" s="2873" t="str">
        <f t="shared" ref="CW111:CW114" si="390">IF(AN111&lt;AO111,CONCATENATE("* El total de Procesados debe ser mayor o igual al total de Reactivos en el grupo de edad ",$AN$11),"")</f>
        <v/>
      </c>
      <c r="CX111" s="2873" t="str">
        <f t="shared" ref="CX111:CX114" si="391">IF(AP111&lt;AQ111,CONCATENATE("* El total de Procesados debe ser mayor o igual al total de Reactivos en el grupo de edad ",$AP$11),"")</f>
        <v/>
      </c>
      <c r="DE111" s="2718"/>
      <c r="DF111" s="2873">
        <f t="shared" ref="DF111:DF118" si="392">IF(B111&lt;&gt;(AS111+AR111),1,0)</f>
        <v>0</v>
      </c>
      <c r="DG111" s="3009">
        <f t="shared" si="359"/>
        <v>0</v>
      </c>
      <c r="DH111" s="3009">
        <f t="shared" si="360"/>
        <v>0</v>
      </c>
      <c r="DI111" s="3009">
        <f t="shared" si="361"/>
        <v>0</v>
      </c>
      <c r="DJ111" s="2872"/>
      <c r="DK111" s="2872"/>
      <c r="DL111" s="2872"/>
      <c r="DM111" s="2872"/>
      <c r="DN111" s="2872"/>
      <c r="DO111" s="3107"/>
      <c r="DP111" s="3009">
        <f>IF(P111&lt;Q111,1,0)</f>
        <v>0</v>
      </c>
      <c r="DQ111" s="3009">
        <f t="shared" ref="DQ111:DQ118" si="393">IF(R111&lt;S111,1,0)</f>
        <v>0</v>
      </c>
      <c r="DR111" s="3009">
        <f t="shared" si="365"/>
        <v>0</v>
      </c>
      <c r="DS111" s="3009">
        <f t="shared" ref="DS111:DS118" si="394">IF(V111&lt;W111,1,0)</f>
        <v>0</v>
      </c>
      <c r="DT111" s="3009">
        <f t="shared" ref="DT111:DT118" si="395">IF(X111&lt;Y111,1,0)</f>
        <v>0</v>
      </c>
      <c r="DU111" s="3009">
        <f t="shared" ref="DU111:DU118" si="396">IF(Z111&lt;AA111,1,0)</f>
        <v>0</v>
      </c>
      <c r="DV111" s="3009">
        <f t="shared" ref="DV111:DV118" si="397">IF(AD111&lt;AE111,1,0)</f>
        <v>0</v>
      </c>
      <c r="DW111" s="3009">
        <f t="shared" ref="DW111:DW118" si="398">IF(AF111&lt;AG111,1,0)</f>
        <v>0</v>
      </c>
      <c r="DX111" s="3009">
        <f t="shared" ref="DX111:DX118" si="399">IF(AH111&lt;AI111,1,0)</f>
        <v>0</v>
      </c>
      <c r="DY111" s="3009">
        <f t="shared" ref="DY111:DY114" si="400">IF(AJ111&lt;AK111,1,0)</f>
        <v>0</v>
      </c>
      <c r="DZ111" s="3009">
        <f t="shared" ref="DZ111:DZ114" si="401">IF(AL111&lt;AM111,1,0)</f>
        <v>0</v>
      </c>
      <c r="EA111" s="3009">
        <f t="shared" ref="EA111:EA114" si="402">IF(AN111&lt;AO111,1,0)</f>
        <v>0</v>
      </c>
      <c r="EB111" s="3009">
        <f t="shared" ref="EB111:EB114" si="403">IF(AP111&lt;AQ111,1,0)</f>
        <v>0</v>
      </c>
    </row>
    <row r="112" spans="1:132" x14ac:dyDescent="0.25">
      <c r="A112" s="3273" t="s">
        <v>2669</v>
      </c>
      <c r="B112" s="2014">
        <f>+N112+P112+R112+T112+V112+X112+Z112+AB112+AD112+AF112+AH112+AJ112+AL112+AN112+AP112</f>
        <v>0</v>
      </c>
      <c r="C112" s="3331">
        <f>+O112+Q112+S112+U112+W112+Y112+AA112+AC112+AE112+AG112+AI112+AK112+AM112+AO112+AQ112</f>
        <v>0</v>
      </c>
      <c r="D112" s="3576"/>
      <c r="E112" s="5344"/>
      <c r="F112" s="5343"/>
      <c r="G112" s="5344"/>
      <c r="H112" s="5343"/>
      <c r="I112" s="5346"/>
      <c r="J112" s="3576"/>
      <c r="K112" s="3576"/>
      <c r="L112" s="5343"/>
      <c r="M112" s="5346"/>
      <c r="N112" s="3572"/>
      <c r="O112" s="5342"/>
      <c r="P112" s="5229"/>
      <c r="Q112" s="5342"/>
      <c r="R112" s="5229"/>
      <c r="S112" s="5342"/>
      <c r="T112" s="5229"/>
      <c r="U112" s="5342"/>
      <c r="V112" s="5229"/>
      <c r="W112" s="5342"/>
      <c r="X112" s="5229"/>
      <c r="Y112" s="5342"/>
      <c r="Z112" s="5229"/>
      <c r="AA112" s="5342"/>
      <c r="AB112" s="5229"/>
      <c r="AC112" s="5342"/>
      <c r="AD112" s="5229"/>
      <c r="AE112" s="5342"/>
      <c r="AF112" s="5229"/>
      <c r="AG112" s="5342"/>
      <c r="AH112" s="5229"/>
      <c r="AI112" s="5342"/>
      <c r="AJ112" s="5229"/>
      <c r="AK112" s="5342"/>
      <c r="AL112" s="5229"/>
      <c r="AM112" s="5342"/>
      <c r="AN112" s="5229"/>
      <c r="AO112" s="5342"/>
      <c r="AP112" s="5229"/>
      <c r="AQ112" s="5336"/>
      <c r="AR112" s="3572"/>
      <c r="AS112" s="5336"/>
      <c r="AT112" s="5337"/>
      <c r="AU112" s="5336"/>
      <c r="AV112" s="3572"/>
      <c r="AW112" s="5338"/>
      <c r="AX112" s="1755" t="str">
        <f>CB112&amp;CC112&amp;CD112&amp;CE112&amp;CK112&amp;CL112&amp;CM112&amp;CN112&amp;CO112&amp;CP112&amp;CQ112&amp;CR112&amp;CS112&amp;CT112&amp;CU112&amp;CV112&amp;CW112&amp;CX112</f>
        <v/>
      </c>
      <c r="CA112" s="603"/>
      <c r="CB112" s="2873" t="str">
        <f t="shared" si="380"/>
        <v/>
      </c>
      <c r="CC112" s="2873" t="str">
        <f t="shared" si="341"/>
        <v/>
      </c>
      <c r="CD112" s="2873" t="str">
        <f t="shared" si="342"/>
        <v/>
      </c>
      <c r="CE112" s="2873" t="str">
        <f t="shared" si="343"/>
        <v/>
      </c>
      <c r="CF112" s="3581"/>
      <c r="CG112" s="3581"/>
      <c r="CH112" s="2872"/>
      <c r="CI112" s="2872"/>
      <c r="CJ112" s="2872"/>
      <c r="CK112" s="2873" t="str">
        <f>IF(N112&lt;O112,CONCATENATE("* El total de Procesados debe ser mayor o igual al total de Reactivos en el grupo de edad ",$N$11),"")</f>
        <v/>
      </c>
      <c r="CL112" s="2873" t="str">
        <f>IF(P112&lt;Q112,CONCATENATE("* El total de Procesados debe ser mayor o igual al total de Reactivos en el grupo de edad ",$P$11),"")</f>
        <v/>
      </c>
      <c r="CM112" s="2873" t="str">
        <f t="shared" si="381"/>
        <v/>
      </c>
      <c r="CN112" s="2873" t="str">
        <f t="shared" si="347"/>
        <v/>
      </c>
      <c r="CO112" s="2873" t="str">
        <f t="shared" si="382"/>
        <v/>
      </c>
      <c r="CP112" s="2873" t="str">
        <f t="shared" si="383"/>
        <v/>
      </c>
      <c r="CQ112" s="2873" t="str">
        <f t="shared" si="384"/>
        <v/>
      </c>
      <c r="CR112" s="2873" t="str">
        <f t="shared" si="385"/>
        <v/>
      </c>
      <c r="CS112" s="2873" t="str">
        <f t="shared" si="386"/>
        <v/>
      </c>
      <c r="CT112" s="2873" t="str">
        <f t="shared" si="387"/>
        <v/>
      </c>
      <c r="CU112" s="2873" t="str">
        <f t="shared" si="388"/>
        <v/>
      </c>
      <c r="CV112" s="2873" t="str">
        <f t="shared" si="389"/>
        <v/>
      </c>
      <c r="CW112" s="2873" t="str">
        <f t="shared" si="390"/>
        <v/>
      </c>
      <c r="CX112" s="2873" t="str">
        <f t="shared" si="391"/>
        <v/>
      </c>
      <c r="DE112" s="2718"/>
      <c r="DF112" s="2873">
        <f t="shared" si="392"/>
        <v>0</v>
      </c>
      <c r="DG112" s="3009">
        <f t="shared" si="359"/>
        <v>0</v>
      </c>
      <c r="DH112" s="3009">
        <f t="shared" si="360"/>
        <v>0</v>
      </c>
      <c r="DI112" s="3009">
        <f t="shared" si="361"/>
        <v>0</v>
      </c>
      <c r="DJ112" s="2872"/>
      <c r="DK112" s="2872"/>
      <c r="DL112" s="2872"/>
      <c r="DM112" s="2872"/>
      <c r="DN112" s="2872"/>
      <c r="DO112" s="3009">
        <f t="shared" ref="DO112:DO113" si="404">IF(N112&lt;O112,1,0)</f>
        <v>0</v>
      </c>
      <c r="DP112" s="3009">
        <f>IF(P112&lt;Q112,1,0)</f>
        <v>0</v>
      </c>
      <c r="DQ112" s="3009">
        <f t="shared" si="393"/>
        <v>0</v>
      </c>
      <c r="DR112" s="3009">
        <f t="shared" si="365"/>
        <v>0</v>
      </c>
      <c r="DS112" s="3009">
        <f t="shared" si="394"/>
        <v>0</v>
      </c>
      <c r="DT112" s="3009">
        <f t="shared" si="395"/>
        <v>0</v>
      </c>
      <c r="DU112" s="3009">
        <f t="shared" si="396"/>
        <v>0</v>
      </c>
      <c r="DV112" s="3009">
        <f t="shared" si="397"/>
        <v>0</v>
      </c>
      <c r="DW112" s="3009">
        <f t="shared" si="398"/>
        <v>0</v>
      </c>
      <c r="DX112" s="3009">
        <f t="shared" si="399"/>
        <v>0</v>
      </c>
      <c r="DY112" s="3009">
        <f t="shared" si="400"/>
        <v>0</v>
      </c>
      <c r="DZ112" s="3009">
        <f t="shared" si="401"/>
        <v>0</v>
      </c>
      <c r="EA112" s="3009">
        <f t="shared" si="402"/>
        <v>0</v>
      </c>
      <c r="EB112" s="3009">
        <f t="shared" si="403"/>
        <v>0</v>
      </c>
    </row>
    <row r="113" spans="1:132" x14ac:dyDescent="0.25">
      <c r="A113" s="3273" t="s">
        <v>2670</v>
      </c>
      <c r="B113" s="2014">
        <f>+D113+F113+H113+J113+L113+N113+P113+R113+T113+V113+X113+Z113+AB113+AD113+AF113+AH113+AJ113+AL113+AN113+AP113</f>
        <v>0</v>
      </c>
      <c r="C113" s="3331">
        <f>+E113+G113+I113+K113+M113+O113+Q113+S113+U113+W113+Y113+AA113+AC113+AE113+AG113+AI113+AK113+AM113+AO113+AQ113</f>
        <v>0</v>
      </c>
      <c r="D113" s="3572"/>
      <c r="E113" s="5342"/>
      <c r="F113" s="5229"/>
      <c r="G113" s="5342"/>
      <c r="H113" s="5229"/>
      <c r="I113" s="5338"/>
      <c r="J113" s="3572"/>
      <c r="K113" s="3572"/>
      <c r="L113" s="5229"/>
      <c r="M113" s="5338"/>
      <c r="N113" s="3572"/>
      <c r="O113" s="5342"/>
      <c r="P113" s="5229"/>
      <c r="Q113" s="5342"/>
      <c r="R113" s="5229"/>
      <c r="S113" s="5342"/>
      <c r="T113" s="5229"/>
      <c r="U113" s="5342"/>
      <c r="V113" s="5229"/>
      <c r="W113" s="5342"/>
      <c r="X113" s="5229"/>
      <c r="Y113" s="5342"/>
      <c r="Z113" s="5229"/>
      <c r="AA113" s="5342"/>
      <c r="AB113" s="5229"/>
      <c r="AC113" s="5342"/>
      <c r="AD113" s="5229"/>
      <c r="AE113" s="5342"/>
      <c r="AF113" s="5229"/>
      <c r="AG113" s="5342"/>
      <c r="AH113" s="5229"/>
      <c r="AI113" s="5342"/>
      <c r="AJ113" s="5229"/>
      <c r="AK113" s="5342"/>
      <c r="AL113" s="5229"/>
      <c r="AM113" s="5342"/>
      <c r="AN113" s="5229"/>
      <c r="AO113" s="5342"/>
      <c r="AP113" s="5229"/>
      <c r="AQ113" s="5336"/>
      <c r="AR113" s="3572"/>
      <c r="AS113" s="5336"/>
      <c r="AT113" s="5337"/>
      <c r="AU113" s="5336"/>
      <c r="AV113" s="3572"/>
      <c r="AW113" s="5338"/>
      <c r="AX113" s="1755" t="str">
        <f>CB113&amp;CC113&amp;CD113&amp;CE113&amp;CF113&amp;CG113&amp;CH113&amp;CI113&amp;CJ113&amp;CK113&amp;CL113&amp;CM113&amp;CN113&amp;CO113&amp;CP113&amp;CQ113&amp;CR113&amp;CS113&amp;CT113&amp;CU113&amp;CV113&amp;CW113&amp;CX113</f>
        <v/>
      </c>
      <c r="CA113" s="603"/>
      <c r="CB113" s="2873" t="str">
        <f t="shared" si="380"/>
        <v/>
      </c>
      <c r="CC113" s="2873" t="str">
        <f t="shared" si="341"/>
        <v/>
      </c>
      <c r="CD113" s="2873" t="str">
        <f t="shared" si="342"/>
        <v/>
      </c>
      <c r="CE113" s="2873" t="str">
        <f t="shared" si="343"/>
        <v/>
      </c>
      <c r="CF113" s="2873" t="str">
        <f>IF(D113&lt;E113,CONCATENATE("* El total de Procesados debe ser mayor o igual al total de Reactivos en el grupo de edad ",$D$11),"")</f>
        <v/>
      </c>
      <c r="CG113" s="2873" t="str">
        <f>IF(F113&lt;G113,CONCATENATE("* El total de Procesados debe ser mayor o igual al total de Reactivos en el grupo de edad ",$F$11),"")</f>
        <v/>
      </c>
      <c r="CH113" s="2873" t="str">
        <f>IF(H113&lt;I113,CONCATENATE("* El total de Procesados debe ser mayor o igual al total de Reactivos en el grupo de edad ",$H$11),"")</f>
        <v/>
      </c>
      <c r="CI113" s="2873" t="str">
        <f>IF(J113&lt;K113,CONCATENATE("* El total de Procesados debe ser mayor o igual al total de Reactivos en el grupo de edad ",$J$11),"")</f>
        <v/>
      </c>
      <c r="CJ113" s="2873" t="str">
        <f>IF(L113&lt;M113,CONCATENATE("* El total de Procesados debe ser mayor o igual al total de Reactivos en el grupo de edad ",$L$11),"")</f>
        <v/>
      </c>
      <c r="CK113" s="2873" t="str">
        <f>IF(N113&lt;O113,CONCATENATE("* El total de Procesados debe ser mayor o igual al total de Reactivos en el grupo de edad ",$N$11),"")</f>
        <v/>
      </c>
      <c r="CL113" s="2873" t="str">
        <f>IF(P113&lt;Q113,CONCATENATE("* El total de Procesados debe ser mayor o igual al total de Reactivos en el grupo de edad ",$P$11),"")</f>
        <v/>
      </c>
      <c r="CM113" s="2873" t="str">
        <f t="shared" si="381"/>
        <v/>
      </c>
      <c r="CN113" s="2873" t="str">
        <f t="shared" si="347"/>
        <v/>
      </c>
      <c r="CO113" s="2873" t="str">
        <f t="shared" si="382"/>
        <v/>
      </c>
      <c r="CP113" s="2873" t="str">
        <f t="shared" si="383"/>
        <v/>
      </c>
      <c r="CQ113" s="2873" t="str">
        <f t="shared" si="384"/>
        <v/>
      </c>
      <c r="CR113" s="2873" t="str">
        <f t="shared" si="385"/>
        <v/>
      </c>
      <c r="CS113" s="2873" t="str">
        <f t="shared" si="386"/>
        <v/>
      </c>
      <c r="CT113" s="2873" t="str">
        <f t="shared" si="387"/>
        <v/>
      </c>
      <c r="CU113" s="2873" t="str">
        <f t="shared" si="388"/>
        <v/>
      </c>
      <c r="CV113" s="2873" t="str">
        <f t="shared" si="389"/>
        <v/>
      </c>
      <c r="CW113" s="2873" t="str">
        <f t="shared" si="390"/>
        <v/>
      </c>
      <c r="CX113" s="2873" t="str">
        <f t="shared" si="391"/>
        <v/>
      </c>
      <c r="DE113" s="2718"/>
      <c r="DF113" s="2873">
        <f t="shared" si="392"/>
        <v>0</v>
      </c>
      <c r="DG113" s="3009">
        <f t="shared" si="359"/>
        <v>0</v>
      </c>
      <c r="DH113" s="3009">
        <f t="shared" si="360"/>
        <v>0</v>
      </c>
      <c r="DI113" s="3009">
        <f t="shared" si="361"/>
        <v>0</v>
      </c>
      <c r="DJ113" s="3009">
        <f>IF(D113&lt;E113,1,0)</f>
        <v>0</v>
      </c>
      <c r="DK113" s="3009">
        <f>IF(F113&lt;G113,1,0)</f>
        <v>0</v>
      </c>
      <c r="DL113" s="3009">
        <f>IF(H113&lt;I113,1,0)</f>
        <v>0</v>
      </c>
      <c r="DM113" s="3009">
        <f>IF(J113&lt;K113,1,0)</f>
        <v>0</v>
      </c>
      <c r="DN113" s="3009">
        <f>IF(L113&lt;M113,1,0)</f>
        <v>0</v>
      </c>
      <c r="DO113" s="3009">
        <f t="shared" si="404"/>
        <v>0</v>
      </c>
      <c r="DP113" s="3009">
        <f t="shared" ref="DP113:DP118" si="405">IF(P113&lt;Q113,1,0)</f>
        <v>0</v>
      </c>
      <c r="DQ113" s="3009">
        <f t="shared" si="393"/>
        <v>0</v>
      </c>
      <c r="DR113" s="3009">
        <f t="shared" si="365"/>
        <v>0</v>
      </c>
      <c r="DS113" s="3009">
        <f t="shared" si="394"/>
        <v>0</v>
      </c>
      <c r="DT113" s="3009">
        <f t="shared" si="395"/>
        <v>0</v>
      </c>
      <c r="DU113" s="3009">
        <f t="shared" si="396"/>
        <v>0</v>
      </c>
      <c r="DV113" s="3009">
        <f t="shared" si="397"/>
        <v>0</v>
      </c>
      <c r="DW113" s="3009">
        <f t="shared" si="398"/>
        <v>0</v>
      </c>
      <c r="DX113" s="3009">
        <f t="shared" si="399"/>
        <v>0</v>
      </c>
      <c r="DY113" s="3009">
        <f t="shared" si="400"/>
        <v>0</v>
      </c>
      <c r="DZ113" s="3009">
        <f t="shared" si="401"/>
        <v>0</v>
      </c>
      <c r="EA113" s="3009">
        <f t="shared" si="402"/>
        <v>0</v>
      </c>
      <c r="EB113" s="3009">
        <f t="shared" si="403"/>
        <v>0</v>
      </c>
    </row>
    <row r="114" spans="1:132" x14ac:dyDescent="0.25">
      <c r="A114" s="3578" t="s">
        <v>2671</v>
      </c>
      <c r="B114" s="2014">
        <f>+P114+R114+T114+V114+X114+Z114+AB114+AD114+AF114+AH114+AJ114+AL114+AN114+AP114</f>
        <v>0</v>
      </c>
      <c r="C114" s="3331">
        <f>+Q114+S114+U114+W114+Y114+AA114+AC114+AE114+AG114+AI114+AK114+AM114+AO114+AQ114</f>
        <v>0</v>
      </c>
      <c r="D114" s="3568"/>
      <c r="E114" s="5340"/>
      <c r="F114" s="5339"/>
      <c r="G114" s="5340"/>
      <c r="H114" s="5339"/>
      <c r="I114" s="5340"/>
      <c r="J114" s="5339"/>
      <c r="K114" s="5340"/>
      <c r="L114" s="5339"/>
      <c r="M114" s="5341"/>
      <c r="N114" s="3568"/>
      <c r="O114" s="5340"/>
      <c r="P114" s="5229"/>
      <c r="Q114" s="5342"/>
      <c r="R114" s="5229"/>
      <c r="S114" s="5342"/>
      <c r="T114" s="5229"/>
      <c r="U114" s="5342"/>
      <c r="V114" s="5229"/>
      <c r="W114" s="5342"/>
      <c r="X114" s="5229"/>
      <c r="Y114" s="5342"/>
      <c r="Z114" s="5229"/>
      <c r="AA114" s="5342"/>
      <c r="AB114" s="5229"/>
      <c r="AC114" s="5342"/>
      <c r="AD114" s="5229"/>
      <c r="AE114" s="5342"/>
      <c r="AF114" s="5229"/>
      <c r="AG114" s="5342"/>
      <c r="AH114" s="5229"/>
      <c r="AI114" s="5342"/>
      <c r="AJ114" s="5229"/>
      <c r="AK114" s="5342"/>
      <c r="AL114" s="5229"/>
      <c r="AM114" s="5342"/>
      <c r="AN114" s="5229"/>
      <c r="AO114" s="5342"/>
      <c r="AP114" s="5229"/>
      <c r="AQ114" s="5336"/>
      <c r="AR114" s="3572"/>
      <c r="AS114" s="5336"/>
      <c r="AT114" s="5337"/>
      <c r="AU114" s="5336"/>
      <c r="AV114" s="3572"/>
      <c r="AW114" s="5338"/>
      <c r="AX114" s="1755" t="str">
        <f>CB114&amp;CC114&amp;CD114&amp;CE114&amp;CL114&amp;CM114&amp;CN114&amp;CO114&amp;CP114&amp;CQ114&amp;CR114&amp;CS114&amp;CT114&amp;CU114&amp;CV114&amp;CW114&amp;CX114</f>
        <v/>
      </c>
      <c r="CA114" s="603"/>
      <c r="CB114" s="2873" t="str">
        <f t="shared" si="380"/>
        <v/>
      </c>
      <c r="CC114" s="2873" t="str">
        <f t="shared" si="341"/>
        <v/>
      </c>
      <c r="CD114" s="2873" t="str">
        <f t="shared" si="342"/>
        <v/>
      </c>
      <c r="CE114" s="2873" t="str">
        <f t="shared" si="343"/>
        <v/>
      </c>
      <c r="CF114" s="3581"/>
      <c r="CG114" s="3581"/>
      <c r="CH114" s="2872"/>
      <c r="CI114" s="2872"/>
      <c r="CJ114" s="2872"/>
      <c r="CK114" s="3581"/>
      <c r="CL114" s="2873" t="str">
        <f t="shared" ref="CL114:CL118" si="406">IF(P114&lt;Q114,CONCATENATE("* El total de Procesados debe ser mayor o igual al total de Reactivos en el grupo de edad ",$P$11),"")</f>
        <v/>
      </c>
      <c r="CM114" s="2873" t="str">
        <f t="shared" si="381"/>
        <v/>
      </c>
      <c r="CN114" s="2873" t="str">
        <f t="shared" si="347"/>
        <v/>
      </c>
      <c r="CO114" s="2873" t="str">
        <f t="shared" si="382"/>
        <v/>
      </c>
      <c r="CP114" s="2873" t="str">
        <f t="shared" si="383"/>
        <v/>
      </c>
      <c r="CQ114" s="2873" t="str">
        <f t="shared" si="384"/>
        <v/>
      </c>
      <c r="CR114" s="2873" t="str">
        <f t="shared" si="385"/>
        <v/>
      </c>
      <c r="CS114" s="2873" t="str">
        <f t="shared" si="386"/>
        <v/>
      </c>
      <c r="CT114" s="2873" t="str">
        <f t="shared" si="387"/>
        <v/>
      </c>
      <c r="CU114" s="2873" t="str">
        <f t="shared" si="388"/>
        <v/>
      </c>
      <c r="CV114" s="2873" t="str">
        <f t="shared" si="389"/>
        <v/>
      </c>
      <c r="CW114" s="2873" t="str">
        <f t="shared" si="390"/>
        <v/>
      </c>
      <c r="CX114" s="2873" t="str">
        <f t="shared" si="391"/>
        <v/>
      </c>
      <c r="DE114" s="2718"/>
      <c r="DF114" s="2873">
        <f t="shared" si="392"/>
        <v>0</v>
      </c>
      <c r="DG114" s="3009">
        <f t="shared" si="359"/>
        <v>0</v>
      </c>
      <c r="DH114" s="3009">
        <f t="shared" si="360"/>
        <v>0</v>
      </c>
      <c r="DI114" s="3009">
        <f t="shared" si="361"/>
        <v>0</v>
      </c>
      <c r="DJ114" s="2872"/>
      <c r="DK114" s="2872"/>
      <c r="DL114" s="2872"/>
      <c r="DM114" s="2872"/>
      <c r="DN114" s="2872"/>
      <c r="DO114" s="3107"/>
      <c r="DP114" s="3009">
        <f t="shared" si="405"/>
        <v>0</v>
      </c>
      <c r="DQ114" s="3009">
        <f t="shared" si="393"/>
        <v>0</v>
      </c>
      <c r="DR114" s="3009">
        <f t="shared" si="365"/>
        <v>0</v>
      </c>
      <c r="DS114" s="3009">
        <f t="shared" si="394"/>
        <v>0</v>
      </c>
      <c r="DT114" s="3009">
        <f t="shared" si="395"/>
        <v>0</v>
      </c>
      <c r="DU114" s="3009">
        <f t="shared" si="396"/>
        <v>0</v>
      </c>
      <c r="DV114" s="3009">
        <f t="shared" si="397"/>
        <v>0</v>
      </c>
      <c r="DW114" s="3009">
        <f t="shared" si="398"/>
        <v>0</v>
      </c>
      <c r="DX114" s="3009">
        <f t="shared" si="399"/>
        <v>0</v>
      </c>
      <c r="DY114" s="3009">
        <f t="shared" si="400"/>
        <v>0</v>
      </c>
      <c r="DZ114" s="3009">
        <f t="shared" si="401"/>
        <v>0</v>
      </c>
      <c r="EA114" s="3009">
        <f t="shared" si="402"/>
        <v>0</v>
      </c>
      <c r="EB114" s="3009">
        <f t="shared" si="403"/>
        <v>0</v>
      </c>
    </row>
    <row r="115" spans="1:132" x14ac:dyDescent="0.25">
      <c r="A115" s="3273" t="s">
        <v>2672</v>
      </c>
      <c r="B115" s="2014">
        <f>+P115+R115+T115+V115+X115+Z115+AB115+AD115+AF115+AH115</f>
        <v>0</v>
      </c>
      <c r="C115" s="3331">
        <f>+Q115+S115+U115+W115+Y115+AA115+AC115+AE115+AG115+AI115</f>
        <v>0</v>
      </c>
      <c r="D115" s="3568"/>
      <c r="E115" s="5340"/>
      <c r="F115" s="5339"/>
      <c r="G115" s="5340"/>
      <c r="H115" s="5339"/>
      <c r="I115" s="5340"/>
      <c r="J115" s="5339"/>
      <c r="K115" s="5340"/>
      <c r="L115" s="5339"/>
      <c r="M115" s="5341"/>
      <c r="N115" s="3568"/>
      <c r="O115" s="5340"/>
      <c r="P115" s="5229"/>
      <c r="Q115" s="5342"/>
      <c r="R115" s="5229"/>
      <c r="S115" s="5342"/>
      <c r="T115" s="5229"/>
      <c r="U115" s="5342"/>
      <c r="V115" s="5229"/>
      <c r="W115" s="5342"/>
      <c r="X115" s="5229"/>
      <c r="Y115" s="5342"/>
      <c r="Z115" s="5229"/>
      <c r="AA115" s="5342"/>
      <c r="AB115" s="5229"/>
      <c r="AC115" s="5342"/>
      <c r="AD115" s="5229"/>
      <c r="AE115" s="5342"/>
      <c r="AF115" s="5229"/>
      <c r="AG115" s="5342"/>
      <c r="AH115" s="5229"/>
      <c r="AI115" s="5342"/>
      <c r="AJ115" s="5339"/>
      <c r="AK115" s="5340"/>
      <c r="AL115" s="5339"/>
      <c r="AM115" s="5340"/>
      <c r="AN115" s="5339"/>
      <c r="AO115" s="5340"/>
      <c r="AP115" s="5339"/>
      <c r="AQ115" s="5347"/>
      <c r="AR115" s="3572"/>
      <c r="AS115" s="5336"/>
      <c r="AT115" s="5337"/>
      <c r="AU115" s="5336"/>
      <c r="AV115" s="3572"/>
      <c r="AW115" s="5338"/>
      <c r="AX115" s="1755" t="str">
        <f>CB115&amp;CC115&amp;CD115&amp;CE115&amp;CL115&amp;CM115&amp;CN115&amp;CO115&amp;CP115&amp;CQ115&amp;CR115&amp;CS115&amp;CT115</f>
        <v/>
      </c>
      <c r="CA115" s="603"/>
      <c r="CB115" s="2873" t="str">
        <f t="shared" si="380"/>
        <v/>
      </c>
      <c r="CC115" s="2873" t="str">
        <f t="shared" si="341"/>
        <v/>
      </c>
      <c r="CD115" s="2873" t="str">
        <f t="shared" si="342"/>
        <v/>
      </c>
      <c r="CE115" s="2873" t="str">
        <f t="shared" si="343"/>
        <v/>
      </c>
      <c r="CF115" s="3581"/>
      <c r="CG115" s="3581"/>
      <c r="CH115" s="2872"/>
      <c r="CI115" s="2872"/>
      <c r="CJ115" s="2872"/>
      <c r="CK115" s="3581"/>
      <c r="CL115" s="2873" t="str">
        <f t="shared" si="406"/>
        <v/>
      </c>
      <c r="CM115" s="2873" t="str">
        <f t="shared" si="381"/>
        <v/>
      </c>
      <c r="CN115" s="2873" t="str">
        <f t="shared" si="347"/>
        <v/>
      </c>
      <c r="CO115" s="2873" t="str">
        <f t="shared" si="382"/>
        <v/>
      </c>
      <c r="CP115" s="2873" t="str">
        <f t="shared" si="383"/>
        <v/>
      </c>
      <c r="CQ115" s="2873" t="str">
        <f t="shared" si="384"/>
        <v/>
      </c>
      <c r="CR115" s="2873" t="str">
        <f t="shared" si="385"/>
        <v/>
      </c>
      <c r="CS115" s="2873" t="str">
        <f t="shared" si="386"/>
        <v/>
      </c>
      <c r="CT115" s="2873" t="str">
        <f t="shared" si="387"/>
        <v/>
      </c>
      <c r="CU115" s="3107"/>
      <c r="CV115" s="3107"/>
      <c r="CW115" s="3107"/>
      <c r="CX115" s="3107"/>
      <c r="DE115" s="2718"/>
      <c r="DF115" s="2873">
        <f t="shared" si="392"/>
        <v>0</v>
      </c>
      <c r="DG115" s="3009">
        <f t="shared" si="359"/>
        <v>0</v>
      </c>
      <c r="DH115" s="3009">
        <f t="shared" si="360"/>
        <v>0</v>
      </c>
      <c r="DI115" s="3009">
        <f t="shared" si="361"/>
        <v>0</v>
      </c>
      <c r="DJ115" s="2872"/>
      <c r="DK115" s="2872"/>
      <c r="DL115" s="2872"/>
      <c r="DM115" s="2872"/>
      <c r="DN115" s="2872"/>
      <c r="DO115" s="3107"/>
      <c r="DP115" s="3009">
        <f t="shared" si="405"/>
        <v>0</v>
      </c>
      <c r="DQ115" s="3009">
        <f t="shared" si="393"/>
        <v>0</v>
      </c>
      <c r="DR115" s="3009">
        <f t="shared" si="365"/>
        <v>0</v>
      </c>
      <c r="DS115" s="3009">
        <f t="shared" si="394"/>
        <v>0</v>
      </c>
      <c r="DT115" s="3009">
        <f t="shared" si="395"/>
        <v>0</v>
      </c>
      <c r="DU115" s="3009">
        <f t="shared" si="396"/>
        <v>0</v>
      </c>
      <c r="DV115" s="3009">
        <f t="shared" si="397"/>
        <v>0</v>
      </c>
      <c r="DW115" s="3009">
        <f t="shared" si="398"/>
        <v>0</v>
      </c>
      <c r="DX115" s="3009">
        <f t="shared" si="399"/>
        <v>0</v>
      </c>
      <c r="DY115" s="3107"/>
      <c r="DZ115" s="3107"/>
      <c r="EA115" s="3107"/>
      <c r="EB115" s="3107"/>
    </row>
    <row r="116" spans="1:132" x14ac:dyDescent="0.25">
      <c r="A116" s="3273" t="s">
        <v>2673</v>
      </c>
      <c r="B116" s="2014">
        <f t="shared" ref="B116:C118" si="407">+D116+F116+H116+J116+L116+N116+P116+R116+T116+V116+X116+Z116+AB116+AD116+AF116+AH116+AJ116+AL116+AN116+AP116</f>
        <v>0</v>
      </c>
      <c r="C116" s="3331">
        <f t="shared" si="407"/>
        <v>0</v>
      </c>
      <c r="D116" s="3572"/>
      <c r="E116" s="5342"/>
      <c r="F116" s="5229"/>
      <c r="G116" s="5342"/>
      <c r="H116" s="5229"/>
      <c r="I116" s="5338"/>
      <c r="J116" s="3572"/>
      <c r="K116" s="3572"/>
      <c r="L116" s="5229"/>
      <c r="M116" s="5338"/>
      <c r="N116" s="3572"/>
      <c r="O116" s="5342"/>
      <c r="P116" s="5229"/>
      <c r="Q116" s="5342"/>
      <c r="R116" s="5229"/>
      <c r="S116" s="5342"/>
      <c r="T116" s="5229"/>
      <c r="U116" s="5342"/>
      <c r="V116" s="5229"/>
      <c r="W116" s="5342"/>
      <c r="X116" s="5229"/>
      <c r="Y116" s="5342"/>
      <c r="Z116" s="5229"/>
      <c r="AA116" s="5342"/>
      <c r="AB116" s="5229"/>
      <c r="AC116" s="5342"/>
      <c r="AD116" s="5229"/>
      <c r="AE116" s="5342"/>
      <c r="AF116" s="5229"/>
      <c r="AG116" s="5342"/>
      <c r="AH116" s="5229"/>
      <c r="AI116" s="5342"/>
      <c r="AJ116" s="5229"/>
      <c r="AK116" s="5342"/>
      <c r="AL116" s="5229"/>
      <c r="AM116" s="5342"/>
      <c r="AN116" s="5229"/>
      <c r="AO116" s="5342"/>
      <c r="AP116" s="5229"/>
      <c r="AQ116" s="5336"/>
      <c r="AR116" s="3572"/>
      <c r="AS116" s="5336"/>
      <c r="AT116" s="5337"/>
      <c r="AU116" s="5336"/>
      <c r="AV116" s="3572"/>
      <c r="AW116" s="5338"/>
      <c r="AX116" s="1755" t="str">
        <f>CB116&amp;CC116&amp;CD116&amp;CE116&amp;CF116&amp;CG116&amp;CH116&amp;CI116&amp;CJ116&amp;CK116&amp;CL116&amp;CM116&amp;CN116&amp;CO116&amp;CP116&amp;CQ116&amp;CR116&amp;CS116&amp;CT116&amp;CU116&amp;CV116&amp;CW116&amp;CX116</f>
        <v/>
      </c>
      <c r="CA116" s="603"/>
      <c r="CB116" s="2873" t="str">
        <f t="shared" si="380"/>
        <v/>
      </c>
      <c r="CC116" s="2873" t="str">
        <f t="shared" si="341"/>
        <v/>
      </c>
      <c r="CD116" s="2873" t="str">
        <f t="shared" si="342"/>
        <v/>
      </c>
      <c r="CE116" s="2873" t="str">
        <f t="shared" si="343"/>
        <v/>
      </c>
      <c r="CF116" s="2873" t="str">
        <f t="shared" ref="CF116:CF118" si="408">IF(D116&lt;E116,CONCATENATE("* El total de Procesados debe ser mayor o igual al total de Reactivos en el grupo de edad ",$D$11),"")</f>
        <v/>
      </c>
      <c r="CG116" s="2873" t="str">
        <f t="shared" ref="CG116:CG118" si="409">IF(F116&lt;G116,CONCATENATE("* El total de Procesados debe ser mayor o igual al total de Reactivos en el grupo de edad ",$F$11),"")</f>
        <v/>
      </c>
      <c r="CH116" s="2873" t="str">
        <f t="shared" ref="CH116:CH118" si="410">IF(H116&lt;I116,CONCATENATE("* El total de Procesados debe ser mayor o igual al total de Reactivos en el grupo de edad ",$H$11),"")</f>
        <v/>
      </c>
      <c r="CI116" s="2873" t="str">
        <f t="shared" ref="CI116:CI118" si="411">IF(J116&lt;K116,CONCATENATE("* El total de Procesados debe ser mayor o igual al total de Reactivos en el grupo de edad ",$J$11),"")</f>
        <v/>
      </c>
      <c r="CJ116" s="2873" t="str">
        <f t="shared" ref="CJ116:CJ118" si="412">IF(L116&lt;M116,CONCATENATE("* El total de Procesados debe ser mayor o igual al total de Reactivos en el grupo de edad ",$L$11),"")</f>
        <v/>
      </c>
      <c r="CK116" s="2873" t="str">
        <f t="shared" ref="CK116:CK118" si="413">IF(N116&lt;O116,CONCATENATE("* El total de Procesados debe ser mayor o igual al total de Reactivos en el grupo de edad ",$N$11),"")</f>
        <v/>
      </c>
      <c r="CL116" s="2873" t="str">
        <f t="shared" si="406"/>
        <v/>
      </c>
      <c r="CM116" s="2873" t="str">
        <f t="shared" si="381"/>
        <v/>
      </c>
      <c r="CN116" s="2873" t="str">
        <f t="shared" si="347"/>
        <v/>
      </c>
      <c r="CO116" s="2873" t="str">
        <f t="shared" si="382"/>
        <v/>
      </c>
      <c r="CP116" s="2873" t="str">
        <f t="shared" si="383"/>
        <v/>
      </c>
      <c r="CQ116" s="2873" t="str">
        <f t="shared" si="384"/>
        <v/>
      </c>
      <c r="CR116" s="2873" t="str">
        <f t="shared" si="385"/>
        <v/>
      </c>
      <c r="CS116" s="2873" t="str">
        <f t="shared" si="386"/>
        <v/>
      </c>
      <c r="CT116" s="2873" t="str">
        <f t="shared" si="387"/>
        <v/>
      </c>
      <c r="CU116" s="2873" t="str">
        <f t="shared" ref="CU116:CU118" si="414">IF(AJ116&lt;AK116,CONCATENATE("* El total de Procesados debe ser mayor o igual al total de Reactivos en el grupo de edad ",$AJ$11),"")</f>
        <v/>
      </c>
      <c r="CV116" s="2873" t="str">
        <f t="shared" ref="CV116:CV118" si="415">IF(AL116&lt;AM116,CONCATENATE("* El total de Procesados debe ser mayor o igual al total de Reactivos en el grupo de edad ",$AL$11),"")</f>
        <v/>
      </c>
      <c r="CW116" s="2873" t="str">
        <f t="shared" ref="CW116:CW118" si="416">IF(AN116&lt;AO116,CONCATENATE("* El total de Procesados debe ser mayor o igual al total de Reactivos en el grupo de edad ",$AN$11),"")</f>
        <v/>
      </c>
      <c r="CX116" s="2873" t="str">
        <f t="shared" ref="CX116:CX118" si="417">IF(AP116&lt;AQ116,CONCATENATE("* El total de Procesados debe ser mayor o igual al total de Reactivos en el grupo de edad ",$AP$11),"")</f>
        <v/>
      </c>
      <c r="DE116" s="2718"/>
      <c r="DF116" s="2873">
        <f t="shared" si="392"/>
        <v>0</v>
      </c>
      <c r="DG116" s="3009">
        <f t="shared" si="359"/>
        <v>0</v>
      </c>
      <c r="DH116" s="3009">
        <f t="shared" si="360"/>
        <v>0</v>
      </c>
      <c r="DI116" s="3009">
        <f t="shared" si="361"/>
        <v>0</v>
      </c>
      <c r="DJ116" s="3009">
        <f t="shared" ref="DJ116:DJ118" si="418">IF(D116&lt;E116,1,0)</f>
        <v>0</v>
      </c>
      <c r="DK116" s="3009">
        <f t="shared" ref="DK116:DK118" si="419">IF(F116&lt;G116,1,0)</f>
        <v>0</v>
      </c>
      <c r="DL116" s="3009">
        <f t="shared" ref="DL116:DL118" si="420">IF(H116&lt;I116,1,0)</f>
        <v>0</v>
      </c>
      <c r="DM116" s="3009">
        <f t="shared" ref="DM116:DM118" si="421">IF(J116&lt;K116,1,0)</f>
        <v>0</v>
      </c>
      <c r="DN116" s="3009">
        <f t="shared" ref="DN116:DN118" si="422">IF(L116&lt;M116,1,0)</f>
        <v>0</v>
      </c>
      <c r="DO116" s="3009">
        <f t="shared" ref="DO116:DO118" si="423">IF(N116&lt;O116,1,0)</f>
        <v>0</v>
      </c>
      <c r="DP116" s="3009">
        <f t="shared" si="405"/>
        <v>0</v>
      </c>
      <c r="DQ116" s="3009">
        <f t="shared" si="393"/>
        <v>0</v>
      </c>
      <c r="DR116" s="3009">
        <f t="shared" si="365"/>
        <v>0</v>
      </c>
      <c r="DS116" s="3009">
        <f t="shared" si="394"/>
        <v>0</v>
      </c>
      <c r="DT116" s="3009">
        <f t="shared" si="395"/>
        <v>0</v>
      </c>
      <c r="DU116" s="3009">
        <f t="shared" si="396"/>
        <v>0</v>
      </c>
      <c r="DV116" s="3009">
        <f t="shared" si="397"/>
        <v>0</v>
      </c>
      <c r="DW116" s="3009">
        <f t="shared" si="398"/>
        <v>0</v>
      </c>
      <c r="DX116" s="3009">
        <f t="shared" si="399"/>
        <v>0</v>
      </c>
      <c r="DY116" s="3009">
        <f t="shared" ref="DY116:DY118" si="424">IF(AJ116&lt;AK116,1,0)</f>
        <v>0</v>
      </c>
      <c r="DZ116" s="3009">
        <f t="shared" ref="DZ116:DZ118" si="425">IF(AL116&lt;AM116,1,0)</f>
        <v>0</v>
      </c>
      <c r="EA116" s="3009">
        <f t="shared" ref="EA116:EA118" si="426">IF(AN116&lt;AO116,1,0)</f>
        <v>0</v>
      </c>
      <c r="EB116" s="3009">
        <f t="shared" ref="EB116:EB118" si="427">IF(AP116&lt;AQ116,1,0)</f>
        <v>0</v>
      </c>
    </row>
    <row r="117" spans="1:132" x14ac:dyDescent="0.25">
      <c r="A117" s="3273" t="s">
        <v>2674</v>
      </c>
      <c r="B117" s="2014">
        <f t="shared" si="407"/>
        <v>0</v>
      </c>
      <c r="C117" s="3331">
        <f t="shared" si="407"/>
        <v>0</v>
      </c>
      <c r="D117" s="3572"/>
      <c r="E117" s="5342"/>
      <c r="F117" s="5229"/>
      <c r="G117" s="5342"/>
      <c r="H117" s="5229"/>
      <c r="I117" s="5338"/>
      <c r="J117" s="3572"/>
      <c r="K117" s="3572"/>
      <c r="L117" s="5229"/>
      <c r="M117" s="5338"/>
      <c r="N117" s="3572"/>
      <c r="O117" s="5342"/>
      <c r="P117" s="5229"/>
      <c r="Q117" s="5342"/>
      <c r="R117" s="5229"/>
      <c r="S117" s="5342"/>
      <c r="T117" s="5229"/>
      <c r="U117" s="5342"/>
      <c r="V117" s="5229"/>
      <c r="W117" s="5342"/>
      <c r="X117" s="5229"/>
      <c r="Y117" s="5342"/>
      <c r="Z117" s="5229"/>
      <c r="AA117" s="5342"/>
      <c r="AB117" s="5229"/>
      <c r="AC117" s="5342"/>
      <c r="AD117" s="5229"/>
      <c r="AE117" s="5342"/>
      <c r="AF117" s="5229"/>
      <c r="AG117" s="5342"/>
      <c r="AH117" s="5229"/>
      <c r="AI117" s="5342"/>
      <c r="AJ117" s="5229"/>
      <c r="AK117" s="5342"/>
      <c r="AL117" s="5229"/>
      <c r="AM117" s="5342"/>
      <c r="AN117" s="5229"/>
      <c r="AO117" s="5342"/>
      <c r="AP117" s="5229"/>
      <c r="AQ117" s="5336"/>
      <c r="AR117" s="3572"/>
      <c r="AS117" s="5336"/>
      <c r="AT117" s="5337"/>
      <c r="AU117" s="5336"/>
      <c r="AV117" s="3572"/>
      <c r="AW117" s="5338"/>
      <c r="AX117" s="1755" t="str">
        <f t="shared" ref="AX117:AX118" si="428">CB117&amp;CC117&amp;CD117&amp;CE117&amp;CF117&amp;CG117&amp;CH117&amp;CI117&amp;CJ117&amp;CK117&amp;CL117&amp;CM117&amp;CN117&amp;CO117&amp;CP117&amp;CQ117&amp;CR117&amp;CS117&amp;CT117&amp;CU117&amp;CV117&amp;CW117&amp;CX117</f>
        <v/>
      </c>
      <c r="CA117" s="603"/>
      <c r="CB117" s="2873" t="str">
        <f t="shared" si="380"/>
        <v/>
      </c>
      <c r="CC117" s="2873" t="str">
        <f t="shared" si="341"/>
        <v/>
      </c>
      <c r="CD117" s="2873" t="str">
        <f t="shared" si="342"/>
        <v/>
      </c>
      <c r="CE117" s="2873" t="str">
        <f t="shared" si="343"/>
        <v/>
      </c>
      <c r="CF117" s="2873" t="str">
        <f t="shared" si="408"/>
        <v/>
      </c>
      <c r="CG117" s="2873" t="str">
        <f t="shared" si="409"/>
        <v/>
      </c>
      <c r="CH117" s="2873" t="str">
        <f t="shared" si="410"/>
        <v/>
      </c>
      <c r="CI117" s="2873" t="str">
        <f t="shared" si="411"/>
        <v/>
      </c>
      <c r="CJ117" s="2873" t="str">
        <f t="shared" si="412"/>
        <v/>
      </c>
      <c r="CK117" s="2873" t="str">
        <f t="shared" si="413"/>
        <v/>
      </c>
      <c r="CL117" s="2873" t="str">
        <f t="shared" si="406"/>
        <v/>
      </c>
      <c r="CM117" s="2873" t="str">
        <f t="shared" si="381"/>
        <v/>
      </c>
      <c r="CN117" s="2873" t="str">
        <f t="shared" si="347"/>
        <v/>
      </c>
      <c r="CO117" s="2873" t="str">
        <f t="shared" si="382"/>
        <v/>
      </c>
      <c r="CP117" s="2873" t="str">
        <f t="shared" si="383"/>
        <v/>
      </c>
      <c r="CQ117" s="2873" t="str">
        <f t="shared" si="384"/>
        <v/>
      </c>
      <c r="CR117" s="2873" t="str">
        <f t="shared" si="385"/>
        <v/>
      </c>
      <c r="CS117" s="2873" t="str">
        <f t="shared" si="386"/>
        <v/>
      </c>
      <c r="CT117" s="2873" t="str">
        <f t="shared" si="387"/>
        <v/>
      </c>
      <c r="CU117" s="2873" t="str">
        <f t="shared" si="414"/>
        <v/>
      </c>
      <c r="CV117" s="2873" t="str">
        <f t="shared" si="415"/>
        <v/>
      </c>
      <c r="CW117" s="2873" t="str">
        <f t="shared" si="416"/>
        <v/>
      </c>
      <c r="CX117" s="2873" t="str">
        <f t="shared" si="417"/>
        <v/>
      </c>
      <c r="DE117" s="2718"/>
      <c r="DF117" s="2873">
        <f t="shared" si="392"/>
        <v>0</v>
      </c>
      <c r="DG117" s="3009">
        <f t="shared" si="359"/>
        <v>0</v>
      </c>
      <c r="DH117" s="3009">
        <f t="shared" si="360"/>
        <v>0</v>
      </c>
      <c r="DI117" s="3009">
        <f t="shared" si="361"/>
        <v>0</v>
      </c>
      <c r="DJ117" s="3009">
        <f t="shared" si="418"/>
        <v>0</v>
      </c>
      <c r="DK117" s="3009">
        <f t="shared" si="419"/>
        <v>0</v>
      </c>
      <c r="DL117" s="3009">
        <f t="shared" si="420"/>
        <v>0</v>
      </c>
      <c r="DM117" s="3009">
        <f t="shared" si="421"/>
        <v>0</v>
      </c>
      <c r="DN117" s="3009">
        <f t="shared" si="422"/>
        <v>0</v>
      </c>
      <c r="DO117" s="3009">
        <f t="shared" si="423"/>
        <v>0</v>
      </c>
      <c r="DP117" s="3009">
        <f t="shared" si="405"/>
        <v>0</v>
      </c>
      <c r="DQ117" s="3009">
        <f t="shared" si="393"/>
        <v>0</v>
      </c>
      <c r="DR117" s="3009">
        <f t="shared" si="365"/>
        <v>0</v>
      </c>
      <c r="DS117" s="3009">
        <f t="shared" si="394"/>
        <v>0</v>
      </c>
      <c r="DT117" s="3009">
        <f t="shared" si="395"/>
        <v>0</v>
      </c>
      <c r="DU117" s="3009">
        <f t="shared" si="396"/>
        <v>0</v>
      </c>
      <c r="DV117" s="3009">
        <f t="shared" si="397"/>
        <v>0</v>
      </c>
      <c r="DW117" s="3009">
        <f t="shared" si="398"/>
        <v>0</v>
      </c>
      <c r="DX117" s="3009">
        <f t="shared" si="399"/>
        <v>0</v>
      </c>
      <c r="DY117" s="3009">
        <f t="shared" si="424"/>
        <v>0</v>
      </c>
      <c r="DZ117" s="3009">
        <f t="shared" si="425"/>
        <v>0</v>
      </c>
      <c r="EA117" s="3009">
        <f t="shared" si="426"/>
        <v>0</v>
      </c>
      <c r="EB117" s="3009">
        <f t="shared" si="427"/>
        <v>0</v>
      </c>
    </row>
    <row r="118" spans="1:132" x14ac:dyDescent="0.25">
      <c r="A118" s="5351" t="s">
        <v>2675</v>
      </c>
      <c r="B118" s="5298">
        <f t="shared" si="407"/>
        <v>0</v>
      </c>
      <c r="C118" s="5299">
        <f t="shared" si="407"/>
        <v>0</v>
      </c>
      <c r="D118" s="288"/>
      <c r="E118" s="3585"/>
      <c r="F118" s="3586"/>
      <c r="G118" s="3585"/>
      <c r="H118" s="3586"/>
      <c r="I118" s="3587"/>
      <c r="J118" s="288"/>
      <c r="K118" s="288"/>
      <c r="L118" s="3586"/>
      <c r="M118" s="3587"/>
      <c r="N118" s="288"/>
      <c r="O118" s="3585"/>
      <c r="P118" s="3586"/>
      <c r="Q118" s="3585"/>
      <c r="R118" s="3586"/>
      <c r="S118" s="3585"/>
      <c r="T118" s="3586"/>
      <c r="U118" s="3585"/>
      <c r="V118" s="3586"/>
      <c r="W118" s="3585"/>
      <c r="X118" s="3586"/>
      <c r="Y118" s="3585"/>
      <c r="Z118" s="3586"/>
      <c r="AA118" s="3585"/>
      <c r="AB118" s="3586"/>
      <c r="AC118" s="3585"/>
      <c r="AD118" s="3586"/>
      <c r="AE118" s="3585"/>
      <c r="AF118" s="3586"/>
      <c r="AG118" s="3585"/>
      <c r="AH118" s="3586"/>
      <c r="AI118" s="3585"/>
      <c r="AJ118" s="3586"/>
      <c r="AK118" s="3585"/>
      <c r="AL118" s="3586"/>
      <c r="AM118" s="3585"/>
      <c r="AN118" s="3586"/>
      <c r="AO118" s="3585"/>
      <c r="AP118" s="3586"/>
      <c r="AQ118" s="3588"/>
      <c r="AR118" s="288"/>
      <c r="AS118" s="3588"/>
      <c r="AT118" s="3589"/>
      <c r="AU118" s="3588"/>
      <c r="AV118" s="288"/>
      <c r="AW118" s="3587"/>
      <c r="AX118" s="1755" t="str">
        <f t="shared" si="428"/>
        <v/>
      </c>
      <c r="CA118" s="603"/>
      <c r="CB118" s="2873" t="str">
        <f t="shared" si="380"/>
        <v/>
      </c>
      <c r="CC118" s="2873" t="str">
        <f t="shared" si="341"/>
        <v/>
      </c>
      <c r="CD118" s="2873" t="str">
        <f t="shared" si="342"/>
        <v/>
      </c>
      <c r="CE118" s="2873" t="str">
        <f t="shared" si="343"/>
        <v/>
      </c>
      <c r="CF118" s="2873" t="str">
        <f t="shared" si="408"/>
        <v/>
      </c>
      <c r="CG118" s="2873" t="str">
        <f t="shared" si="409"/>
        <v/>
      </c>
      <c r="CH118" s="2873" t="str">
        <f t="shared" si="410"/>
        <v/>
      </c>
      <c r="CI118" s="2873" t="str">
        <f t="shared" si="411"/>
        <v/>
      </c>
      <c r="CJ118" s="2873" t="str">
        <f t="shared" si="412"/>
        <v/>
      </c>
      <c r="CK118" s="2873" t="str">
        <f t="shared" si="413"/>
        <v/>
      </c>
      <c r="CL118" s="2873" t="str">
        <f t="shared" si="406"/>
        <v/>
      </c>
      <c r="CM118" s="2873" t="str">
        <f t="shared" si="381"/>
        <v/>
      </c>
      <c r="CN118" s="2873" t="str">
        <f t="shared" si="347"/>
        <v/>
      </c>
      <c r="CO118" s="2873" t="str">
        <f t="shared" si="382"/>
        <v/>
      </c>
      <c r="CP118" s="2873" t="str">
        <f t="shared" si="383"/>
        <v/>
      </c>
      <c r="CQ118" s="2873" t="str">
        <f t="shared" si="384"/>
        <v/>
      </c>
      <c r="CR118" s="2873" t="str">
        <f t="shared" si="385"/>
        <v/>
      </c>
      <c r="CS118" s="2873" t="str">
        <f t="shared" si="386"/>
        <v/>
      </c>
      <c r="CT118" s="2873" t="str">
        <f t="shared" si="387"/>
        <v/>
      </c>
      <c r="CU118" s="2873" t="str">
        <f t="shared" si="414"/>
        <v/>
      </c>
      <c r="CV118" s="2873" t="str">
        <f t="shared" si="415"/>
        <v/>
      </c>
      <c r="CW118" s="2873" t="str">
        <f t="shared" si="416"/>
        <v/>
      </c>
      <c r="CX118" s="2873" t="str">
        <f t="shared" si="417"/>
        <v/>
      </c>
      <c r="DE118" s="2718"/>
      <c r="DF118" s="2873">
        <f t="shared" si="392"/>
        <v>0</v>
      </c>
      <c r="DG118" s="3009">
        <f t="shared" si="359"/>
        <v>0</v>
      </c>
      <c r="DH118" s="3009">
        <f t="shared" si="360"/>
        <v>0</v>
      </c>
      <c r="DI118" s="3009">
        <f t="shared" si="361"/>
        <v>0</v>
      </c>
      <c r="DJ118" s="3009">
        <f t="shared" si="418"/>
        <v>0</v>
      </c>
      <c r="DK118" s="3009">
        <f t="shared" si="419"/>
        <v>0</v>
      </c>
      <c r="DL118" s="3009">
        <f t="shared" si="420"/>
        <v>0</v>
      </c>
      <c r="DM118" s="3009">
        <f t="shared" si="421"/>
        <v>0</v>
      </c>
      <c r="DN118" s="3009">
        <f t="shared" si="422"/>
        <v>0</v>
      </c>
      <c r="DO118" s="3009">
        <f t="shared" si="423"/>
        <v>0</v>
      </c>
      <c r="DP118" s="3009">
        <f t="shared" si="405"/>
        <v>0</v>
      </c>
      <c r="DQ118" s="3009">
        <f t="shared" si="393"/>
        <v>0</v>
      </c>
      <c r="DR118" s="3009">
        <f t="shared" si="365"/>
        <v>0</v>
      </c>
      <c r="DS118" s="3009">
        <f t="shared" si="394"/>
        <v>0</v>
      </c>
      <c r="DT118" s="3009">
        <f t="shared" si="395"/>
        <v>0</v>
      </c>
      <c r="DU118" s="3009">
        <f t="shared" si="396"/>
        <v>0</v>
      </c>
      <c r="DV118" s="3009">
        <f t="shared" si="397"/>
        <v>0</v>
      </c>
      <c r="DW118" s="3009">
        <f t="shared" si="398"/>
        <v>0</v>
      </c>
      <c r="DX118" s="3009">
        <f t="shared" si="399"/>
        <v>0</v>
      </c>
      <c r="DY118" s="3009">
        <f t="shared" si="424"/>
        <v>0</v>
      </c>
      <c r="DZ118" s="3009">
        <f t="shared" si="425"/>
        <v>0</v>
      </c>
      <c r="EA118" s="3009">
        <f t="shared" si="426"/>
        <v>0</v>
      </c>
      <c r="EB118" s="3009">
        <f t="shared" si="427"/>
        <v>0</v>
      </c>
    </row>
    <row r="119" spans="1:132" ht="18" customHeight="1" x14ac:dyDescent="0.25">
      <c r="A119" s="5349" t="s">
        <v>2680</v>
      </c>
      <c r="B119" s="5349"/>
      <c r="C119" s="5349"/>
      <c r="D119" s="5349"/>
      <c r="E119" s="5349"/>
      <c r="F119" s="5349"/>
      <c r="G119" s="5349"/>
      <c r="H119" s="5349"/>
      <c r="I119" s="5349"/>
      <c r="J119" s="5349"/>
      <c r="K119" s="5349"/>
      <c r="L119" s="5349"/>
      <c r="M119" s="5349"/>
      <c r="N119" s="5349"/>
      <c r="O119" s="5349"/>
      <c r="P119" s="5349"/>
      <c r="Q119" s="5349"/>
      <c r="R119" s="5349"/>
      <c r="S119" s="5349"/>
      <c r="T119" s="5349"/>
      <c r="U119" s="5349"/>
      <c r="V119" s="5349"/>
      <c r="W119" s="5349"/>
      <c r="X119" s="5349"/>
      <c r="Y119" s="5349"/>
      <c r="Z119" s="5349"/>
      <c r="AA119" s="5349"/>
      <c r="AB119" s="5349"/>
      <c r="AC119" s="5349"/>
      <c r="AD119" s="5349"/>
      <c r="AE119" s="5349"/>
      <c r="AF119" s="5349"/>
      <c r="AG119" s="5349"/>
      <c r="AH119" s="5349"/>
      <c r="AI119" s="5349"/>
      <c r="AJ119" s="5349"/>
      <c r="AK119" s="5349"/>
      <c r="AL119" s="5349"/>
      <c r="AM119" s="5349"/>
      <c r="AN119" s="5349"/>
      <c r="AO119" s="5349"/>
      <c r="AP119" s="5349"/>
      <c r="AQ119" s="5349"/>
      <c r="AR119" s="603"/>
      <c r="AS119" s="603"/>
      <c r="AT119" s="603"/>
      <c r="AU119" s="603"/>
      <c r="AV119" s="603"/>
      <c r="AW119" s="603"/>
      <c r="AX119" s="1755"/>
    </row>
    <row r="120" spans="1:132" x14ac:dyDescent="0.25">
      <c r="A120" s="7745" t="s">
        <v>2654</v>
      </c>
      <c r="B120" s="7728" t="s">
        <v>24</v>
      </c>
      <c r="C120" s="7729"/>
      <c r="D120" s="7740" t="s">
        <v>12</v>
      </c>
      <c r="E120" s="7741"/>
      <c r="F120" s="7741"/>
      <c r="G120" s="7741"/>
      <c r="H120" s="7741"/>
      <c r="I120" s="7741"/>
      <c r="J120" s="7741"/>
      <c r="K120" s="7741"/>
      <c r="L120" s="7741"/>
      <c r="M120" s="7741"/>
      <c r="N120" s="7741"/>
      <c r="O120" s="7741"/>
      <c r="P120" s="7741"/>
      <c r="Q120" s="7741"/>
      <c r="R120" s="7741"/>
      <c r="S120" s="7741"/>
      <c r="T120" s="7741"/>
      <c r="U120" s="7741"/>
      <c r="V120" s="7741"/>
      <c r="W120" s="7741"/>
      <c r="X120" s="7741"/>
      <c r="Y120" s="7741"/>
      <c r="Z120" s="7741"/>
      <c r="AA120" s="7741"/>
      <c r="AB120" s="7741"/>
      <c r="AC120" s="7741"/>
      <c r="AD120" s="7741"/>
      <c r="AE120" s="7741"/>
      <c r="AF120" s="7741"/>
      <c r="AG120" s="7741"/>
      <c r="AH120" s="7741"/>
      <c r="AI120" s="7741"/>
      <c r="AJ120" s="7741"/>
      <c r="AK120" s="7741"/>
      <c r="AL120" s="7741"/>
      <c r="AM120" s="7741"/>
      <c r="AN120" s="7741"/>
      <c r="AO120" s="7741"/>
      <c r="AP120" s="7741"/>
      <c r="AQ120" s="7752"/>
      <c r="AR120" s="7748" t="s">
        <v>2655</v>
      </c>
      <c r="AS120" s="7751"/>
      <c r="AT120" s="7746" t="s">
        <v>48</v>
      </c>
      <c r="AU120" s="7722"/>
      <c r="AV120" s="7670" t="s">
        <v>2</v>
      </c>
      <c r="AW120" s="7672" t="s">
        <v>3</v>
      </c>
    </row>
    <row r="121" spans="1:132" x14ac:dyDescent="0.25">
      <c r="A121" s="7151"/>
      <c r="B121" s="7292"/>
      <c r="C121" s="7293"/>
      <c r="D121" s="7743" t="s">
        <v>3777</v>
      </c>
      <c r="E121" s="7748"/>
      <c r="F121" s="7743" t="s">
        <v>3705</v>
      </c>
      <c r="G121" s="7748"/>
      <c r="H121" s="7743" t="s">
        <v>54</v>
      </c>
      <c r="I121" s="7744"/>
      <c r="J121" s="7748" t="s">
        <v>3704</v>
      </c>
      <c r="K121" s="7748"/>
      <c r="L121" s="7743" t="s">
        <v>37</v>
      </c>
      <c r="M121" s="7748"/>
      <c r="N121" s="7743" t="s">
        <v>38</v>
      </c>
      <c r="O121" s="7748"/>
      <c r="P121" s="7743" t="s">
        <v>4</v>
      </c>
      <c r="Q121" s="7748"/>
      <c r="R121" s="7743" t="s">
        <v>5</v>
      </c>
      <c r="S121" s="7748"/>
      <c r="T121" s="7743" t="s">
        <v>6</v>
      </c>
      <c r="U121" s="7744"/>
      <c r="V121" s="7743" t="s">
        <v>7</v>
      </c>
      <c r="W121" s="7744"/>
      <c r="X121" s="7743" t="s">
        <v>8</v>
      </c>
      <c r="Y121" s="7744"/>
      <c r="Z121" s="7743" t="s">
        <v>9</v>
      </c>
      <c r="AA121" s="7744"/>
      <c r="AB121" s="7743" t="s">
        <v>10</v>
      </c>
      <c r="AC121" s="7744"/>
      <c r="AD121" s="7743" t="s">
        <v>11</v>
      </c>
      <c r="AE121" s="7744"/>
      <c r="AF121" s="7743" t="s">
        <v>18</v>
      </c>
      <c r="AG121" s="7744"/>
      <c r="AH121" s="7743" t="s">
        <v>19</v>
      </c>
      <c r="AI121" s="7744"/>
      <c r="AJ121" s="7743" t="s">
        <v>20</v>
      </c>
      <c r="AK121" s="7744"/>
      <c r="AL121" s="7743" t="s">
        <v>70</v>
      </c>
      <c r="AM121" s="7744"/>
      <c r="AN121" s="7743" t="s">
        <v>71</v>
      </c>
      <c r="AO121" s="7744"/>
      <c r="AP121" s="7743" t="s">
        <v>32</v>
      </c>
      <c r="AQ121" s="7751"/>
      <c r="AR121" s="7670" t="s">
        <v>22</v>
      </c>
      <c r="AS121" s="7749" t="s">
        <v>27</v>
      </c>
      <c r="AT121" s="7723"/>
      <c r="AU121" s="7724"/>
      <c r="AV121" s="7747"/>
      <c r="AW121" s="6472"/>
    </row>
    <row r="122" spans="1:132" x14ac:dyDescent="0.25">
      <c r="A122" s="7150"/>
      <c r="B122" s="5327" t="s">
        <v>2656</v>
      </c>
      <c r="C122" s="5326" t="s">
        <v>2657</v>
      </c>
      <c r="D122" s="5324" t="s">
        <v>2656</v>
      </c>
      <c r="E122" s="5325" t="s">
        <v>2657</v>
      </c>
      <c r="F122" s="5324" t="s">
        <v>2656</v>
      </c>
      <c r="G122" s="5325" t="s">
        <v>2657</v>
      </c>
      <c r="H122" s="5324" t="s">
        <v>2656</v>
      </c>
      <c r="I122" s="5326" t="s">
        <v>2657</v>
      </c>
      <c r="J122" s="5327" t="s">
        <v>2656</v>
      </c>
      <c r="K122" s="5325" t="s">
        <v>2657</v>
      </c>
      <c r="L122" s="5324" t="s">
        <v>2656</v>
      </c>
      <c r="M122" s="5325" t="s">
        <v>2657</v>
      </c>
      <c r="N122" s="5324" t="s">
        <v>2656</v>
      </c>
      <c r="O122" s="5325" t="s">
        <v>2657</v>
      </c>
      <c r="P122" s="5324" t="s">
        <v>2656</v>
      </c>
      <c r="Q122" s="5325" t="s">
        <v>2657</v>
      </c>
      <c r="R122" s="5324" t="s">
        <v>2656</v>
      </c>
      <c r="S122" s="5325" t="s">
        <v>2657</v>
      </c>
      <c r="T122" s="5324" t="s">
        <v>2656</v>
      </c>
      <c r="U122" s="5325" t="s">
        <v>2657</v>
      </c>
      <c r="V122" s="5324" t="s">
        <v>2656</v>
      </c>
      <c r="W122" s="5325" t="s">
        <v>2657</v>
      </c>
      <c r="X122" s="5324" t="s">
        <v>2656</v>
      </c>
      <c r="Y122" s="5325" t="s">
        <v>2657</v>
      </c>
      <c r="Z122" s="5324" t="s">
        <v>2656</v>
      </c>
      <c r="AA122" s="5325" t="s">
        <v>2657</v>
      </c>
      <c r="AB122" s="5324" t="s">
        <v>2656</v>
      </c>
      <c r="AC122" s="5325" t="s">
        <v>2657</v>
      </c>
      <c r="AD122" s="5324" t="s">
        <v>2656</v>
      </c>
      <c r="AE122" s="5325" t="s">
        <v>2657</v>
      </c>
      <c r="AF122" s="5324" t="s">
        <v>2656</v>
      </c>
      <c r="AG122" s="5325" t="s">
        <v>2657</v>
      </c>
      <c r="AH122" s="5324" t="s">
        <v>2656</v>
      </c>
      <c r="AI122" s="5325" t="s">
        <v>2657</v>
      </c>
      <c r="AJ122" s="5324" t="s">
        <v>2656</v>
      </c>
      <c r="AK122" s="5325" t="s">
        <v>2657</v>
      </c>
      <c r="AL122" s="5324" t="s">
        <v>2656</v>
      </c>
      <c r="AM122" s="5325" t="s">
        <v>2657</v>
      </c>
      <c r="AN122" s="5324" t="s">
        <v>2656</v>
      </c>
      <c r="AO122" s="5325" t="s">
        <v>2657</v>
      </c>
      <c r="AP122" s="5324" t="s">
        <v>2656</v>
      </c>
      <c r="AQ122" s="5328" t="s">
        <v>2657</v>
      </c>
      <c r="AR122" s="7671"/>
      <c r="AS122" s="7750"/>
      <c r="AT122" s="4991" t="s">
        <v>41</v>
      </c>
      <c r="AU122" s="5329" t="s">
        <v>42</v>
      </c>
      <c r="AV122" s="7671"/>
      <c r="AW122" s="7287"/>
    </row>
    <row r="123" spans="1:132" x14ac:dyDescent="0.25">
      <c r="A123" s="5350" t="s">
        <v>2658</v>
      </c>
      <c r="B123" s="5331">
        <f t="shared" ref="B123:C130" si="429">+N123+P123+R123+T123+V123+X123+Z123+AB123+AD123+AF123+AH123+AJ123+AL123+AN123+AP123</f>
        <v>0</v>
      </c>
      <c r="C123" s="5332">
        <f t="shared" si="429"/>
        <v>0</v>
      </c>
      <c r="D123" s="3568"/>
      <c r="E123" s="5340"/>
      <c r="F123" s="5339"/>
      <c r="G123" s="5340"/>
      <c r="H123" s="5339"/>
      <c r="I123" s="5340"/>
      <c r="J123" s="5339"/>
      <c r="K123" s="5340"/>
      <c r="L123" s="5339"/>
      <c r="M123" s="5341"/>
      <c r="N123" s="3572"/>
      <c r="O123" s="5342"/>
      <c r="P123" s="5229"/>
      <c r="Q123" s="5342"/>
      <c r="R123" s="5229"/>
      <c r="S123" s="5342"/>
      <c r="T123" s="5229"/>
      <c r="U123" s="5342"/>
      <c r="V123" s="5229"/>
      <c r="W123" s="5342"/>
      <c r="X123" s="5229"/>
      <c r="Y123" s="5342"/>
      <c r="Z123" s="5229"/>
      <c r="AA123" s="5342"/>
      <c r="AB123" s="5229"/>
      <c r="AC123" s="5342"/>
      <c r="AD123" s="5229"/>
      <c r="AE123" s="5342"/>
      <c r="AF123" s="5229"/>
      <c r="AG123" s="5342"/>
      <c r="AH123" s="5229"/>
      <c r="AI123" s="5342"/>
      <c r="AJ123" s="5229"/>
      <c r="AK123" s="5342"/>
      <c r="AL123" s="5229"/>
      <c r="AM123" s="5342"/>
      <c r="AN123" s="5229"/>
      <c r="AO123" s="5342"/>
      <c r="AP123" s="5229"/>
      <c r="AQ123" s="5336"/>
      <c r="AR123" s="3576"/>
      <c r="AS123" s="5336"/>
      <c r="AT123" s="5337"/>
      <c r="AU123" s="5336"/>
      <c r="AV123" s="3572"/>
      <c r="AW123" s="5338"/>
      <c r="AX123" s="1755" t="str">
        <f>CA123&amp;CB123&amp;CC123&amp;CD123&amp;CE123&amp;CK123&amp;CL123&amp;CM123&amp;CN123&amp;CO123&amp;CP123&amp;CQ123&amp;CR123&amp;CS123&amp;CT123&amp;CU123&amp;CV123&amp;CW123&amp;CX123</f>
        <v/>
      </c>
      <c r="CA123" s="603"/>
      <c r="CB123" s="4928" t="str">
        <f>IF(B123&lt;&gt;(AS123)," * La suma de las columnas "&amp;AR$10&amp;""&amp;" DEBE SER IGUAL a los Exámenes Procesados. ","")</f>
        <v/>
      </c>
      <c r="CC123" s="2873" t="str">
        <f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D123" s="2873" t="str">
        <f>IF(AND($B123&gt;0,AV123=""),"* No olvide ingresar la columna "&amp;AV$10&amp;""&amp;" *(Digite CERO si no tiene). ",IF(AV123&gt;$B123," *El Número de "&amp;AV$10&amp;""&amp;" no puede superar el Total Procesados. ",""))</f>
        <v/>
      </c>
      <c r="CE123" s="2873" t="str">
        <f>IF(AND($B123&gt;0,AW123=""),"* No olvide ingresar la columna "&amp;AW$10&amp;""&amp;" *(Digite CERO si no tiene). ",IF(AW123&gt;$B123," *El Número de "&amp;AW$10&amp;""&amp;" no puede superar el Total Procesados. ",""))</f>
        <v/>
      </c>
      <c r="CF123" s="3107"/>
      <c r="CG123" s="3107"/>
      <c r="CH123" s="3107"/>
      <c r="CI123" s="3107"/>
      <c r="CJ123" s="3107"/>
      <c r="CK123" s="2873" t="str">
        <f>IF(N123&lt;O123,CONCATENATE("* El total de Procesados debe ser mayor o igual al total de Reactivos en el grupo de edad ",$N$11),"")</f>
        <v/>
      </c>
      <c r="CL123" s="2873" t="str">
        <f>IF(P123&lt;Q123,CONCATENATE("* El total de Procesados debe ser mayor o igual al total de Reactivos en el grupo de edad ",$P$11),"")</f>
        <v/>
      </c>
      <c r="CM123" s="2873" t="str">
        <f>IF(R123&lt;S123,CONCATENATE("* El total de Procesados debe ser mayor o igual al total de Reactivos en el grupo de edad ",$R$11),"")</f>
        <v/>
      </c>
      <c r="CN123" s="2873" t="str">
        <f>IF($T123&lt;$U123,CONCATENATE("* El total de Procesados debe ser mayor o igual al total de Reactivos en el grupo de edad ",$T$11),"")</f>
        <v/>
      </c>
      <c r="CO123" s="2873" t="str">
        <f>IF(V123&lt;W123,CONCATENATE("* El total de Procesados debe ser mayor o igual al total de Reactivos en el grupo de edad ",$V$11),"")</f>
        <v/>
      </c>
      <c r="CP123" s="2873" t="str">
        <f>IF(X123&lt;Y123,CONCATENATE("* El total de Procesados debe ser mayor o igual al total de Reactivos en el grupo de edad ",$X$11),"")</f>
        <v/>
      </c>
      <c r="CQ123" s="2873" t="str">
        <f>IF(Z123&lt;AA123,CONCATENATE("* El total de Procesados debe ser mayor o igual al total de Reactivos en el grupo de edad ",$Z$11),"")</f>
        <v/>
      </c>
      <c r="CR123" s="2873" t="str">
        <f>IF(AD123&lt;AE123,CONCATENATE("* El total de Procesados debe ser mayor o igual al total de Reactivos en el grupo de edad ",$AD$11),"")</f>
        <v/>
      </c>
      <c r="CS123" s="2873" t="str">
        <f>IF(AF123&lt;AG123,CONCATENATE("* El total de Procesados debe ser mayor o igual al total de Reactivos en el grupo de edad ",$AF$11),"")</f>
        <v/>
      </c>
      <c r="CT123" s="2873" t="str">
        <f>IF(AH123&lt;AI123,CONCATENATE("* El total de Procesados debe ser mayor o igual al total de Reactivos en el grupo de edad ",$AH$11),"")</f>
        <v/>
      </c>
      <c r="CU123" s="2873" t="str">
        <f>IF(AJ123&lt;AK123,CONCATENATE("* El total de Procesados debe ser mayor o igual al total de Reactivos en el grupo de edad ",$AJ$11),"")</f>
        <v/>
      </c>
      <c r="CV123" s="2873" t="str">
        <f>IF(AL123&lt;AM123,CONCATENATE("* El total de Procesados debe ser mayor o igual al total de Reactivos en el grupo de edad ",$AL$11),"")</f>
        <v/>
      </c>
      <c r="CW123" s="2873" t="str">
        <f>IF(AN123&lt;AO123,CONCATENATE("* El total de Procesados debe ser mayor o igual al total de Reactivos en el grupo de edad ",$AN$11),"")</f>
        <v/>
      </c>
      <c r="CX123" s="2873" t="str">
        <f>IF(AP123&lt;AQ123,CONCATENATE("* El total de Procesados debe ser mayor o igual al total de Reactivos en el grupo de edad ",$AP$11),"")</f>
        <v/>
      </c>
      <c r="DE123" s="2718"/>
      <c r="DF123" s="4928">
        <f>IF(B123&lt;&gt;(AS123),1,0)</f>
        <v>0</v>
      </c>
      <c r="DG123" s="3009">
        <f>IF(AND($B123&gt;0,AND(AT123="",AU123="")),1,IF((AT123+AU123)&gt;$B123,1,0))</f>
        <v>0</v>
      </c>
      <c r="DH123" s="3009">
        <f>IF(AND($B123&gt;0,AV123=""),1,IF(AV123&gt;$B123,1,0))</f>
        <v>0</v>
      </c>
      <c r="DI123" s="3009">
        <f>IF(AND($B123&gt;0,AW123=""),1,IF(AW123&gt;$B123,1,0))</f>
        <v>0</v>
      </c>
      <c r="DJ123" s="3107"/>
      <c r="DK123" s="3107"/>
      <c r="DL123" s="3107"/>
      <c r="DM123" s="3107"/>
      <c r="DN123" s="3107"/>
      <c r="DO123" s="3009">
        <f>IF(N123&lt;O123,1,0)</f>
        <v>0</v>
      </c>
      <c r="DP123" s="3009">
        <f>IF(P123&lt;Q123,1,0)</f>
        <v>0</v>
      </c>
      <c r="DQ123" s="3009">
        <f>IF(R123&lt;S123,1,0)</f>
        <v>0</v>
      </c>
      <c r="DR123" s="3009">
        <f>IF($T123&lt;$U123,1,0)</f>
        <v>0</v>
      </c>
      <c r="DS123" s="3009">
        <f>IF(V123&lt;W123,1,0)</f>
        <v>0</v>
      </c>
      <c r="DT123" s="3009">
        <f>IF(X123&lt;Y123,1,0)</f>
        <v>0</v>
      </c>
      <c r="DU123" s="3009">
        <f>IF(Z123&lt;AA123,1,0)</f>
        <v>0</v>
      </c>
      <c r="DV123" s="3009">
        <f>IF(AD123&lt;AE123,1,0)</f>
        <v>0</v>
      </c>
      <c r="DW123" s="3009">
        <f>IF(AF123&lt;AG123,1,0)</f>
        <v>0</v>
      </c>
      <c r="DX123" s="3009">
        <f>IF(AH123&lt;AI123,1,0)</f>
        <v>0</v>
      </c>
      <c r="DY123" s="3009">
        <f>IF(AJ123&lt;AK123,1,0)</f>
        <v>0</v>
      </c>
      <c r="DZ123" s="3009">
        <f>IF(AL123&lt;AM123,1,0)</f>
        <v>0</v>
      </c>
      <c r="EA123" s="3009">
        <f>IF(AN123&lt;AO123,1,0)</f>
        <v>0</v>
      </c>
      <c r="EB123" s="3009">
        <f>IF(AP123&lt;AQ123,1,0)</f>
        <v>0</v>
      </c>
    </row>
    <row r="124" spans="1:132" x14ac:dyDescent="0.25">
      <c r="A124" s="3273" t="s">
        <v>2659</v>
      </c>
      <c r="B124" s="2014">
        <f t="shared" si="429"/>
        <v>0</v>
      </c>
      <c r="C124" s="3331">
        <f t="shared" si="429"/>
        <v>0</v>
      </c>
      <c r="D124" s="3568"/>
      <c r="E124" s="5340"/>
      <c r="F124" s="5339"/>
      <c r="G124" s="5340"/>
      <c r="H124" s="5339"/>
      <c r="I124" s="5340"/>
      <c r="J124" s="5339"/>
      <c r="K124" s="5340"/>
      <c r="L124" s="5339"/>
      <c r="M124" s="5341"/>
      <c r="N124" s="3572"/>
      <c r="O124" s="5342"/>
      <c r="P124" s="5229"/>
      <c r="Q124" s="5342"/>
      <c r="R124" s="5229"/>
      <c r="S124" s="5342"/>
      <c r="T124" s="5229"/>
      <c r="U124" s="5342"/>
      <c r="V124" s="5229"/>
      <c r="W124" s="5342"/>
      <c r="X124" s="5229"/>
      <c r="Y124" s="5342"/>
      <c r="Z124" s="5229"/>
      <c r="AA124" s="5342"/>
      <c r="AB124" s="5229"/>
      <c r="AC124" s="5342"/>
      <c r="AD124" s="5229"/>
      <c r="AE124" s="5342"/>
      <c r="AF124" s="5229"/>
      <c r="AG124" s="5342"/>
      <c r="AH124" s="5229"/>
      <c r="AI124" s="5342"/>
      <c r="AJ124" s="5229"/>
      <c r="AK124" s="5342"/>
      <c r="AL124" s="5229"/>
      <c r="AM124" s="5342"/>
      <c r="AN124" s="5229"/>
      <c r="AO124" s="5342"/>
      <c r="AP124" s="5229"/>
      <c r="AQ124" s="5336"/>
      <c r="AR124" s="3576"/>
      <c r="AS124" s="5336"/>
      <c r="AT124" s="5337"/>
      <c r="AU124" s="5336"/>
      <c r="AV124" s="3572"/>
      <c r="AW124" s="5338"/>
      <c r="AX124" s="1755" t="str">
        <f t="shared" ref="AX124:AX130" si="430">CA124&amp;CB124&amp;CC124&amp;CD124&amp;CE124&amp;CK124&amp;CL124&amp;CM124&amp;CN124&amp;CO124&amp;CP124&amp;CQ124&amp;CR124&amp;CS124&amp;CT124&amp;CU124&amp;CV124&amp;CW124&amp;CX124</f>
        <v/>
      </c>
      <c r="CA124" s="603"/>
      <c r="CB124" s="4928" t="str">
        <f t="shared" ref="CB124:CB127" si="431">IF(B124&lt;&gt;(AS124)," * La suma de las columnas "&amp;AR$10&amp;""&amp;" DEBE SER IGUAL a los Exámenes Procesados. ","")</f>
        <v/>
      </c>
      <c r="CC124" s="2873" t="str">
        <f t="shared" ref="CC124:CC140" si="432">IF(AND($B124&gt;0,AND(AT124="",AU124="")),"* No olvide ingresar las columnas Trans Masculino o Femenino (*Digite CERO si no tiene). ",IF((AT124+AU124)&gt;$B124,"* El Número de Trans Masculino o Femenino no puede superar el Total Procesados. ",""))</f>
        <v/>
      </c>
      <c r="CD124" s="2873" t="str">
        <f t="shared" ref="CD124:CD140" si="433">IF(AND($B124&gt;0,AV124=""),"* No olvide ingresar la columna "&amp;AV$10&amp;""&amp;" *(Digite CERO si no tiene). ",IF(AV124&gt;$B124," *El Número de "&amp;AV$10&amp;""&amp;" no puede superar el Total Procesados. ",""))</f>
        <v/>
      </c>
      <c r="CE124" s="2873" t="str">
        <f t="shared" ref="CE124:CE140" si="434">IF(AND($B124&gt;0,AW124=""),"* No olvide ingresar la columna "&amp;AW$10&amp;""&amp;" *(Digite CERO si no tiene). ",IF(AW124&gt;$B124," *El Número de "&amp;AW$10&amp;""&amp;" no puede superar el Total Procesados. ",""))</f>
        <v/>
      </c>
      <c r="CF124" s="3107"/>
      <c r="CG124" s="3107"/>
      <c r="CH124" s="3107"/>
      <c r="CI124" s="3107"/>
      <c r="CJ124" s="3107"/>
      <c r="CK124" s="2873" t="str">
        <f t="shared" ref="CK124:CK127" si="435">IF(N124&lt;O124,CONCATENATE("* El total de Procesados debe ser mayor o igual al total de Reactivos en el grupo de edad ",$N$11),"")</f>
        <v/>
      </c>
      <c r="CL124" s="2873" t="str">
        <f t="shared" ref="CL124:CL129" si="436">IF(P124&lt;Q124,CONCATENATE("* El total de Procesados debe ser mayor o igual al total de Reactivos en el grupo de edad ",$P$11),"")</f>
        <v/>
      </c>
      <c r="CM124" s="2873" t="str">
        <f t="shared" ref="CM124:CM131" si="437">IF(R124&lt;S124,CONCATENATE("* El total de Procesados debe ser mayor o igual al total de Reactivos en el grupo de edad ",$R$11),"")</f>
        <v/>
      </c>
      <c r="CN124" s="2873" t="str">
        <f t="shared" ref="CN124:CN140" si="438">IF($T124&lt;$U124,CONCATENATE("* El total de Procesados debe ser mayor o igual al total de Reactivos en el grupo de edad ",$T$11),"")</f>
        <v/>
      </c>
      <c r="CO124" s="2873" t="str">
        <f t="shared" ref="CO124:CO131" si="439">IF(V124&lt;W124,CONCATENATE("* El total de Procesados debe ser mayor o igual al total de Reactivos en el grupo de edad ",$V$11),"")</f>
        <v/>
      </c>
      <c r="CP124" s="2873" t="str">
        <f t="shared" ref="CP124:CP131" si="440">IF(X124&lt;Y124,CONCATENATE("* El total de Procesados debe ser mayor o igual al total de Reactivos en el grupo de edad ",$X$11),"")</f>
        <v/>
      </c>
      <c r="CQ124" s="2873" t="str">
        <f t="shared" ref="CQ124:CQ131" si="441">IF(Z124&lt;AA124,CONCATENATE("* El total de Procesados debe ser mayor o igual al total de Reactivos en el grupo de edad ",$Z$11),"")</f>
        <v/>
      </c>
      <c r="CR124" s="2873" t="str">
        <f t="shared" ref="CR124:CR131" si="442">IF(AD124&lt;AE124,CONCATENATE("* El total de Procesados debe ser mayor o igual al total de Reactivos en el grupo de edad ",$AD$11),"")</f>
        <v/>
      </c>
      <c r="CS124" s="2873" t="str">
        <f t="shared" ref="CS124:CS131" si="443">IF(AF124&lt;AG124,CONCATENATE("* El total de Procesados debe ser mayor o igual al total de Reactivos en el grupo de edad ",$AF$11),"")</f>
        <v/>
      </c>
      <c r="CT124" s="2873" t="str">
        <f t="shared" ref="CT124:CT131" si="444">IF(AH124&lt;AI124,CONCATENATE("* El total de Procesados debe ser mayor o igual al total de Reactivos en el grupo de edad ",$AH$11),"")</f>
        <v/>
      </c>
      <c r="CU124" s="2873" t="str">
        <f t="shared" ref="CU124:CU131" si="445">IF(AJ124&lt;AK124,CONCATENATE("* El total de Procesados debe ser mayor o igual al total de Reactivos en el grupo de edad ",$AJ$11),"")</f>
        <v/>
      </c>
      <c r="CV124" s="2873" t="str">
        <f t="shared" ref="CV124:CV131" si="446">IF(AL124&lt;AM124,CONCATENATE("* El total de Procesados debe ser mayor o igual al total de Reactivos en el grupo de edad ",$AL$11),"")</f>
        <v/>
      </c>
      <c r="CW124" s="2873" t="str">
        <f t="shared" ref="CW124:CW131" si="447">IF(AN124&lt;AO124,CONCATENATE("* El total de Procesados debe ser mayor o igual al total de Reactivos en el grupo de edad ",$AN$11),"")</f>
        <v/>
      </c>
      <c r="CX124" s="2873" t="str">
        <f t="shared" ref="CX124:CX131" si="448">IF(AP124&lt;AQ124,CONCATENATE("* El total de Procesados debe ser mayor o igual al total de Reactivos en el grupo de edad ",$AP$11),"")</f>
        <v/>
      </c>
      <c r="DE124" s="2718"/>
      <c r="DF124" s="4928">
        <f t="shared" ref="DF124:DF127" si="449">IF(B124&lt;&gt;(AS124),1,0)</f>
        <v>0</v>
      </c>
      <c r="DG124" s="3009">
        <f t="shared" ref="DG124:DG140" si="450">IF(AND($B124&gt;0,AND(AT124="",AU124="")),1,IF((AT124+AU124)&gt;$B124,1,0))</f>
        <v>0</v>
      </c>
      <c r="DH124" s="3009">
        <f t="shared" ref="DH124:DH140" si="451">IF(AND($B124&gt;0,AV124=""),1,IF(AV124&gt;$B124,1,0))</f>
        <v>0</v>
      </c>
      <c r="DI124" s="3009">
        <f t="shared" ref="DI124:DI140" si="452">IF(AND($B124&gt;0,AW124=""),1,IF(AW124&gt;$B124,1,0))</f>
        <v>0</v>
      </c>
      <c r="DJ124" s="3107"/>
      <c r="DK124" s="3107"/>
      <c r="DL124" s="3107"/>
      <c r="DM124" s="3107"/>
      <c r="DN124" s="3107"/>
      <c r="DO124" s="3009">
        <f t="shared" ref="DO124:DO131" si="453">IF(N124&lt;O124,1,0)</f>
        <v>0</v>
      </c>
      <c r="DP124" s="3009">
        <f t="shared" ref="DP124:DP131" si="454">IF(P124&lt;Q124,1,0)</f>
        <v>0</v>
      </c>
      <c r="DQ124" s="3009">
        <f t="shared" ref="DQ124:DQ131" si="455">IF(R124&lt;S124,1,0)</f>
        <v>0</v>
      </c>
      <c r="DR124" s="3009">
        <f t="shared" ref="DR124:DR140" si="456">IF($T124&lt;$U124,1,0)</f>
        <v>0</v>
      </c>
      <c r="DS124" s="3009">
        <f t="shared" ref="DS124:DS131" si="457">IF(V124&lt;W124,1,0)</f>
        <v>0</v>
      </c>
      <c r="DT124" s="3009">
        <f t="shared" ref="DT124:DT131" si="458">IF(X124&lt;Y124,1,0)</f>
        <v>0</v>
      </c>
      <c r="DU124" s="3009">
        <f t="shared" ref="DU124:DU131" si="459">IF(Z124&lt;AA124,1,0)</f>
        <v>0</v>
      </c>
      <c r="DV124" s="3009">
        <f t="shared" ref="DV124:DV131" si="460">IF(AD124&lt;AE124,1,0)</f>
        <v>0</v>
      </c>
      <c r="DW124" s="3009">
        <f t="shared" ref="DW124:DW131" si="461">IF(AF124&lt;AG124,1,0)</f>
        <v>0</v>
      </c>
      <c r="DX124" s="3009">
        <f t="shared" ref="DX124:DX131" si="462">IF(AH124&lt;AI124,1,0)</f>
        <v>0</v>
      </c>
      <c r="DY124" s="3009">
        <f t="shared" ref="DY124:DY131" si="463">IF(AJ124&lt;AK124,1,0)</f>
        <v>0</v>
      </c>
      <c r="DZ124" s="3009">
        <f t="shared" ref="DZ124:DZ131" si="464">IF(AL124&lt;AM124,1,0)</f>
        <v>0</v>
      </c>
      <c r="EA124" s="3009">
        <f t="shared" ref="EA124:EA131" si="465">IF(AN124&lt;AO124,1,0)</f>
        <v>0</v>
      </c>
      <c r="EB124" s="3009">
        <f t="shared" ref="EB124:EB131" si="466">IF(AP124&lt;AQ124,1,0)</f>
        <v>0</v>
      </c>
    </row>
    <row r="125" spans="1:132" x14ac:dyDescent="0.25">
      <c r="A125" s="3273" t="s">
        <v>2660</v>
      </c>
      <c r="B125" s="2014">
        <f t="shared" si="429"/>
        <v>0</v>
      </c>
      <c r="C125" s="3331">
        <f t="shared" si="429"/>
        <v>0</v>
      </c>
      <c r="D125" s="3568"/>
      <c r="E125" s="5340"/>
      <c r="F125" s="5339"/>
      <c r="G125" s="5340"/>
      <c r="H125" s="5339"/>
      <c r="I125" s="5340"/>
      <c r="J125" s="5339"/>
      <c r="K125" s="5340"/>
      <c r="L125" s="5339"/>
      <c r="M125" s="5341"/>
      <c r="N125" s="3572"/>
      <c r="O125" s="5342"/>
      <c r="P125" s="5229"/>
      <c r="Q125" s="5342"/>
      <c r="R125" s="5229"/>
      <c r="S125" s="5342"/>
      <c r="T125" s="5229"/>
      <c r="U125" s="5342"/>
      <c r="V125" s="5229"/>
      <c r="W125" s="5342"/>
      <c r="X125" s="5229"/>
      <c r="Y125" s="5342"/>
      <c r="Z125" s="5229"/>
      <c r="AA125" s="5342"/>
      <c r="AB125" s="5229"/>
      <c r="AC125" s="5342"/>
      <c r="AD125" s="5229"/>
      <c r="AE125" s="5342"/>
      <c r="AF125" s="5229"/>
      <c r="AG125" s="5342"/>
      <c r="AH125" s="5229"/>
      <c r="AI125" s="5342"/>
      <c r="AJ125" s="5229"/>
      <c r="AK125" s="5342"/>
      <c r="AL125" s="5229"/>
      <c r="AM125" s="5342"/>
      <c r="AN125" s="5229"/>
      <c r="AO125" s="5342"/>
      <c r="AP125" s="5229"/>
      <c r="AQ125" s="5336"/>
      <c r="AR125" s="3576"/>
      <c r="AS125" s="5336"/>
      <c r="AT125" s="5337"/>
      <c r="AU125" s="5336"/>
      <c r="AV125" s="3572"/>
      <c r="AW125" s="5338"/>
      <c r="AX125" s="1755" t="str">
        <f t="shared" si="430"/>
        <v/>
      </c>
      <c r="CA125" s="603"/>
      <c r="CB125" s="4928" t="str">
        <f t="shared" si="431"/>
        <v/>
      </c>
      <c r="CC125" s="2873" t="str">
        <f t="shared" si="432"/>
        <v/>
      </c>
      <c r="CD125" s="2873" t="str">
        <f t="shared" si="433"/>
        <v/>
      </c>
      <c r="CE125" s="2873" t="str">
        <f t="shared" si="434"/>
        <v/>
      </c>
      <c r="CF125" s="3107"/>
      <c r="CG125" s="3107"/>
      <c r="CH125" s="3107"/>
      <c r="CI125" s="3107"/>
      <c r="CJ125" s="3107"/>
      <c r="CK125" s="2873" t="str">
        <f t="shared" si="435"/>
        <v/>
      </c>
      <c r="CL125" s="2873" t="str">
        <f t="shared" si="436"/>
        <v/>
      </c>
      <c r="CM125" s="2873" t="str">
        <f t="shared" si="437"/>
        <v/>
      </c>
      <c r="CN125" s="2873" t="str">
        <f t="shared" si="438"/>
        <v/>
      </c>
      <c r="CO125" s="2873" t="str">
        <f t="shared" si="439"/>
        <v/>
      </c>
      <c r="CP125" s="2873" t="str">
        <f t="shared" si="440"/>
        <v/>
      </c>
      <c r="CQ125" s="2873" t="str">
        <f t="shared" si="441"/>
        <v/>
      </c>
      <c r="CR125" s="2873" t="str">
        <f t="shared" si="442"/>
        <v/>
      </c>
      <c r="CS125" s="2873" t="str">
        <f t="shared" si="443"/>
        <v/>
      </c>
      <c r="CT125" s="2873" t="str">
        <f t="shared" si="444"/>
        <v/>
      </c>
      <c r="CU125" s="2873" t="str">
        <f t="shared" si="445"/>
        <v/>
      </c>
      <c r="CV125" s="2873" t="str">
        <f t="shared" si="446"/>
        <v/>
      </c>
      <c r="CW125" s="2873" t="str">
        <f t="shared" si="447"/>
        <v/>
      </c>
      <c r="CX125" s="2873" t="str">
        <f t="shared" si="448"/>
        <v/>
      </c>
      <c r="DE125" s="2718"/>
      <c r="DF125" s="4928">
        <f t="shared" si="449"/>
        <v>0</v>
      </c>
      <c r="DG125" s="3009">
        <f t="shared" si="450"/>
        <v>0</v>
      </c>
      <c r="DH125" s="3009">
        <f t="shared" si="451"/>
        <v>0</v>
      </c>
      <c r="DI125" s="3009">
        <f t="shared" si="452"/>
        <v>0</v>
      </c>
      <c r="DJ125" s="3107"/>
      <c r="DK125" s="3107"/>
      <c r="DL125" s="3107"/>
      <c r="DM125" s="3107"/>
      <c r="DN125" s="3107"/>
      <c r="DO125" s="3009">
        <f t="shared" si="453"/>
        <v>0</v>
      </c>
      <c r="DP125" s="3009">
        <f t="shared" si="454"/>
        <v>0</v>
      </c>
      <c r="DQ125" s="3009">
        <f t="shared" si="455"/>
        <v>0</v>
      </c>
      <c r="DR125" s="3009">
        <f t="shared" si="456"/>
        <v>0</v>
      </c>
      <c r="DS125" s="3009">
        <f t="shared" si="457"/>
        <v>0</v>
      </c>
      <c r="DT125" s="3009">
        <f t="shared" si="458"/>
        <v>0</v>
      </c>
      <c r="DU125" s="3009">
        <f t="shared" si="459"/>
        <v>0</v>
      </c>
      <c r="DV125" s="3009">
        <f t="shared" si="460"/>
        <v>0</v>
      </c>
      <c r="DW125" s="3009">
        <f t="shared" si="461"/>
        <v>0</v>
      </c>
      <c r="DX125" s="3009">
        <f t="shared" si="462"/>
        <v>0</v>
      </c>
      <c r="DY125" s="3009">
        <f t="shared" si="463"/>
        <v>0</v>
      </c>
      <c r="DZ125" s="3009">
        <f t="shared" si="464"/>
        <v>0</v>
      </c>
      <c r="EA125" s="3009">
        <f t="shared" si="465"/>
        <v>0</v>
      </c>
      <c r="EB125" s="3009">
        <f t="shared" si="466"/>
        <v>0</v>
      </c>
    </row>
    <row r="126" spans="1:132" x14ac:dyDescent="0.25">
      <c r="A126" s="3273" t="s">
        <v>2661</v>
      </c>
      <c r="B126" s="2014">
        <f t="shared" si="429"/>
        <v>0</v>
      </c>
      <c r="C126" s="3331">
        <f t="shared" si="429"/>
        <v>0</v>
      </c>
      <c r="D126" s="3568"/>
      <c r="E126" s="5340"/>
      <c r="F126" s="5339"/>
      <c r="G126" s="5340"/>
      <c r="H126" s="5339"/>
      <c r="I126" s="5340"/>
      <c r="J126" s="5339"/>
      <c r="K126" s="5340"/>
      <c r="L126" s="5339"/>
      <c r="M126" s="5341"/>
      <c r="N126" s="3572"/>
      <c r="O126" s="5342"/>
      <c r="P126" s="5229"/>
      <c r="Q126" s="5342"/>
      <c r="R126" s="5229"/>
      <c r="S126" s="5342"/>
      <c r="T126" s="5229"/>
      <c r="U126" s="5342"/>
      <c r="V126" s="5229"/>
      <c r="W126" s="5342"/>
      <c r="X126" s="5229"/>
      <c r="Y126" s="5342"/>
      <c r="Z126" s="5229"/>
      <c r="AA126" s="5342"/>
      <c r="AB126" s="5229"/>
      <c r="AC126" s="5342"/>
      <c r="AD126" s="5229"/>
      <c r="AE126" s="5342"/>
      <c r="AF126" s="5229"/>
      <c r="AG126" s="5342"/>
      <c r="AH126" s="5229"/>
      <c r="AI126" s="5342"/>
      <c r="AJ126" s="5229"/>
      <c r="AK126" s="5342"/>
      <c r="AL126" s="5229"/>
      <c r="AM126" s="5342"/>
      <c r="AN126" s="5229"/>
      <c r="AO126" s="5342"/>
      <c r="AP126" s="5229"/>
      <c r="AQ126" s="5336"/>
      <c r="AR126" s="3576"/>
      <c r="AS126" s="5336"/>
      <c r="AT126" s="5337"/>
      <c r="AU126" s="5336"/>
      <c r="AV126" s="3572"/>
      <c r="AW126" s="5338"/>
      <c r="AX126" s="1755" t="str">
        <f t="shared" si="430"/>
        <v/>
      </c>
      <c r="CA126" s="603"/>
      <c r="CB126" s="4928" t="str">
        <f t="shared" si="431"/>
        <v/>
      </c>
      <c r="CC126" s="2873" t="str">
        <f t="shared" si="432"/>
        <v/>
      </c>
      <c r="CD126" s="2873" t="str">
        <f t="shared" si="433"/>
        <v/>
      </c>
      <c r="CE126" s="2873" t="str">
        <f t="shared" si="434"/>
        <v/>
      </c>
      <c r="CF126" s="3107"/>
      <c r="CG126" s="3107"/>
      <c r="CH126" s="3107"/>
      <c r="CI126" s="3107"/>
      <c r="CJ126" s="3107"/>
      <c r="CK126" s="2873" t="str">
        <f t="shared" si="435"/>
        <v/>
      </c>
      <c r="CL126" s="2873" t="str">
        <f t="shared" si="436"/>
        <v/>
      </c>
      <c r="CM126" s="2873" t="str">
        <f t="shared" si="437"/>
        <v/>
      </c>
      <c r="CN126" s="2873" t="str">
        <f t="shared" si="438"/>
        <v/>
      </c>
      <c r="CO126" s="2873" t="str">
        <f t="shared" si="439"/>
        <v/>
      </c>
      <c r="CP126" s="2873" t="str">
        <f t="shared" si="440"/>
        <v/>
      </c>
      <c r="CQ126" s="2873" t="str">
        <f t="shared" si="441"/>
        <v/>
      </c>
      <c r="CR126" s="2873" t="str">
        <f t="shared" si="442"/>
        <v/>
      </c>
      <c r="CS126" s="2873" t="str">
        <f t="shared" si="443"/>
        <v/>
      </c>
      <c r="CT126" s="2873" t="str">
        <f t="shared" si="444"/>
        <v/>
      </c>
      <c r="CU126" s="2873" t="str">
        <f t="shared" si="445"/>
        <v/>
      </c>
      <c r="CV126" s="2873" t="str">
        <f t="shared" si="446"/>
        <v/>
      </c>
      <c r="CW126" s="2873" t="str">
        <f t="shared" si="447"/>
        <v/>
      </c>
      <c r="CX126" s="2873" t="str">
        <f t="shared" si="448"/>
        <v/>
      </c>
      <c r="DE126" s="2718"/>
      <c r="DF126" s="4928">
        <f t="shared" si="449"/>
        <v>0</v>
      </c>
      <c r="DG126" s="3009">
        <f t="shared" si="450"/>
        <v>0</v>
      </c>
      <c r="DH126" s="3009">
        <f t="shared" si="451"/>
        <v>0</v>
      </c>
      <c r="DI126" s="3009">
        <f t="shared" si="452"/>
        <v>0</v>
      </c>
      <c r="DJ126" s="3107"/>
      <c r="DK126" s="3107"/>
      <c r="DL126" s="3107"/>
      <c r="DM126" s="3107"/>
      <c r="DN126" s="3107"/>
      <c r="DO126" s="3009">
        <f t="shared" si="453"/>
        <v>0</v>
      </c>
      <c r="DP126" s="3009">
        <f t="shared" si="454"/>
        <v>0</v>
      </c>
      <c r="DQ126" s="3009">
        <f t="shared" si="455"/>
        <v>0</v>
      </c>
      <c r="DR126" s="3009">
        <f t="shared" si="456"/>
        <v>0</v>
      </c>
      <c r="DS126" s="3009">
        <f t="shared" si="457"/>
        <v>0</v>
      </c>
      <c r="DT126" s="3009">
        <f t="shared" si="458"/>
        <v>0</v>
      </c>
      <c r="DU126" s="3009">
        <f t="shared" si="459"/>
        <v>0</v>
      </c>
      <c r="DV126" s="3009">
        <f t="shared" si="460"/>
        <v>0</v>
      </c>
      <c r="DW126" s="3009">
        <f t="shared" si="461"/>
        <v>0</v>
      </c>
      <c r="DX126" s="3009">
        <f t="shared" si="462"/>
        <v>0</v>
      </c>
      <c r="DY126" s="3009">
        <f t="shared" si="463"/>
        <v>0</v>
      </c>
      <c r="DZ126" s="3009">
        <f t="shared" si="464"/>
        <v>0</v>
      </c>
      <c r="EA126" s="3009">
        <f t="shared" si="465"/>
        <v>0</v>
      </c>
      <c r="EB126" s="3009">
        <f t="shared" si="466"/>
        <v>0</v>
      </c>
    </row>
    <row r="127" spans="1:132" x14ac:dyDescent="0.25">
      <c r="A127" s="3328" t="s">
        <v>2662</v>
      </c>
      <c r="B127" s="2014">
        <f t="shared" si="429"/>
        <v>0</v>
      </c>
      <c r="C127" s="3331">
        <f t="shared" si="429"/>
        <v>0</v>
      </c>
      <c r="D127" s="3568"/>
      <c r="E127" s="5340"/>
      <c r="F127" s="5339"/>
      <c r="G127" s="5340"/>
      <c r="H127" s="5339"/>
      <c r="I127" s="5340"/>
      <c r="J127" s="5339"/>
      <c r="K127" s="5340"/>
      <c r="L127" s="5339"/>
      <c r="M127" s="5341"/>
      <c r="N127" s="3572"/>
      <c r="O127" s="5342"/>
      <c r="P127" s="5229"/>
      <c r="Q127" s="5342"/>
      <c r="R127" s="5229"/>
      <c r="S127" s="5342"/>
      <c r="T127" s="5229"/>
      <c r="U127" s="5342"/>
      <c r="V127" s="5229"/>
      <c r="W127" s="5342"/>
      <c r="X127" s="5229"/>
      <c r="Y127" s="5342"/>
      <c r="Z127" s="5229"/>
      <c r="AA127" s="5342"/>
      <c r="AB127" s="5229"/>
      <c r="AC127" s="5342"/>
      <c r="AD127" s="5229"/>
      <c r="AE127" s="5342"/>
      <c r="AF127" s="5229"/>
      <c r="AG127" s="5342"/>
      <c r="AH127" s="5229"/>
      <c r="AI127" s="5342"/>
      <c r="AJ127" s="5229"/>
      <c r="AK127" s="5342"/>
      <c r="AL127" s="5229"/>
      <c r="AM127" s="5342"/>
      <c r="AN127" s="5229"/>
      <c r="AO127" s="5342"/>
      <c r="AP127" s="5229"/>
      <c r="AQ127" s="5336"/>
      <c r="AR127" s="3576"/>
      <c r="AS127" s="5336"/>
      <c r="AT127" s="5337"/>
      <c r="AU127" s="5336"/>
      <c r="AV127" s="3572"/>
      <c r="AW127" s="5338"/>
      <c r="AX127" s="1755" t="str">
        <f t="shared" si="430"/>
        <v/>
      </c>
      <c r="CA127" s="603"/>
      <c r="CB127" s="4928" t="str">
        <f t="shared" si="431"/>
        <v/>
      </c>
      <c r="CC127" s="2873" t="str">
        <f t="shared" si="432"/>
        <v/>
      </c>
      <c r="CD127" s="2873" t="str">
        <f t="shared" si="433"/>
        <v/>
      </c>
      <c r="CE127" s="2873" t="str">
        <f t="shared" si="434"/>
        <v/>
      </c>
      <c r="CF127" s="3107"/>
      <c r="CG127" s="3107"/>
      <c r="CH127" s="3107"/>
      <c r="CI127" s="3107"/>
      <c r="CJ127" s="3107"/>
      <c r="CK127" s="2873" t="str">
        <f t="shared" si="435"/>
        <v/>
      </c>
      <c r="CL127" s="2873" t="str">
        <f t="shared" si="436"/>
        <v/>
      </c>
      <c r="CM127" s="2873" t="str">
        <f t="shared" si="437"/>
        <v/>
      </c>
      <c r="CN127" s="2873" t="str">
        <f t="shared" si="438"/>
        <v/>
      </c>
      <c r="CO127" s="2873" t="str">
        <f t="shared" si="439"/>
        <v/>
      </c>
      <c r="CP127" s="2873" t="str">
        <f t="shared" si="440"/>
        <v/>
      </c>
      <c r="CQ127" s="2873" t="str">
        <f t="shared" si="441"/>
        <v/>
      </c>
      <c r="CR127" s="2873" t="str">
        <f t="shared" si="442"/>
        <v/>
      </c>
      <c r="CS127" s="2873" t="str">
        <f t="shared" si="443"/>
        <v/>
      </c>
      <c r="CT127" s="2873" t="str">
        <f t="shared" si="444"/>
        <v/>
      </c>
      <c r="CU127" s="2873" t="str">
        <f t="shared" si="445"/>
        <v/>
      </c>
      <c r="CV127" s="2873" t="str">
        <f t="shared" si="446"/>
        <v/>
      </c>
      <c r="CW127" s="2873" t="str">
        <f t="shared" si="447"/>
        <v/>
      </c>
      <c r="CX127" s="2873" t="str">
        <f t="shared" si="448"/>
        <v/>
      </c>
      <c r="DE127" s="2718"/>
      <c r="DF127" s="4928">
        <f t="shared" si="449"/>
        <v>0</v>
      </c>
      <c r="DG127" s="3009">
        <f t="shared" si="450"/>
        <v>0</v>
      </c>
      <c r="DH127" s="3009">
        <f t="shared" si="451"/>
        <v>0</v>
      </c>
      <c r="DI127" s="3009">
        <f t="shared" si="452"/>
        <v>0</v>
      </c>
      <c r="DJ127" s="3107"/>
      <c r="DK127" s="3107"/>
      <c r="DL127" s="3107"/>
      <c r="DM127" s="3107"/>
      <c r="DN127" s="3107"/>
      <c r="DO127" s="3009">
        <f t="shared" si="453"/>
        <v>0</v>
      </c>
      <c r="DP127" s="3009">
        <f t="shared" si="454"/>
        <v>0</v>
      </c>
      <c r="DQ127" s="3009">
        <f t="shared" si="455"/>
        <v>0</v>
      </c>
      <c r="DR127" s="3009">
        <f t="shared" si="456"/>
        <v>0</v>
      </c>
      <c r="DS127" s="3009">
        <f t="shared" si="457"/>
        <v>0</v>
      </c>
      <c r="DT127" s="3009">
        <f t="shared" si="458"/>
        <v>0</v>
      </c>
      <c r="DU127" s="3009">
        <f t="shared" si="459"/>
        <v>0</v>
      </c>
      <c r="DV127" s="3009">
        <f t="shared" si="460"/>
        <v>0</v>
      </c>
      <c r="DW127" s="3009">
        <f t="shared" si="461"/>
        <v>0</v>
      </c>
      <c r="DX127" s="3009">
        <f t="shared" si="462"/>
        <v>0</v>
      </c>
      <c r="DY127" s="3009">
        <f t="shared" si="463"/>
        <v>0</v>
      </c>
      <c r="DZ127" s="3009">
        <f t="shared" si="464"/>
        <v>0</v>
      </c>
      <c r="EA127" s="3009">
        <f t="shared" si="465"/>
        <v>0</v>
      </c>
      <c r="EB127" s="3009">
        <f t="shared" si="466"/>
        <v>0</v>
      </c>
    </row>
    <row r="128" spans="1:132" x14ac:dyDescent="0.25">
      <c r="A128" s="3328" t="s">
        <v>2663</v>
      </c>
      <c r="B128" s="2014">
        <f t="shared" si="429"/>
        <v>0</v>
      </c>
      <c r="C128" s="3331">
        <f t="shared" si="429"/>
        <v>0</v>
      </c>
      <c r="D128" s="3568"/>
      <c r="E128" s="5340"/>
      <c r="F128" s="5339"/>
      <c r="G128" s="5340"/>
      <c r="H128" s="5339"/>
      <c r="I128" s="5340"/>
      <c r="J128" s="5339"/>
      <c r="K128" s="5340"/>
      <c r="L128" s="5339"/>
      <c r="M128" s="5341"/>
      <c r="N128" s="3572"/>
      <c r="O128" s="5342"/>
      <c r="P128" s="5229"/>
      <c r="Q128" s="5342"/>
      <c r="R128" s="5229"/>
      <c r="S128" s="5342"/>
      <c r="T128" s="5229"/>
      <c r="U128" s="5342"/>
      <c r="V128" s="5229"/>
      <c r="W128" s="5342"/>
      <c r="X128" s="5229"/>
      <c r="Y128" s="5342"/>
      <c r="Z128" s="5229"/>
      <c r="AA128" s="5342"/>
      <c r="AB128" s="5229"/>
      <c r="AC128" s="5342"/>
      <c r="AD128" s="5229"/>
      <c r="AE128" s="5342"/>
      <c r="AF128" s="5229"/>
      <c r="AG128" s="5342"/>
      <c r="AH128" s="5229"/>
      <c r="AI128" s="5342"/>
      <c r="AJ128" s="5229"/>
      <c r="AK128" s="5342"/>
      <c r="AL128" s="5229"/>
      <c r="AM128" s="5342"/>
      <c r="AN128" s="5229"/>
      <c r="AO128" s="5342"/>
      <c r="AP128" s="5229"/>
      <c r="AQ128" s="5336"/>
      <c r="AR128" s="3572"/>
      <c r="AS128" s="5336"/>
      <c r="AT128" s="5337"/>
      <c r="AU128" s="5336"/>
      <c r="AV128" s="3572"/>
      <c r="AW128" s="5338"/>
      <c r="AX128" s="1755" t="str">
        <f t="shared" si="430"/>
        <v/>
      </c>
      <c r="CA128" s="603"/>
      <c r="CB128" s="2873" t="str">
        <f>IF(B128&lt;&gt;(AS128+AR128)," * La suma de las columnas "&amp;AR$10&amp;""&amp;" DEBE SER IGUAL a los Exámenes Procesados. ","")</f>
        <v/>
      </c>
      <c r="CC128" s="2873" t="str">
        <f t="shared" si="432"/>
        <v/>
      </c>
      <c r="CD128" s="2873" t="str">
        <f t="shared" si="433"/>
        <v/>
      </c>
      <c r="CE128" s="2873" t="str">
        <f t="shared" si="434"/>
        <v/>
      </c>
      <c r="CF128" s="3107"/>
      <c r="CG128" s="3107"/>
      <c r="CH128" s="3107"/>
      <c r="CI128" s="3107"/>
      <c r="CJ128" s="3107"/>
      <c r="CK128" s="2873" t="str">
        <f>IF(N128&lt;O128,CONCATENATE("* El total de Procesados debe ser mayor o igual al total de Reactivos en el grupo de edad ",$N$11),"")</f>
        <v/>
      </c>
      <c r="CL128" s="2873" t="str">
        <f t="shared" si="436"/>
        <v/>
      </c>
      <c r="CM128" s="2873" t="str">
        <f t="shared" si="437"/>
        <v/>
      </c>
      <c r="CN128" s="2873" t="str">
        <f t="shared" si="438"/>
        <v/>
      </c>
      <c r="CO128" s="2873" t="str">
        <f t="shared" si="439"/>
        <v/>
      </c>
      <c r="CP128" s="2873" t="str">
        <f t="shared" si="440"/>
        <v/>
      </c>
      <c r="CQ128" s="2873" t="str">
        <f t="shared" si="441"/>
        <v/>
      </c>
      <c r="CR128" s="2873" t="str">
        <f t="shared" si="442"/>
        <v/>
      </c>
      <c r="CS128" s="2873" t="str">
        <f t="shared" si="443"/>
        <v/>
      </c>
      <c r="CT128" s="2873" t="str">
        <f t="shared" si="444"/>
        <v/>
      </c>
      <c r="CU128" s="2873" t="str">
        <f t="shared" si="445"/>
        <v/>
      </c>
      <c r="CV128" s="2873" t="str">
        <f t="shared" si="446"/>
        <v/>
      </c>
      <c r="CW128" s="2873" t="str">
        <f t="shared" si="447"/>
        <v/>
      </c>
      <c r="CX128" s="2873" t="str">
        <f t="shared" si="448"/>
        <v/>
      </c>
      <c r="DE128" s="2718"/>
      <c r="DF128" s="2873">
        <f>IF(B128&lt;&gt;(AS128+AR128),1,0)</f>
        <v>0</v>
      </c>
      <c r="DG128" s="3009">
        <f t="shared" si="450"/>
        <v>0</v>
      </c>
      <c r="DH128" s="3009">
        <f t="shared" si="451"/>
        <v>0</v>
      </c>
      <c r="DI128" s="3009">
        <f t="shared" si="452"/>
        <v>0</v>
      </c>
      <c r="DJ128" s="3107"/>
      <c r="DK128" s="3107"/>
      <c r="DL128" s="3107"/>
      <c r="DM128" s="3107"/>
      <c r="DN128" s="3107"/>
      <c r="DO128" s="3009">
        <f t="shared" si="453"/>
        <v>0</v>
      </c>
      <c r="DP128" s="3009">
        <f t="shared" si="454"/>
        <v>0</v>
      </c>
      <c r="DQ128" s="3009">
        <f t="shared" si="455"/>
        <v>0</v>
      </c>
      <c r="DR128" s="3009">
        <f t="shared" si="456"/>
        <v>0</v>
      </c>
      <c r="DS128" s="3009">
        <f t="shared" si="457"/>
        <v>0</v>
      </c>
      <c r="DT128" s="3009">
        <f t="shared" si="458"/>
        <v>0</v>
      </c>
      <c r="DU128" s="3009">
        <f t="shared" si="459"/>
        <v>0</v>
      </c>
      <c r="DV128" s="3009">
        <f t="shared" si="460"/>
        <v>0</v>
      </c>
      <c r="DW128" s="3009">
        <f t="shared" si="461"/>
        <v>0</v>
      </c>
      <c r="DX128" s="3009">
        <f t="shared" si="462"/>
        <v>0</v>
      </c>
      <c r="DY128" s="3009">
        <f t="shared" si="463"/>
        <v>0</v>
      </c>
      <c r="DZ128" s="3009">
        <f t="shared" si="464"/>
        <v>0</v>
      </c>
      <c r="EA128" s="3009">
        <f t="shared" si="465"/>
        <v>0</v>
      </c>
      <c r="EB128" s="3009">
        <f t="shared" si="466"/>
        <v>0</v>
      </c>
    </row>
    <row r="129" spans="1:132" x14ac:dyDescent="0.25">
      <c r="A129" s="3328" t="s">
        <v>2664</v>
      </c>
      <c r="B129" s="2014">
        <f t="shared" si="429"/>
        <v>0</v>
      </c>
      <c r="C129" s="3331">
        <f t="shared" si="429"/>
        <v>0</v>
      </c>
      <c r="D129" s="3568"/>
      <c r="E129" s="5340"/>
      <c r="F129" s="5339"/>
      <c r="G129" s="5340"/>
      <c r="H129" s="5339"/>
      <c r="I129" s="5340"/>
      <c r="J129" s="5339"/>
      <c r="K129" s="5340"/>
      <c r="L129" s="5339"/>
      <c r="M129" s="5341"/>
      <c r="N129" s="3572"/>
      <c r="O129" s="5342"/>
      <c r="P129" s="5229"/>
      <c r="Q129" s="5342"/>
      <c r="R129" s="5229"/>
      <c r="S129" s="5342"/>
      <c r="T129" s="5229"/>
      <c r="U129" s="5342"/>
      <c r="V129" s="5229"/>
      <c r="W129" s="5342"/>
      <c r="X129" s="5229"/>
      <c r="Y129" s="5342"/>
      <c r="Z129" s="5229"/>
      <c r="AA129" s="5342"/>
      <c r="AB129" s="5229"/>
      <c r="AC129" s="5342"/>
      <c r="AD129" s="5229"/>
      <c r="AE129" s="5342"/>
      <c r="AF129" s="5229"/>
      <c r="AG129" s="5342"/>
      <c r="AH129" s="5229"/>
      <c r="AI129" s="5342"/>
      <c r="AJ129" s="5229"/>
      <c r="AK129" s="5342"/>
      <c r="AL129" s="5229"/>
      <c r="AM129" s="5342"/>
      <c r="AN129" s="5229"/>
      <c r="AO129" s="5342"/>
      <c r="AP129" s="5229"/>
      <c r="AQ129" s="5336"/>
      <c r="AR129" s="3576"/>
      <c r="AS129" s="5336"/>
      <c r="AT129" s="5337"/>
      <c r="AU129" s="5336"/>
      <c r="AV129" s="3572"/>
      <c r="AW129" s="5338"/>
      <c r="AX129" s="1755" t="str">
        <f t="shared" si="430"/>
        <v/>
      </c>
      <c r="CA129" s="603"/>
      <c r="CB129" s="4928" t="str">
        <f t="shared" ref="CB129:CB131" si="467">IF(B129&lt;&gt;(AS129)," * La suma de las columnas "&amp;AR$10&amp;""&amp;" DEBE SER IGUAL a los Exámenes Procesados. ","")</f>
        <v/>
      </c>
      <c r="CC129" s="2873" t="str">
        <f t="shared" si="432"/>
        <v/>
      </c>
      <c r="CD129" s="2873" t="str">
        <f t="shared" si="433"/>
        <v/>
      </c>
      <c r="CE129" s="2873" t="str">
        <f t="shared" si="434"/>
        <v/>
      </c>
      <c r="CF129" s="3107"/>
      <c r="CG129" s="3107"/>
      <c r="CH129" s="3107"/>
      <c r="CI129" s="3107"/>
      <c r="CJ129" s="3107"/>
      <c r="CK129" s="2873" t="str">
        <f t="shared" ref="CK129" si="468">IF(N129&lt;O129,CONCATENATE("* El total de Procesados debe ser mayor o igual al total de Reactivos en el grupo de edad ",$N$11),"")</f>
        <v/>
      </c>
      <c r="CL129" s="2873" t="str">
        <f t="shared" si="436"/>
        <v/>
      </c>
      <c r="CM129" s="2873" t="str">
        <f t="shared" si="437"/>
        <v/>
      </c>
      <c r="CN129" s="2873" t="str">
        <f t="shared" si="438"/>
        <v/>
      </c>
      <c r="CO129" s="2873" t="str">
        <f t="shared" si="439"/>
        <v/>
      </c>
      <c r="CP129" s="2873" t="str">
        <f t="shared" si="440"/>
        <v/>
      </c>
      <c r="CQ129" s="2873" t="str">
        <f t="shared" si="441"/>
        <v/>
      </c>
      <c r="CR129" s="2873" t="str">
        <f t="shared" si="442"/>
        <v/>
      </c>
      <c r="CS129" s="2873" t="str">
        <f t="shared" si="443"/>
        <v/>
      </c>
      <c r="CT129" s="2873" t="str">
        <f t="shared" si="444"/>
        <v/>
      </c>
      <c r="CU129" s="2873" t="str">
        <f t="shared" si="445"/>
        <v/>
      </c>
      <c r="CV129" s="2873" t="str">
        <f t="shared" si="446"/>
        <v/>
      </c>
      <c r="CW129" s="2873" t="str">
        <f t="shared" si="447"/>
        <v/>
      </c>
      <c r="CX129" s="2873" t="str">
        <f t="shared" si="448"/>
        <v/>
      </c>
      <c r="DE129" s="2718"/>
      <c r="DF129" s="4928">
        <f>IF(B129&lt;&gt;(AS129),1,0)</f>
        <v>0</v>
      </c>
      <c r="DG129" s="3009">
        <f t="shared" si="450"/>
        <v>0</v>
      </c>
      <c r="DH129" s="3009">
        <f t="shared" si="451"/>
        <v>0</v>
      </c>
      <c r="DI129" s="3009">
        <f t="shared" si="452"/>
        <v>0</v>
      </c>
      <c r="DJ129" s="3107"/>
      <c r="DK129" s="3107"/>
      <c r="DL129" s="3107"/>
      <c r="DM129" s="3107"/>
      <c r="DN129" s="3107"/>
      <c r="DO129" s="3009">
        <f t="shared" si="453"/>
        <v>0</v>
      </c>
      <c r="DP129" s="3009">
        <f t="shared" si="454"/>
        <v>0</v>
      </c>
      <c r="DQ129" s="3009">
        <f t="shared" si="455"/>
        <v>0</v>
      </c>
      <c r="DR129" s="3009">
        <f t="shared" si="456"/>
        <v>0</v>
      </c>
      <c r="DS129" s="3009">
        <f t="shared" si="457"/>
        <v>0</v>
      </c>
      <c r="DT129" s="3009">
        <f t="shared" si="458"/>
        <v>0</v>
      </c>
      <c r="DU129" s="3009">
        <f t="shared" si="459"/>
        <v>0</v>
      </c>
      <c r="DV129" s="3009">
        <f t="shared" si="460"/>
        <v>0</v>
      </c>
      <c r="DW129" s="3009">
        <f t="shared" si="461"/>
        <v>0</v>
      </c>
      <c r="DX129" s="3009">
        <f t="shared" si="462"/>
        <v>0</v>
      </c>
      <c r="DY129" s="3009">
        <f t="shared" si="463"/>
        <v>0</v>
      </c>
      <c r="DZ129" s="3009">
        <f t="shared" si="464"/>
        <v>0</v>
      </c>
      <c r="EA129" s="3009">
        <f t="shared" si="465"/>
        <v>0</v>
      </c>
      <c r="EB129" s="3009">
        <f t="shared" si="466"/>
        <v>0</v>
      </c>
    </row>
    <row r="130" spans="1:132" x14ac:dyDescent="0.25">
      <c r="A130" s="3273" t="s">
        <v>2665</v>
      </c>
      <c r="B130" s="2014">
        <f t="shared" si="429"/>
        <v>0</v>
      </c>
      <c r="C130" s="3331">
        <f t="shared" si="429"/>
        <v>0</v>
      </c>
      <c r="D130" s="3568"/>
      <c r="E130" s="5340"/>
      <c r="F130" s="5339"/>
      <c r="G130" s="5340"/>
      <c r="H130" s="5339"/>
      <c r="I130" s="5340"/>
      <c r="J130" s="5339"/>
      <c r="K130" s="5340"/>
      <c r="L130" s="5339"/>
      <c r="M130" s="5341"/>
      <c r="N130" s="3572"/>
      <c r="O130" s="5342"/>
      <c r="P130" s="5229"/>
      <c r="Q130" s="5342"/>
      <c r="R130" s="5229"/>
      <c r="S130" s="5342"/>
      <c r="T130" s="5229"/>
      <c r="U130" s="5342"/>
      <c r="V130" s="5229"/>
      <c r="W130" s="5342"/>
      <c r="X130" s="5229"/>
      <c r="Y130" s="5342"/>
      <c r="Z130" s="5229"/>
      <c r="AA130" s="5342"/>
      <c r="AB130" s="5229"/>
      <c r="AC130" s="5342"/>
      <c r="AD130" s="5229"/>
      <c r="AE130" s="5342"/>
      <c r="AF130" s="5229"/>
      <c r="AG130" s="5342"/>
      <c r="AH130" s="5229"/>
      <c r="AI130" s="5342"/>
      <c r="AJ130" s="5229"/>
      <c r="AK130" s="5342"/>
      <c r="AL130" s="5229"/>
      <c r="AM130" s="5342"/>
      <c r="AN130" s="5229"/>
      <c r="AO130" s="5342"/>
      <c r="AP130" s="5229"/>
      <c r="AQ130" s="5336"/>
      <c r="AR130" s="3576"/>
      <c r="AS130" s="5336"/>
      <c r="AT130" s="5337"/>
      <c r="AU130" s="5336"/>
      <c r="AV130" s="3572"/>
      <c r="AW130" s="5338"/>
      <c r="AX130" s="1755" t="str">
        <f t="shared" si="430"/>
        <v/>
      </c>
      <c r="CA130" s="603"/>
      <c r="CB130" s="4928" t="str">
        <f t="shared" si="467"/>
        <v/>
      </c>
      <c r="CC130" s="2873" t="str">
        <f t="shared" si="432"/>
        <v/>
      </c>
      <c r="CD130" s="2873" t="str">
        <f t="shared" si="433"/>
        <v/>
      </c>
      <c r="CE130" s="2873" t="str">
        <f t="shared" si="434"/>
        <v/>
      </c>
      <c r="CF130" s="3107"/>
      <c r="CG130" s="3107"/>
      <c r="CH130" s="3107"/>
      <c r="CI130" s="3107"/>
      <c r="CJ130" s="3107"/>
      <c r="CK130" s="2873" t="str">
        <f>IF(N130&lt;O130,CONCATENATE("* El total de Procesados debe ser mayor o igual al total de Reactivos en el grupo de edad ",$N$11),"")</f>
        <v/>
      </c>
      <c r="CL130" s="2873" t="str">
        <f>IF(P130&lt;Q130,CONCATENATE("* El total de Procesados debe ser mayor o igual al total de Reactivos en el grupo de edad ",$P$11),"")</f>
        <v/>
      </c>
      <c r="CM130" s="2873" t="str">
        <f t="shared" si="437"/>
        <v/>
      </c>
      <c r="CN130" s="2873" t="str">
        <f t="shared" si="438"/>
        <v/>
      </c>
      <c r="CO130" s="2873" t="str">
        <f t="shared" si="439"/>
        <v/>
      </c>
      <c r="CP130" s="2873" t="str">
        <f t="shared" si="440"/>
        <v/>
      </c>
      <c r="CQ130" s="2873" t="str">
        <f t="shared" si="441"/>
        <v/>
      </c>
      <c r="CR130" s="2873" t="str">
        <f t="shared" si="442"/>
        <v/>
      </c>
      <c r="CS130" s="2873" t="str">
        <f t="shared" si="443"/>
        <v/>
      </c>
      <c r="CT130" s="2873" t="str">
        <f t="shared" si="444"/>
        <v/>
      </c>
      <c r="CU130" s="2873" t="str">
        <f t="shared" si="445"/>
        <v/>
      </c>
      <c r="CV130" s="2873" t="str">
        <f t="shared" si="446"/>
        <v/>
      </c>
      <c r="CW130" s="2873" t="str">
        <f t="shared" si="447"/>
        <v/>
      </c>
      <c r="CX130" s="2873" t="str">
        <f t="shared" si="448"/>
        <v/>
      </c>
      <c r="DE130" s="2718"/>
      <c r="DF130" s="4928">
        <f t="shared" ref="DF130:DF131" si="469">IF(B130&lt;&gt;(AS130),1,0)</f>
        <v>0</v>
      </c>
      <c r="DG130" s="3009">
        <f t="shared" si="450"/>
        <v>0</v>
      </c>
      <c r="DH130" s="3009">
        <f t="shared" si="451"/>
        <v>0</v>
      </c>
      <c r="DI130" s="3009">
        <f t="shared" si="452"/>
        <v>0</v>
      </c>
      <c r="DJ130" s="3107"/>
      <c r="DK130" s="3107"/>
      <c r="DL130" s="3107"/>
      <c r="DM130" s="3107"/>
      <c r="DN130" s="3107"/>
      <c r="DO130" s="3009">
        <f t="shared" si="453"/>
        <v>0</v>
      </c>
      <c r="DP130" s="3009">
        <f t="shared" si="454"/>
        <v>0</v>
      </c>
      <c r="DQ130" s="3009">
        <f t="shared" si="455"/>
        <v>0</v>
      </c>
      <c r="DR130" s="3009">
        <f t="shared" si="456"/>
        <v>0</v>
      </c>
      <c r="DS130" s="3009">
        <f t="shared" si="457"/>
        <v>0</v>
      </c>
      <c r="DT130" s="3009">
        <f t="shared" si="458"/>
        <v>0</v>
      </c>
      <c r="DU130" s="3009">
        <f t="shared" si="459"/>
        <v>0</v>
      </c>
      <c r="DV130" s="3009">
        <f t="shared" si="460"/>
        <v>0</v>
      </c>
      <c r="DW130" s="3009">
        <f t="shared" si="461"/>
        <v>0</v>
      </c>
      <c r="DX130" s="3009">
        <f t="shared" si="462"/>
        <v>0</v>
      </c>
      <c r="DY130" s="3009">
        <f t="shared" si="463"/>
        <v>0</v>
      </c>
      <c r="DZ130" s="3009">
        <f t="shared" si="464"/>
        <v>0</v>
      </c>
      <c r="EA130" s="3009">
        <f t="shared" si="465"/>
        <v>0</v>
      </c>
      <c r="EB130" s="3009">
        <f t="shared" si="466"/>
        <v>0</v>
      </c>
    </row>
    <row r="131" spans="1:132" x14ac:dyDescent="0.25">
      <c r="A131" s="3273" t="s">
        <v>2666</v>
      </c>
      <c r="B131" s="2014">
        <f>+D131+F131+H131+J131+L131+N131+P131+R131+T131+V131+X131+Z131+AB131+AD131+AF131+AH131+AJ131+AL131+AN131+AP131</f>
        <v>0</v>
      </c>
      <c r="C131" s="3331">
        <f>+E131+G131+I131+K131+M131+O131+Q131+S131+U131+W131+Y131+AA131+AC131+AE131+AG131+AI131+AK131+AM131+AO131+AQ131</f>
        <v>0</v>
      </c>
      <c r="D131" s="3572"/>
      <c r="E131" s="5342"/>
      <c r="F131" s="5229"/>
      <c r="G131" s="5342"/>
      <c r="H131" s="5229"/>
      <c r="I131" s="5338"/>
      <c r="J131" s="3572"/>
      <c r="K131" s="3572"/>
      <c r="L131" s="5229"/>
      <c r="M131" s="5338"/>
      <c r="N131" s="3572"/>
      <c r="O131" s="5342"/>
      <c r="P131" s="5229"/>
      <c r="Q131" s="5342"/>
      <c r="R131" s="5229"/>
      <c r="S131" s="5342"/>
      <c r="T131" s="5229"/>
      <c r="U131" s="5342"/>
      <c r="V131" s="5229"/>
      <c r="W131" s="5342"/>
      <c r="X131" s="5229"/>
      <c r="Y131" s="5342"/>
      <c r="Z131" s="5229"/>
      <c r="AA131" s="5342"/>
      <c r="AB131" s="5229"/>
      <c r="AC131" s="5342"/>
      <c r="AD131" s="5229"/>
      <c r="AE131" s="5342"/>
      <c r="AF131" s="5229"/>
      <c r="AG131" s="5342"/>
      <c r="AH131" s="5229"/>
      <c r="AI131" s="5342"/>
      <c r="AJ131" s="5229"/>
      <c r="AK131" s="5342"/>
      <c r="AL131" s="5229"/>
      <c r="AM131" s="5342"/>
      <c r="AN131" s="5229"/>
      <c r="AO131" s="5342"/>
      <c r="AP131" s="5229"/>
      <c r="AQ131" s="5336"/>
      <c r="AR131" s="3576"/>
      <c r="AS131" s="5336"/>
      <c r="AT131" s="5337"/>
      <c r="AU131" s="5336"/>
      <c r="AV131" s="3572"/>
      <c r="AW131" s="5338"/>
      <c r="AX131" s="1755" t="str">
        <f t="shared" ref="AX131:AX140" si="470">CA131&amp;CB131&amp;CC131&amp;CD131&amp;CE131&amp;CK131&amp;CL131&amp;CM131&amp;CN131&amp;CO131&amp;CP131&amp;CQ131&amp;CR131&amp;CS131&amp;CT131&amp;CU131&amp;CV131&amp;CW131&amp;CX131&amp;CF131&amp;CG131&amp;CH131&amp;CI131&amp;CJ131</f>
        <v/>
      </c>
      <c r="CA131" s="603"/>
      <c r="CB131" s="4928" t="str">
        <f t="shared" si="467"/>
        <v/>
      </c>
      <c r="CC131" s="2873" t="str">
        <f t="shared" si="432"/>
        <v/>
      </c>
      <c r="CD131" s="2873" t="str">
        <f t="shared" si="433"/>
        <v/>
      </c>
      <c r="CE131" s="2873" t="str">
        <f t="shared" si="434"/>
        <v/>
      </c>
      <c r="CF131" s="2873" t="str">
        <f>IF(D131&lt;E131,CONCATENATE("* El total de Procesados debe ser mayor o igual al total de Reactivos en el grupo de edad ",$D$11),"")</f>
        <v/>
      </c>
      <c r="CG131" s="2873" t="str">
        <f>IF(F131&lt;G131,CONCATENATE("* El total de Procesados debe ser mayor o igual al total de Reactivos en el grupo de edad ",$F$11),"")</f>
        <v/>
      </c>
      <c r="CH131" s="2873" t="str">
        <f>IF(H131&lt;I131,CONCATENATE("* El total de Procesados debe ser mayor o igual al total de Reactivos en el grupo de edad ",$H$11),"")</f>
        <v/>
      </c>
      <c r="CI131" s="2873" t="str">
        <f>IF(J131&lt;K131,CONCATENATE("* El total de Procesados debe ser mayor o igual al total de Reactivos en el grupo de edad ",$J$11),"")</f>
        <v/>
      </c>
      <c r="CJ131" s="2873" t="str">
        <f>IF(L131&lt;M131,CONCATENATE("* El total de Procesados debe ser mayor o igual al total de Reactivos en el grupo de edad ",$L$11),"")</f>
        <v/>
      </c>
      <c r="CK131" s="2873" t="str">
        <f>IF(N131&lt;O131,CONCATENATE("* El total de Procesados debe ser mayor o igual al total de Reactivos en el grupo de edad ",$N$11),"")</f>
        <v/>
      </c>
      <c r="CL131" s="2873" t="str">
        <f>IF(P131&lt;Q131,CONCATENATE("* El total de Procesados debe ser mayor o igual al total de Reactivos en el grupo de edad ",$P$11),"")</f>
        <v/>
      </c>
      <c r="CM131" s="2873" t="str">
        <f t="shared" si="437"/>
        <v/>
      </c>
      <c r="CN131" s="2873" t="str">
        <f t="shared" si="438"/>
        <v/>
      </c>
      <c r="CO131" s="2873" t="str">
        <f t="shared" si="439"/>
        <v/>
      </c>
      <c r="CP131" s="2873" t="str">
        <f t="shared" si="440"/>
        <v/>
      </c>
      <c r="CQ131" s="2873" t="str">
        <f t="shared" si="441"/>
        <v/>
      </c>
      <c r="CR131" s="2873" t="str">
        <f t="shared" si="442"/>
        <v/>
      </c>
      <c r="CS131" s="2873" t="str">
        <f t="shared" si="443"/>
        <v/>
      </c>
      <c r="CT131" s="2873" t="str">
        <f t="shared" si="444"/>
        <v/>
      </c>
      <c r="CU131" s="2873" t="str">
        <f t="shared" si="445"/>
        <v/>
      </c>
      <c r="CV131" s="2873" t="str">
        <f t="shared" si="446"/>
        <v/>
      </c>
      <c r="CW131" s="2873" t="str">
        <f t="shared" si="447"/>
        <v/>
      </c>
      <c r="CX131" s="2873" t="str">
        <f t="shared" si="448"/>
        <v/>
      </c>
      <c r="DE131" s="2718"/>
      <c r="DF131" s="4928">
        <f t="shared" si="469"/>
        <v>0</v>
      </c>
      <c r="DG131" s="3009">
        <f t="shared" si="450"/>
        <v>0</v>
      </c>
      <c r="DH131" s="3009">
        <f t="shared" si="451"/>
        <v>0</v>
      </c>
      <c r="DI131" s="3009">
        <f t="shared" si="452"/>
        <v>0</v>
      </c>
      <c r="DJ131" s="3009">
        <f>IF(D131&lt;E131,1,0)</f>
        <v>0</v>
      </c>
      <c r="DK131" s="3009">
        <f>IF(F131&lt;G131,1,0)</f>
        <v>0</v>
      </c>
      <c r="DL131" s="3009">
        <f>IF(H131&lt;I131,1,0)</f>
        <v>0</v>
      </c>
      <c r="DM131" s="3009">
        <f>IF(J131&lt;K131,1,0)</f>
        <v>0</v>
      </c>
      <c r="DN131" s="3009">
        <f>IF(L131&lt;M131,1,0)</f>
        <v>0</v>
      </c>
      <c r="DO131" s="3009">
        <f t="shared" si="453"/>
        <v>0</v>
      </c>
      <c r="DP131" s="3009">
        <f t="shared" si="454"/>
        <v>0</v>
      </c>
      <c r="DQ131" s="3009">
        <f t="shared" si="455"/>
        <v>0</v>
      </c>
      <c r="DR131" s="3009">
        <f t="shared" si="456"/>
        <v>0</v>
      </c>
      <c r="DS131" s="3009">
        <f t="shared" si="457"/>
        <v>0</v>
      </c>
      <c r="DT131" s="3009">
        <f t="shared" si="458"/>
        <v>0</v>
      </c>
      <c r="DU131" s="3009">
        <f t="shared" si="459"/>
        <v>0</v>
      </c>
      <c r="DV131" s="3009">
        <f t="shared" si="460"/>
        <v>0</v>
      </c>
      <c r="DW131" s="3009">
        <f t="shared" si="461"/>
        <v>0</v>
      </c>
      <c r="DX131" s="3009">
        <f t="shared" si="462"/>
        <v>0</v>
      </c>
      <c r="DY131" s="3009">
        <f t="shared" si="463"/>
        <v>0</v>
      </c>
      <c r="DZ131" s="3009">
        <f t="shared" si="464"/>
        <v>0</v>
      </c>
      <c r="EA131" s="3009">
        <f t="shared" si="465"/>
        <v>0</v>
      </c>
      <c r="EB131" s="3009">
        <f t="shared" si="466"/>
        <v>0</v>
      </c>
    </row>
    <row r="132" spans="1:132" ht="21" x14ac:dyDescent="0.25">
      <c r="A132" s="3328" t="s">
        <v>2667</v>
      </c>
      <c r="B132" s="2014">
        <f>+D132+F132+H132</f>
        <v>0</v>
      </c>
      <c r="C132" s="3331">
        <f>+E132+G132+I132</f>
        <v>0</v>
      </c>
      <c r="D132" s="3572"/>
      <c r="E132" s="5342"/>
      <c r="F132" s="5229"/>
      <c r="G132" s="5342"/>
      <c r="H132" s="5229"/>
      <c r="I132" s="5338"/>
      <c r="J132" s="5343"/>
      <c r="K132" s="5344"/>
      <c r="L132" s="5343"/>
      <c r="M132" s="5344"/>
      <c r="N132" s="5343"/>
      <c r="O132" s="5344"/>
      <c r="P132" s="5343"/>
      <c r="Q132" s="5344"/>
      <c r="R132" s="5343"/>
      <c r="S132" s="5344"/>
      <c r="T132" s="5343"/>
      <c r="U132" s="5344"/>
      <c r="V132" s="5343"/>
      <c r="W132" s="5344"/>
      <c r="X132" s="5343"/>
      <c r="Y132" s="5344"/>
      <c r="Z132" s="5343"/>
      <c r="AA132" s="5344"/>
      <c r="AB132" s="5343"/>
      <c r="AC132" s="5344"/>
      <c r="AD132" s="5343"/>
      <c r="AE132" s="5344"/>
      <c r="AF132" s="5343"/>
      <c r="AG132" s="5344"/>
      <c r="AH132" s="5343"/>
      <c r="AI132" s="5344"/>
      <c r="AJ132" s="5343"/>
      <c r="AK132" s="5344"/>
      <c r="AL132" s="5343"/>
      <c r="AM132" s="5344"/>
      <c r="AN132" s="5343"/>
      <c r="AO132" s="5344"/>
      <c r="AP132" s="5343"/>
      <c r="AQ132" s="5345"/>
      <c r="AR132" s="3572"/>
      <c r="AS132" s="5336"/>
      <c r="AT132" s="5337"/>
      <c r="AU132" s="5336"/>
      <c r="AV132" s="3572"/>
      <c r="AW132" s="5338"/>
      <c r="AX132" s="1755" t="str">
        <f>CA132&amp;CB132&amp;CC132&amp;CD132&amp;CE132&amp;CF132&amp;CG132&amp;CH132</f>
        <v/>
      </c>
      <c r="CA132" s="603"/>
      <c r="CB132" s="2873" t="str">
        <f>IF(B132&lt;&gt;(AS132+AR132)," * La suma de las columnas "&amp;AR$10&amp;""&amp;" DEBE SER IGUAL a los Exámenes Procesados. ","")</f>
        <v/>
      </c>
      <c r="CC132" s="2873" t="str">
        <f t="shared" si="432"/>
        <v/>
      </c>
      <c r="CD132" s="2873" t="str">
        <f t="shared" si="433"/>
        <v/>
      </c>
      <c r="CE132" s="2873" t="str">
        <f t="shared" si="434"/>
        <v/>
      </c>
      <c r="CF132" s="2873" t="str">
        <f>IF(D132&lt;E132,CONCATENATE("* El total de Procesados debe ser mayor o igual al total de Reactivos en el grupo de edad ",$D$11),"")</f>
        <v/>
      </c>
      <c r="CG132" s="2873" t="str">
        <f>IF(F132&lt;G132,CONCATENATE("* El total de Procesados debe ser mayor o igual al total de Reactivos en el grupo de edad ",$F$11),"")</f>
        <v/>
      </c>
      <c r="CH132" s="2873" t="str">
        <f>IF(H132&lt;I132,CONCATENATE("* El total de Procesados debe ser mayor o igual al total de Reactivos en el grupo de edad ",$H$11),"")</f>
        <v/>
      </c>
      <c r="CI132" s="2872"/>
      <c r="CJ132" s="2872"/>
      <c r="CK132" s="3581"/>
      <c r="CL132" s="2872"/>
      <c r="CM132" s="2872"/>
      <c r="CN132" s="2872"/>
      <c r="CO132" s="2872"/>
      <c r="CP132" s="2872"/>
      <c r="CQ132" s="2872"/>
      <c r="CR132" s="2872"/>
      <c r="CS132" s="2872"/>
      <c r="CT132" s="2872"/>
      <c r="CU132" s="2872"/>
      <c r="CV132" s="2872"/>
      <c r="CW132" s="2872"/>
      <c r="CX132" s="2872"/>
      <c r="DE132" s="2718"/>
      <c r="DF132" s="2873">
        <f>IF(B132&lt;&gt;(AS132+AR132),1,0)</f>
        <v>0</v>
      </c>
      <c r="DG132" s="3009">
        <f t="shared" si="450"/>
        <v>0</v>
      </c>
      <c r="DH132" s="3009">
        <f t="shared" si="451"/>
        <v>0</v>
      </c>
      <c r="DI132" s="3009">
        <f t="shared" si="452"/>
        <v>0</v>
      </c>
      <c r="DJ132" s="3009">
        <f>IF(D132&lt;E132,1,0)</f>
        <v>0</v>
      </c>
      <c r="DK132" s="3009">
        <f>IF(F132&lt;G132,1,0)</f>
        <v>0</v>
      </c>
      <c r="DL132" s="3009">
        <f>IF(H132&lt;I132,1,0)</f>
        <v>0</v>
      </c>
      <c r="DM132" s="2872"/>
      <c r="DN132" s="2872"/>
      <c r="DO132" s="3107"/>
      <c r="DP132" s="3107"/>
      <c r="DQ132" s="3107"/>
      <c r="DR132" s="3107"/>
      <c r="DS132" s="3107"/>
      <c r="DT132" s="3107"/>
      <c r="DU132" s="3107"/>
      <c r="DV132" s="3107"/>
      <c r="DW132" s="3107"/>
      <c r="DX132" s="3107"/>
      <c r="DY132" s="3107"/>
      <c r="DZ132" s="3107"/>
      <c r="EA132" s="3107"/>
      <c r="EB132" s="3107"/>
    </row>
    <row r="133" spans="1:132" x14ac:dyDescent="0.25">
      <c r="A133" s="3328" t="s">
        <v>2668</v>
      </c>
      <c r="B133" s="2014">
        <f>+P133+R133+T133+V133+X133+Z133+AB133+AD133+AF133+AH133+AJ133+AL133+AN133+AP133</f>
        <v>0</v>
      </c>
      <c r="C133" s="3331">
        <f>+Q133+S133+U133+W133+Y133+AA133+AC133+AE133+AG133+AI133+AK133+AM133+AO133+AQ133</f>
        <v>0</v>
      </c>
      <c r="D133" s="3568"/>
      <c r="E133" s="5340"/>
      <c r="F133" s="5339"/>
      <c r="G133" s="5340"/>
      <c r="H133" s="5339"/>
      <c r="I133" s="5340"/>
      <c r="J133" s="5339"/>
      <c r="K133" s="5340"/>
      <c r="L133" s="5339"/>
      <c r="M133" s="5341"/>
      <c r="N133" s="3568"/>
      <c r="O133" s="5340"/>
      <c r="P133" s="5229"/>
      <c r="Q133" s="5342"/>
      <c r="R133" s="5229"/>
      <c r="S133" s="5342"/>
      <c r="T133" s="5229"/>
      <c r="U133" s="5342"/>
      <c r="V133" s="5229"/>
      <c r="W133" s="5342"/>
      <c r="X133" s="5229"/>
      <c r="Y133" s="5342"/>
      <c r="Z133" s="5229"/>
      <c r="AA133" s="5342"/>
      <c r="AB133" s="5229"/>
      <c r="AC133" s="5342"/>
      <c r="AD133" s="5229"/>
      <c r="AE133" s="5342"/>
      <c r="AF133" s="5229"/>
      <c r="AG133" s="5342"/>
      <c r="AH133" s="5229"/>
      <c r="AI133" s="5342"/>
      <c r="AJ133" s="5229"/>
      <c r="AK133" s="5342"/>
      <c r="AL133" s="5229"/>
      <c r="AM133" s="5342"/>
      <c r="AN133" s="5229"/>
      <c r="AO133" s="5342"/>
      <c r="AP133" s="5229"/>
      <c r="AQ133" s="5336"/>
      <c r="AR133" s="3572"/>
      <c r="AS133" s="5336"/>
      <c r="AT133" s="5337"/>
      <c r="AU133" s="5336"/>
      <c r="AV133" s="3572"/>
      <c r="AW133" s="5338"/>
      <c r="AX133" s="1755" t="str">
        <f>CA133&amp;CB133&amp;CC133&amp;CD133&amp;CE133&amp;CL133&amp;CM133&amp;CN133&amp;CO133&amp;CP133&amp;CQ133&amp;CR133&amp;CS133&amp;CT133&amp;CU133&amp;CV133&amp;CW133&amp;CX133</f>
        <v/>
      </c>
      <c r="CA133" s="603"/>
      <c r="CB133" s="2873" t="str">
        <f t="shared" ref="CB133:CB140" si="471">IF(B133&lt;&gt;(AS133+AR133)," * La suma de las columnas "&amp;AR$10&amp;""&amp;" DEBE SER IGUAL a los Exámenes Procesados. ","")</f>
        <v/>
      </c>
      <c r="CC133" s="2873" t="str">
        <f t="shared" si="432"/>
        <v/>
      </c>
      <c r="CD133" s="2873" t="str">
        <f t="shared" si="433"/>
        <v/>
      </c>
      <c r="CE133" s="2873" t="str">
        <f t="shared" si="434"/>
        <v/>
      </c>
      <c r="CF133" s="3581"/>
      <c r="CG133" s="3581"/>
      <c r="CH133" s="2872"/>
      <c r="CI133" s="2872"/>
      <c r="CJ133" s="2872"/>
      <c r="CK133" s="3581"/>
      <c r="CL133" s="2873" t="str">
        <f>IF(P133&lt;Q133,CONCATENATE("* El total de Procesados debe ser mayor o igual al total de Reactivos en el grupo de edad ",$P$11),"")</f>
        <v/>
      </c>
      <c r="CM133" s="2873" t="str">
        <f t="shared" ref="CM133:CM140" si="472">IF(R133&lt;S133,CONCATENATE("* El total de Procesados debe ser mayor o igual al total de Reactivos en el grupo de edad ",$R$11),"")</f>
        <v/>
      </c>
      <c r="CN133" s="2873" t="str">
        <f t="shared" si="438"/>
        <v/>
      </c>
      <c r="CO133" s="2873" t="str">
        <f t="shared" ref="CO133:CO140" si="473">IF(V133&lt;W133,CONCATENATE("* El total de Procesados debe ser mayor o igual al total de Reactivos en el grupo de edad ",$V$11),"")</f>
        <v/>
      </c>
      <c r="CP133" s="2873" t="str">
        <f t="shared" ref="CP133:CP140" si="474">IF(X133&lt;Y133,CONCATENATE("* El total de Procesados debe ser mayor o igual al total de Reactivos en el grupo de edad ",$X$11),"")</f>
        <v/>
      </c>
      <c r="CQ133" s="2873" t="str">
        <f t="shared" ref="CQ133:CQ140" si="475">IF(Z133&lt;AA133,CONCATENATE("* El total de Procesados debe ser mayor o igual al total de Reactivos en el grupo de edad ",$Z$11),"")</f>
        <v/>
      </c>
      <c r="CR133" s="2873" t="str">
        <f t="shared" ref="CR133:CR140" si="476">IF(AD133&lt;AE133,CONCATENATE("* El total de Procesados debe ser mayor o igual al total de Reactivos en el grupo de edad ",$AD$11),"")</f>
        <v/>
      </c>
      <c r="CS133" s="2873" t="str">
        <f t="shared" ref="CS133:CS140" si="477">IF(AF133&lt;AG133,CONCATENATE("* El total de Procesados debe ser mayor o igual al total de Reactivos en el grupo de edad ",$AF$11),"")</f>
        <v/>
      </c>
      <c r="CT133" s="2873" t="str">
        <f t="shared" ref="CT133:CT140" si="478">IF(AH133&lt;AI133,CONCATENATE("* El total de Procesados debe ser mayor o igual al total de Reactivos en el grupo de edad ",$AH$11),"")</f>
        <v/>
      </c>
      <c r="CU133" s="2873" t="str">
        <f t="shared" ref="CU133:CU136" si="479">IF(AJ133&lt;AK133,CONCATENATE("* El total de Procesados debe ser mayor o igual al total de Reactivos en el grupo de edad ",$AJ$11),"")</f>
        <v/>
      </c>
      <c r="CV133" s="2873" t="str">
        <f t="shared" ref="CV133:CV136" si="480">IF(AL133&lt;AM133,CONCATENATE("* El total de Procesados debe ser mayor o igual al total de Reactivos en el grupo de edad ",$AL$11),"")</f>
        <v/>
      </c>
      <c r="CW133" s="2873" t="str">
        <f t="shared" ref="CW133:CW136" si="481">IF(AN133&lt;AO133,CONCATENATE("* El total de Procesados debe ser mayor o igual al total de Reactivos en el grupo de edad ",$AN$11),"")</f>
        <v/>
      </c>
      <c r="CX133" s="2873" t="str">
        <f t="shared" ref="CX133:CX136" si="482">IF(AP133&lt;AQ133,CONCATENATE("* El total de Procesados debe ser mayor o igual al total de Reactivos en el grupo de edad ",$AP$11),"")</f>
        <v/>
      </c>
      <c r="DE133" s="2718"/>
      <c r="DF133" s="2873">
        <f t="shared" ref="DF133:DF140" si="483">IF(B133&lt;&gt;(AS133+AR133),1,0)</f>
        <v>0</v>
      </c>
      <c r="DG133" s="3009">
        <f t="shared" si="450"/>
        <v>0</v>
      </c>
      <c r="DH133" s="3009">
        <f t="shared" si="451"/>
        <v>0</v>
      </c>
      <c r="DI133" s="3009">
        <f t="shared" si="452"/>
        <v>0</v>
      </c>
      <c r="DJ133" s="2872"/>
      <c r="DK133" s="2872"/>
      <c r="DL133" s="2872"/>
      <c r="DM133" s="2872"/>
      <c r="DN133" s="2872"/>
      <c r="DO133" s="3107"/>
      <c r="DP133" s="3009">
        <f t="shared" ref="DP133:DP140" si="484">IF(P133&lt;Q133,1,0)</f>
        <v>0</v>
      </c>
      <c r="DQ133" s="3009">
        <f t="shared" ref="DQ133:DQ140" si="485">IF(R133&lt;S133,1,0)</f>
        <v>0</v>
      </c>
      <c r="DR133" s="3009">
        <f t="shared" si="456"/>
        <v>0</v>
      </c>
      <c r="DS133" s="3009">
        <f t="shared" ref="DS133:DS140" si="486">IF(V133&lt;W133,1,0)</f>
        <v>0</v>
      </c>
      <c r="DT133" s="3009">
        <f t="shared" ref="DT133:DT140" si="487">IF(X133&lt;Y133,1,0)</f>
        <v>0</v>
      </c>
      <c r="DU133" s="3009">
        <f t="shared" ref="DU133:DU140" si="488">IF(Z133&lt;AA133,1,0)</f>
        <v>0</v>
      </c>
      <c r="DV133" s="3009">
        <f t="shared" ref="DV133:DV140" si="489">IF(AD133&lt;AE133,1,0)</f>
        <v>0</v>
      </c>
      <c r="DW133" s="3009">
        <f t="shared" ref="DW133:DW140" si="490">IF(AF133&lt;AG133,1,0)</f>
        <v>0</v>
      </c>
      <c r="DX133" s="3009">
        <f t="shared" ref="DX133:DX140" si="491">IF(AH133&lt;AI133,1,0)</f>
        <v>0</v>
      </c>
      <c r="DY133" s="3009">
        <f t="shared" ref="DY133:DY136" si="492">IF(AJ133&lt;AK133,1,0)</f>
        <v>0</v>
      </c>
      <c r="DZ133" s="3009">
        <f t="shared" ref="DZ133:DZ136" si="493">IF(AL133&lt;AM133,1,0)</f>
        <v>0</v>
      </c>
      <c r="EA133" s="3009">
        <f t="shared" ref="EA133:EA136" si="494">IF(AN133&lt;AO133,1,0)</f>
        <v>0</v>
      </c>
      <c r="EB133" s="3009">
        <f t="shared" ref="EB133:EB136" si="495">IF(AP133&lt;AQ133,1,0)</f>
        <v>0</v>
      </c>
    </row>
    <row r="134" spans="1:132" x14ac:dyDescent="0.25">
      <c r="A134" s="3273" t="s">
        <v>2669</v>
      </c>
      <c r="B134" s="2014">
        <f>+N134+P134+R134+T134+V134+X134+Z134+AB134+AD134+AF134+AH134+AJ134+AL134+AN134+AP134</f>
        <v>0</v>
      </c>
      <c r="C134" s="3331">
        <f>+O134+Q134+S134+U134+W134+Y134+AA134+AC134+AE134+AG134+AI134+AK134+AM134+AO134+AQ134</f>
        <v>0</v>
      </c>
      <c r="D134" s="3576"/>
      <c r="E134" s="5344"/>
      <c r="F134" s="5343"/>
      <c r="G134" s="5344"/>
      <c r="H134" s="5343"/>
      <c r="I134" s="5346"/>
      <c r="J134" s="3576"/>
      <c r="K134" s="3576"/>
      <c r="L134" s="5343"/>
      <c r="M134" s="5346"/>
      <c r="N134" s="3572"/>
      <c r="O134" s="5342"/>
      <c r="P134" s="5229"/>
      <c r="Q134" s="5342"/>
      <c r="R134" s="5229"/>
      <c r="S134" s="5342"/>
      <c r="T134" s="5229"/>
      <c r="U134" s="5342"/>
      <c r="V134" s="5229"/>
      <c r="W134" s="5342"/>
      <c r="X134" s="5229"/>
      <c r="Y134" s="5342"/>
      <c r="Z134" s="5229"/>
      <c r="AA134" s="5342"/>
      <c r="AB134" s="5229"/>
      <c r="AC134" s="5342"/>
      <c r="AD134" s="5229"/>
      <c r="AE134" s="5342"/>
      <c r="AF134" s="5229"/>
      <c r="AG134" s="5342"/>
      <c r="AH134" s="5229"/>
      <c r="AI134" s="5342"/>
      <c r="AJ134" s="5229"/>
      <c r="AK134" s="5342"/>
      <c r="AL134" s="5229"/>
      <c r="AM134" s="5342"/>
      <c r="AN134" s="5229"/>
      <c r="AO134" s="5342"/>
      <c r="AP134" s="5229"/>
      <c r="AQ134" s="5336"/>
      <c r="AR134" s="3572"/>
      <c r="AS134" s="5336"/>
      <c r="AT134" s="5337"/>
      <c r="AU134" s="5336"/>
      <c r="AV134" s="3572"/>
      <c r="AW134" s="5338"/>
      <c r="AX134" s="1755" t="str">
        <f>CA134&amp;CB134&amp;CC134&amp;CD134&amp;CE134&amp;CL134&amp;CM134&amp;CN134&amp;CO134&amp;CP134&amp;CQ134&amp;CR134&amp;CS134&amp;CT134&amp;CU134&amp;CV134&amp;CW134&amp;CX134&amp;CK134</f>
        <v/>
      </c>
      <c r="CA134" s="603"/>
      <c r="CB134" s="2873" t="str">
        <f t="shared" si="471"/>
        <v/>
      </c>
      <c r="CC134" s="2873" t="str">
        <f t="shared" si="432"/>
        <v/>
      </c>
      <c r="CD134" s="2873" t="str">
        <f t="shared" si="433"/>
        <v/>
      </c>
      <c r="CE134" s="2873" t="str">
        <f t="shared" si="434"/>
        <v/>
      </c>
      <c r="CF134" s="3581"/>
      <c r="CG134" s="3581"/>
      <c r="CH134" s="2872"/>
      <c r="CI134" s="2872"/>
      <c r="CJ134" s="2872"/>
      <c r="CK134" s="2873" t="str">
        <f>IF(N134&lt;O134,CONCATENATE("* El total de Procesados debe ser mayor o igual al total de Reactivos en el grupo de edad ",$N$11),"")</f>
        <v/>
      </c>
      <c r="CL134" s="2873" t="str">
        <f t="shared" ref="CL134" si="496">IF(P134&lt;Q134,CONCATENATE("* El total de Procesados debe ser mayor o igual al total de Reactivos en el grupo de edad ",$P$11),"")</f>
        <v/>
      </c>
      <c r="CM134" s="2873" t="str">
        <f t="shared" si="472"/>
        <v/>
      </c>
      <c r="CN134" s="2873" t="str">
        <f t="shared" si="438"/>
        <v/>
      </c>
      <c r="CO134" s="2873" t="str">
        <f t="shared" si="473"/>
        <v/>
      </c>
      <c r="CP134" s="2873" t="str">
        <f t="shared" si="474"/>
        <v/>
      </c>
      <c r="CQ134" s="2873" t="str">
        <f t="shared" si="475"/>
        <v/>
      </c>
      <c r="CR134" s="2873" t="str">
        <f t="shared" si="476"/>
        <v/>
      </c>
      <c r="CS134" s="2873" t="str">
        <f t="shared" si="477"/>
        <v/>
      </c>
      <c r="CT134" s="2873" t="str">
        <f t="shared" si="478"/>
        <v/>
      </c>
      <c r="CU134" s="2873" t="str">
        <f t="shared" si="479"/>
        <v/>
      </c>
      <c r="CV134" s="2873" t="str">
        <f t="shared" si="480"/>
        <v/>
      </c>
      <c r="CW134" s="2873" t="str">
        <f t="shared" si="481"/>
        <v/>
      </c>
      <c r="CX134" s="2873" t="str">
        <f t="shared" si="482"/>
        <v/>
      </c>
      <c r="DE134" s="2718"/>
      <c r="DF134" s="2873">
        <f t="shared" si="483"/>
        <v>0</v>
      </c>
      <c r="DG134" s="3009">
        <f t="shared" si="450"/>
        <v>0</v>
      </c>
      <c r="DH134" s="3009">
        <f t="shared" si="451"/>
        <v>0</v>
      </c>
      <c r="DI134" s="3009">
        <f t="shared" si="452"/>
        <v>0</v>
      </c>
      <c r="DJ134" s="2872"/>
      <c r="DK134" s="2872"/>
      <c r="DL134" s="2872"/>
      <c r="DM134" s="2872"/>
      <c r="DN134" s="2872"/>
      <c r="DO134" s="3009">
        <f t="shared" ref="DO134:DO135" si="497">IF(N134&lt;O134,1,0)</f>
        <v>0</v>
      </c>
      <c r="DP134" s="3009">
        <f t="shared" si="484"/>
        <v>0</v>
      </c>
      <c r="DQ134" s="3009">
        <f t="shared" si="485"/>
        <v>0</v>
      </c>
      <c r="DR134" s="3009">
        <f t="shared" si="456"/>
        <v>0</v>
      </c>
      <c r="DS134" s="3009">
        <f t="shared" si="486"/>
        <v>0</v>
      </c>
      <c r="DT134" s="3009">
        <f t="shared" si="487"/>
        <v>0</v>
      </c>
      <c r="DU134" s="3009">
        <f t="shared" si="488"/>
        <v>0</v>
      </c>
      <c r="DV134" s="3009">
        <f t="shared" si="489"/>
        <v>0</v>
      </c>
      <c r="DW134" s="3009">
        <f t="shared" si="490"/>
        <v>0</v>
      </c>
      <c r="DX134" s="3009">
        <f t="shared" si="491"/>
        <v>0</v>
      </c>
      <c r="DY134" s="3009">
        <f t="shared" si="492"/>
        <v>0</v>
      </c>
      <c r="DZ134" s="3009">
        <f t="shared" si="493"/>
        <v>0</v>
      </c>
      <c r="EA134" s="3009">
        <f t="shared" si="494"/>
        <v>0</v>
      </c>
      <c r="EB134" s="3009">
        <f t="shared" si="495"/>
        <v>0</v>
      </c>
    </row>
    <row r="135" spans="1:132" x14ac:dyDescent="0.25">
      <c r="A135" s="3273" t="s">
        <v>2670</v>
      </c>
      <c r="B135" s="2014">
        <f>+D135+F135+H135+J135+L135+N135+P135+R135+T135+V135+X135+Z135+AB135+AD135+AF135+AH135+AJ135+AL135+AN135+AP135</f>
        <v>0</v>
      </c>
      <c r="C135" s="3331">
        <f>+E135+G135+I135+K135+M135+O135+Q135+S135+U135+W135+Y135+AA135+AC135+AE135+AG135+AI135+AK135+AM135+AO135+AQ135</f>
        <v>0</v>
      </c>
      <c r="D135" s="3572"/>
      <c r="E135" s="5342"/>
      <c r="F135" s="5229"/>
      <c r="G135" s="5342"/>
      <c r="H135" s="5229"/>
      <c r="I135" s="5338"/>
      <c r="J135" s="3572"/>
      <c r="K135" s="3572"/>
      <c r="L135" s="5229"/>
      <c r="M135" s="5338"/>
      <c r="N135" s="3572"/>
      <c r="O135" s="5342"/>
      <c r="P135" s="5229"/>
      <c r="Q135" s="5342"/>
      <c r="R135" s="5229"/>
      <c r="S135" s="5342"/>
      <c r="T135" s="5229"/>
      <c r="U135" s="5342"/>
      <c r="V135" s="5229"/>
      <c r="W135" s="5342"/>
      <c r="X135" s="5229"/>
      <c r="Y135" s="5342"/>
      <c r="Z135" s="5229"/>
      <c r="AA135" s="5342"/>
      <c r="AB135" s="5229"/>
      <c r="AC135" s="5342"/>
      <c r="AD135" s="5229"/>
      <c r="AE135" s="5342"/>
      <c r="AF135" s="5229"/>
      <c r="AG135" s="5342"/>
      <c r="AH135" s="5229"/>
      <c r="AI135" s="5342"/>
      <c r="AJ135" s="5229"/>
      <c r="AK135" s="5342"/>
      <c r="AL135" s="5229"/>
      <c r="AM135" s="5342"/>
      <c r="AN135" s="5229"/>
      <c r="AO135" s="5342"/>
      <c r="AP135" s="5229"/>
      <c r="AQ135" s="5336"/>
      <c r="AR135" s="3572"/>
      <c r="AS135" s="5336"/>
      <c r="AT135" s="5337"/>
      <c r="AU135" s="5336"/>
      <c r="AV135" s="3572"/>
      <c r="AW135" s="5338"/>
      <c r="AX135" s="1755" t="str">
        <f t="shared" si="470"/>
        <v/>
      </c>
      <c r="CA135" s="603"/>
      <c r="CB135" s="2873" t="str">
        <f t="shared" si="471"/>
        <v/>
      </c>
      <c r="CC135" s="2873" t="str">
        <f t="shared" si="432"/>
        <v/>
      </c>
      <c r="CD135" s="2873" t="str">
        <f t="shared" si="433"/>
        <v/>
      </c>
      <c r="CE135" s="2873" t="str">
        <f t="shared" si="434"/>
        <v/>
      </c>
      <c r="CF135" s="2873" t="str">
        <f>IF(D135&lt;E135,CONCATENATE("* El total de Procesados debe ser mayor o igual al total de Reactivos en el grupo de edad ",$D$11),"")</f>
        <v/>
      </c>
      <c r="CG135" s="2873" t="str">
        <f>IF(F135&lt;G135,CONCATENATE("* El total de Procesados debe ser mayor o igual al total de Reactivos en el grupo de edad ",$F$11),"")</f>
        <v/>
      </c>
      <c r="CH135" s="2873" t="str">
        <f>IF(H135&lt;I135,CONCATENATE("* El total de Procesados debe ser mayor o igual al total de Reactivos en el grupo de edad ",$H$11),"")</f>
        <v/>
      </c>
      <c r="CI135" s="2873" t="str">
        <f>IF(J135&lt;K135,CONCATENATE("* El total de Procesados debe ser mayor o igual al total de Reactivos en el grupo de edad ",$J$11),"")</f>
        <v/>
      </c>
      <c r="CJ135" s="2873" t="str">
        <f>IF(L135&lt;M135,CONCATENATE("* El total de Procesados debe ser mayor o igual al total de Reactivos en el grupo de edad ",$L$11),"")</f>
        <v/>
      </c>
      <c r="CK135" s="2873" t="str">
        <f>IF(N135&lt;O135,CONCATENATE("* El total de Procesados debe ser mayor o igual al total de Reactivos en el grupo de edad ",$N$11),"")</f>
        <v/>
      </c>
      <c r="CL135" s="2873" t="str">
        <f>IF(P135&lt;Q135,CONCATENATE("* El total de Procesados debe ser mayor o igual al total de Reactivos en el grupo de edad ",$P$11),"")</f>
        <v/>
      </c>
      <c r="CM135" s="2873" t="str">
        <f t="shared" si="472"/>
        <v/>
      </c>
      <c r="CN135" s="2873" t="str">
        <f t="shared" si="438"/>
        <v/>
      </c>
      <c r="CO135" s="2873" t="str">
        <f t="shared" si="473"/>
        <v/>
      </c>
      <c r="CP135" s="2873" t="str">
        <f t="shared" si="474"/>
        <v/>
      </c>
      <c r="CQ135" s="2873" t="str">
        <f t="shared" si="475"/>
        <v/>
      </c>
      <c r="CR135" s="2873" t="str">
        <f t="shared" si="476"/>
        <v/>
      </c>
      <c r="CS135" s="2873" t="str">
        <f t="shared" si="477"/>
        <v/>
      </c>
      <c r="CT135" s="2873" t="str">
        <f t="shared" si="478"/>
        <v/>
      </c>
      <c r="CU135" s="2873" t="str">
        <f t="shared" si="479"/>
        <v/>
      </c>
      <c r="CV135" s="2873" t="str">
        <f t="shared" si="480"/>
        <v/>
      </c>
      <c r="CW135" s="2873" t="str">
        <f t="shared" si="481"/>
        <v/>
      </c>
      <c r="CX135" s="2873" t="str">
        <f t="shared" si="482"/>
        <v/>
      </c>
      <c r="DE135" s="2718"/>
      <c r="DF135" s="2873">
        <f t="shared" si="483"/>
        <v>0</v>
      </c>
      <c r="DG135" s="3009">
        <f t="shared" si="450"/>
        <v>0</v>
      </c>
      <c r="DH135" s="3009">
        <f t="shared" si="451"/>
        <v>0</v>
      </c>
      <c r="DI135" s="3009">
        <f t="shared" si="452"/>
        <v>0</v>
      </c>
      <c r="DJ135" s="3009">
        <f>IF(D135&lt;E135,1,0)</f>
        <v>0</v>
      </c>
      <c r="DK135" s="3009">
        <f>IF(F135&lt;G135,1,0)</f>
        <v>0</v>
      </c>
      <c r="DL135" s="3009">
        <f>IF(H135&lt;I135,1,0)</f>
        <v>0</v>
      </c>
      <c r="DM135" s="3009">
        <f>IF(J135&lt;K135,1,0)</f>
        <v>0</v>
      </c>
      <c r="DN135" s="3009">
        <f>IF(L135&lt;M135,1,0)</f>
        <v>0</v>
      </c>
      <c r="DO135" s="3009">
        <f t="shared" si="497"/>
        <v>0</v>
      </c>
      <c r="DP135" s="3009">
        <f t="shared" si="484"/>
        <v>0</v>
      </c>
      <c r="DQ135" s="3009">
        <f t="shared" si="485"/>
        <v>0</v>
      </c>
      <c r="DR135" s="3009">
        <f t="shared" si="456"/>
        <v>0</v>
      </c>
      <c r="DS135" s="3009">
        <f t="shared" si="486"/>
        <v>0</v>
      </c>
      <c r="DT135" s="3009">
        <f t="shared" si="487"/>
        <v>0</v>
      </c>
      <c r="DU135" s="3009">
        <f t="shared" si="488"/>
        <v>0</v>
      </c>
      <c r="DV135" s="3009">
        <f t="shared" si="489"/>
        <v>0</v>
      </c>
      <c r="DW135" s="3009">
        <f t="shared" si="490"/>
        <v>0</v>
      </c>
      <c r="DX135" s="3009">
        <f t="shared" si="491"/>
        <v>0</v>
      </c>
      <c r="DY135" s="3009">
        <f t="shared" si="492"/>
        <v>0</v>
      </c>
      <c r="DZ135" s="3009">
        <f t="shared" si="493"/>
        <v>0</v>
      </c>
      <c r="EA135" s="3009">
        <f t="shared" si="494"/>
        <v>0</v>
      </c>
      <c r="EB135" s="3009">
        <f t="shared" si="495"/>
        <v>0</v>
      </c>
    </row>
    <row r="136" spans="1:132" x14ac:dyDescent="0.25">
      <c r="A136" s="3578" t="s">
        <v>2671</v>
      </c>
      <c r="B136" s="2014">
        <f>+P136+R136+T136+V136+X136+Z136+AB136+AD136+AF136+AH136+AJ136+AL136+AN136+AP136</f>
        <v>0</v>
      </c>
      <c r="C136" s="3331">
        <f>+Q136+S136+U136+W136+Y136+AA136+AC136+AE136+AG136+AI136+AK136+AM136+AO136+AQ136</f>
        <v>0</v>
      </c>
      <c r="D136" s="3568"/>
      <c r="E136" s="5340"/>
      <c r="F136" s="5339"/>
      <c r="G136" s="5340"/>
      <c r="H136" s="5339"/>
      <c r="I136" s="5340"/>
      <c r="J136" s="5339"/>
      <c r="K136" s="5340"/>
      <c r="L136" s="5339"/>
      <c r="M136" s="5341"/>
      <c r="N136" s="3568"/>
      <c r="O136" s="5340"/>
      <c r="P136" s="5229"/>
      <c r="Q136" s="5342"/>
      <c r="R136" s="5229"/>
      <c r="S136" s="5342"/>
      <c r="T136" s="5229"/>
      <c r="U136" s="5342"/>
      <c r="V136" s="5229"/>
      <c r="W136" s="5342"/>
      <c r="X136" s="5229"/>
      <c r="Y136" s="5342"/>
      <c r="Z136" s="5229"/>
      <c r="AA136" s="5342"/>
      <c r="AB136" s="5229"/>
      <c r="AC136" s="5342"/>
      <c r="AD136" s="5229"/>
      <c r="AE136" s="5342"/>
      <c r="AF136" s="5229"/>
      <c r="AG136" s="5342"/>
      <c r="AH136" s="5229"/>
      <c r="AI136" s="5342"/>
      <c r="AJ136" s="5229"/>
      <c r="AK136" s="5342"/>
      <c r="AL136" s="5229"/>
      <c r="AM136" s="5342"/>
      <c r="AN136" s="5229"/>
      <c r="AO136" s="5342"/>
      <c r="AP136" s="5229"/>
      <c r="AQ136" s="5336"/>
      <c r="AR136" s="3572"/>
      <c r="AS136" s="5336"/>
      <c r="AT136" s="5337"/>
      <c r="AU136" s="5336"/>
      <c r="AV136" s="3572"/>
      <c r="AW136" s="5338"/>
      <c r="AX136" s="1755" t="str">
        <f>CA136&amp;CB136&amp;CC136&amp;CD136&amp;CE136&amp;CL136&amp;CM136&amp;CN136&amp;CO136&amp;CP136&amp;CQ136&amp;CR136&amp;CS136&amp;CT136&amp;CU136&amp;CV136&amp;CW136&amp;CX136</f>
        <v/>
      </c>
      <c r="CA136" s="603"/>
      <c r="CB136" s="2873" t="str">
        <f t="shared" si="471"/>
        <v/>
      </c>
      <c r="CC136" s="2873" t="str">
        <f t="shared" si="432"/>
        <v/>
      </c>
      <c r="CD136" s="2873" t="str">
        <f t="shared" si="433"/>
        <v/>
      </c>
      <c r="CE136" s="2873" t="str">
        <f t="shared" si="434"/>
        <v/>
      </c>
      <c r="CF136" s="3581"/>
      <c r="CG136" s="3581"/>
      <c r="CH136" s="2872"/>
      <c r="CI136" s="2872"/>
      <c r="CJ136" s="2872"/>
      <c r="CK136" s="3581"/>
      <c r="CL136" s="2873" t="str">
        <f t="shared" ref="CL136:CL140" si="498">IF(P136&lt;Q136,CONCATENATE("* El total de Procesados debe ser mayor o igual al total de Reactivos en el grupo de edad ",$P$11),"")</f>
        <v/>
      </c>
      <c r="CM136" s="2873" t="str">
        <f t="shared" si="472"/>
        <v/>
      </c>
      <c r="CN136" s="2873" t="str">
        <f t="shared" si="438"/>
        <v/>
      </c>
      <c r="CO136" s="2873" t="str">
        <f t="shared" si="473"/>
        <v/>
      </c>
      <c r="CP136" s="2873" t="str">
        <f t="shared" si="474"/>
        <v/>
      </c>
      <c r="CQ136" s="2873" t="str">
        <f t="shared" si="475"/>
        <v/>
      </c>
      <c r="CR136" s="2873" t="str">
        <f t="shared" si="476"/>
        <v/>
      </c>
      <c r="CS136" s="2873" t="str">
        <f t="shared" si="477"/>
        <v/>
      </c>
      <c r="CT136" s="2873" t="str">
        <f t="shared" si="478"/>
        <v/>
      </c>
      <c r="CU136" s="2873" t="str">
        <f t="shared" si="479"/>
        <v/>
      </c>
      <c r="CV136" s="2873" t="str">
        <f t="shared" si="480"/>
        <v/>
      </c>
      <c r="CW136" s="2873" t="str">
        <f t="shared" si="481"/>
        <v/>
      </c>
      <c r="CX136" s="2873" t="str">
        <f t="shared" si="482"/>
        <v/>
      </c>
      <c r="DE136" s="2718"/>
      <c r="DF136" s="2873">
        <f t="shared" si="483"/>
        <v>0</v>
      </c>
      <c r="DG136" s="3009">
        <f t="shared" si="450"/>
        <v>0</v>
      </c>
      <c r="DH136" s="3009">
        <f t="shared" si="451"/>
        <v>0</v>
      </c>
      <c r="DI136" s="3009">
        <f t="shared" si="452"/>
        <v>0</v>
      </c>
      <c r="DJ136" s="2872"/>
      <c r="DK136" s="2872"/>
      <c r="DL136" s="2872"/>
      <c r="DM136" s="2872"/>
      <c r="DN136" s="2872"/>
      <c r="DO136" s="3107"/>
      <c r="DP136" s="3009">
        <f t="shared" si="484"/>
        <v>0</v>
      </c>
      <c r="DQ136" s="3009">
        <f t="shared" si="485"/>
        <v>0</v>
      </c>
      <c r="DR136" s="3009">
        <f t="shared" si="456"/>
        <v>0</v>
      </c>
      <c r="DS136" s="3009">
        <f t="shared" si="486"/>
        <v>0</v>
      </c>
      <c r="DT136" s="3009">
        <f t="shared" si="487"/>
        <v>0</v>
      </c>
      <c r="DU136" s="3009">
        <f t="shared" si="488"/>
        <v>0</v>
      </c>
      <c r="DV136" s="3009">
        <f t="shared" si="489"/>
        <v>0</v>
      </c>
      <c r="DW136" s="3009">
        <f t="shared" si="490"/>
        <v>0</v>
      </c>
      <c r="DX136" s="3009">
        <f t="shared" si="491"/>
        <v>0</v>
      </c>
      <c r="DY136" s="3009">
        <f t="shared" si="492"/>
        <v>0</v>
      </c>
      <c r="DZ136" s="3009">
        <f t="shared" si="493"/>
        <v>0</v>
      </c>
      <c r="EA136" s="3009">
        <f t="shared" si="494"/>
        <v>0</v>
      </c>
      <c r="EB136" s="3009">
        <f t="shared" si="495"/>
        <v>0</v>
      </c>
    </row>
    <row r="137" spans="1:132" x14ac:dyDescent="0.25">
      <c r="A137" s="3273" t="s">
        <v>2672</v>
      </c>
      <c r="B137" s="2014">
        <f>+P137+R137+T137+V137+X137+Z137+AB137+AD137+AF137+AH137</f>
        <v>0</v>
      </c>
      <c r="C137" s="3331">
        <f>+Q137+S137+U137+W137+Y137+AA137+AC137+AE137+AG137+AI137</f>
        <v>0</v>
      </c>
      <c r="D137" s="3568"/>
      <c r="E137" s="5340"/>
      <c r="F137" s="5339"/>
      <c r="G137" s="5340"/>
      <c r="H137" s="5339"/>
      <c r="I137" s="5340"/>
      <c r="J137" s="5339"/>
      <c r="K137" s="5340"/>
      <c r="L137" s="5339"/>
      <c r="M137" s="5341"/>
      <c r="N137" s="3568"/>
      <c r="O137" s="5340"/>
      <c r="P137" s="5229"/>
      <c r="Q137" s="5342"/>
      <c r="R137" s="5229"/>
      <c r="S137" s="5342"/>
      <c r="T137" s="5229"/>
      <c r="U137" s="5342"/>
      <c r="V137" s="5229"/>
      <c r="W137" s="5342"/>
      <c r="X137" s="5229"/>
      <c r="Y137" s="5342"/>
      <c r="Z137" s="5229"/>
      <c r="AA137" s="5342"/>
      <c r="AB137" s="5229"/>
      <c r="AC137" s="5342"/>
      <c r="AD137" s="5229"/>
      <c r="AE137" s="5342"/>
      <c r="AF137" s="5229"/>
      <c r="AG137" s="5342"/>
      <c r="AH137" s="5229"/>
      <c r="AI137" s="5342"/>
      <c r="AJ137" s="5339"/>
      <c r="AK137" s="5340"/>
      <c r="AL137" s="5339"/>
      <c r="AM137" s="5340"/>
      <c r="AN137" s="5339"/>
      <c r="AO137" s="5340"/>
      <c r="AP137" s="5339"/>
      <c r="AQ137" s="5347"/>
      <c r="AR137" s="3572"/>
      <c r="AS137" s="5336"/>
      <c r="AT137" s="5337"/>
      <c r="AU137" s="5336"/>
      <c r="AV137" s="3572"/>
      <c r="AW137" s="5338"/>
      <c r="AX137" s="1755" t="str">
        <f>CA137&amp;CB137&amp;CC137&amp;CD137&amp;CE137&amp;CL137&amp;CM137&amp;CN137&amp;CO137&amp;CP137&amp;CQ137&amp;CR137&amp;CS137&amp;CT137</f>
        <v/>
      </c>
      <c r="CA137" s="603"/>
      <c r="CB137" s="2873" t="str">
        <f t="shared" si="471"/>
        <v/>
      </c>
      <c r="CC137" s="2873" t="str">
        <f t="shared" si="432"/>
        <v/>
      </c>
      <c r="CD137" s="2873" t="str">
        <f t="shared" si="433"/>
        <v/>
      </c>
      <c r="CE137" s="2873" t="str">
        <f t="shared" si="434"/>
        <v/>
      </c>
      <c r="CF137" s="3581"/>
      <c r="CG137" s="3581"/>
      <c r="CH137" s="2872"/>
      <c r="CI137" s="2872"/>
      <c r="CJ137" s="2872"/>
      <c r="CK137" s="3581"/>
      <c r="CL137" s="2873" t="str">
        <f t="shared" si="498"/>
        <v/>
      </c>
      <c r="CM137" s="2873" t="str">
        <f t="shared" si="472"/>
        <v/>
      </c>
      <c r="CN137" s="2873" t="str">
        <f t="shared" si="438"/>
        <v/>
      </c>
      <c r="CO137" s="2873" t="str">
        <f t="shared" si="473"/>
        <v/>
      </c>
      <c r="CP137" s="2873" t="str">
        <f t="shared" si="474"/>
        <v/>
      </c>
      <c r="CQ137" s="2873" t="str">
        <f t="shared" si="475"/>
        <v/>
      </c>
      <c r="CR137" s="2873" t="str">
        <f t="shared" si="476"/>
        <v/>
      </c>
      <c r="CS137" s="2873" t="str">
        <f t="shared" si="477"/>
        <v/>
      </c>
      <c r="CT137" s="2873" t="str">
        <f t="shared" si="478"/>
        <v/>
      </c>
      <c r="CU137" s="3107"/>
      <c r="CV137" s="3107"/>
      <c r="CW137" s="3107"/>
      <c r="CX137" s="3107"/>
      <c r="DE137" s="2718"/>
      <c r="DF137" s="2873">
        <f t="shared" si="483"/>
        <v>0</v>
      </c>
      <c r="DG137" s="3009">
        <f t="shared" si="450"/>
        <v>0</v>
      </c>
      <c r="DH137" s="3009">
        <f t="shared" si="451"/>
        <v>0</v>
      </c>
      <c r="DI137" s="3009">
        <f t="shared" si="452"/>
        <v>0</v>
      </c>
      <c r="DJ137" s="2872"/>
      <c r="DK137" s="2872"/>
      <c r="DL137" s="2872"/>
      <c r="DM137" s="2872"/>
      <c r="DN137" s="2872"/>
      <c r="DO137" s="3107"/>
      <c r="DP137" s="3009">
        <f t="shared" si="484"/>
        <v>0</v>
      </c>
      <c r="DQ137" s="3009">
        <f t="shared" si="485"/>
        <v>0</v>
      </c>
      <c r="DR137" s="3009">
        <f t="shared" si="456"/>
        <v>0</v>
      </c>
      <c r="DS137" s="3009">
        <f t="shared" si="486"/>
        <v>0</v>
      </c>
      <c r="DT137" s="3009">
        <f t="shared" si="487"/>
        <v>0</v>
      </c>
      <c r="DU137" s="3009">
        <f t="shared" si="488"/>
        <v>0</v>
      </c>
      <c r="DV137" s="3009">
        <f t="shared" si="489"/>
        <v>0</v>
      </c>
      <c r="DW137" s="3009">
        <f t="shared" si="490"/>
        <v>0</v>
      </c>
      <c r="DX137" s="3009">
        <f t="shared" si="491"/>
        <v>0</v>
      </c>
      <c r="DY137" s="3107"/>
      <c r="DZ137" s="3107"/>
      <c r="EA137" s="3107"/>
      <c r="EB137" s="3107"/>
    </row>
    <row r="138" spans="1:132" x14ac:dyDescent="0.25">
      <c r="A138" s="3273" t="s">
        <v>2673</v>
      </c>
      <c r="B138" s="2014">
        <f t="shared" ref="B138:C140" si="499">+D138+F138+H138+J138+L138+N138+P138+R138+T138+V138+X138+Z138+AB138+AD138+AF138+AH138+AJ138+AL138+AN138+AP138</f>
        <v>0</v>
      </c>
      <c r="C138" s="3331">
        <f t="shared" si="499"/>
        <v>0</v>
      </c>
      <c r="D138" s="3572"/>
      <c r="E138" s="5342"/>
      <c r="F138" s="5229"/>
      <c r="G138" s="5342"/>
      <c r="H138" s="5229"/>
      <c r="I138" s="5338"/>
      <c r="J138" s="3572"/>
      <c r="K138" s="3572"/>
      <c r="L138" s="5229"/>
      <c r="M138" s="5338"/>
      <c r="N138" s="3572"/>
      <c r="O138" s="5342"/>
      <c r="P138" s="5229"/>
      <c r="Q138" s="5342"/>
      <c r="R138" s="5229"/>
      <c r="S138" s="5342"/>
      <c r="T138" s="5229"/>
      <c r="U138" s="5342"/>
      <c r="V138" s="5229"/>
      <c r="W138" s="5342"/>
      <c r="X138" s="5229"/>
      <c r="Y138" s="5342"/>
      <c r="Z138" s="5229"/>
      <c r="AA138" s="5342"/>
      <c r="AB138" s="5229"/>
      <c r="AC138" s="5342"/>
      <c r="AD138" s="5229"/>
      <c r="AE138" s="5342"/>
      <c r="AF138" s="5229"/>
      <c r="AG138" s="5342"/>
      <c r="AH138" s="5229"/>
      <c r="AI138" s="5342"/>
      <c r="AJ138" s="5229"/>
      <c r="AK138" s="5342"/>
      <c r="AL138" s="5229"/>
      <c r="AM138" s="5342"/>
      <c r="AN138" s="5229"/>
      <c r="AO138" s="5342"/>
      <c r="AP138" s="5229"/>
      <c r="AQ138" s="5336"/>
      <c r="AR138" s="3572"/>
      <c r="AS138" s="5336"/>
      <c r="AT138" s="5337"/>
      <c r="AU138" s="5336"/>
      <c r="AV138" s="3572"/>
      <c r="AW138" s="5338"/>
      <c r="AX138" s="1755" t="str">
        <f t="shared" si="470"/>
        <v/>
      </c>
      <c r="CA138" s="603"/>
      <c r="CB138" s="2873" t="str">
        <f t="shared" si="471"/>
        <v/>
      </c>
      <c r="CC138" s="2873" t="str">
        <f t="shared" si="432"/>
        <v/>
      </c>
      <c r="CD138" s="2873" t="str">
        <f t="shared" si="433"/>
        <v/>
      </c>
      <c r="CE138" s="2873" t="str">
        <f t="shared" si="434"/>
        <v/>
      </c>
      <c r="CF138" s="2873" t="str">
        <f t="shared" ref="CF138:CF140" si="500">IF(D138&lt;E138,CONCATENATE("* El total de Procesados debe ser mayor o igual al total de Reactivos en el grupo de edad ",$D$11),"")</f>
        <v/>
      </c>
      <c r="CG138" s="2873" t="str">
        <f t="shared" ref="CG138:CG140" si="501">IF(F138&lt;G138,CONCATENATE("* El total de Procesados debe ser mayor o igual al total de Reactivos en el grupo de edad ",$F$11),"")</f>
        <v/>
      </c>
      <c r="CH138" s="2873" t="str">
        <f t="shared" ref="CH138:CH140" si="502">IF(H138&lt;I138,CONCATENATE("* El total de Procesados debe ser mayor o igual al total de Reactivos en el grupo de edad ",$H$11),"")</f>
        <v/>
      </c>
      <c r="CI138" s="2873" t="str">
        <f t="shared" ref="CI138:CI140" si="503">IF(J138&lt;K138,CONCATENATE("* El total de Procesados debe ser mayor o igual al total de Reactivos en el grupo de edad ",$J$11),"")</f>
        <v/>
      </c>
      <c r="CJ138" s="2873" t="str">
        <f t="shared" ref="CJ138:CJ140" si="504">IF(L138&lt;M138,CONCATENATE("* El total de Procesados debe ser mayor o igual al total de Reactivos en el grupo de edad ",$L$11),"")</f>
        <v/>
      </c>
      <c r="CK138" s="2873" t="str">
        <f t="shared" ref="CK138:CK140" si="505">IF(N138&lt;O138,CONCATENATE("* El total de Procesados debe ser mayor o igual al total de Reactivos en el grupo de edad ",$N$11),"")</f>
        <v/>
      </c>
      <c r="CL138" s="2873" t="str">
        <f t="shared" si="498"/>
        <v/>
      </c>
      <c r="CM138" s="2873" t="str">
        <f t="shared" si="472"/>
        <v/>
      </c>
      <c r="CN138" s="2873" t="str">
        <f t="shared" si="438"/>
        <v/>
      </c>
      <c r="CO138" s="2873" t="str">
        <f t="shared" si="473"/>
        <v/>
      </c>
      <c r="CP138" s="2873" t="str">
        <f t="shared" si="474"/>
        <v/>
      </c>
      <c r="CQ138" s="2873" t="str">
        <f t="shared" si="475"/>
        <v/>
      </c>
      <c r="CR138" s="2873" t="str">
        <f t="shared" si="476"/>
        <v/>
      </c>
      <c r="CS138" s="2873" t="str">
        <f t="shared" si="477"/>
        <v/>
      </c>
      <c r="CT138" s="2873" t="str">
        <f t="shared" si="478"/>
        <v/>
      </c>
      <c r="CU138" s="2873" t="str">
        <f t="shared" ref="CU138:CU140" si="506">IF(AJ138&lt;AK138,CONCATENATE("* El total de Procesados debe ser mayor o igual al total de Reactivos en el grupo de edad ",$AJ$11),"")</f>
        <v/>
      </c>
      <c r="CV138" s="2873" t="str">
        <f t="shared" ref="CV138:CV140" si="507">IF(AL138&lt;AM138,CONCATENATE("* El total de Procesados debe ser mayor o igual al total de Reactivos en el grupo de edad ",$AL$11),"")</f>
        <v/>
      </c>
      <c r="CW138" s="2873" t="str">
        <f t="shared" ref="CW138:CW140" si="508">IF(AN138&lt;AO138,CONCATENATE("* El total de Procesados debe ser mayor o igual al total de Reactivos en el grupo de edad ",$AN$11),"")</f>
        <v/>
      </c>
      <c r="CX138" s="2873" t="str">
        <f t="shared" ref="CX138:CX140" si="509">IF(AP138&lt;AQ138,CONCATENATE("* El total de Procesados debe ser mayor o igual al total de Reactivos en el grupo de edad ",$AP$11),"")</f>
        <v/>
      </c>
      <c r="DE138" s="2718"/>
      <c r="DF138" s="2873">
        <f t="shared" si="483"/>
        <v>0</v>
      </c>
      <c r="DG138" s="3009">
        <f t="shared" si="450"/>
        <v>0</v>
      </c>
      <c r="DH138" s="3009">
        <f t="shared" si="451"/>
        <v>0</v>
      </c>
      <c r="DI138" s="3009">
        <f t="shared" si="452"/>
        <v>0</v>
      </c>
      <c r="DJ138" s="3009">
        <f t="shared" ref="DJ138:DJ140" si="510">IF(D138&lt;E138,1,0)</f>
        <v>0</v>
      </c>
      <c r="DK138" s="3009">
        <f t="shared" ref="DK138:DK140" si="511">IF(F138&lt;G138,1,0)</f>
        <v>0</v>
      </c>
      <c r="DL138" s="3009">
        <f t="shared" ref="DL138:DL140" si="512">IF(H138&lt;I138,1,0)</f>
        <v>0</v>
      </c>
      <c r="DM138" s="3009">
        <f t="shared" ref="DM138:DM140" si="513">IF(J138&lt;K138,1,0)</f>
        <v>0</v>
      </c>
      <c r="DN138" s="3009">
        <f t="shared" ref="DN138:DN140" si="514">IF(L138&lt;M138,1,0)</f>
        <v>0</v>
      </c>
      <c r="DO138" s="3009">
        <f t="shared" ref="DO138:DO140" si="515">IF(N138&lt;O138,1,0)</f>
        <v>0</v>
      </c>
      <c r="DP138" s="3009">
        <f t="shared" si="484"/>
        <v>0</v>
      </c>
      <c r="DQ138" s="3009">
        <f t="shared" si="485"/>
        <v>0</v>
      </c>
      <c r="DR138" s="3009">
        <f t="shared" si="456"/>
        <v>0</v>
      </c>
      <c r="DS138" s="3009">
        <f t="shared" si="486"/>
        <v>0</v>
      </c>
      <c r="DT138" s="3009">
        <f t="shared" si="487"/>
        <v>0</v>
      </c>
      <c r="DU138" s="3009">
        <f t="shared" si="488"/>
        <v>0</v>
      </c>
      <c r="DV138" s="3009">
        <f t="shared" si="489"/>
        <v>0</v>
      </c>
      <c r="DW138" s="3009">
        <f t="shared" si="490"/>
        <v>0</v>
      </c>
      <c r="DX138" s="3009">
        <f t="shared" si="491"/>
        <v>0</v>
      </c>
      <c r="DY138" s="3009">
        <f t="shared" ref="DY138:DY140" si="516">IF(AJ138&lt;AK138,1,0)</f>
        <v>0</v>
      </c>
      <c r="DZ138" s="3009">
        <f t="shared" ref="DZ138:DZ140" si="517">IF(AL138&lt;AM138,1,0)</f>
        <v>0</v>
      </c>
      <c r="EA138" s="3009">
        <f t="shared" ref="EA138:EA140" si="518">IF(AN138&lt;AO138,1,0)</f>
        <v>0</v>
      </c>
      <c r="EB138" s="3009">
        <f t="shared" ref="EB138:EB140" si="519">IF(AP138&lt;AQ138,1,0)</f>
        <v>0</v>
      </c>
    </row>
    <row r="139" spans="1:132" x14ac:dyDescent="0.25">
      <c r="A139" s="3273" t="s">
        <v>2674</v>
      </c>
      <c r="B139" s="2014">
        <f t="shared" si="499"/>
        <v>0</v>
      </c>
      <c r="C139" s="3331">
        <f t="shared" si="499"/>
        <v>0</v>
      </c>
      <c r="D139" s="3572"/>
      <c r="E139" s="5342"/>
      <c r="F139" s="5229"/>
      <c r="G139" s="5342"/>
      <c r="H139" s="5229"/>
      <c r="I139" s="5338"/>
      <c r="J139" s="3572"/>
      <c r="K139" s="3572"/>
      <c r="L139" s="5229"/>
      <c r="M139" s="5338"/>
      <c r="N139" s="3572"/>
      <c r="O139" s="5342"/>
      <c r="P139" s="5229"/>
      <c r="Q139" s="5342"/>
      <c r="R139" s="5229"/>
      <c r="S139" s="5342"/>
      <c r="T139" s="5229"/>
      <c r="U139" s="5342"/>
      <c r="V139" s="5229"/>
      <c r="W139" s="5342"/>
      <c r="X139" s="5229"/>
      <c r="Y139" s="5342"/>
      <c r="Z139" s="5229"/>
      <c r="AA139" s="5342"/>
      <c r="AB139" s="5229"/>
      <c r="AC139" s="5342"/>
      <c r="AD139" s="5229"/>
      <c r="AE139" s="5342"/>
      <c r="AF139" s="5229"/>
      <c r="AG139" s="5342"/>
      <c r="AH139" s="5229"/>
      <c r="AI139" s="5342"/>
      <c r="AJ139" s="5229"/>
      <c r="AK139" s="5342"/>
      <c r="AL139" s="5229"/>
      <c r="AM139" s="5342"/>
      <c r="AN139" s="5229"/>
      <c r="AO139" s="5342"/>
      <c r="AP139" s="5229"/>
      <c r="AQ139" s="5336"/>
      <c r="AR139" s="3572"/>
      <c r="AS139" s="5336"/>
      <c r="AT139" s="5337"/>
      <c r="AU139" s="5336"/>
      <c r="AV139" s="3572"/>
      <c r="AW139" s="5338"/>
      <c r="AX139" s="1755" t="str">
        <f t="shared" si="470"/>
        <v/>
      </c>
      <c r="CA139" s="603"/>
      <c r="CB139" s="2873" t="str">
        <f t="shared" si="471"/>
        <v/>
      </c>
      <c r="CC139" s="2873" t="str">
        <f t="shared" si="432"/>
        <v/>
      </c>
      <c r="CD139" s="2873" t="str">
        <f t="shared" si="433"/>
        <v/>
      </c>
      <c r="CE139" s="2873" t="str">
        <f t="shared" si="434"/>
        <v/>
      </c>
      <c r="CF139" s="2873" t="str">
        <f t="shared" si="500"/>
        <v/>
      </c>
      <c r="CG139" s="2873" t="str">
        <f t="shared" si="501"/>
        <v/>
      </c>
      <c r="CH139" s="2873" t="str">
        <f t="shared" si="502"/>
        <v/>
      </c>
      <c r="CI139" s="2873" t="str">
        <f t="shared" si="503"/>
        <v/>
      </c>
      <c r="CJ139" s="2873" t="str">
        <f t="shared" si="504"/>
        <v/>
      </c>
      <c r="CK139" s="2873" t="str">
        <f t="shared" si="505"/>
        <v/>
      </c>
      <c r="CL139" s="2873" t="str">
        <f t="shared" si="498"/>
        <v/>
      </c>
      <c r="CM139" s="2873" t="str">
        <f t="shared" si="472"/>
        <v/>
      </c>
      <c r="CN139" s="2873" t="str">
        <f t="shared" si="438"/>
        <v/>
      </c>
      <c r="CO139" s="2873" t="str">
        <f t="shared" si="473"/>
        <v/>
      </c>
      <c r="CP139" s="2873" t="str">
        <f t="shared" si="474"/>
        <v/>
      </c>
      <c r="CQ139" s="2873" t="str">
        <f t="shared" si="475"/>
        <v/>
      </c>
      <c r="CR139" s="2873" t="str">
        <f t="shared" si="476"/>
        <v/>
      </c>
      <c r="CS139" s="2873" t="str">
        <f t="shared" si="477"/>
        <v/>
      </c>
      <c r="CT139" s="2873" t="str">
        <f t="shared" si="478"/>
        <v/>
      </c>
      <c r="CU139" s="2873" t="str">
        <f t="shared" si="506"/>
        <v/>
      </c>
      <c r="CV139" s="2873" t="str">
        <f t="shared" si="507"/>
        <v/>
      </c>
      <c r="CW139" s="2873" t="str">
        <f t="shared" si="508"/>
        <v/>
      </c>
      <c r="CX139" s="2873" t="str">
        <f t="shared" si="509"/>
        <v/>
      </c>
      <c r="DE139" s="2718"/>
      <c r="DF139" s="2873">
        <f t="shared" si="483"/>
        <v>0</v>
      </c>
      <c r="DG139" s="3009">
        <f t="shared" si="450"/>
        <v>0</v>
      </c>
      <c r="DH139" s="3009">
        <f t="shared" si="451"/>
        <v>0</v>
      </c>
      <c r="DI139" s="3009">
        <f t="shared" si="452"/>
        <v>0</v>
      </c>
      <c r="DJ139" s="3009">
        <f t="shared" si="510"/>
        <v>0</v>
      </c>
      <c r="DK139" s="3009">
        <f t="shared" si="511"/>
        <v>0</v>
      </c>
      <c r="DL139" s="3009">
        <f t="shared" si="512"/>
        <v>0</v>
      </c>
      <c r="DM139" s="3009">
        <f t="shared" si="513"/>
        <v>0</v>
      </c>
      <c r="DN139" s="3009">
        <f t="shared" si="514"/>
        <v>0</v>
      </c>
      <c r="DO139" s="3009">
        <f t="shared" si="515"/>
        <v>0</v>
      </c>
      <c r="DP139" s="3009">
        <f t="shared" si="484"/>
        <v>0</v>
      </c>
      <c r="DQ139" s="3009">
        <f t="shared" si="485"/>
        <v>0</v>
      </c>
      <c r="DR139" s="3009">
        <f t="shared" si="456"/>
        <v>0</v>
      </c>
      <c r="DS139" s="3009">
        <f t="shared" si="486"/>
        <v>0</v>
      </c>
      <c r="DT139" s="3009">
        <f t="shared" si="487"/>
        <v>0</v>
      </c>
      <c r="DU139" s="3009">
        <f t="shared" si="488"/>
        <v>0</v>
      </c>
      <c r="DV139" s="3009">
        <f t="shared" si="489"/>
        <v>0</v>
      </c>
      <c r="DW139" s="3009">
        <f t="shared" si="490"/>
        <v>0</v>
      </c>
      <c r="DX139" s="3009">
        <f t="shared" si="491"/>
        <v>0</v>
      </c>
      <c r="DY139" s="3009">
        <f t="shared" si="516"/>
        <v>0</v>
      </c>
      <c r="DZ139" s="3009">
        <f t="shared" si="517"/>
        <v>0</v>
      </c>
      <c r="EA139" s="3009">
        <f t="shared" si="518"/>
        <v>0</v>
      </c>
      <c r="EB139" s="3009">
        <f t="shared" si="519"/>
        <v>0</v>
      </c>
    </row>
    <row r="140" spans="1:132" x14ac:dyDescent="0.25">
      <c r="A140" s="5351" t="s">
        <v>2675</v>
      </c>
      <c r="B140" s="5298">
        <f t="shared" si="499"/>
        <v>0</v>
      </c>
      <c r="C140" s="5299">
        <f t="shared" si="499"/>
        <v>0</v>
      </c>
      <c r="D140" s="288"/>
      <c r="E140" s="3585"/>
      <c r="F140" s="3586"/>
      <c r="G140" s="3585"/>
      <c r="H140" s="3586"/>
      <c r="I140" s="3587"/>
      <c r="J140" s="288"/>
      <c r="K140" s="288"/>
      <c r="L140" s="3586"/>
      <c r="M140" s="3587"/>
      <c r="N140" s="288"/>
      <c r="O140" s="3585"/>
      <c r="P140" s="3586"/>
      <c r="Q140" s="3585"/>
      <c r="R140" s="3586"/>
      <c r="S140" s="3585"/>
      <c r="T140" s="3586"/>
      <c r="U140" s="3585"/>
      <c r="V140" s="3586"/>
      <c r="W140" s="3585"/>
      <c r="X140" s="3586"/>
      <c r="Y140" s="3585"/>
      <c r="Z140" s="3586"/>
      <c r="AA140" s="3585"/>
      <c r="AB140" s="3586"/>
      <c r="AC140" s="3585"/>
      <c r="AD140" s="3586"/>
      <c r="AE140" s="3585"/>
      <c r="AF140" s="3586"/>
      <c r="AG140" s="3585"/>
      <c r="AH140" s="3586"/>
      <c r="AI140" s="3585"/>
      <c r="AJ140" s="3586"/>
      <c r="AK140" s="3585"/>
      <c r="AL140" s="3586"/>
      <c r="AM140" s="3585"/>
      <c r="AN140" s="3586"/>
      <c r="AO140" s="3585"/>
      <c r="AP140" s="3586"/>
      <c r="AQ140" s="3588"/>
      <c r="AR140" s="288"/>
      <c r="AS140" s="3588"/>
      <c r="AT140" s="3589"/>
      <c r="AU140" s="3588"/>
      <c r="AV140" s="288"/>
      <c r="AW140" s="3587"/>
      <c r="AX140" s="1755" t="str">
        <f t="shared" si="470"/>
        <v/>
      </c>
      <c r="CA140" s="603"/>
      <c r="CB140" s="2873" t="str">
        <f t="shared" si="471"/>
        <v/>
      </c>
      <c r="CC140" s="2873" t="str">
        <f t="shared" si="432"/>
        <v/>
      </c>
      <c r="CD140" s="2873" t="str">
        <f t="shared" si="433"/>
        <v/>
      </c>
      <c r="CE140" s="2873" t="str">
        <f t="shared" si="434"/>
        <v/>
      </c>
      <c r="CF140" s="2873" t="str">
        <f t="shared" si="500"/>
        <v/>
      </c>
      <c r="CG140" s="2873" t="str">
        <f t="shared" si="501"/>
        <v/>
      </c>
      <c r="CH140" s="2873" t="str">
        <f t="shared" si="502"/>
        <v/>
      </c>
      <c r="CI140" s="2873" t="str">
        <f t="shared" si="503"/>
        <v/>
      </c>
      <c r="CJ140" s="2873" t="str">
        <f t="shared" si="504"/>
        <v/>
      </c>
      <c r="CK140" s="2873" t="str">
        <f t="shared" si="505"/>
        <v/>
      </c>
      <c r="CL140" s="2873" t="str">
        <f t="shared" si="498"/>
        <v/>
      </c>
      <c r="CM140" s="2873" t="str">
        <f t="shared" si="472"/>
        <v/>
      </c>
      <c r="CN140" s="2873" t="str">
        <f t="shared" si="438"/>
        <v/>
      </c>
      <c r="CO140" s="2873" t="str">
        <f t="shared" si="473"/>
        <v/>
      </c>
      <c r="CP140" s="2873" t="str">
        <f t="shared" si="474"/>
        <v/>
      </c>
      <c r="CQ140" s="2873" t="str">
        <f t="shared" si="475"/>
        <v/>
      </c>
      <c r="CR140" s="2873" t="str">
        <f t="shared" si="476"/>
        <v/>
      </c>
      <c r="CS140" s="2873" t="str">
        <f t="shared" si="477"/>
        <v/>
      </c>
      <c r="CT140" s="2873" t="str">
        <f t="shared" si="478"/>
        <v/>
      </c>
      <c r="CU140" s="2873" t="str">
        <f t="shared" si="506"/>
        <v/>
      </c>
      <c r="CV140" s="2873" t="str">
        <f t="shared" si="507"/>
        <v/>
      </c>
      <c r="CW140" s="2873" t="str">
        <f t="shared" si="508"/>
        <v/>
      </c>
      <c r="CX140" s="2873" t="str">
        <f t="shared" si="509"/>
        <v/>
      </c>
      <c r="DE140" s="2718"/>
      <c r="DF140" s="2873">
        <f t="shared" si="483"/>
        <v>0</v>
      </c>
      <c r="DG140" s="3009">
        <f t="shared" si="450"/>
        <v>0</v>
      </c>
      <c r="DH140" s="3009">
        <f t="shared" si="451"/>
        <v>0</v>
      </c>
      <c r="DI140" s="3009">
        <f t="shared" si="452"/>
        <v>0</v>
      </c>
      <c r="DJ140" s="3009">
        <f t="shared" si="510"/>
        <v>0</v>
      </c>
      <c r="DK140" s="3009">
        <f t="shared" si="511"/>
        <v>0</v>
      </c>
      <c r="DL140" s="3009">
        <f t="shared" si="512"/>
        <v>0</v>
      </c>
      <c r="DM140" s="3009">
        <f t="shared" si="513"/>
        <v>0</v>
      </c>
      <c r="DN140" s="3009">
        <f t="shared" si="514"/>
        <v>0</v>
      </c>
      <c r="DO140" s="3009">
        <f t="shared" si="515"/>
        <v>0</v>
      </c>
      <c r="DP140" s="3009">
        <f t="shared" si="484"/>
        <v>0</v>
      </c>
      <c r="DQ140" s="3009">
        <f t="shared" si="485"/>
        <v>0</v>
      </c>
      <c r="DR140" s="3009">
        <f t="shared" si="456"/>
        <v>0</v>
      </c>
      <c r="DS140" s="3009">
        <f t="shared" si="486"/>
        <v>0</v>
      </c>
      <c r="DT140" s="3009">
        <f t="shared" si="487"/>
        <v>0</v>
      </c>
      <c r="DU140" s="3009">
        <f t="shared" si="488"/>
        <v>0</v>
      </c>
      <c r="DV140" s="3009">
        <f t="shared" si="489"/>
        <v>0</v>
      </c>
      <c r="DW140" s="3009">
        <f t="shared" si="490"/>
        <v>0</v>
      </c>
      <c r="DX140" s="3009">
        <f t="shared" si="491"/>
        <v>0</v>
      </c>
      <c r="DY140" s="3009">
        <f t="shared" si="516"/>
        <v>0</v>
      </c>
      <c r="DZ140" s="3009">
        <f t="shared" si="517"/>
        <v>0</v>
      </c>
      <c r="EA140" s="3009">
        <f t="shared" si="518"/>
        <v>0</v>
      </c>
      <c r="EB140" s="3009">
        <f t="shared" si="519"/>
        <v>0</v>
      </c>
    </row>
    <row r="141" spans="1:132" ht="18" customHeight="1" x14ac:dyDescent="0.25">
      <c r="A141" s="7739" t="s">
        <v>2681</v>
      </c>
      <c r="B141" s="7739"/>
      <c r="C141" s="7739"/>
      <c r="D141" s="7739"/>
      <c r="E141" s="7739"/>
      <c r="F141" s="7739"/>
      <c r="G141" s="7739"/>
      <c r="H141" s="7739"/>
      <c r="I141" s="7739"/>
      <c r="J141" s="7739"/>
      <c r="K141" s="7739"/>
      <c r="L141" s="7739"/>
      <c r="M141" s="7739"/>
      <c r="N141" s="7739"/>
      <c r="O141" s="7739"/>
      <c r="P141" s="7739"/>
    </row>
    <row r="142" spans="1:132" x14ac:dyDescent="0.25">
      <c r="A142" s="7726" t="s">
        <v>2682</v>
      </c>
      <c r="B142" s="7672"/>
      <c r="C142" s="7740" t="s">
        <v>2683</v>
      </c>
      <c r="D142" s="7741"/>
      <c r="E142" s="7742"/>
      <c r="F142" s="7738" t="s">
        <v>2684</v>
      </c>
      <c r="G142" s="7738"/>
      <c r="H142" s="7738"/>
      <c r="I142" s="7738" t="s">
        <v>2685</v>
      </c>
      <c r="J142" s="7738"/>
      <c r="K142" s="7738"/>
      <c r="L142" s="7738" t="s">
        <v>2686</v>
      </c>
      <c r="M142" s="7738"/>
      <c r="N142" s="7738"/>
      <c r="O142" s="7683" t="s">
        <v>14</v>
      </c>
      <c r="P142" s="7682"/>
    </row>
    <row r="143" spans="1:132" x14ac:dyDescent="0.25">
      <c r="A143" s="7727"/>
      <c r="B143" s="7287"/>
      <c r="C143" s="5324" t="s">
        <v>2656</v>
      </c>
      <c r="D143" s="5325" t="s">
        <v>2657</v>
      </c>
      <c r="E143" s="5353" t="s">
        <v>2687</v>
      </c>
      <c r="F143" s="5324" t="s">
        <v>2656</v>
      </c>
      <c r="G143" s="5325" t="s">
        <v>2657</v>
      </c>
      <c r="H143" s="5353" t="s">
        <v>2687</v>
      </c>
      <c r="I143" s="5324" t="s">
        <v>2656</v>
      </c>
      <c r="J143" s="5325" t="s">
        <v>2657</v>
      </c>
      <c r="K143" s="5353" t="s">
        <v>2687</v>
      </c>
      <c r="L143" s="5324" t="s">
        <v>2656</v>
      </c>
      <c r="M143" s="5325" t="s">
        <v>2657</v>
      </c>
      <c r="N143" s="5353" t="s">
        <v>2687</v>
      </c>
      <c r="O143" s="5324" t="s">
        <v>2656</v>
      </c>
      <c r="P143" s="5326" t="s">
        <v>2657</v>
      </c>
    </row>
    <row r="144" spans="1:132" x14ac:dyDescent="0.25">
      <c r="A144" s="7734" t="s">
        <v>2688</v>
      </c>
      <c r="B144" s="7735"/>
      <c r="C144" s="5354"/>
      <c r="D144" s="5355"/>
      <c r="E144" s="3592"/>
      <c r="F144" s="5354"/>
      <c r="G144" s="5355"/>
      <c r="H144" s="3592"/>
      <c r="I144" s="5354"/>
      <c r="J144" s="5355"/>
      <c r="K144" s="3592"/>
      <c r="L144" s="5354"/>
      <c r="M144" s="5355"/>
      <c r="N144" s="3592"/>
      <c r="O144" s="5354"/>
      <c r="P144" s="5356"/>
      <c r="Q144" s="1755" t="str">
        <f>$CA144&amp;CB144&amp;$CC144&amp;CD144&amp;$CE144&amp;CF144&amp;$CG144&amp;CH144&amp;$CI144</f>
        <v/>
      </c>
      <c r="R144" s="1755"/>
      <c r="S144" s="1755"/>
      <c r="T144" s="1755"/>
      <c r="U144" s="1755"/>
      <c r="V144" s="1755"/>
      <c r="W144" s="1755"/>
      <c r="X144" s="1755"/>
      <c r="Y144" s="1755"/>
      <c r="Z144" s="1755"/>
      <c r="AA144" s="1755"/>
      <c r="AB144" s="1755"/>
      <c r="AC144" s="3288"/>
      <c r="AD144" s="3288"/>
      <c r="AE144" s="602"/>
      <c r="AF144" s="602"/>
      <c r="AG144" s="602"/>
      <c r="AH144" s="602"/>
      <c r="AI144" s="602"/>
      <c r="AJ144" s="602"/>
      <c r="AK144" s="602"/>
      <c r="AL144" s="602"/>
      <c r="AM144" s="602"/>
      <c r="AN144" s="602"/>
      <c r="AO144" s="602"/>
      <c r="AP144" s="602"/>
      <c r="AQ144" s="602"/>
      <c r="AR144" s="602"/>
      <c r="AS144" s="602"/>
      <c r="AT144" s="602"/>
      <c r="AU144" s="602"/>
      <c r="AV144" s="602"/>
      <c r="AW144" s="602"/>
      <c r="AX144" s="3288"/>
      <c r="AY144" s="3288"/>
      <c r="AZ144" s="3288"/>
      <c r="BA144" s="3288"/>
      <c r="BB144" s="3288"/>
      <c r="BC144" s="3288"/>
      <c r="BD144" s="3288"/>
      <c r="BE144" s="3288"/>
      <c r="BF144" s="3288"/>
      <c r="BG144" s="3288"/>
      <c r="BH144" s="3288"/>
      <c r="BI144" s="3288"/>
      <c r="BJ144" s="3288"/>
      <c r="BK144" s="3288"/>
      <c r="BL144" s="3288"/>
      <c r="BM144" s="3288"/>
      <c r="BN144" s="602"/>
      <c r="BO144" s="602"/>
      <c r="BP144" s="602"/>
      <c r="BQ144" s="602"/>
      <c r="BR144" s="602"/>
      <c r="BS144" s="602"/>
      <c r="BT144" s="602"/>
      <c r="BU144" s="602"/>
      <c r="BV144" s="3288"/>
      <c r="BW144" s="3288"/>
      <c r="BX144" s="3289"/>
      <c r="BY144" s="3289"/>
      <c r="BZ144" s="3289"/>
      <c r="CA144" s="2873" t="str">
        <f>IF(C144&gt;=D144,"","* Los Exámenes Reactivos de Hepatitis B NO DEBEN ser mayor a los Exámenes Procesados. ")</f>
        <v/>
      </c>
      <c r="CB144" s="2873" t="str">
        <f>IF(C144&gt;=E144,"","* Los Exámenes Confirmados de Hepatitis B NO DEBEN ser mayor a los exámenes Procesados. ")</f>
        <v/>
      </c>
      <c r="CC144" s="2873" t="str">
        <f>IF(F144&gt;=G144,"","* Los Exámenes Reactivos de Hepatitis C NO DEBEN ser mayor a los Exámenes Procesados. ")</f>
        <v/>
      </c>
      <c r="CD144" s="2873" t="str">
        <f>IF(F144&gt;=H144,"","* Los Exámenes Confirmados de Hepatitis C NO DEBEN ser mayor a los Exámenes Procesados. ")</f>
        <v/>
      </c>
      <c r="CE144" s="2873" t="str">
        <f>IF(I144&gt;=J144,"","* Los Exámenes Reactivos de CHAGAS NO DEBEN ser mayor a los Exámenes Procesados. ")</f>
        <v/>
      </c>
      <c r="CF144" s="2873" t="str">
        <f>IF(I144&gt;=K144,"","* Los Exámenes Confirmados de CHAGAS NO DEBEN ser mayor a los Exámenes Procesados. ")</f>
        <v/>
      </c>
      <c r="CG144" s="2873" t="str">
        <f>IF(L144&gt;=M144,"","* Los Exámenes Reactivos de HTLV1 NO DEBEN ser mayor a los Exámenes Procesados. ")</f>
        <v/>
      </c>
      <c r="CH144" s="2873" t="str">
        <f>IF(L144&gt;=N144,"","* Los Exámenes Confirmados de HTLV1 NO DEBEN ser mayor a los Exámenes Procesados. ")</f>
        <v/>
      </c>
      <c r="CI144" s="2873" t="str">
        <f>IF(O144&gt;=P144,"","* Los exámenes Reactivos de SIFILIS NO DEBEN ser mayor a los exámenes Procesados. ")</f>
        <v/>
      </c>
      <c r="CJ144" s="3290"/>
      <c r="DE144" s="3009">
        <f>IF(C144&gt;=D144,0,1)</f>
        <v>0</v>
      </c>
      <c r="DF144" s="3009">
        <f>IF(E144&gt;C144,1,0)</f>
        <v>0</v>
      </c>
      <c r="DG144" s="3009">
        <f>IF(F144&gt;=G144,0,1)</f>
        <v>0</v>
      </c>
      <c r="DH144" s="3009">
        <f>IF(F144&gt;=H144,0,1)</f>
        <v>0</v>
      </c>
      <c r="DI144" s="3009">
        <f>IF(I144&gt;=J144,0,1)</f>
        <v>0</v>
      </c>
      <c r="DJ144" s="3009">
        <f>IF(I144&gt;=K144,0,1)</f>
        <v>0</v>
      </c>
      <c r="DK144" s="3009">
        <f>IF(L144&gt;=M144,0,1)</f>
        <v>0</v>
      </c>
      <c r="DL144" s="3009">
        <f>IF(L144&gt;=N144,0,1)</f>
        <v>0</v>
      </c>
      <c r="DM144" s="3009">
        <f>IF(O144&gt;=P144,0,1)</f>
        <v>0</v>
      </c>
    </row>
    <row r="145" spans="1:117" x14ac:dyDescent="0.25">
      <c r="A145" s="7716" t="s">
        <v>545</v>
      </c>
      <c r="B145" s="5357" t="s">
        <v>2689</v>
      </c>
      <c r="C145" s="5358"/>
      <c r="D145" s="5359"/>
      <c r="E145" s="5360"/>
      <c r="F145" s="5358"/>
      <c r="G145" s="5359"/>
      <c r="H145" s="5360"/>
      <c r="I145" s="5358"/>
      <c r="J145" s="5359"/>
      <c r="K145" s="5360"/>
      <c r="L145" s="5358"/>
      <c r="M145" s="5359"/>
      <c r="N145" s="5360"/>
      <c r="O145" s="5358"/>
      <c r="P145" s="5361"/>
      <c r="Q145" s="1755" t="str">
        <f t="shared" ref="Q145:Q148" si="520">$CA145&amp;CB145&amp;$CC145&amp;CD145&amp;$CE145&amp;CF145&amp;$CG145&amp;CH145&amp;$CI145</f>
        <v/>
      </c>
      <c r="R145" s="1755"/>
      <c r="S145" s="1755"/>
      <c r="T145" s="1755"/>
      <c r="U145" s="1755"/>
      <c r="V145" s="1755"/>
      <c r="W145" s="1755"/>
      <c r="X145" s="1755"/>
      <c r="Y145" s="1755"/>
      <c r="Z145" s="1755"/>
      <c r="AA145" s="1755"/>
      <c r="AB145" s="1755"/>
      <c r="AC145" s="3288"/>
      <c r="AD145" s="3288"/>
      <c r="AE145" s="602"/>
      <c r="AF145" s="602"/>
      <c r="AG145" s="602"/>
      <c r="AH145" s="602"/>
      <c r="AI145" s="602"/>
      <c r="AJ145" s="602"/>
      <c r="AK145" s="602"/>
      <c r="AL145" s="602"/>
      <c r="AM145" s="602"/>
      <c r="AN145" s="602"/>
      <c r="AO145" s="602"/>
      <c r="AP145" s="602"/>
      <c r="AQ145" s="602"/>
      <c r="AR145" s="602"/>
      <c r="AS145" s="602"/>
      <c r="AT145" s="602"/>
      <c r="AU145" s="602"/>
      <c r="AV145" s="602"/>
      <c r="AW145" s="602"/>
      <c r="AX145" s="3288"/>
      <c r="AY145" s="3288"/>
      <c r="AZ145" s="3288"/>
      <c r="BA145" s="3288"/>
      <c r="BB145" s="3288"/>
      <c r="BC145" s="3288"/>
      <c r="BD145" s="3288"/>
      <c r="BE145" s="3288"/>
      <c r="BF145" s="3288"/>
      <c r="BG145" s="3288"/>
      <c r="BH145" s="3288"/>
      <c r="BI145" s="3288"/>
      <c r="BJ145" s="3288"/>
      <c r="BK145" s="3288"/>
      <c r="BL145" s="3288"/>
      <c r="BM145" s="3288"/>
      <c r="BN145" s="602"/>
      <c r="BO145" s="602"/>
      <c r="BP145" s="602"/>
      <c r="BQ145" s="602"/>
      <c r="BR145" s="602"/>
      <c r="BS145" s="602"/>
      <c r="BT145" s="602"/>
      <c r="BU145" s="602"/>
      <c r="BV145" s="3288"/>
      <c r="BW145" s="3288"/>
      <c r="BX145" s="3289"/>
      <c r="BY145" s="3289"/>
      <c r="BZ145" s="3289"/>
      <c r="CA145" s="2873" t="str">
        <f t="shared" ref="CA145:CA148" si="521">IF(C145&gt;=D145,"","* Los Exámenes Reactivos de Hepatitis B NO DEBEN ser mayor a los Exámenes Procesados. ")</f>
        <v/>
      </c>
      <c r="CB145" s="2873" t="str">
        <f t="shared" ref="CB145:CB148" si="522">IF(C145&gt;=E145,"","* Los Exámenes Confirmados de Hepatitis B NO DEBEN ser mayor a los exámenes Procesados. ")</f>
        <v/>
      </c>
      <c r="CC145" s="2873" t="str">
        <f t="shared" ref="CC145:CC148" si="523">IF(F145&gt;=G145,"","* Los Exámenes Reactivos de Hepatitis C NO DEBEN ser mayor a los Exámenes Procesados. ")</f>
        <v/>
      </c>
      <c r="CD145" s="2873" t="str">
        <f t="shared" ref="CD145:CD148" si="524">IF(F145&gt;=H145,"","* Los Exámenes Confirmados de Hepatitis C NO DEBEN ser mayor a los Exámenes Procesados. ")</f>
        <v/>
      </c>
      <c r="CE145" s="2873" t="str">
        <f t="shared" ref="CE145:CE148" si="525">IF(I145&gt;=J145,"","* Los Exámenes Reactivos de CHAGAS NO DEBEN ser mayor a los Exámenes Procesados. ")</f>
        <v/>
      </c>
      <c r="CF145" s="2873" t="str">
        <f t="shared" ref="CF145:CF148" si="526">IF(I145&gt;=K145,"","* Los Exámenes Confirmados de CHAGAS NO DEBEN ser mayor a los Exámenes Procesados. ")</f>
        <v/>
      </c>
      <c r="CG145" s="2873" t="str">
        <f t="shared" ref="CG145:CG148" si="527">IF(L145&gt;=M145,"","* Los Exámenes Reactivos de HTLV1 NO DEBEN ser mayor a los Exámenes Procesados. ")</f>
        <v/>
      </c>
      <c r="CH145" s="2873" t="str">
        <f t="shared" ref="CH145:CH148" si="528">IF(L145&gt;=N145,"","* Los Exámenes Confirmados de HTLV1 NO DEBEN ser mayor a los Exámenes Procesados. ")</f>
        <v/>
      </c>
      <c r="CI145" s="2873" t="str">
        <f t="shared" ref="CI145:CI148" si="529">IF(O145&gt;=P145,"","* Los exámenes Reactivos de SIFILIS NO DEBEN ser mayor a los exámenes Procesados. ")</f>
        <v/>
      </c>
      <c r="CJ145" s="3290"/>
      <c r="DE145" s="3009">
        <f>IF(C145&gt;=D145,0,1)</f>
        <v>0</v>
      </c>
      <c r="DF145" s="3009">
        <f t="shared" ref="DF145:DF148" si="530">IF(E145&gt;C145,1,0)</f>
        <v>0</v>
      </c>
      <c r="DG145" s="3009">
        <f>IF(F145&gt;=G145,0,1)</f>
        <v>0</v>
      </c>
      <c r="DH145" s="3009">
        <f>IF(F145&gt;=H145,0,1)</f>
        <v>0</v>
      </c>
      <c r="DI145" s="3009">
        <f>IF(I145&gt;=J145,0,1)</f>
        <v>0</v>
      </c>
      <c r="DJ145" s="3009">
        <f>IF(I145&gt;=K145,0,1)</f>
        <v>0</v>
      </c>
      <c r="DK145" s="3009">
        <f>IF(L145&gt;=M145,0,1)</f>
        <v>0</v>
      </c>
      <c r="DL145" s="3009">
        <f>IF(L145&gt;=N145,0,1)</f>
        <v>0</v>
      </c>
      <c r="DM145" s="3009">
        <f>IF(O145&gt;=P145,0,1)</f>
        <v>0</v>
      </c>
    </row>
    <row r="146" spans="1:117" x14ac:dyDescent="0.25">
      <c r="A146" s="6505"/>
      <c r="B146" s="3328" t="s">
        <v>2690</v>
      </c>
      <c r="C146" s="276"/>
      <c r="D146" s="5334"/>
      <c r="E146" s="4659"/>
      <c r="F146" s="276"/>
      <c r="G146" s="5334"/>
      <c r="H146" s="4659"/>
      <c r="I146" s="276"/>
      <c r="J146" s="5334"/>
      <c r="K146" s="4659"/>
      <c r="L146" s="276"/>
      <c r="M146" s="5334"/>
      <c r="N146" s="4659"/>
      <c r="O146" s="276"/>
      <c r="P146" s="5362"/>
      <c r="Q146" s="1755" t="str">
        <f t="shared" si="520"/>
        <v/>
      </c>
      <c r="R146" s="1755"/>
      <c r="S146" s="1755"/>
      <c r="T146" s="1755"/>
      <c r="U146" s="1755"/>
      <c r="V146" s="1755"/>
      <c r="W146" s="1755"/>
      <c r="X146" s="1755"/>
      <c r="Y146" s="1755"/>
      <c r="Z146" s="1755"/>
      <c r="AA146" s="1755"/>
      <c r="AB146" s="1755"/>
      <c r="AC146" s="3288"/>
      <c r="AD146" s="3288"/>
      <c r="AE146" s="602"/>
      <c r="AF146" s="602"/>
      <c r="AG146" s="602"/>
      <c r="AH146" s="602"/>
      <c r="AI146" s="602"/>
      <c r="AJ146" s="602"/>
      <c r="AK146" s="602"/>
      <c r="AL146" s="602"/>
      <c r="AM146" s="602"/>
      <c r="AN146" s="602"/>
      <c r="AO146" s="602"/>
      <c r="AP146" s="602"/>
      <c r="AQ146" s="602"/>
      <c r="AR146" s="602"/>
      <c r="AS146" s="602"/>
      <c r="AT146" s="602"/>
      <c r="AU146" s="602"/>
      <c r="AV146" s="602"/>
      <c r="AW146" s="602"/>
      <c r="AX146" s="3288"/>
      <c r="AY146" s="3288"/>
      <c r="AZ146" s="3288"/>
      <c r="BA146" s="3288"/>
      <c r="BB146" s="3288"/>
      <c r="BC146" s="3288"/>
      <c r="BD146" s="3288"/>
      <c r="BE146" s="3288"/>
      <c r="BF146" s="3288"/>
      <c r="BG146" s="3288"/>
      <c r="BH146" s="3288"/>
      <c r="BI146" s="3288"/>
      <c r="BJ146" s="3288"/>
      <c r="BK146" s="3288"/>
      <c r="BL146" s="3288"/>
      <c r="BM146" s="3288"/>
      <c r="BN146" s="602"/>
      <c r="BO146" s="602"/>
      <c r="BP146" s="602"/>
      <c r="BQ146" s="602"/>
      <c r="BR146" s="602"/>
      <c r="BS146" s="602"/>
      <c r="BT146" s="602"/>
      <c r="BU146" s="602"/>
      <c r="BV146" s="3288"/>
      <c r="BW146" s="3288"/>
      <c r="BX146" s="3289"/>
      <c r="BY146" s="3289"/>
      <c r="BZ146" s="3289"/>
      <c r="CA146" s="2873" t="str">
        <f t="shared" si="521"/>
        <v/>
      </c>
      <c r="CB146" s="2873" t="str">
        <f t="shared" si="522"/>
        <v/>
      </c>
      <c r="CC146" s="2873" t="str">
        <f t="shared" si="523"/>
        <v/>
      </c>
      <c r="CD146" s="2873" t="str">
        <f t="shared" si="524"/>
        <v/>
      </c>
      <c r="CE146" s="2873" t="str">
        <f t="shared" si="525"/>
        <v/>
      </c>
      <c r="CF146" s="2873" t="str">
        <f t="shared" si="526"/>
        <v/>
      </c>
      <c r="CG146" s="2873" t="str">
        <f t="shared" si="527"/>
        <v/>
      </c>
      <c r="CH146" s="2873" t="str">
        <f t="shared" si="528"/>
        <v/>
      </c>
      <c r="CI146" s="2873" t="str">
        <f t="shared" si="529"/>
        <v/>
      </c>
      <c r="CJ146" s="3290"/>
      <c r="DE146" s="3009">
        <f>IF(C146&gt;=D146,0,1)</f>
        <v>0</v>
      </c>
      <c r="DF146" s="3009">
        <f t="shared" si="530"/>
        <v>0</v>
      </c>
      <c r="DG146" s="3009">
        <f>IF(F146&gt;=G146,0,1)</f>
        <v>0</v>
      </c>
      <c r="DH146" s="3009">
        <f>IF(F146&gt;=H146,0,1)</f>
        <v>0</v>
      </c>
      <c r="DI146" s="3009">
        <f>IF(I146&gt;=J146,0,1)</f>
        <v>0</v>
      </c>
      <c r="DJ146" s="3009">
        <f>IF(I146&gt;=K146,0,1)</f>
        <v>0</v>
      </c>
      <c r="DK146" s="3009">
        <f>IF(L146&gt;=M146,0,1)</f>
        <v>0</v>
      </c>
      <c r="DL146" s="3009">
        <f>IF(L146&gt;=N146,0,1)</f>
        <v>0</v>
      </c>
      <c r="DM146" s="3009">
        <f>IF(O146&gt;=P146,0,1)</f>
        <v>0</v>
      </c>
    </row>
    <row r="147" spans="1:117" x14ac:dyDescent="0.25">
      <c r="A147" s="6607"/>
      <c r="B147" s="5363" t="s">
        <v>2691</v>
      </c>
      <c r="C147" s="5364"/>
      <c r="D147" s="3600"/>
      <c r="E147" s="5365"/>
      <c r="F147" s="5364"/>
      <c r="G147" s="3600"/>
      <c r="H147" s="5365"/>
      <c r="I147" s="5364"/>
      <c r="J147" s="3600"/>
      <c r="K147" s="5365"/>
      <c r="L147" s="5364"/>
      <c r="M147" s="3600"/>
      <c r="N147" s="5365"/>
      <c r="O147" s="5364"/>
      <c r="P147" s="5366"/>
      <c r="Q147" s="1755" t="str">
        <f t="shared" si="520"/>
        <v/>
      </c>
      <c r="R147" s="1755"/>
      <c r="S147" s="1755"/>
      <c r="T147" s="1755"/>
      <c r="U147" s="1755"/>
      <c r="V147" s="1755"/>
      <c r="W147" s="1755"/>
      <c r="X147" s="1755"/>
      <c r="Y147" s="1755"/>
      <c r="Z147" s="1755"/>
      <c r="AA147" s="1755"/>
      <c r="AB147" s="1755"/>
      <c r="AC147" s="3288"/>
      <c r="AD147" s="3288"/>
      <c r="AE147" s="602"/>
      <c r="AF147" s="602"/>
      <c r="AG147" s="602"/>
      <c r="AH147" s="602"/>
      <c r="AI147" s="602"/>
      <c r="AJ147" s="602"/>
      <c r="AK147" s="602"/>
      <c r="AL147" s="602"/>
      <c r="AM147" s="602"/>
      <c r="AN147" s="602"/>
      <c r="AO147" s="602"/>
      <c r="AP147" s="602"/>
      <c r="AQ147" s="602"/>
      <c r="AR147" s="602"/>
      <c r="AS147" s="602"/>
      <c r="AT147" s="602"/>
      <c r="AU147" s="602"/>
      <c r="AV147" s="602"/>
      <c r="AW147" s="602"/>
      <c r="AX147" s="3288"/>
      <c r="AY147" s="3288"/>
      <c r="AZ147" s="3288"/>
      <c r="BA147" s="3288"/>
      <c r="BB147" s="3288"/>
      <c r="BC147" s="3288"/>
      <c r="BD147" s="3288"/>
      <c r="BE147" s="3288"/>
      <c r="BF147" s="3288"/>
      <c r="BG147" s="3288"/>
      <c r="BH147" s="3288"/>
      <c r="BI147" s="3288"/>
      <c r="BJ147" s="3288"/>
      <c r="BK147" s="3288"/>
      <c r="BL147" s="3288"/>
      <c r="BM147" s="3288"/>
      <c r="BN147" s="602"/>
      <c r="BO147" s="602"/>
      <c r="BP147" s="602"/>
      <c r="BQ147" s="602"/>
      <c r="BR147" s="602"/>
      <c r="BS147" s="602"/>
      <c r="BT147" s="602"/>
      <c r="BU147" s="602"/>
      <c r="BV147" s="3288"/>
      <c r="BW147" s="3288"/>
      <c r="BX147" s="3289"/>
      <c r="BY147" s="3289"/>
      <c r="BZ147" s="3289"/>
      <c r="CA147" s="2873" t="str">
        <f t="shared" si="521"/>
        <v/>
      </c>
      <c r="CB147" s="2873" t="str">
        <f t="shared" si="522"/>
        <v/>
      </c>
      <c r="CC147" s="2873" t="str">
        <f t="shared" si="523"/>
        <v/>
      </c>
      <c r="CD147" s="2873" t="str">
        <f t="shared" si="524"/>
        <v/>
      </c>
      <c r="CE147" s="2873" t="str">
        <f t="shared" si="525"/>
        <v/>
      </c>
      <c r="CF147" s="2873" t="str">
        <f t="shared" si="526"/>
        <v/>
      </c>
      <c r="CG147" s="2873" t="str">
        <f t="shared" si="527"/>
        <v/>
      </c>
      <c r="CH147" s="2873" t="str">
        <f t="shared" si="528"/>
        <v/>
      </c>
      <c r="CI147" s="2873" t="str">
        <f t="shared" si="529"/>
        <v/>
      </c>
      <c r="CJ147" s="3290"/>
      <c r="DE147" s="3009">
        <f>IF(C147&gt;=D147,0,1)</f>
        <v>0</v>
      </c>
      <c r="DF147" s="3009">
        <f t="shared" si="530"/>
        <v>0</v>
      </c>
      <c r="DG147" s="3009">
        <f>IF(F147&gt;=G147,0,1)</f>
        <v>0</v>
      </c>
      <c r="DH147" s="3009">
        <f>IF(F147&gt;=H147,0,1)</f>
        <v>0</v>
      </c>
      <c r="DI147" s="3009">
        <f>IF(I147&gt;=J147,0,1)</f>
        <v>0</v>
      </c>
      <c r="DJ147" s="3009">
        <f>IF(I147&gt;=K147,0,1)</f>
        <v>0</v>
      </c>
      <c r="DK147" s="3009">
        <f>IF(L147&gt;=M147,0,1)</f>
        <v>0</v>
      </c>
      <c r="DL147" s="3009">
        <f>IF(L147&gt;=N147,0,1)</f>
        <v>0</v>
      </c>
      <c r="DM147" s="3009">
        <f>IF(O147&gt;=P147,0,1)</f>
        <v>0</v>
      </c>
    </row>
    <row r="148" spans="1:117" x14ac:dyDescent="0.25">
      <c r="A148" s="7736" t="s">
        <v>2692</v>
      </c>
      <c r="B148" s="7737"/>
      <c r="C148" s="5364"/>
      <c r="D148" s="3600"/>
      <c r="E148" s="5365"/>
      <c r="F148" s="5364"/>
      <c r="G148" s="3600"/>
      <c r="H148" s="5365"/>
      <c r="I148" s="5364"/>
      <c r="J148" s="3600"/>
      <c r="K148" s="5365"/>
      <c r="L148" s="5364"/>
      <c r="M148" s="3600"/>
      <c r="N148" s="5365"/>
      <c r="O148" s="5364"/>
      <c r="P148" s="5366"/>
      <c r="Q148" s="1755" t="str">
        <f t="shared" si="520"/>
        <v/>
      </c>
      <c r="R148" s="1755"/>
      <c r="S148" s="1755"/>
      <c r="T148" s="1755"/>
      <c r="U148" s="1755"/>
      <c r="V148" s="1755"/>
      <c r="W148" s="1755"/>
      <c r="X148" s="1755"/>
      <c r="Y148" s="1755"/>
      <c r="Z148" s="1755"/>
      <c r="AA148" s="1755"/>
      <c r="AB148" s="1755"/>
      <c r="AC148" s="3288"/>
      <c r="AD148" s="3288"/>
      <c r="AE148" s="602"/>
      <c r="AF148" s="602"/>
      <c r="AG148" s="602"/>
      <c r="AH148" s="602"/>
      <c r="AI148" s="602"/>
      <c r="AJ148" s="602"/>
      <c r="AK148" s="602"/>
      <c r="AL148" s="602"/>
      <c r="AM148" s="602"/>
      <c r="AN148" s="602"/>
      <c r="AO148" s="602"/>
      <c r="AP148" s="602"/>
      <c r="AQ148" s="602"/>
      <c r="AR148" s="602"/>
      <c r="AS148" s="602"/>
      <c r="AT148" s="602"/>
      <c r="AU148" s="602"/>
      <c r="AV148" s="602"/>
      <c r="AW148" s="602"/>
      <c r="AX148" s="3288"/>
      <c r="AY148" s="3288"/>
      <c r="AZ148" s="3288"/>
      <c r="BA148" s="3288"/>
      <c r="BB148" s="3288"/>
      <c r="BC148" s="3288"/>
      <c r="BD148" s="3288"/>
      <c r="BE148" s="3288"/>
      <c r="BF148" s="3288"/>
      <c r="BG148" s="3288"/>
      <c r="BH148" s="3288"/>
      <c r="BI148" s="3288"/>
      <c r="BJ148" s="3288"/>
      <c r="BK148" s="3288"/>
      <c r="BL148" s="3288"/>
      <c r="BM148" s="3288"/>
      <c r="BN148" s="602"/>
      <c r="BO148" s="602"/>
      <c r="BP148" s="602"/>
      <c r="BQ148" s="602"/>
      <c r="BR148" s="602"/>
      <c r="BS148" s="602"/>
      <c r="BT148" s="602"/>
      <c r="BU148" s="602"/>
      <c r="BV148" s="3288"/>
      <c r="BW148" s="3288"/>
      <c r="BX148" s="3289"/>
      <c r="BY148" s="3289"/>
      <c r="BZ148" s="3289"/>
      <c r="CA148" s="2873" t="str">
        <f t="shared" si="521"/>
        <v/>
      </c>
      <c r="CB148" s="2873" t="str">
        <f t="shared" si="522"/>
        <v/>
      </c>
      <c r="CC148" s="2873" t="str">
        <f t="shared" si="523"/>
        <v/>
      </c>
      <c r="CD148" s="2873" t="str">
        <f t="shared" si="524"/>
        <v/>
      </c>
      <c r="CE148" s="2873" t="str">
        <f t="shared" si="525"/>
        <v/>
      </c>
      <c r="CF148" s="2873" t="str">
        <f t="shared" si="526"/>
        <v/>
      </c>
      <c r="CG148" s="2873" t="str">
        <f t="shared" si="527"/>
        <v/>
      </c>
      <c r="CH148" s="2873" t="str">
        <f t="shared" si="528"/>
        <v/>
      </c>
      <c r="CI148" s="2873" t="str">
        <f t="shared" si="529"/>
        <v/>
      </c>
      <c r="CJ148" s="3290"/>
      <c r="DE148" s="3009">
        <f>IF(C148&gt;=D148,0,1)</f>
        <v>0</v>
      </c>
      <c r="DF148" s="3009">
        <f t="shared" si="530"/>
        <v>0</v>
      </c>
      <c r="DG148" s="3009">
        <f>IF(F148&gt;=G148,0,1)</f>
        <v>0</v>
      </c>
      <c r="DH148" s="3009">
        <f>IF(F148&gt;=H148,0,1)</f>
        <v>0</v>
      </c>
      <c r="DI148" s="3009">
        <f>IF(I148&gt;=J148,0,1)</f>
        <v>0</v>
      </c>
      <c r="DJ148" s="3009">
        <f>IF(I148&gt;=K148,0,1)</f>
        <v>0</v>
      </c>
      <c r="DK148" s="3009">
        <f>IF(L148&gt;=M148,0,1)</f>
        <v>0</v>
      </c>
      <c r="DL148" s="3009">
        <f>IF(L148&gt;=N148,0,1)</f>
        <v>0</v>
      </c>
      <c r="DM148" s="3009">
        <f>IF(O148&gt;=P148,0,1)</f>
        <v>0</v>
      </c>
    </row>
    <row r="149" spans="1:117" s="17" customFormat="1" ht="18" customHeight="1" x14ac:dyDescent="0.2">
      <c r="A149" s="7725" t="s">
        <v>2693</v>
      </c>
      <c r="B149" s="7725"/>
      <c r="C149" s="7725"/>
      <c r="D149" s="7725"/>
      <c r="E149" s="7725"/>
      <c r="F149" s="7725"/>
      <c r="G149" s="7725"/>
      <c r="H149" s="7725"/>
      <c r="I149" s="7725"/>
      <c r="J149" s="7725"/>
      <c r="K149" s="7725"/>
      <c r="L149" s="7725"/>
      <c r="M149" s="7725"/>
      <c r="N149" s="7725"/>
      <c r="O149" s="7725"/>
      <c r="P149" s="7725"/>
    </row>
    <row r="150" spans="1:117" x14ac:dyDescent="0.25">
      <c r="A150" s="7726" t="s">
        <v>2682</v>
      </c>
      <c r="B150" s="7672"/>
      <c r="C150" s="7683" t="s">
        <v>2683</v>
      </c>
      <c r="D150" s="7681"/>
      <c r="E150" s="7682"/>
      <c r="F150" s="7738" t="s">
        <v>2684</v>
      </c>
      <c r="G150" s="7738"/>
      <c r="H150" s="7738"/>
      <c r="I150" s="7738" t="s">
        <v>2685</v>
      </c>
      <c r="J150" s="7738"/>
      <c r="K150" s="7738"/>
      <c r="L150" s="7738" t="s">
        <v>2686</v>
      </c>
      <c r="M150" s="7738"/>
      <c r="N150" s="7738"/>
      <c r="O150" s="7683" t="s">
        <v>14</v>
      </c>
      <c r="P150" s="7682"/>
    </row>
    <row r="151" spans="1:117" x14ac:dyDescent="0.25">
      <c r="A151" s="7727"/>
      <c r="B151" s="7287"/>
      <c r="C151" s="5367" t="s">
        <v>2656</v>
      </c>
      <c r="D151" s="5368" t="s">
        <v>2657</v>
      </c>
      <c r="E151" s="5369" t="s">
        <v>2687</v>
      </c>
      <c r="F151" s="5367" t="s">
        <v>2656</v>
      </c>
      <c r="G151" s="5368" t="s">
        <v>2657</v>
      </c>
      <c r="H151" s="5369" t="s">
        <v>2687</v>
      </c>
      <c r="I151" s="5367" t="s">
        <v>2656</v>
      </c>
      <c r="J151" s="5368" t="s">
        <v>2657</v>
      </c>
      <c r="K151" s="5369" t="s">
        <v>2687</v>
      </c>
      <c r="L151" s="5367" t="s">
        <v>2656</v>
      </c>
      <c r="M151" s="5368" t="s">
        <v>2657</v>
      </c>
      <c r="N151" s="5369" t="s">
        <v>2687</v>
      </c>
      <c r="O151" s="5367" t="s">
        <v>2656</v>
      </c>
      <c r="P151" s="5370" t="s">
        <v>2657</v>
      </c>
    </row>
    <row r="152" spans="1:117" x14ac:dyDescent="0.25">
      <c r="A152" s="7730" t="s">
        <v>2688</v>
      </c>
      <c r="B152" s="7731"/>
      <c r="C152" s="5354"/>
      <c r="D152" s="5355"/>
      <c r="E152" s="3592"/>
      <c r="F152" s="5354"/>
      <c r="G152" s="5355"/>
      <c r="H152" s="3592"/>
      <c r="I152" s="5354"/>
      <c r="J152" s="5355"/>
      <c r="K152" s="3592"/>
      <c r="L152" s="5354"/>
      <c r="M152" s="5355"/>
      <c r="N152" s="3592"/>
      <c r="O152" s="5354"/>
      <c r="P152" s="5356"/>
      <c r="Q152" s="1755" t="str">
        <f>$CA152&amp;CB152&amp;$CC152&amp;CD152&amp;$CE152&amp;CF152&amp;$CG152&amp;CH152&amp;$CI152</f>
        <v/>
      </c>
      <c r="R152" s="1755"/>
      <c r="S152" s="1755"/>
      <c r="T152" s="1755"/>
      <c r="U152" s="1755"/>
      <c r="V152" s="1755"/>
      <c r="W152" s="1755"/>
      <c r="X152" s="1755"/>
      <c r="Y152" s="1755"/>
      <c r="Z152" s="1755"/>
      <c r="AA152" s="1755"/>
      <c r="AB152" s="1755"/>
      <c r="AC152" s="3288"/>
      <c r="AD152" s="3288"/>
      <c r="AE152" s="602"/>
      <c r="AF152" s="602"/>
      <c r="AG152" s="602"/>
      <c r="AH152" s="602"/>
      <c r="AI152" s="602"/>
      <c r="AJ152" s="602"/>
      <c r="AK152" s="602"/>
      <c r="AL152" s="602"/>
      <c r="AM152" s="602"/>
      <c r="AN152" s="602"/>
      <c r="AO152" s="602"/>
      <c r="AP152" s="602"/>
      <c r="AQ152" s="602"/>
      <c r="AR152" s="602"/>
      <c r="AS152" s="602"/>
      <c r="AT152" s="602"/>
      <c r="AU152" s="602"/>
      <c r="AV152" s="602"/>
      <c r="AW152" s="602"/>
      <c r="AX152" s="3288"/>
      <c r="AY152" s="3288"/>
      <c r="AZ152" s="3288"/>
      <c r="BA152" s="3288"/>
      <c r="BB152" s="3288"/>
      <c r="BC152" s="3288"/>
      <c r="BD152" s="3288"/>
      <c r="BE152" s="3288"/>
      <c r="BF152" s="3288"/>
      <c r="BG152" s="3288"/>
      <c r="BH152" s="3288"/>
      <c r="BI152" s="3288"/>
      <c r="BJ152" s="3288"/>
      <c r="BK152" s="3288"/>
      <c r="BL152" s="3288"/>
      <c r="BM152" s="3288"/>
      <c r="BN152" s="602"/>
      <c r="BO152" s="602"/>
      <c r="BP152" s="602"/>
      <c r="BQ152" s="602"/>
      <c r="BR152" s="602"/>
      <c r="BS152" s="602"/>
      <c r="BT152" s="602"/>
      <c r="BU152" s="602"/>
      <c r="BV152" s="3288"/>
      <c r="BW152" s="3288"/>
      <c r="BX152" s="3289"/>
      <c r="BY152" s="3289"/>
      <c r="BZ152" s="3289"/>
      <c r="CA152" s="2873" t="str">
        <f>IF(C152&gt;=D152,"","* Los Exámenes Reactivos de Hepatitis B NO DEBEN ser mayor a los Exámenes Procesados. ")</f>
        <v/>
      </c>
      <c r="CB152" s="2873" t="str">
        <f>IF(C152&gt;=E152,"","* Los Exámenes Confirmados de Hepatitis B NO DEBEN ser mayor a los exámenes Procesados. ")</f>
        <v/>
      </c>
      <c r="CC152" s="2873" t="str">
        <f>IF(F152&gt;=G152,"","* Los Exámenes Reactivos de Hepatitis C NO DEBEN ser mayor a los Exámenes Procesados. ")</f>
        <v/>
      </c>
      <c r="CD152" s="2873" t="str">
        <f>IF(F152&gt;=H152,"","* Los Exámenes Confirmados de Hepatitis C NO DEBEN ser mayor a los Exámenes Procesados. ")</f>
        <v/>
      </c>
      <c r="CE152" s="2873" t="str">
        <f>IF(I152&gt;=J152,"","* Los Exámenes Reactivos de CHAGAS NO DEBEN ser mayor a los Exámenes Procesados. ")</f>
        <v/>
      </c>
      <c r="CF152" s="2873" t="str">
        <f>IF(I152&gt;=K152,"","* Los Exámenes Confirmados de CHAGAS NO DEBEN ser mayor a los Exámenes Procesados. ")</f>
        <v/>
      </c>
      <c r="CG152" s="2873" t="str">
        <f>IF(L152&gt;=M152,"","* Los Exámenes Reactivos de HTLV1 NO DEBEN ser mayor a los Exámenes Procesados. ")</f>
        <v/>
      </c>
      <c r="CH152" s="2873" t="str">
        <f>IF(L152&gt;=N152,"","* Los Exámenes Confirmados de HTLV1 NO DEBEN ser mayor a los Exámenes Procesados. ")</f>
        <v/>
      </c>
      <c r="CI152" s="2873" t="str">
        <f>IF(O152&gt;=P152,"","* Los exámenes Reactivos de SIFILIS NO DEBEN ser mayor a los exámenes Procesados. ")</f>
        <v/>
      </c>
      <c r="CJ152" s="3290"/>
      <c r="DE152" s="3009">
        <f>IF(C152&gt;=D152,0,1)</f>
        <v>0</v>
      </c>
      <c r="DF152" s="3009">
        <f>IF(E152&gt;C152,1,0)</f>
        <v>0</v>
      </c>
      <c r="DG152" s="3009">
        <f>IF(F152&gt;=G152,0,1)</f>
        <v>0</v>
      </c>
      <c r="DH152" s="3009">
        <f>IF(F152&gt;=H152,0,1)</f>
        <v>0</v>
      </c>
      <c r="DI152" s="3009">
        <f>IF(I152&gt;=J152,0,1)</f>
        <v>0</v>
      </c>
      <c r="DJ152" s="3009">
        <f>IF(I152&gt;=K152,0,1)</f>
        <v>0</v>
      </c>
      <c r="DK152" s="3009">
        <f>IF(L152&gt;=M152,0,1)</f>
        <v>0</v>
      </c>
      <c r="DL152" s="3009">
        <f>IF(L152&gt;=N152,0,1)</f>
        <v>0</v>
      </c>
      <c r="DM152" s="3009">
        <f>IF(O152&gt;=P152,0,1)</f>
        <v>0</v>
      </c>
    </row>
    <row r="153" spans="1:117" x14ac:dyDescent="0.25">
      <c r="A153" s="7716" t="s">
        <v>545</v>
      </c>
      <c r="B153" s="5371" t="s">
        <v>2689</v>
      </c>
      <c r="C153" s="5358"/>
      <c r="D153" s="5359"/>
      <c r="E153" s="5360"/>
      <c r="F153" s="5358"/>
      <c r="G153" s="5359"/>
      <c r="H153" s="5360"/>
      <c r="I153" s="5358"/>
      <c r="J153" s="5359"/>
      <c r="K153" s="5360"/>
      <c r="L153" s="5358"/>
      <c r="M153" s="5359"/>
      <c r="N153" s="5360"/>
      <c r="O153" s="5358"/>
      <c r="P153" s="5361"/>
      <c r="Q153" s="1755" t="str">
        <f t="shared" ref="Q153:Q156" si="531">$CA153&amp;CB153&amp;$CC153&amp;CD153&amp;$CE153&amp;CF153&amp;$CG153&amp;CH153&amp;$CI153</f>
        <v/>
      </c>
      <c r="R153" s="1755"/>
      <c r="S153" s="1755"/>
      <c r="T153" s="1755"/>
      <c r="U153" s="1755"/>
      <c r="V153" s="1755"/>
      <c r="W153" s="1755"/>
      <c r="X153" s="1755"/>
      <c r="Y153" s="1755"/>
      <c r="Z153" s="1755"/>
      <c r="AA153" s="1755"/>
      <c r="AB153" s="1755"/>
      <c r="AC153" s="3288"/>
      <c r="AD153" s="3288"/>
      <c r="AE153" s="602"/>
      <c r="AF153" s="602"/>
      <c r="AG153" s="602"/>
      <c r="AH153" s="602"/>
      <c r="AI153" s="602"/>
      <c r="AJ153" s="602"/>
      <c r="AK153" s="602"/>
      <c r="AL153" s="602"/>
      <c r="AM153" s="602"/>
      <c r="AN153" s="602"/>
      <c r="AO153" s="602"/>
      <c r="AP153" s="602"/>
      <c r="AQ153" s="602"/>
      <c r="AR153" s="602"/>
      <c r="AS153" s="602"/>
      <c r="AT153" s="602"/>
      <c r="AU153" s="602"/>
      <c r="AV153" s="602"/>
      <c r="AW153" s="602"/>
      <c r="AX153" s="3288"/>
      <c r="AY153" s="3288"/>
      <c r="AZ153" s="3288"/>
      <c r="BA153" s="3288"/>
      <c r="BB153" s="3288"/>
      <c r="BC153" s="3288"/>
      <c r="BD153" s="3288"/>
      <c r="BE153" s="3288"/>
      <c r="BF153" s="3288"/>
      <c r="BG153" s="3288"/>
      <c r="BH153" s="3288"/>
      <c r="BI153" s="3288"/>
      <c r="BJ153" s="3288"/>
      <c r="BK153" s="3288"/>
      <c r="BL153" s="3288"/>
      <c r="BM153" s="3288"/>
      <c r="BN153" s="602"/>
      <c r="BO153" s="602"/>
      <c r="BP153" s="602"/>
      <c r="BQ153" s="602"/>
      <c r="BR153" s="602"/>
      <c r="BS153" s="602"/>
      <c r="BT153" s="602"/>
      <c r="BU153" s="602"/>
      <c r="BV153" s="3288"/>
      <c r="BW153" s="3288"/>
      <c r="BX153" s="3289"/>
      <c r="BY153" s="3289"/>
      <c r="BZ153" s="3289"/>
      <c r="CA153" s="2873" t="str">
        <f t="shared" ref="CA153:CA156" si="532">IF(C153&gt;=D153,"","* Los Exámenes Reactivos de Hepatitis B NO DEBEN ser mayor a los Exámenes Procesados. ")</f>
        <v/>
      </c>
      <c r="CB153" s="2873" t="str">
        <f t="shared" ref="CB153:CB156" si="533">IF(C153&gt;=E153,"","* Los Exámenes Confirmados de Hepatitis B NO DEBEN ser mayor a los exámenes Procesados. ")</f>
        <v/>
      </c>
      <c r="CC153" s="2873" t="str">
        <f t="shared" ref="CC153:CC156" si="534">IF(F153&gt;=G153,"","* Los Exámenes Reactivos de Hepatitis C NO DEBEN ser mayor a los Exámenes Procesados. ")</f>
        <v/>
      </c>
      <c r="CD153" s="2873" t="str">
        <f t="shared" ref="CD153:CD156" si="535">IF(F153&gt;=H153,"","* Los Exámenes Confirmados de Hepatitis C NO DEBEN ser mayor a los Exámenes Procesados. ")</f>
        <v/>
      </c>
      <c r="CE153" s="2873" t="str">
        <f t="shared" ref="CE153:CE156" si="536">IF(I153&gt;=J153,"","* Los Exámenes Reactivos de CHAGAS NO DEBEN ser mayor a los Exámenes Procesados. ")</f>
        <v/>
      </c>
      <c r="CF153" s="2873" t="str">
        <f t="shared" ref="CF153:CF156" si="537">IF(I153&gt;=K153,"","* Los Exámenes Confirmados de CHAGAS NO DEBEN ser mayor a los Exámenes Procesados. ")</f>
        <v/>
      </c>
      <c r="CG153" s="2873" t="str">
        <f t="shared" ref="CG153:CG156" si="538">IF(L153&gt;=M153,"","* Los Exámenes Reactivos de HTLV1 NO DEBEN ser mayor a los Exámenes Procesados. ")</f>
        <v/>
      </c>
      <c r="CH153" s="2873" t="str">
        <f t="shared" ref="CH153:CH156" si="539">IF(L153&gt;=N153,"","* Los Exámenes Confirmados de HTLV1 NO DEBEN ser mayor a los Exámenes Procesados. ")</f>
        <v/>
      </c>
      <c r="CI153" s="2873" t="str">
        <f t="shared" ref="CI153:CI156" si="540">IF(O153&gt;=P153,"","* Los exámenes Reactivos de SIFILIS NO DEBEN ser mayor a los exámenes Procesados. ")</f>
        <v/>
      </c>
      <c r="CJ153" s="3290"/>
      <c r="DE153" s="3009">
        <f>IF(C153&gt;=D153,0,1)</f>
        <v>0</v>
      </c>
      <c r="DF153" s="3009">
        <f t="shared" ref="DF153:DF156" si="541">IF(E153&gt;C153,1,0)</f>
        <v>0</v>
      </c>
      <c r="DG153" s="3009">
        <f>IF(F153&gt;=G153,0,1)</f>
        <v>0</v>
      </c>
      <c r="DH153" s="3009">
        <f>IF(F153&gt;=H153,0,1)</f>
        <v>0</v>
      </c>
      <c r="DI153" s="3009">
        <f>IF(I153&gt;=J153,0,1)</f>
        <v>0</v>
      </c>
      <c r="DJ153" s="3009">
        <f>IF(I153&gt;=K153,0,1)</f>
        <v>0</v>
      </c>
      <c r="DK153" s="3009">
        <f>IF(L153&gt;=M153,0,1)</f>
        <v>0</v>
      </c>
      <c r="DL153" s="3009">
        <f>IF(L153&gt;=N153,0,1)</f>
        <v>0</v>
      </c>
      <c r="DM153" s="3009">
        <f>IF(O153&gt;=P153,0,1)</f>
        <v>0</v>
      </c>
    </row>
    <row r="154" spans="1:117" x14ac:dyDescent="0.25">
      <c r="A154" s="6505"/>
      <c r="B154" s="3603" t="s">
        <v>2690</v>
      </c>
      <c r="C154" s="276"/>
      <c r="D154" s="5334"/>
      <c r="E154" s="4659"/>
      <c r="F154" s="276"/>
      <c r="G154" s="5334"/>
      <c r="H154" s="4659"/>
      <c r="I154" s="276"/>
      <c r="J154" s="5334"/>
      <c r="K154" s="4659"/>
      <c r="L154" s="276"/>
      <c r="M154" s="5334"/>
      <c r="N154" s="4659"/>
      <c r="O154" s="276"/>
      <c r="P154" s="5362"/>
      <c r="Q154" s="1755" t="str">
        <f t="shared" si="531"/>
        <v/>
      </c>
      <c r="R154" s="1755"/>
      <c r="S154" s="1755"/>
      <c r="T154" s="1755"/>
      <c r="U154" s="1755"/>
      <c r="V154" s="1755"/>
      <c r="W154" s="1755"/>
      <c r="X154" s="1755"/>
      <c r="Y154" s="1755"/>
      <c r="Z154" s="1755"/>
      <c r="AA154" s="1755"/>
      <c r="AB154" s="1755"/>
      <c r="AC154" s="3288"/>
      <c r="AD154" s="3288"/>
      <c r="AE154" s="602"/>
      <c r="AF154" s="602"/>
      <c r="AG154" s="602"/>
      <c r="AH154" s="602"/>
      <c r="AI154" s="602"/>
      <c r="AJ154" s="602"/>
      <c r="AK154" s="602"/>
      <c r="AL154" s="602"/>
      <c r="AM154" s="602"/>
      <c r="AN154" s="602"/>
      <c r="AO154" s="602"/>
      <c r="AP154" s="602"/>
      <c r="AQ154" s="602"/>
      <c r="AR154" s="602"/>
      <c r="AS154" s="602"/>
      <c r="AT154" s="602"/>
      <c r="AU154" s="602"/>
      <c r="AV154" s="602"/>
      <c r="AW154" s="602"/>
      <c r="AX154" s="3288"/>
      <c r="AY154" s="3288"/>
      <c r="AZ154" s="3288"/>
      <c r="BA154" s="3288"/>
      <c r="BB154" s="3288"/>
      <c r="BC154" s="3288"/>
      <c r="BD154" s="3288"/>
      <c r="BE154" s="3288"/>
      <c r="BF154" s="3288"/>
      <c r="BG154" s="3288"/>
      <c r="BH154" s="3288"/>
      <c r="BI154" s="3288"/>
      <c r="BJ154" s="3288"/>
      <c r="BK154" s="3288"/>
      <c r="BL154" s="3288"/>
      <c r="BM154" s="3288"/>
      <c r="BN154" s="602"/>
      <c r="BO154" s="602"/>
      <c r="BP154" s="602"/>
      <c r="BQ154" s="602"/>
      <c r="BR154" s="602"/>
      <c r="BS154" s="602"/>
      <c r="BT154" s="602"/>
      <c r="BU154" s="602"/>
      <c r="BV154" s="3288"/>
      <c r="BW154" s="3288"/>
      <c r="BX154" s="3289"/>
      <c r="BY154" s="3289"/>
      <c r="BZ154" s="3289"/>
      <c r="CA154" s="2873" t="str">
        <f t="shared" si="532"/>
        <v/>
      </c>
      <c r="CB154" s="2873" t="str">
        <f t="shared" si="533"/>
        <v/>
      </c>
      <c r="CC154" s="2873" t="str">
        <f t="shared" si="534"/>
        <v/>
      </c>
      <c r="CD154" s="2873" t="str">
        <f t="shared" si="535"/>
        <v/>
      </c>
      <c r="CE154" s="2873" t="str">
        <f t="shared" si="536"/>
        <v/>
      </c>
      <c r="CF154" s="2873" t="str">
        <f t="shared" si="537"/>
        <v/>
      </c>
      <c r="CG154" s="2873" t="str">
        <f t="shared" si="538"/>
        <v/>
      </c>
      <c r="CH154" s="2873" t="str">
        <f t="shared" si="539"/>
        <v/>
      </c>
      <c r="CI154" s="2873" t="str">
        <f t="shared" si="540"/>
        <v/>
      </c>
      <c r="CJ154" s="3290"/>
      <c r="DE154" s="3009">
        <f>IF(C154&gt;=D154,0,1)</f>
        <v>0</v>
      </c>
      <c r="DF154" s="3009">
        <f t="shared" si="541"/>
        <v>0</v>
      </c>
      <c r="DG154" s="3009">
        <f>IF(F154&gt;=G154,0,1)</f>
        <v>0</v>
      </c>
      <c r="DH154" s="3009">
        <f>IF(F154&gt;=H154,0,1)</f>
        <v>0</v>
      </c>
      <c r="DI154" s="3009">
        <f>IF(I154&gt;=J154,0,1)</f>
        <v>0</v>
      </c>
      <c r="DJ154" s="3009">
        <f>IF(I154&gt;=K154,0,1)</f>
        <v>0</v>
      </c>
      <c r="DK154" s="3009">
        <f>IF(L154&gt;=M154,0,1)</f>
        <v>0</v>
      </c>
      <c r="DL154" s="3009">
        <f>IF(L154&gt;=N154,0,1)</f>
        <v>0</v>
      </c>
      <c r="DM154" s="3009">
        <f>IF(O154&gt;=P154,0,1)</f>
        <v>0</v>
      </c>
    </row>
    <row r="155" spans="1:117" x14ac:dyDescent="0.25">
      <c r="A155" s="6607"/>
      <c r="B155" s="5372" t="s">
        <v>2691</v>
      </c>
      <c r="C155" s="5364"/>
      <c r="D155" s="3600"/>
      <c r="E155" s="5365"/>
      <c r="F155" s="5364"/>
      <c r="G155" s="3600"/>
      <c r="H155" s="5365"/>
      <c r="I155" s="5364"/>
      <c r="J155" s="3600"/>
      <c r="K155" s="5365"/>
      <c r="L155" s="5364"/>
      <c r="M155" s="3600"/>
      <c r="N155" s="5365"/>
      <c r="O155" s="5364"/>
      <c r="P155" s="5366"/>
      <c r="Q155" s="1755" t="str">
        <f t="shared" si="531"/>
        <v/>
      </c>
      <c r="R155" s="1755"/>
      <c r="S155" s="1755"/>
      <c r="T155" s="1755"/>
      <c r="U155" s="1755"/>
      <c r="V155" s="1755"/>
      <c r="W155" s="1755"/>
      <c r="X155" s="1755"/>
      <c r="Y155" s="1755"/>
      <c r="Z155" s="1755"/>
      <c r="AA155" s="1755"/>
      <c r="AB155" s="1755"/>
      <c r="AC155" s="3288"/>
      <c r="AD155" s="3288"/>
      <c r="AE155" s="602"/>
      <c r="AF155" s="602"/>
      <c r="AG155" s="602"/>
      <c r="AH155" s="602"/>
      <c r="AI155" s="602"/>
      <c r="AJ155" s="602"/>
      <c r="AK155" s="602"/>
      <c r="AL155" s="602"/>
      <c r="AM155" s="602"/>
      <c r="AN155" s="602"/>
      <c r="AO155" s="602"/>
      <c r="AP155" s="602"/>
      <c r="AQ155" s="602"/>
      <c r="AR155" s="602"/>
      <c r="AS155" s="602"/>
      <c r="AT155" s="602"/>
      <c r="AU155" s="602"/>
      <c r="AV155" s="602"/>
      <c r="AW155" s="602"/>
      <c r="AX155" s="3288"/>
      <c r="AY155" s="3288"/>
      <c r="AZ155" s="3288"/>
      <c r="BA155" s="3288"/>
      <c r="BB155" s="3288"/>
      <c r="BC155" s="3288"/>
      <c r="BD155" s="3288"/>
      <c r="BE155" s="3288"/>
      <c r="BF155" s="3288"/>
      <c r="BG155" s="3288"/>
      <c r="BH155" s="3288"/>
      <c r="BI155" s="3288"/>
      <c r="BJ155" s="3288"/>
      <c r="BK155" s="3288"/>
      <c r="BL155" s="3288"/>
      <c r="BM155" s="3288"/>
      <c r="BN155" s="602"/>
      <c r="BO155" s="602"/>
      <c r="BP155" s="602"/>
      <c r="BQ155" s="602"/>
      <c r="BR155" s="602"/>
      <c r="BS155" s="602"/>
      <c r="BT155" s="602"/>
      <c r="BU155" s="602"/>
      <c r="BV155" s="3288"/>
      <c r="BW155" s="3288"/>
      <c r="BX155" s="3289"/>
      <c r="BY155" s="3289"/>
      <c r="BZ155" s="3289"/>
      <c r="CA155" s="2873" t="str">
        <f t="shared" si="532"/>
        <v/>
      </c>
      <c r="CB155" s="2873" t="str">
        <f t="shared" si="533"/>
        <v/>
      </c>
      <c r="CC155" s="2873" t="str">
        <f t="shared" si="534"/>
        <v/>
      </c>
      <c r="CD155" s="2873" t="str">
        <f t="shared" si="535"/>
        <v/>
      </c>
      <c r="CE155" s="2873" t="str">
        <f t="shared" si="536"/>
        <v/>
      </c>
      <c r="CF155" s="2873" t="str">
        <f t="shared" si="537"/>
        <v/>
      </c>
      <c r="CG155" s="2873" t="str">
        <f t="shared" si="538"/>
        <v/>
      </c>
      <c r="CH155" s="2873" t="str">
        <f t="shared" si="539"/>
        <v/>
      </c>
      <c r="CI155" s="2873" t="str">
        <f t="shared" si="540"/>
        <v/>
      </c>
      <c r="CJ155" s="3290"/>
      <c r="DE155" s="3009">
        <f>IF(C155&gt;=D155,0,1)</f>
        <v>0</v>
      </c>
      <c r="DF155" s="3009">
        <f t="shared" si="541"/>
        <v>0</v>
      </c>
      <c r="DG155" s="3009">
        <f>IF(F155&gt;=G155,0,1)</f>
        <v>0</v>
      </c>
      <c r="DH155" s="3009">
        <f>IF(F155&gt;=H155,0,1)</f>
        <v>0</v>
      </c>
      <c r="DI155" s="3009">
        <f>IF(I155&gt;=J155,0,1)</f>
        <v>0</v>
      </c>
      <c r="DJ155" s="3009">
        <f>IF(I155&gt;=K155,0,1)</f>
        <v>0</v>
      </c>
      <c r="DK155" s="3009">
        <f>IF(L155&gt;=M155,0,1)</f>
        <v>0</v>
      </c>
      <c r="DL155" s="3009">
        <f>IF(L155&gt;=N155,0,1)</f>
        <v>0</v>
      </c>
      <c r="DM155" s="3009">
        <f>IF(O155&gt;=P155,0,1)</f>
        <v>0</v>
      </c>
    </row>
    <row r="156" spans="1:117" x14ac:dyDescent="0.25">
      <c r="A156" s="7732" t="s">
        <v>2692</v>
      </c>
      <c r="B156" s="7733"/>
      <c r="C156" s="5364"/>
      <c r="D156" s="3600"/>
      <c r="E156" s="5365"/>
      <c r="F156" s="5364"/>
      <c r="G156" s="3600"/>
      <c r="H156" s="5365"/>
      <c r="I156" s="5364"/>
      <c r="J156" s="3600"/>
      <c r="K156" s="5365"/>
      <c r="L156" s="5364"/>
      <c r="M156" s="3600"/>
      <c r="N156" s="5365"/>
      <c r="O156" s="5364"/>
      <c r="P156" s="5366"/>
      <c r="Q156" s="1755" t="str">
        <f t="shared" si="531"/>
        <v/>
      </c>
      <c r="R156" s="1755"/>
      <c r="S156" s="1755"/>
      <c r="T156" s="1755"/>
      <c r="U156" s="1755"/>
      <c r="V156" s="1755"/>
      <c r="W156" s="1755"/>
      <c r="X156" s="1755"/>
      <c r="Y156" s="1755"/>
      <c r="Z156" s="1755"/>
      <c r="AA156" s="1755"/>
      <c r="AB156" s="1755"/>
      <c r="AC156" s="3288"/>
      <c r="AD156" s="3288"/>
      <c r="AE156" s="602"/>
      <c r="AF156" s="602"/>
      <c r="AG156" s="602"/>
      <c r="AH156" s="602"/>
      <c r="AI156" s="602"/>
      <c r="AJ156" s="602"/>
      <c r="AK156" s="602"/>
      <c r="AL156" s="602"/>
      <c r="AM156" s="602"/>
      <c r="AN156" s="602"/>
      <c r="AO156" s="602"/>
      <c r="AP156" s="602"/>
      <c r="AQ156" s="602"/>
      <c r="AR156" s="602"/>
      <c r="AS156" s="602"/>
      <c r="AT156" s="602"/>
      <c r="AU156" s="602"/>
      <c r="AV156" s="602"/>
      <c r="AW156" s="602"/>
      <c r="AX156" s="3288"/>
      <c r="AY156" s="3288"/>
      <c r="AZ156" s="3288"/>
      <c r="BA156" s="3288"/>
      <c r="BB156" s="3288"/>
      <c r="BC156" s="3288"/>
      <c r="BD156" s="3288"/>
      <c r="BE156" s="3288"/>
      <c r="BF156" s="3288"/>
      <c r="BG156" s="3288"/>
      <c r="BH156" s="3288"/>
      <c r="BI156" s="3288"/>
      <c r="BJ156" s="3288"/>
      <c r="BK156" s="3288"/>
      <c r="BL156" s="3288"/>
      <c r="BM156" s="3288"/>
      <c r="BN156" s="602"/>
      <c r="BO156" s="602"/>
      <c r="BP156" s="602"/>
      <c r="BQ156" s="602"/>
      <c r="BR156" s="602"/>
      <c r="BS156" s="602"/>
      <c r="BT156" s="602"/>
      <c r="BU156" s="602"/>
      <c r="BV156" s="3288"/>
      <c r="BW156" s="3288"/>
      <c r="BX156" s="3289"/>
      <c r="BY156" s="3289"/>
      <c r="BZ156" s="3289"/>
      <c r="CA156" s="2873" t="str">
        <f t="shared" si="532"/>
        <v/>
      </c>
      <c r="CB156" s="2873" t="str">
        <f t="shared" si="533"/>
        <v/>
      </c>
      <c r="CC156" s="2873" t="str">
        <f t="shared" si="534"/>
        <v/>
      </c>
      <c r="CD156" s="2873" t="str">
        <f t="shared" si="535"/>
        <v/>
      </c>
      <c r="CE156" s="2873" t="str">
        <f t="shared" si="536"/>
        <v/>
      </c>
      <c r="CF156" s="2873" t="str">
        <f t="shared" si="537"/>
        <v/>
      </c>
      <c r="CG156" s="2873" t="str">
        <f t="shared" si="538"/>
        <v/>
      </c>
      <c r="CH156" s="2873" t="str">
        <f t="shared" si="539"/>
        <v/>
      </c>
      <c r="CI156" s="2873" t="str">
        <f t="shared" si="540"/>
        <v/>
      </c>
      <c r="CJ156" s="3290"/>
      <c r="DE156" s="3009">
        <f>IF(C156&gt;=D156,0,1)</f>
        <v>0</v>
      </c>
      <c r="DF156" s="3009">
        <f t="shared" si="541"/>
        <v>0</v>
      </c>
      <c r="DG156" s="3009">
        <f>IF(F156&gt;=G156,0,1)</f>
        <v>0</v>
      </c>
      <c r="DH156" s="3009">
        <f>IF(F156&gt;=H156,0,1)</f>
        <v>0</v>
      </c>
      <c r="DI156" s="3009">
        <f>IF(I156&gt;=J156,0,1)</f>
        <v>0</v>
      </c>
      <c r="DJ156" s="3009">
        <f>IF(I156&gt;=K156,0,1)</f>
        <v>0</v>
      </c>
      <c r="DK156" s="3009">
        <f>IF(L156&gt;=M156,0,1)</f>
        <v>0</v>
      </c>
      <c r="DL156" s="3009">
        <f>IF(L156&gt;=N156,0,1)</f>
        <v>0</v>
      </c>
      <c r="DM156" s="3009">
        <f>IF(O156&gt;=P156,0,1)</f>
        <v>0</v>
      </c>
    </row>
    <row r="157" spans="1:117" ht="18" customHeight="1" x14ac:dyDescent="0.25">
      <c r="A157" s="7725" t="s">
        <v>2694</v>
      </c>
      <c r="B157" s="7725"/>
      <c r="C157" s="7725"/>
      <c r="D157" s="7725"/>
      <c r="E157" s="7725"/>
      <c r="F157" s="7725"/>
      <c r="G157" s="7725"/>
      <c r="H157" s="7725"/>
      <c r="I157" s="5373"/>
      <c r="J157" s="5373"/>
      <c r="K157" s="5373"/>
      <c r="L157" s="5373"/>
      <c r="M157" s="5373"/>
      <c r="N157" s="5373"/>
      <c r="O157" s="5373"/>
      <c r="P157" s="5373"/>
      <c r="Q157" s="5373"/>
      <c r="R157" s="5373"/>
      <c r="S157" s="5373"/>
      <c r="T157" s="5373"/>
      <c r="U157" s="5373"/>
      <c r="V157" s="5373"/>
      <c r="W157" s="5373"/>
      <c r="X157" s="5373"/>
      <c r="Y157" s="5373"/>
      <c r="Z157" s="5373"/>
      <c r="AA157" s="5373"/>
      <c r="AB157" s="5373"/>
      <c r="AC157" s="5373"/>
      <c r="AD157" s="5373"/>
      <c r="AE157" s="5373"/>
      <c r="AF157" s="5373"/>
      <c r="AG157" s="5373"/>
      <c r="AH157" s="5373"/>
      <c r="AI157" s="5373"/>
      <c r="AJ157" s="5373"/>
      <c r="AK157" s="603"/>
      <c r="AL157" s="603"/>
      <c r="AM157" s="603"/>
      <c r="AN157" s="603"/>
      <c r="AO157" s="603"/>
      <c r="AP157" s="603"/>
      <c r="AQ157" s="603"/>
      <c r="AR157" s="603"/>
      <c r="AS157" s="603"/>
      <c r="AT157" s="603"/>
      <c r="AU157" s="603"/>
      <c r="AV157" s="603"/>
      <c r="AW157" s="603"/>
      <c r="AX157" s="603"/>
    </row>
    <row r="158" spans="1:117" x14ac:dyDescent="0.25">
      <c r="A158" s="7726" t="s">
        <v>2682</v>
      </c>
      <c r="B158" s="7672"/>
      <c r="C158" s="7728" t="s">
        <v>24</v>
      </c>
      <c r="D158" s="7729"/>
      <c r="E158" s="7683" t="s">
        <v>12</v>
      </c>
      <c r="F158" s="7681"/>
      <c r="G158" s="7681"/>
      <c r="H158" s="7681"/>
      <c r="I158" s="7681"/>
      <c r="J158" s="7681"/>
      <c r="K158" s="7681"/>
      <c r="L158" s="7681"/>
      <c r="M158" s="7681"/>
      <c r="N158" s="7681"/>
      <c r="O158" s="7681"/>
      <c r="P158" s="7681"/>
      <c r="Q158" s="7681"/>
      <c r="R158" s="7681"/>
      <c r="S158" s="7681"/>
      <c r="T158" s="7681"/>
      <c r="U158" s="7681"/>
      <c r="V158" s="7681"/>
      <c r="W158" s="7681"/>
      <c r="X158" s="7681"/>
      <c r="Y158" s="7681"/>
      <c r="Z158" s="7681"/>
      <c r="AA158" s="7681"/>
      <c r="AB158" s="7681"/>
      <c r="AC158" s="7681"/>
      <c r="AD158" s="7681"/>
      <c r="AE158" s="7681"/>
      <c r="AF158" s="7681"/>
      <c r="AG158" s="7681"/>
      <c r="AH158" s="7681"/>
      <c r="AI158" s="7681"/>
      <c r="AJ158" s="7684"/>
      <c r="AK158" s="7694" t="s">
        <v>2695</v>
      </c>
      <c r="AL158" s="7694"/>
      <c r="AM158" s="7694"/>
      <c r="AN158" s="7695"/>
      <c r="AO158" s="7693" t="s">
        <v>48</v>
      </c>
      <c r="AP158" s="7694"/>
      <c r="AQ158" s="7694"/>
      <c r="AR158" s="7695"/>
      <c r="AS158" s="7721" t="s">
        <v>546</v>
      </c>
      <c r="AT158" s="7722"/>
      <c r="AU158" s="7721" t="s">
        <v>3</v>
      </c>
      <c r="AV158" s="7722"/>
      <c r="AW158" s="6689" t="s">
        <v>2696</v>
      </c>
      <c r="AX158" s="7672"/>
    </row>
    <row r="159" spans="1:117" x14ac:dyDescent="0.25">
      <c r="A159" s="6600"/>
      <c r="B159" s="6472"/>
      <c r="C159" s="7292"/>
      <c r="D159" s="7293"/>
      <c r="E159" s="7701" t="s">
        <v>3778</v>
      </c>
      <c r="F159" s="7702"/>
      <c r="G159" s="7701" t="s">
        <v>54</v>
      </c>
      <c r="H159" s="7702"/>
      <c r="I159" s="7701" t="s">
        <v>3704</v>
      </c>
      <c r="J159" s="7702"/>
      <c r="K159" s="7683" t="s">
        <v>37</v>
      </c>
      <c r="L159" s="7682"/>
      <c r="M159" s="7683" t="s">
        <v>38</v>
      </c>
      <c r="N159" s="7682"/>
      <c r="O159" s="7683" t="s">
        <v>4</v>
      </c>
      <c r="P159" s="7682"/>
      <c r="Q159" s="7683" t="s">
        <v>5</v>
      </c>
      <c r="R159" s="7682"/>
      <c r="S159" s="7683" t="s">
        <v>6</v>
      </c>
      <c r="T159" s="7682"/>
      <c r="U159" s="7683" t="s">
        <v>7</v>
      </c>
      <c r="V159" s="7682"/>
      <c r="W159" s="7683" t="s">
        <v>8</v>
      </c>
      <c r="X159" s="7682"/>
      <c r="Y159" s="7683" t="s">
        <v>9</v>
      </c>
      <c r="Z159" s="7682"/>
      <c r="AA159" s="7683" t="s">
        <v>10</v>
      </c>
      <c r="AB159" s="7682"/>
      <c r="AC159" s="7683" t="s">
        <v>11</v>
      </c>
      <c r="AD159" s="7682"/>
      <c r="AE159" s="7683" t="s">
        <v>18</v>
      </c>
      <c r="AF159" s="7682"/>
      <c r="AG159" s="7683" t="s">
        <v>19</v>
      </c>
      <c r="AH159" s="7682"/>
      <c r="AI159" s="7683" t="s">
        <v>2697</v>
      </c>
      <c r="AJ159" s="7684"/>
      <c r="AK159" s="7685" t="s">
        <v>22</v>
      </c>
      <c r="AL159" s="7649"/>
      <c r="AM159" s="7648" t="s">
        <v>27</v>
      </c>
      <c r="AN159" s="7662"/>
      <c r="AO159" s="7685" t="s">
        <v>41</v>
      </c>
      <c r="AP159" s="7649"/>
      <c r="AQ159" s="7703" t="s">
        <v>42</v>
      </c>
      <c r="AR159" s="7662"/>
      <c r="AS159" s="7723"/>
      <c r="AT159" s="7724"/>
      <c r="AU159" s="7723"/>
      <c r="AV159" s="7724"/>
      <c r="AW159" s="7700"/>
      <c r="AX159" s="7287"/>
    </row>
    <row r="160" spans="1:117" ht="31.5" x14ac:dyDescent="0.25">
      <c r="A160" s="7727"/>
      <c r="B160" s="7287"/>
      <c r="C160" s="5324" t="s">
        <v>2656</v>
      </c>
      <c r="D160" s="5325" t="s">
        <v>2698</v>
      </c>
      <c r="E160" s="5324" t="s">
        <v>2656</v>
      </c>
      <c r="F160" s="5325" t="s">
        <v>2698</v>
      </c>
      <c r="G160" s="5324" t="s">
        <v>2656</v>
      </c>
      <c r="H160" s="5325" t="s">
        <v>2698</v>
      </c>
      <c r="I160" s="5324" t="s">
        <v>2656</v>
      </c>
      <c r="J160" s="5325" t="s">
        <v>2698</v>
      </c>
      <c r="K160" s="5324" t="s">
        <v>2656</v>
      </c>
      <c r="L160" s="5325" t="s">
        <v>2698</v>
      </c>
      <c r="M160" s="5324" t="s">
        <v>2656</v>
      </c>
      <c r="N160" s="5325" t="s">
        <v>2698</v>
      </c>
      <c r="O160" s="5324" t="s">
        <v>2656</v>
      </c>
      <c r="P160" s="5325" t="s">
        <v>2698</v>
      </c>
      <c r="Q160" s="5324" t="s">
        <v>2656</v>
      </c>
      <c r="R160" s="5325" t="s">
        <v>2698</v>
      </c>
      <c r="S160" s="5324" t="s">
        <v>2656</v>
      </c>
      <c r="T160" s="5325" t="s">
        <v>2698</v>
      </c>
      <c r="U160" s="5324" t="s">
        <v>2656</v>
      </c>
      <c r="V160" s="5325" t="s">
        <v>2698</v>
      </c>
      <c r="W160" s="5324" t="s">
        <v>2656</v>
      </c>
      <c r="X160" s="5325" t="s">
        <v>2698</v>
      </c>
      <c r="Y160" s="5324" t="s">
        <v>2656</v>
      </c>
      <c r="Z160" s="5325" t="s">
        <v>2698</v>
      </c>
      <c r="AA160" s="5324" t="s">
        <v>2656</v>
      </c>
      <c r="AB160" s="5325" t="s">
        <v>2698</v>
      </c>
      <c r="AC160" s="5324" t="s">
        <v>2656</v>
      </c>
      <c r="AD160" s="5325" t="s">
        <v>2698</v>
      </c>
      <c r="AE160" s="5324" t="s">
        <v>2656</v>
      </c>
      <c r="AF160" s="5325" t="s">
        <v>2698</v>
      </c>
      <c r="AG160" s="5324" t="s">
        <v>2656</v>
      </c>
      <c r="AH160" s="5325" t="s">
        <v>2698</v>
      </c>
      <c r="AI160" s="5324" t="s">
        <v>2656</v>
      </c>
      <c r="AJ160" s="5328" t="s">
        <v>2698</v>
      </c>
      <c r="AK160" s="5378" t="s">
        <v>2656</v>
      </c>
      <c r="AL160" s="5325" t="s">
        <v>2698</v>
      </c>
      <c r="AM160" s="5324" t="s">
        <v>2656</v>
      </c>
      <c r="AN160" s="5325" t="s">
        <v>2698</v>
      </c>
      <c r="AO160" s="5379" t="s">
        <v>2656</v>
      </c>
      <c r="AP160" s="5325" t="s">
        <v>2698</v>
      </c>
      <c r="AQ160" s="5324" t="s">
        <v>2656</v>
      </c>
      <c r="AR160" s="5325" t="s">
        <v>2698</v>
      </c>
      <c r="AS160" s="5379" t="s">
        <v>2656</v>
      </c>
      <c r="AT160" s="5325" t="s">
        <v>2698</v>
      </c>
      <c r="AU160" s="5379" t="s">
        <v>2656</v>
      </c>
      <c r="AV160" s="5326" t="s">
        <v>2698</v>
      </c>
      <c r="AW160" s="5379" t="s">
        <v>2656</v>
      </c>
      <c r="AX160" s="5326" t="s">
        <v>2698</v>
      </c>
    </row>
    <row r="161" spans="1:131" x14ac:dyDescent="0.25">
      <c r="A161" s="7719" t="s">
        <v>2699</v>
      </c>
      <c r="B161" s="7720"/>
      <c r="C161" s="2014">
        <f t="shared" ref="C161:D163" si="542">+M161+O161+Q161+S161+U161+W161+Y161+AA161+AC161+AE161</f>
        <v>0</v>
      </c>
      <c r="D161" s="5380">
        <f t="shared" si="542"/>
        <v>0</v>
      </c>
      <c r="E161" s="5381"/>
      <c r="F161" s="5382"/>
      <c r="G161" s="5381"/>
      <c r="H161" s="5382"/>
      <c r="I161" s="5381"/>
      <c r="J161" s="5382"/>
      <c r="K161" s="5381"/>
      <c r="L161" s="5382"/>
      <c r="M161" s="5358"/>
      <c r="N161" s="5359"/>
      <c r="O161" s="5358"/>
      <c r="P161" s="5359"/>
      <c r="Q161" s="5358"/>
      <c r="R161" s="5359"/>
      <c r="S161" s="5358"/>
      <c r="T161" s="5359"/>
      <c r="U161" s="5358"/>
      <c r="V161" s="5359"/>
      <c r="W161" s="5358"/>
      <c r="X161" s="5359"/>
      <c r="Y161" s="5358"/>
      <c r="Z161" s="5359"/>
      <c r="AA161" s="5358"/>
      <c r="AB161" s="5359"/>
      <c r="AC161" s="5358"/>
      <c r="AD161" s="5359"/>
      <c r="AE161" s="5358"/>
      <c r="AF161" s="5359"/>
      <c r="AG161" s="5381"/>
      <c r="AH161" s="5383"/>
      <c r="AI161" s="5381"/>
      <c r="AJ161" s="5384"/>
      <c r="AK161" s="3607"/>
      <c r="AL161" s="5385"/>
      <c r="AM161" s="276"/>
      <c r="AN161" s="3608"/>
      <c r="AO161" s="5337"/>
      <c r="AP161" s="3609"/>
      <c r="AQ161" s="3572"/>
      <c r="AR161" s="3610"/>
      <c r="AS161" s="5337"/>
      <c r="AT161" s="3610"/>
      <c r="AU161" s="5337"/>
      <c r="AV161" s="3609"/>
      <c r="AW161" s="5337"/>
      <c r="AX161" s="3609"/>
      <c r="AY161" s="175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3235" t="str">
        <f>IF(D161&gt;C161," * El Total de Exámenes Confirmados Positivos por ISP NO DEBE SUPERAR los  Exámenes Procesados. ","")</f>
        <v/>
      </c>
      <c r="CB161" s="3611"/>
      <c r="CC161" s="2873" t="str">
        <f>IF(AN161&gt;AM161," * El número de Exámenes por Sexo Mujeres Confirmados positivos por ISP NO PUEDE Superar al número de Procesados. ","")</f>
        <v/>
      </c>
      <c r="CD161" s="2718"/>
      <c r="CE161" s="2718"/>
      <c r="CF161" s="2718"/>
      <c r="CG161" s="2718"/>
      <c r="CH161" s="2718"/>
      <c r="CI161" s="2873" t="str">
        <f>IF(AND(C161&gt;0,AND(AO161="",AQ161=""))," * No olvide digitar los exámenes procesados Trans (Masculino y femenino) Digite Cero si no tiene.",IF((AO161+AQ161)&gt;C161," * Los exámenes procesados en Trans (Masculino y femenino) no pueden ser mayor que el Total de exámenes procesados.",""))</f>
        <v/>
      </c>
      <c r="CJ161" s="603"/>
      <c r="CK161" s="2873" t="str">
        <f>IF((AM161+AK161)&lt;&gt;C161," * El N° de exámenes Procesados por SEXO (Hombres + Mujeres)no puede ser distinto al Total de exámenes procesados","")</f>
        <v/>
      </c>
      <c r="CL161" s="2873" t="str">
        <f>IF((AN161+AL161)&lt;&gt;D161," * El N° de exámenes Confirmados positivos por ISP por Sexo (Hombres+Mujeres) no puede ser distinto al N° Total de exámenes Confirmados positivos por ISP ","")</f>
        <v/>
      </c>
      <c r="CM161" s="2873" t="str">
        <f>IF(AND(C161&gt;0,AS161="")," * No olvide digitar los examanes Procesados de Pueblos Originarios. Digite Cero si no tiene.",IF(AS161&gt;C161," * Los exámenes procesados Pueblos originarios no pueden ser mayor que el Total de exámenes procesados.",""))</f>
        <v/>
      </c>
      <c r="CN161" s="2873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2873" t="str">
        <f>IF(AND(D161&gt;0,AND(AP161="",AR161=""))," * No olvide digitar los exámenes Confirmados positivos por ISP de Trans (Masculino y femenino) Digite Cero si no tiene.",IF((AP161+AR161)&gt;D161," * Los exámenes confirmados positivos por ISP de Trans (Masculino y femenino) no pueden ser mayor que el Total de exámenes Confirmados positivos por ISP.",""))</f>
        <v/>
      </c>
      <c r="CP161" s="2873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2873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2718"/>
      <c r="CS161" s="2718"/>
      <c r="CT161" s="6325" t="str">
        <f>IF(AW161&gt;(M161+O161),"* El Total de Procesados de 14-18 años NO DEBE ser mayor al Total de Procesados registrados en los grupos de edad 10 a 14 y 15 a 19 años. ","")</f>
        <v/>
      </c>
      <c r="CU161" s="6325" t="str">
        <f>IF(AX161&gt;(N161+P161),"* El Total de Confirmados de 14-18 años NO DEBE ser mayor al Total de Confirmados registrados en los grupos de edad 10 a 14 y 15 a 19 años. ","")</f>
        <v/>
      </c>
      <c r="CV161" s="6325" t="str">
        <f>IF(AND((M161+O161)&gt;0,AW161=""),"*No olvide digitar los Exámenes Procesados de 14-18 años. Digite cero si no tiene.","")</f>
        <v/>
      </c>
      <c r="CW161" s="6325" t="str">
        <f>IF(AND((N161+P161)&gt;0,AX161=""),"*No olvide digitar los Exámenes Confirmados Positivos por ISP de 14-18 años. Digite cero si no tiene.","")</f>
        <v/>
      </c>
      <c r="DE161" s="3235">
        <f>IF(D161&gt;C161,1,0)</f>
        <v>0</v>
      </c>
      <c r="DF161" s="3611"/>
      <c r="DG161" s="2873">
        <f>IF(AN161&gt;AM161,1,0)</f>
        <v>0</v>
      </c>
      <c r="DH161" s="2718"/>
      <c r="DI161" s="2718"/>
      <c r="DJ161" s="2718"/>
      <c r="DK161" s="2718"/>
      <c r="DL161" s="2718"/>
      <c r="DM161" s="2873">
        <f>IF(AND(C161&gt;0,AND(AO161="",AQ161="")),1,IF((AO161+AQ161)&gt;C161,1,0))</f>
        <v>0</v>
      </c>
      <c r="DN161" s="603"/>
      <c r="DO161" s="2873">
        <f>IF((AM161+AK161)&lt;&gt;C161,1,0)</f>
        <v>0</v>
      </c>
      <c r="DP161" s="2873">
        <f>IF((AN161+AL161)&lt;&gt;D161,1,0)</f>
        <v>0</v>
      </c>
      <c r="DQ161" s="2873">
        <f>IF(AND(C161&gt;0,AS161=""),1,IF(AS161&gt;C161,1,0))</f>
        <v>0</v>
      </c>
      <c r="DR161" s="2873">
        <f>IF(AND(C161&gt;0,AU161=""),1,IF(AU161&gt;C161,1,0))</f>
        <v>0</v>
      </c>
      <c r="DS161" s="2873">
        <f>IF(AND(D161&gt;0,AND(AP161="",AR161="")),1,IF((AP161+AR161)&gt;D161,1,0))</f>
        <v>0</v>
      </c>
      <c r="DT161" s="2873">
        <f>IF(AND(D161&gt;0,AT161=""),1,IF(AT161&gt;D161,1,0))</f>
        <v>0</v>
      </c>
      <c r="DU161" s="2873">
        <f>IF(AND(D161&gt;0,AV161=""),1,IF(AV161&gt;D161,1,0))</f>
        <v>0</v>
      </c>
      <c r="DV161" s="2718"/>
      <c r="DW161" s="2718"/>
      <c r="DX161" s="6325">
        <f>IF(AW161&gt;(M161+O161),1,0)</f>
        <v>0</v>
      </c>
      <c r="DY161" s="6325">
        <f>IF(AX161&gt;(N161+P161),1,0)</f>
        <v>0</v>
      </c>
      <c r="DZ161" s="6325">
        <f>IF(AND((M161+O161)&gt;0,AW161=""),1,0)</f>
        <v>0</v>
      </c>
      <c r="EA161" s="6325">
        <f>IF(AND((N161+P161)&gt;0,AX161=""),1,0)</f>
        <v>0</v>
      </c>
    </row>
    <row r="162" spans="1:131" x14ac:dyDescent="0.25">
      <c r="A162" s="7710" t="s">
        <v>2700</v>
      </c>
      <c r="B162" s="7711"/>
      <c r="C162" s="2014">
        <f t="shared" si="542"/>
        <v>0</v>
      </c>
      <c r="D162" s="5222">
        <f t="shared" si="542"/>
        <v>0</v>
      </c>
      <c r="E162" s="5339"/>
      <c r="F162" s="5340"/>
      <c r="G162" s="5339"/>
      <c r="H162" s="5340"/>
      <c r="I162" s="5339"/>
      <c r="J162" s="5340"/>
      <c r="K162" s="5339"/>
      <c r="L162" s="5340"/>
      <c r="M162" s="276"/>
      <c r="N162" s="5334"/>
      <c r="O162" s="276"/>
      <c r="P162" s="5334"/>
      <c r="Q162" s="276"/>
      <c r="R162" s="5334"/>
      <c r="S162" s="276"/>
      <c r="T162" s="5334"/>
      <c r="U162" s="276"/>
      <c r="V162" s="5334"/>
      <c r="W162" s="276"/>
      <c r="X162" s="5334"/>
      <c r="Y162" s="276"/>
      <c r="Z162" s="5334"/>
      <c r="AA162" s="276"/>
      <c r="AB162" s="5334"/>
      <c r="AC162" s="276"/>
      <c r="AD162" s="5334"/>
      <c r="AE162" s="276"/>
      <c r="AF162" s="5334"/>
      <c r="AG162" s="5339"/>
      <c r="AH162" s="5341"/>
      <c r="AI162" s="5339"/>
      <c r="AJ162" s="5347"/>
      <c r="AK162" s="3576"/>
      <c r="AL162" s="3612"/>
      <c r="AM162" s="5229"/>
      <c r="AN162" s="3610"/>
      <c r="AO162" s="5337"/>
      <c r="AP162" s="3609"/>
      <c r="AQ162" s="3572"/>
      <c r="AR162" s="3610"/>
      <c r="AS162" s="5337"/>
      <c r="AT162" s="3610"/>
      <c r="AU162" s="5337"/>
      <c r="AV162" s="3609"/>
      <c r="AW162" s="5337"/>
      <c r="AX162" s="3609"/>
      <c r="AY162" s="1755" t="str">
        <f t="shared" ref="AY162:AY163" si="543">$CA162&amp;$CC162&amp;CD162&amp;CE162&amp;CF162&amp;CG162&amp;CH162&amp;CI162&amp;CJ162&amp;CK162&amp;CL162&amp;CM162&amp;CN162&amp;CO162&amp;CP162&amp;CQ162&amp;CR162&amp;CS162&amp;CT162&amp;CU162&amp;CV162&amp;CW162</f>
        <v/>
      </c>
      <c r="CA162" s="3235" t="str">
        <f t="shared" ref="CA162:CA183" si="544">IF(D162&gt;C162," * El Total de Exámenes Confirmados Positivos por ISP NO DEBE SUPERAR los  Exámenes Procesados. ","")</f>
        <v/>
      </c>
      <c r="CB162" s="3611"/>
      <c r="CC162" s="2873" t="str">
        <f t="shared" ref="CC162:CC183" si="545">IF(AN162&gt;AM162," * El número de Exámenes por Sexo Mujeres Confirmados positivos por ISP NO PUEDE Superar al número de Procesados. ","")</f>
        <v/>
      </c>
      <c r="CD162" s="2718"/>
      <c r="CE162" s="2718"/>
      <c r="CF162" s="2718"/>
      <c r="CG162" s="2718"/>
      <c r="CH162" s="2718"/>
      <c r="CI162" s="2873" t="str">
        <f t="shared" ref="CI162:CI183" si="546">IF(AND(C162&gt;0,AND(AO162="",AQ162=""))," * No olvide digitar los exámenes procesados Trans (Masculino y femenino) Digite Cero si no tiene.",IF((AO162+AQ162)&gt;C162," * Los exámenes procesados en Trans (Masculino y femenino) no pueden ser mayor que el Total de exámenes procesados.",""))</f>
        <v/>
      </c>
      <c r="CJ162" s="603"/>
      <c r="CK162" s="2873" t="str">
        <f t="shared" ref="CK162:CK183" si="547">IF((AM162+AK162)&lt;&gt;C162," * El N° de exámenes Procesados por SEXO (Hombres + Mujeres)no puede ser distinto al Total de exámenes procesados","")</f>
        <v/>
      </c>
      <c r="CL162" s="2873" t="str">
        <f t="shared" ref="CL162:CL183" si="548">IF((AN162+AL162)&lt;&gt;D162," * El N° de exámenes Confirmados positivos por ISP por Sexo (Hombres+Mujeres) no puede ser distinto al N° Total de exámenes Confirmados positivos por ISP ","")</f>
        <v/>
      </c>
      <c r="CM162" s="2873" t="str">
        <f t="shared" ref="CM162:CM183" si="549">IF(AND(C162&gt;0,AS162="")," * No olvide digitar los examanes Procesados de Pueblos Originarios. Digite Cero si no tiene.",IF(AS162&gt;C162," * Los exámenes procesados Pueblos originarios no pueden ser mayor que el Total de exámenes procesados.",""))</f>
        <v/>
      </c>
      <c r="CN162" s="2873" t="str">
        <f t="shared" ref="CN162:CN183" si="55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2873" t="str">
        <f t="shared" ref="CO162:CO183" si="551">IF(AND(D162&gt;0,AND(AP162="",AR162=""))," * No olvide digitar los exámenes Confirmados positivos por ISP de Trans (Masculino y femenino) Digite Cero si no tiene.",IF((AP162+AR162)&gt;D162," * Los exámenes confirmados positivos por ISP de Trans (Masculino y femenino) no pueden ser mayor que el Total de exámenes Confirmados positivos por ISP.",""))</f>
        <v/>
      </c>
      <c r="CP162" s="2873" t="str">
        <f t="shared" ref="CP162:CP183" si="55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2873" t="str">
        <f t="shared" ref="CQ162:CQ183" si="55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2718"/>
      <c r="CS162" s="2718"/>
      <c r="CT162" s="6325" t="str">
        <f t="shared" ref="CT162:CT183" si="554">IF(AW162&gt;(M162+O162),"* El Total de Procesados de 14-18 años NO DEBE ser mayor al Total de Procesados registrados en los grupos de edad 10 a 14 y 15 a 19 años. ","")</f>
        <v/>
      </c>
      <c r="CU162" s="6325" t="str">
        <f t="shared" ref="CU162:CU183" si="555">IF(AX162&gt;(N162+P162),"* El Total de Confirmados de 14-18 años NO DEBE ser mayor al Total de Confirmados registrados en los grupos de edad 10 a 14 y 15 a 19 años. ","")</f>
        <v/>
      </c>
      <c r="CV162" s="6325" t="str">
        <f t="shared" ref="CV162:CV169" si="556">IF(AND((M162+O162)&gt;0,AW162=""),"*No olvide digitar los Exámenes Procesados de 14-18 años. Digite cero si no tiene.","")</f>
        <v/>
      </c>
      <c r="CW162" s="6325" t="str">
        <f t="shared" ref="CW162:CW169" si="557">IF(AND((N162+P162)&gt;0,AX162=""),"*No olvide digitar los Exámenes Confirmados Positivos por ISP de 14-18 años. Digite cero si no tiene.","")</f>
        <v/>
      </c>
      <c r="DE162" s="3235">
        <f t="shared" ref="DE162:DE183" si="558">IF(D162&gt;C162,1,0)</f>
        <v>0</v>
      </c>
      <c r="DF162" s="3611"/>
      <c r="DG162" s="2873">
        <f t="shared" ref="DG162:DG183" si="559">IF(AN162&gt;AM162,1,0)</f>
        <v>0</v>
      </c>
      <c r="DH162" s="2718"/>
      <c r="DI162" s="2718"/>
      <c r="DJ162" s="2718"/>
      <c r="DK162" s="2718"/>
      <c r="DL162" s="2718"/>
      <c r="DM162" s="2873">
        <f t="shared" ref="DM162:DM183" si="560">IF(AND(C162&gt;0,AND(AO162="",AQ162="")),1,IF((AO162+AQ162)&gt;C162,1,0))</f>
        <v>0</v>
      </c>
      <c r="DN162" s="603"/>
      <c r="DO162" s="2873">
        <f t="shared" ref="DO162:DP183" si="561">IF((AM162+AK162)&lt;&gt;C162,1,0)</f>
        <v>0</v>
      </c>
      <c r="DP162" s="2873">
        <f t="shared" si="561"/>
        <v>0</v>
      </c>
      <c r="DQ162" s="2873">
        <f t="shared" ref="DQ162:DQ183" si="562">IF(AND(C162&gt;0,AS162=""),1,IF(AS162&gt;C162,1,0))</f>
        <v>0</v>
      </c>
      <c r="DR162" s="2873">
        <f t="shared" ref="DR162:DR183" si="563">IF(AND(C162&gt;0,AU162=""),1,IF(AU162&gt;C162,1,0))</f>
        <v>0</v>
      </c>
      <c r="DS162" s="2873">
        <f t="shared" ref="DS162:DS183" si="564">IF(AND(D162&gt;0,AND(AP162="",AR162="")),1,IF((AP162+AR162)&gt;D162,1,0))</f>
        <v>0</v>
      </c>
      <c r="DT162" s="2873">
        <f t="shared" ref="DT162:DT183" si="565">IF(AND(D162&gt;0,AT162=""),1,IF(AT162&gt;D162,1,0))</f>
        <v>0</v>
      </c>
      <c r="DU162" s="2873">
        <f t="shared" ref="DU162:DU183" si="566">IF(AND(D162&gt;0,AV162=""),1,IF(AV162&gt;D162,1,0))</f>
        <v>0</v>
      </c>
      <c r="DV162" s="2718"/>
      <c r="DW162" s="2718"/>
      <c r="DX162" s="6325">
        <f t="shared" ref="DX162:DX183" si="567">IF(AW162&gt;(M162+O162),1,0)</f>
        <v>0</v>
      </c>
      <c r="DY162" s="6325">
        <f t="shared" ref="DY162:DY183" si="568">IF(AX162&gt;(N162+P162),1,0)</f>
        <v>0</v>
      </c>
      <c r="DZ162" s="6325">
        <f t="shared" ref="DZ162:DZ169" si="569">IF(AND((M162+O162)&gt;0,AW162=""),1,0)</f>
        <v>0</v>
      </c>
      <c r="EA162" s="6325">
        <f t="shared" ref="EA162:EA169" si="570">IF(AND((N162+P162)&gt;0,AX162=""),1,0)</f>
        <v>0</v>
      </c>
    </row>
    <row r="163" spans="1:131" x14ac:dyDescent="0.25">
      <c r="A163" s="7710" t="s">
        <v>2701</v>
      </c>
      <c r="B163" s="7711"/>
      <c r="C163" s="2014">
        <f t="shared" si="542"/>
        <v>0</v>
      </c>
      <c r="D163" s="5222">
        <f t="shared" si="542"/>
        <v>0</v>
      </c>
      <c r="E163" s="5339"/>
      <c r="F163" s="5340"/>
      <c r="G163" s="5339"/>
      <c r="H163" s="5340"/>
      <c r="I163" s="5339"/>
      <c r="J163" s="5340"/>
      <c r="K163" s="5339"/>
      <c r="L163" s="5340"/>
      <c r="M163" s="5229"/>
      <c r="N163" s="5342"/>
      <c r="O163" s="5229"/>
      <c r="P163" s="5342"/>
      <c r="Q163" s="5229"/>
      <c r="R163" s="5342"/>
      <c r="S163" s="5229"/>
      <c r="T163" s="5342"/>
      <c r="U163" s="5229"/>
      <c r="V163" s="5342"/>
      <c r="W163" s="5229"/>
      <c r="X163" s="5342"/>
      <c r="Y163" s="5229"/>
      <c r="Z163" s="5342"/>
      <c r="AA163" s="5229"/>
      <c r="AB163" s="5342"/>
      <c r="AC163" s="5229"/>
      <c r="AD163" s="5342"/>
      <c r="AE163" s="5229"/>
      <c r="AF163" s="5342"/>
      <c r="AG163" s="5339"/>
      <c r="AH163" s="5341"/>
      <c r="AI163" s="5339"/>
      <c r="AJ163" s="5347"/>
      <c r="AK163" s="3576"/>
      <c r="AL163" s="3612"/>
      <c r="AM163" s="5229"/>
      <c r="AN163" s="3610"/>
      <c r="AO163" s="5337"/>
      <c r="AP163" s="3609"/>
      <c r="AQ163" s="3572"/>
      <c r="AR163" s="3610"/>
      <c r="AS163" s="5337"/>
      <c r="AT163" s="3610"/>
      <c r="AU163" s="5337"/>
      <c r="AV163" s="3609"/>
      <c r="AW163" s="5337"/>
      <c r="AX163" s="3609"/>
      <c r="AY163" s="1755" t="str">
        <f t="shared" si="543"/>
        <v/>
      </c>
      <c r="CA163" s="3235" t="str">
        <f t="shared" si="544"/>
        <v/>
      </c>
      <c r="CB163" s="3611"/>
      <c r="CC163" s="2873" t="str">
        <f t="shared" si="545"/>
        <v/>
      </c>
      <c r="CD163" s="2718"/>
      <c r="CE163" s="2718"/>
      <c r="CF163" s="2718"/>
      <c r="CG163" s="2718"/>
      <c r="CH163" s="2718"/>
      <c r="CI163" s="2873" t="str">
        <f t="shared" si="546"/>
        <v/>
      </c>
      <c r="CJ163" s="603"/>
      <c r="CK163" s="2873" t="str">
        <f t="shared" si="547"/>
        <v/>
      </c>
      <c r="CL163" s="2873" t="str">
        <f t="shared" si="548"/>
        <v/>
      </c>
      <c r="CM163" s="2873" t="str">
        <f t="shared" si="549"/>
        <v/>
      </c>
      <c r="CN163" s="2873" t="str">
        <f t="shared" si="550"/>
        <v/>
      </c>
      <c r="CO163" s="2873" t="str">
        <f t="shared" si="551"/>
        <v/>
      </c>
      <c r="CP163" s="2873" t="str">
        <f t="shared" si="552"/>
        <v/>
      </c>
      <c r="CQ163" s="2873" t="str">
        <f t="shared" si="553"/>
        <v/>
      </c>
      <c r="CR163" s="2718"/>
      <c r="CS163" s="2718"/>
      <c r="CT163" s="6325" t="str">
        <f t="shared" si="554"/>
        <v/>
      </c>
      <c r="CU163" s="6325" t="str">
        <f t="shared" si="555"/>
        <v/>
      </c>
      <c r="CV163" s="6325" t="str">
        <f t="shared" si="556"/>
        <v/>
      </c>
      <c r="CW163" s="6325" t="str">
        <f t="shared" si="557"/>
        <v/>
      </c>
      <c r="DE163" s="3235">
        <f t="shared" si="558"/>
        <v>0</v>
      </c>
      <c r="DF163" s="3611"/>
      <c r="DG163" s="2873">
        <f t="shared" si="559"/>
        <v>0</v>
      </c>
      <c r="DH163" s="2718"/>
      <c r="DI163" s="2718"/>
      <c r="DJ163" s="2718"/>
      <c r="DK163" s="2718"/>
      <c r="DL163" s="2718"/>
      <c r="DM163" s="2873">
        <f t="shared" si="560"/>
        <v>0</v>
      </c>
      <c r="DN163" s="603"/>
      <c r="DO163" s="2873">
        <f t="shared" si="561"/>
        <v>0</v>
      </c>
      <c r="DP163" s="2873">
        <f t="shared" si="561"/>
        <v>0</v>
      </c>
      <c r="DQ163" s="2873">
        <f t="shared" si="562"/>
        <v>0</v>
      </c>
      <c r="DR163" s="2873">
        <f t="shared" si="563"/>
        <v>0</v>
      </c>
      <c r="DS163" s="2873">
        <f t="shared" si="564"/>
        <v>0</v>
      </c>
      <c r="DT163" s="2873">
        <f t="shared" si="565"/>
        <v>0</v>
      </c>
      <c r="DU163" s="2873">
        <f t="shared" si="566"/>
        <v>0</v>
      </c>
      <c r="DV163" s="2718"/>
      <c r="DW163" s="2718"/>
      <c r="DX163" s="6325">
        <f t="shared" si="567"/>
        <v>0</v>
      </c>
      <c r="DY163" s="6325">
        <f t="shared" si="568"/>
        <v>0</v>
      </c>
      <c r="DZ163" s="6325">
        <f t="shared" si="569"/>
        <v>0</v>
      </c>
      <c r="EA163" s="6325">
        <f t="shared" si="570"/>
        <v>0</v>
      </c>
    </row>
    <row r="164" spans="1:131" x14ac:dyDescent="0.25">
      <c r="A164" s="7710" t="s">
        <v>2668</v>
      </c>
      <c r="B164" s="7711"/>
      <c r="C164" s="2014">
        <f>+O164+Q164+S164+U164+W164+Y164+AA164+AC164+AE164+AG164+AI164</f>
        <v>0</v>
      </c>
      <c r="D164" s="2012">
        <f>+P164+R164+T164+V164+X164+Z164+AB164+AD164+AF164+AH164+AJ164</f>
        <v>0</v>
      </c>
      <c r="E164" s="5339"/>
      <c r="F164" s="5340"/>
      <c r="G164" s="5339"/>
      <c r="H164" s="5340"/>
      <c r="I164" s="5339"/>
      <c r="J164" s="5340"/>
      <c r="K164" s="5339"/>
      <c r="L164" s="5340"/>
      <c r="M164" s="5339"/>
      <c r="N164" s="5340"/>
      <c r="O164" s="5229"/>
      <c r="P164" s="5342"/>
      <c r="Q164" s="5229"/>
      <c r="R164" s="5342"/>
      <c r="S164" s="5229"/>
      <c r="T164" s="5342"/>
      <c r="U164" s="5229"/>
      <c r="V164" s="5342"/>
      <c r="W164" s="5229"/>
      <c r="X164" s="5342"/>
      <c r="Y164" s="5229"/>
      <c r="Z164" s="5342"/>
      <c r="AA164" s="5229"/>
      <c r="AB164" s="5342"/>
      <c r="AC164" s="5229"/>
      <c r="AD164" s="5342"/>
      <c r="AE164" s="5229"/>
      <c r="AF164" s="5342"/>
      <c r="AG164" s="5229"/>
      <c r="AH164" s="5342"/>
      <c r="AI164" s="5229"/>
      <c r="AJ164" s="5342"/>
      <c r="AK164" s="5337"/>
      <c r="AL164" s="3609"/>
      <c r="AM164" s="5229"/>
      <c r="AN164" s="3610"/>
      <c r="AO164" s="5337"/>
      <c r="AP164" s="3609"/>
      <c r="AQ164" s="3572"/>
      <c r="AR164" s="3610"/>
      <c r="AS164" s="5337"/>
      <c r="AT164" s="3610"/>
      <c r="AU164" s="5337"/>
      <c r="AV164" s="3609"/>
      <c r="AW164" s="5337"/>
      <c r="AX164" s="3609"/>
      <c r="AY164" s="175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3235" t="str">
        <f t="shared" si="544"/>
        <v/>
      </c>
      <c r="CB164" s="2873" t="str">
        <f>IF(AL164&gt;AK164," * El número de Exámenes por Sexo Hombres Confirmados positivos por ISP NO PUEDE Superar al número de Procesados. ","")</f>
        <v/>
      </c>
      <c r="CC164" s="2873" t="str">
        <f t="shared" si="545"/>
        <v/>
      </c>
      <c r="CD164" s="2718"/>
      <c r="CE164" s="2718"/>
      <c r="CF164" s="2718"/>
      <c r="CG164" s="2718"/>
      <c r="CH164" s="2718"/>
      <c r="CI164" s="2873" t="str">
        <f t="shared" si="546"/>
        <v/>
      </c>
      <c r="CJ164" s="603"/>
      <c r="CK164" s="2873" t="str">
        <f t="shared" si="547"/>
        <v/>
      </c>
      <c r="CL164" s="2873" t="str">
        <f t="shared" si="548"/>
        <v/>
      </c>
      <c r="CM164" s="2873" t="str">
        <f t="shared" si="549"/>
        <v/>
      </c>
      <c r="CN164" s="2873" t="str">
        <f t="shared" si="550"/>
        <v/>
      </c>
      <c r="CO164" s="2873" t="str">
        <f t="shared" si="551"/>
        <v/>
      </c>
      <c r="CP164" s="2873" t="str">
        <f t="shared" si="552"/>
        <v/>
      </c>
      <c r="CQ164" s="2873" t="str">
        <f t="shared" si="553"/>
        <v/>
      </c>
      <c r="CR164" s="2718"/>
      <c r="CS164" s="2718"/>
      <c r="CT164" s="6325" t="str">
        <f t="shared" si="554"/>
        <v/>
      </c>
      <c r="CU164" s="6325" t="str">
        <f t="shared" si="555"/>
        <v/>
      </c>
      <c r="CV164" s="6325" t="str">
        <f t="shared" si="556"/>
        <v/>
      </c>
      <c r="CW164" s="6325" t="str">
        <f t="shared" si="557"/>
        <v/>
      </c>
      <c r="DE164" s="3235">
        <f t="shared" si="558"/>
        <v>0</v>
      </c>
      <c r="DF164" s="2873">
        <f>IF(AL164&gt;AK164,1,0)</f>
        <v>0</v>
      </c>
      <c r="DG164" s="2873">
        <f t="shared" si="559"/>
        <v>0</v>
      </c>
      <c r="DH164" s="2718"/>
      <c r="DI164" s="2718"/>
      <c r="DJ164" s="2718"/>
      <c r="DK164" s="2718"/>
      <c r="DL164" s="2718"/>
      <c r="DM164" s="2873">
        <f t="shared" si="560"/>
        <v>0</v>
      </c>
      <c r="DN164" s="603"/>
      <c r="DO164" s="2873">
        <f t="shared" si="561"/>
        <v>0</v>
      </c>
      <c r="DP164" s="2873">
        <f t="shared" si="561"/>
        <v>0</v>
      </c>
      <c r="DQ164" s="2873">
        <f t="shared" si="562"/>
        <v>0</v>
      </c>
      <c r="DR164" s="2873">
        <f t="shared" si="563"/>
        <v>0</v>
      </c>
      <c r="DS164" s="2873">
        <f t="shared" si="564"/>
        <v>0</v>
      </c>
      <c r="DT164" s="2873">
        <f t="shared" si="565"/>
        <v>0</v>
      </c>
      <c r="DU164" s="2873">
        <f t="shared" si="566"/>
        <v>0</v>
      </c>
      <c r="DV164" s="2718"/>
      <c r="DW164" s="2718"/>
      <c r="DX164" s="6325">
        <f t="shared" si="567"/>
        <v>0</v>
      </c>
      <c r="DY164" s="6325">
        <f t="shared" si="568"/>
        <v>0</v>
      </c>
      <c r="DZ164" s="6325">
        <f t="shared" si="569"/>
        <v>0</v>
      </c>
      <c r="EA164" s="6325">
        <f t="shared" si="570"/>
        <v>0</v>
      </c>
    </row>
    <row r="165" spans="1:131" x14ac:dyDescent="0.25">
      <c r="A165" s="7710" t="s">
        <v>2674</v>
      </c>
      <c r="B165" s="7711"/>
      <c r="C165" s="2014">
        <f>+E165+G165+I165+K165+M165+O165+Q165+S165+U165+W165+Y165+AA165+AC165+AE165+AG165+AI165</f>
        <v>0</v>
      </c>
      <c r="D165" s="2012">
        <f>+F165+H165+J165+L165+N165+P165+R165+T165+V165+X165+Z165+AB165+AD165+AF165+AH165+AJ165</f>
        <v>0</v>
      </c>
      <c r="E165" s="5229"/>
      <c r="F165" s="5342"/>
      <c r="G165" s="5229"/>
      <c r="H165" s="5342"/>
      <c r="I165" s="5229"/>
      <c r="J165" s="5342"/>
      <c r="K165" s="5229"/>
      <c r="L165" s="5342"/>
      <c r="M165" s="5229"/>
      <c r="N165" s="5342"/>
      <c r="O165" s="5229"/>
      <c r="P165" s="5342"/>
      <c r="Q165" s="5229"/>
      <c r="R165" s="5342"/>
      <c r="S165" s="5229"/>
      <c r="T165" s="5342"/>
      <c r="U165" s="5229"/>
      <c r="V165" s="5342"/>
      <c r="W165" s="5229"/>
      <c r="X165" s="5342"/>
      <c r="Y165" s="5229"/>
      <c r="Z165" s="5342"/>
      <c r="AA165" s="5229"/>
      <c r="AB165" s="5342"/>
      <c r="AC165" s="5229"/>
      <c r="AD165" s="5342"/>
      <c r="AE165" s="5229"/>
      <c r="AF165" s="5342"/>
      <c r="AG165" s="5229"/>
      <c r="AH165" s="5342"/>
      <c r="AI165" s="5229"/>
      <c r="AJ165" s="5342"/>
      <c r="AK165" s="5386"/>
      <c r="AL165" s="3613"/>
      <c r="AM165" s="5387"/>
      <c r="AN165" s="3610"/>
      <c r="AO165" s="5337"/>
      <c r="AP165" s="3609"/>
      <c r="AQ165" s="3572"/>
      <c r="AR165" s="3610"/>
      <c r="AS165" s="5337"/>
      <c r="AT165" s="3610"/>
      <c r="AU165" s="5337"/>
      <c r="AV165" s="3609"/>
      <c r="AW165" s="5337"/>
      <c r="AX165" s="3609"/>
      <c r="AY165" s="1755" t="str">
        <f t="shared" ref="AY165:AY182" si="571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3235" t="str">
        <f t="shared" si="544"/>
        <v/>
      </c>
      <c r="CB165" s="2873" t="str">
        <f t="shared" ref="CB165:CB183" si="572">IF(AL165&gt;AK165," * El número de Exámenes por Sexo Hombres Confirmados positivos por ISP NO PUEDE Superar al número de Procesados. ","")</f>
        <v/>
      </c>
      <c r="CC165" s="2873" t="str">
        <f t="shared" si="545"/>
        <v/>
      </c>
      <c r="CD165" s="2718"/>
      <c r="CE165" s="2718"/>
      <c r="CF165" s="2718"/>
      <c r="CG165" s="2718"/>
      <c r="CH165" s="2718"/>
      <c r="CI165" s="2873" t="str">
        <f t="shared" si="546"/>
        <v/>
      </c>
      <c r="CJ165" s="603"/>
      <c r="CK165" s="2873" t="str">
        <f t="shared" si="547"/>
        <v/>
      </c>
      <c r="CL165" s="2873" t="str">
        <f t="shared" si="548"/>
        <v/>
      </c>
      <c r="CM165" s="2873" t="str">
        <f t="shared" si="549"/>
        <v/>
      </c>
      <c r="CN165" s="2873" t="str">
        <f t="shared" si="550"/>
        <v/>
      </c>
      <c r="CO165" s="2873" t="str">
        <f t="shared" si="551"/>
        <v/>
      </c>
      <c r="CP165" s="2873" t="str">
        <f t="shared" si="552"/>
        <v/>
      </c>
      <c r="CQ165" s="2873" t="str">
        <f t="shared" si="553"/>
        <v/>
      </c>
      <c r="CR165" s="2718"/>
      <c r="CS165" s="2718"/>
      <c r="CT165" s="6325" t="str">
        <f t="shared" si="554"/>
        <v/>
      </c>
      <c r="CU165" s="6325" t="str">
        <f t="shared" si="555"/>
        <v/>
      </c>
      <c r="CV165" s="6325" t="str">
        <f t="shared" si="556"/>
        <v/>
      </c>
      <c r="CW165" s="6325" t="str">
        <f t="shared" si="557"/>
        <v/>
      </c>
      <c r="DE165" s="3235">
        <f t="shared" si="558"/>
        <v>0</v>
      </c>
      <c r="DF165" s="2873">
        <f t="shared" ref="DF165:DF183" si="573">IF(AL165&gt;AK165,1,0)</f>
        <v>0</v>
      </c>
      <c r="DG165" s="2873">
        <f t="shared" si="559"/>
        <v>0</v>
      </c>
      <c r="DH165" s="2718"/>
      <c r="DI165" s="2718"/>
      <c r="DJ165" s="2718"/>
      <c r="DK165" s="2718"/>
      <c r="DL165" s="2718"/>
      <c r="DM165" s="2873">
        <f t="shared" si="560"/>
        <v>0</v>
      </c>
      <c r="DN165" s="603"/>
      <c r="DO165" s="2873">
        <f t="shared" si="561"/>
        <v>0</v>
      </c>
      <c r="DP165" s="2873">
        <f t="shared" si="561"/>
        <v>0</v>
      </c>
      <c r="DQ165" s="2873">
        <f t="shared" si="562"/>
        <v>0</v>
      </c>
      <c r="DR165" s="2873">
        <f t="shared" si="563"/>
        <v>0</v>
      </c>
      <c r="DS165" s="2873">
        <f t="shared" si="564"/>
        <v>0</v>
      </c>
      <c r="DT165" s="2873">
        <f t="shared" si="565"/>
        <v>0</v>
      </c>
      <c r="DU165" s="2873">
        <f t="shared" si="566"/>
        <v>0</v>
      </c>
      <c r="DV165" s="2718"/>
      <c r="DW165" s="2718"/>
      <c r="DX165" s="6325">
        <f t="shared" si="567"/>
        <v>0</v>
      </c>
      <c r="DY165" s="6325">
        <f t="shared" si="568"/>
        <v>0</v>
      </c>
      <c r="DZ165" s="6325">
        <f t="shared" si="569"/>
        <v>0</v>
      </c>
      <c r="EA165" s="6325">
        <f t="shared" si="570"/>
        <v>0</v>
      </c>
    </row>
    <row r="166" spans="1:131" x14ac:dyDescent="0.25">
      <c r="A166" s="7710" t="s">
        <v>2702</v>
      </c>
      <c r="B166" s="7711"/>
      <c r="C166" s="2014">
        <f>+E166+G166+I166+K166+M166+O166+Q166+S166+U166+W166+Y166+AA166+AC166+AE166+AG166+AI166</f>
        <v>0</v>
      </c>
      <c r="D166" s="5222">
        <f>+F166+H166+J166+L166+N166+P166+R166+T166+V166+X166+Z166+AB166+AD166+AF166+AH166+AJ166</f>
        <v>0</v>
      </c>
      <c r="E166" s="5229"/>
      <c r="F166" s="5342"/>
      <c r="G166" s="5229"/>
      <c r="H166" s="5342"/>
      <c r="I166" s="5229"/>
      <c r="J166" s="5342"/>
      <c r="K166" s="5229"/>
      <c r="L166" s="5342"/>
      <c r="M166" s="5229"/>
      <c r="N166" s="5342"/>
      <c r="O166" s="5229"/>
      <c r="P166" s="5342"/>
      <c r="Q166" s="5229"/>
      <c r="R166" s="5342"/>
      <c r="S166" s="5229"/>
      <c r="T166" s="5342"/>
      <c r="U166" s="5229"/>
      <c r="V166" s="5342"/>
      <c r="W166" s="5229"/>
      <c r="X166" s="5342"/>
      <c r="Y166" s="5229"/>
      <c r="Z166" s="5342"/>
      <c r="AA166" s="5229"/>
      <c r="AB166" s="5342"/>
      <c r="AC166" s="5229"/>
      <c r="AD166" s="5342"/>
      <c r="AE166" s="5229"/>
      <c r="AF166" s="5342"/>
      <c r="AG166" s="5229"/>
      <c r="AH166" s="5342"/>
      <c r="AI166" s="5229"/>
      <c r="AJ166" s="5342"/>
      <c r="AK166" s="5337"/>
      <c r="AL166" s="3609"/>
      <c r="AM166" s="5229"/>
      <c r="AN166" s="3610"/>
      <c r="AO166" s="5337"/>
      <c r="AP166" s="3609"/>
      <c r="AQ166" s="3572"/>
      <c r="AR166" s="3610"/>
      <c r="AS166" s="5337"/>
      <c r="AT166" s="3610"/>
      <c r="AU166" s="5337"/>
      <c r="AV166" s="3609"/>
      <c r="AW166" s="5337"/>
      <c r="AX166" s="3609"/>
      <c r="AY166" s="1755" t="str">
        <f t="shared" si="571"/>
        <v/>
      </c>
      <c r="CA166" s="3235" t="str">
        <f t="shared" si="544"/>
        <v/>
      </c>
      <c r="CB166" s="2873" t="str">
        <f t="shared" si="572"/>
        <v/>
      </c>
      <c r="CC166" s="2873" t="str">
        <f t="shared" si="545"/>
        <v/>
      </c>
      <c r="CD166" s="2718"/>
      <c r="CE166" s="2718"/>
      <c r="CF166" s="2718"/>
      <c r="CG166" s="2718"/>
      <c r="CH166" s="2718"/>
      <c r="CI166" s="2873" t="str">
        <f t="shared" si="546"/>
        <v/>
      </c>
      <c r="CJ166" s="603"/>
      <c r="CK166" s="2873" t="str">
        <f t="shared" si="547"/>
        <v/>
      </c>
      <c r="CL166" s="2873" t="str">
        <f t="shared" si="548"/>
        <v/>
      </c>
      <c r="CM166" s="2873" t="str">
        <f t="shared" si="549"/>
        <v/>
      </c>
      <c r="CN166" s="2873" t="str">
        <f t="shared" si="550"/>
        <v/>
      </c>
      <c r="CO166" s="2873" t="str">
        <f t="shared" si="551"/>
        <v/>
      </c>
      <c r="CP166" s="2873" t="str">
        <f t="shared" si="552"/>
        <v/>
      </c>
      <c r="CQ166" s="2873" t="str">
        <f t="shared" si="553"/>
        <v/>
      </c>
      <c r="CR166" s="2718"/>
      <c r="CS166" s="2718"/>
      <c r="CT166" s="6325" t="str">
        <f t="shared" si="554"/>
        <v/>
      </c>
      <c r="CU166" s="6325" t="str">
        <f t="shared" si="555"/>
        <v/>
      </c>
      <c r="CV166" s="6325" t="str">
        <f t="shared" si="556"/>
        <v/>
      </c>
      <c r="CW166" s="6325" t="str">
        <f t="shared" si="557"/>
        <v/>
      </c>
      <c r="DE166" s="3235">
        <f t="shared" si="558"/>
        <v>0</v>
      </c>
      <c r="DF166" s="2873">
        <f t="shared" si="573"/>
        <v>0</v>
      </c>
      <c r="DG166" s="2873">
        <f t="shared" si="559"/>
        <v>0</v>
      </c>
      <c r="DH166" s="2718"/>
      <c r="DI166" s="2718"/>
      <c r="DJ166" s="2718"/>
      <c r="DK166" s="2718"/>
      <c r="DL166" s="2718"/>
      <c r="DM166" s="2873">
        <f t="shared" si="560"/>
        <v>0</v>
      </c>
      <c r="DN166" s="603"/>
      <c r="DO166" s="2873">
        <f t="shared" si="561"/>
        <v>0</v>
      </c>
      <c r="DP166" s="2873">
        <f t="shared" si="561"/>
        <v>0</v>
      </c>
      <c r="DQ166" s="2873">
        <f t="shared" si="562"/>
        <v>0</v>
      </c>
      <c r="DR166" s="2873">
        <f t="shared" si="563"/>
        <v>0</v>
      </c>
      <c r="DS166" s="2873">
        <f t="shared" si="564"/>
        <v>0</v>
      </c>
      <c r="DT166" s="2873">
        <f t="shared" si="565"/>
        <v>0</v>
      </c>
      <c r="DU166" s="2873">
        <f t="shared" si="566"/>
        <v>0</v>
      </c>
      <c r="DV166" s="2718"/>
      <c r="DW166" s="2718"/>
      <c r="DX166" s="6325">
        <f t="shared" si="567"/>
        <v>0</v>
      </c>
      <c r="DY166" s="6325">
        <f t="shared" si="568"/>
        <v>0</v>
      </c>
      <c r="DZ166" s="6325">
        <f t="shared" si="569"/>
        <v>0</v>
      </c>
      <c r="EA166" s="6325">
        <f t="shared" si="570"/>
        <v>0</v>
      </c>
    </row>
    <row r="167" spans="1:131" x14ac:dyDescent="0.25">
      <c r="A167" s="7710" t="s">
        <v>2703</v>
      </c>
      <c r="B167" s="7711"/>
      <c r="C167" s="2014">
        <f>+O167+Q167+S167+U167+W167+Y167+AA167+AC167+AE167+AG167+AI167</f>
        <v>0</v>
      </c>
      <c r="D167" s="5222">
        <f>+P167+R167+T167+V167+X167+Z167+AB167+AD167+AF167+AH167+AJ167</f>
        <v>0</v>
      </c>
      <c r="E167" s="5339"/>
      <c r="F167" s="5340"/>
      <c r="G167" s="5339"/>
      <c r="H167" s="5340"/>
      <c r="I167" s="5339"/>
      <c r="J167" s="5340"/>
      <c r="K167" s="5339"/>
      <c r="L167" s="5340"/>
      <c r="M167" s="5339"/>
      <c r="N167" s="5340"/>
      <c r="O167" s="5229"/>
      <c r="P167" s="5342"/>
      <c r="Q167" s="5229"/>
      <c r="R167" s="5342"/>
      <c r="S167" s="5229"/>
      <c r="T167" s="5342"/>
      <c r="U167" s="5229"/>
      <c r="V167" s="5342"/>
      <c r="W167" s="5229"/>
      <c r="X167" s="5342"/>
      <c r="Y167" s="5229"/>
      <c r="Z167" s="5342"/>
      <c r="AA167" s="5229"/>
      <c r="AB167" s="5342"/>
      <c r="AC167" s="5229"/>
      <c r="AD167" s="5342"/>
      <c r="AE167" s="5229"/>
      <c r="AF167" s="5342"/>
      <c r="AG167" s="5229"/>
      <c r="AH167" s="5342"/>
      <c r="AI167" s="5229"/>
      <c r="AJ167" s="5342"/>
      <c r="AK167" s="5337"/>
      <c r="AL167" s="3609"/>
      <c r="AM167" s="5229"/>
      <c r="AN167" s="3610"/>
      <c r="AO167" s="5337"/>
      <c r="AP167" s="3609"/>
      <c r="AQ167" s="3572"/>
      <c r="AR167" s="3610"/>
      <c r="AS167" s="5337"/>
      <c r="AT167" s="3610"/>
      <c r="AU167" s="5337"/>
      <c r="AV167" s="3609"/>
      <c r="AW167" s="5337"/>
      <c r="AX167" s="3609"/>
      <c r="AY167" s="1755" t="str">
        <f t="shared" si="571"/>
        <v/>
      </c>
      <c r="CA167" s="3235" t="str">
        <f t="shared" si="544"/>
        <v/>
      </c>
      <c r="CB167" s="2873" t="str">
        <f t="shared" si="572"/>
        <v/>
      </c>
      <c r="CC167" s="2873" t="str">
        <f t="shared" si="545"/>
        <v/>
      </c>
      <c r="CD167" s="2718"/>
      <c r="CE167" s="2718"/>
      <c r="CF167" s="2718"/>
      <c r="CG167" s="2718"/>
      <c r="CH167" s="2718"/>
      <c r="CI167" s="2873" t="str">
        <f t="shared" si="546"/>
        <v/>
      </c>
      <c r="CJ167" s="603"/>
      <c r="CK167" s="2873" t="str">
        <f t="shared" si="547"/>
        <v/>
      </c>
      <c r="CL167" s="2873" t="str">
        <f t="shared" si="548"/>
        <v/>
      </c>
      <c r="CM167" s="2873" t="str">
        <f t="shared" si="549"/>
        <v/>
      </c>
      <c r="CN167" s="2873" t="str">
        <f t="shared" si="550"/>
        <v/>
      </c>
      <c r="CO167" s="2873" t="str">
        <f t="shared" si="551"/>
        <v/>
      </c>
      <c r="CP167" s="2873" t="str">
        <f t="shared" si="552"/>
        <v/>
      </c>
      <c r="CQ167" s="2873" t="str">
        <f t="shared" si="553"/>
        <v/>
      </c>
      <c r="CR167" s="2718"/>
      <c r="CS167" s="2718"/>
      <c r="CT167" s="6325" t="str">
        <f t="shared" si="554"/>
        <v/>
      </c>
      <c r="CU167" s="6325" t="str">
        <f t="shared" si="555"/>
        <v/>
      </c>
      <c r="CV167" s="6325" t="str">
        <f t="shared" si="556"/>
        <v/>
      </c>
      <c r="CW167" s="6325" t="str">
        <f t="shared" si="557"/>
        <v/>
      </c>
      <c r="DE167" s="3235">
        <f t="shared" si="558"/>
        <v>0</v>
      </c>
      <c r="DF167" s="2873">
        <f t="shared" si="573"/>
        <v>0</v>
      </c>
      <c r="DG167" s="2873">
        <f t="shared" si="559"/>
        <v>0</v>
      </c>
      <c r="DH167" s="2718"/>
      <c r="DI167" s="2718"/>
      <c r="DJ167" s="2718"/>
      <c r="DK167" s="2718"/>
      <c r="DL167" s="2718"/>
      <c r="DM167" s="2873">
        <f t="shared" si="560"/>
        <v>0</v>
      </c>
      <c r="DN167" s="603"/>
      <c r="DO167" s="2873">
        <f t="shared" si="561"/>
        <v>0</v>
      </c>
      <c r="DP167" s="2873">
        <f t="shared" si="561"/>
        <v>0</v>
      </c>
      <c r="DQ167" s="2873">
        <f t="shared" si="562"/>
        <v>0</v>
      </c>
      <c r="DR167" s="2873">
        <f t="shared" si="563"/>
        <v>0</v>
      </c>
      <c r="DS167" s="2873">
        <f t="shared" si="564"/>
        <v>0</v>
      </c>
      <c r="DT167" s="2873">
        <f t="shared" si="565"/>
        <v>0</v>
      </c>
      <c r="DU167" s="2873">
        <f t="shared" si="566"/>
        <v>0</v>
      </c>
      <c r="DV167" s="2718"/>
      <c r="DW167" s="2718"/>
      <c r="DX167" s="6325">
        <f t="shared" si="567"/>
        <v>0</v>
      </c>
      <c r="DY167" s="6325">
        <f t="shared" si="568"/>
        <v>0</v>
      </c>
      <c r="DZ167" s="6325">
        <f t="shared" si="569"/>
        <v>0</v>
      </c>
      <c r="EA167" s="6325">
        <f t="shared" si="570"/>
        <v>0</v>
      </c>
    </row>
    <row r="168" spans="1:131" x14ac:dyDescent="0.25">
      <c r="A168" s="7710" t="s">
        <v>2671</v>
      </c>
      <c r="B168" s="7711"/>
      <c r="C168" s="2014">
        <f>+O168+Q168+S168+U168+W168+Y168+AA168+AC168+AE168+AG168+AI168</f>
        <v>0</v>
      </c>
      <c r="D168" s="5222">
        <f>+P168+R168+T168+V168+X168+Z168+AB168+AD168+AF168+AH168+AJ168</f>
        <v>0</v>
      </c>
      <c r="E168" s="5339"/>
      <c r="F168" s="5340"/>
      <c r="G168" s="5339"/>
      <c r="H168" s="5340"/>
      <c r="I168" s="5339"/>
      <c r="J168" s="5340"/>
      <c r="K168" s="5339"/>
      <c r="L168" s="5340"/>
      <c r="M168" s="5339"/>
      <c r="N168" s="5340"/>
      <c r="O168" s="5229"/>
      <c r="P168" s="5342"/>
      <c r="Q168" s="5229"/>
      <c r="R168" s="5342"/>
      <c r="S168" s="5229"/>
      <c r="T168" s="5342"/>
      <c r="U168" s="5229"/>
      <c r="V168" s="5342"/>
      <c r="W168" s="5229"/>
      <c r="X168" s="5342"/>
      <c r="Y168" s="5229"/>
      <c r="Z168" s="5342"/>
      <c r="AA168" s="5229"/>
      <c r="AB168" s="5342"/>
      <c r="AC168" s="5229"/>
      <c r="AD168" s="5342"/>
      <c r="AE168" s="5229"/>
      <c r="AF168" s="5342"/>
      <c r="AG168" s="5229"/>
      <c r="AH168" s="5342"/>
      <c r="AI168" s="5229"/>
      <c r="AJ168" s="5342"/>
      <c r="AK168" s="5337"/>
      <c r="AL168" s="3609"/>
      <c r="AM168" s="5229"/>
      <c r="AN168" s="3610"/>
      <c r="AO168" s="5337"/>
      <c r="AP168" s="3609"/>
      <c r="AQ168" s="3572"/>
      <c r="AR168" s="3610"/>
      <c r="AS168" s="5337"/>
      <c r="AT168" s="3610"/>
      <c r="AU168" s="5337"/>
      <c r="AV168" s="3609"/>
      <c r="AW168" s="5337"/>
      <c r="AX168" s="3609"/>
      <c r="AY168" s="1755" t="str">
        <f t="shared" si="571"/>
        <v/>
      </c>
      <c r="CA168" s="3235" t="str">
        <f t="shared" si="544"/>
        <v/>
      </c>
      <c r="CB168" s="2873" t="str">
        <f t="shared" si="572"/>
        <v/>
      </c>
      <c r="CC168" s="2873" t="str">
        <f t="shared" si="545"/>
        <v/>
      </c>
      <c r="CD168" s="2718"/>
      <c r="CE168" s="2718"/>
      <c r="CF168" s="2718"/>
      <c r="CG168" s="2718"/>
      <c r="CH168" s="2718"/>
      <c r="CI168" s="2873" t="str">
        <f t="shared" si="546"/>
        <v/>
      </c>
      <c r="CJ168" s="603"/>
      <c r="CK168" s="2873" t="str">
        <f t="shared" si="547"/>
        <v/>
      </c>
      <c r="CL168" s="2873" t="str">
        <f t="shared" si="548"/>
        <v/>
      </c>
      <c r="CM168" s="2873" t="str">
        <f t="shared" si="549"/>
        <v/>
      </c>
      <c r="CN168" s="2873" t="str">
        <f t="shared" si="550"/>
        <v/>
      </c>
      <c r="CO168" s="2873" t="str">
        <f t="shared" si="551"/>
        <v/>
      </c>
      <c r="CP168" s="2873" t="str">
        <f t="shared" si="552"/>
        <v/>
      </c>
      <c r="CQ168" s="2873" t="str">
        <f t="shared" si="553"/>
        <v/>
      </c>
      <c r="CR168" s="2718"/>
      <c r="CS168" s="2718"/>
      <c r="CT168" s="6325" t="str">
        <f t="shared" si="554"/>
        <v/>
      </c>
      <c r="CU168" s="6325" t="str">
        <f t="shared" si="555"/>
        <v/>
      </c>
      <c r="CV168" s="6325" t="str">
        <f t="shared" si="556"/>
        <v/>
      </c>
      <c r="CW168" s="6325" t="str">
        <f t="shared" si="557"/>
        <v/>
      </c>
      <c r="DE168" s="3235">
        <f t="shared" si="558"/>
        <v>0</v>
      </c>
      <c r="DF168" s="2873">
        <f t="shared" si="573"/>
        <v>0</v>
      </c>
      <c r="DG168" s="2873">
        <f t="shared" si="559"/>
        <v>0</v>
      </c>
      <c r="DH168" s="2718"/>
      <c r="DI168" s="2718"/>
      <c r="DJ168" s="2718"/>
      <c r="DK168" s="2718"/>
      <c r="DL168" s="2718"/>
      <c r="DM168" s="2873">
        <f t="shared" si="560"/>
        <v>0</v>
      </c>
      <c r="DN168" s="603"/>
      <c r="DO168" s="2873">
        <f t="shared" si="561"/>
        <v>0</v>
      </c>
      <c r="DP168" s="2873">
        <f t="shared" si="561"/>
        <v>0</v>
      </c>
      <c r="DQ168" s="2873">
        <f t="shared" si="562"/>
        <v>0</v>
      </c>
      <c r="DR168" s="2873">
        <f t="shared" si="563"/>
        <v>0</v>
      </c>
      <c r="DS168" s="2873">
        <f t="shared" si="564"/>
        <v>0</v>
      </c>
      <c r="DT168" s="2873">
        <f t="shared" si="565"/>
        <v>0</v>
      </c>
      <c r="DU168" s="2873">
        <f t="shared" si="566"/>
        <v>0</v>
      </c>
      <c r="DV168" s="2718"/>
      <c r="DW168" s="2718"/>
      <c r="DX168" s="6325">
        <f t="shared" si="567"/>
        <v>0</v>
      </c>
      <c r="DY168" s="6325">
        <f t="shared" si="568"/>
        <v>0</v>
      </c>
      <c r="DZ168" s="6325">
        <f t="shared" si="569"/>
        <v>0</v>
      </c>
      <c r="EA168" s="6325">
        <f t="shared" si="570"/>
        <v>0</v>
      </c>
    </row>
    <row r="169" spans="1:131" x14ac:dyDescent="0.25">
      <c r="A169" s="7714" t="s">
        <v>2704</v>
      </c>
      <c r="B169" s="7715"/>
      <c r="C169" s="3614">
        <f>+E169+G169+I169+K169+M169+O169+Q169+S169+U169+W169+Y169+AA169+AC169+AE169+AG169+AI169</f>
        <v>0</v>
      </c>
      <c r="D169" s="3615">
        <f>+F169+H169+J169+L169+N169+P169+R169+T169+V169+X169+Z169+AB169+AD169+AF169+AH169+AJ169</f>
        <v>0</v>
      </c>
      <c r="E169" s="410"/>
      <c r="F169" s="3616"/>
      <c r="G169" s="410"/>
      <c r="H169" s="3616"/>
      <c r="I169" s="410"/>
      <c r="J169" s="3616"/>
      <c r="K169" s="410"/>
      <c r="L169" s="3616"/>
      <c r="M169" s="410"/>
      <c r="N169" s="3616"/>
      <c r="O169" s="410"/>
      <c r="P169" s="3616"/>
      <c r="Q169" s="410"/>
      <c r="R169" s="3616"/>
      <c r="S169" s="410"/>
      <c r="T169" s="3616"/>
      <c r="U169" s="410"/>
      <c r="V169" s="3616"/>
      <c r="W169" s="410"/>
      <c r="X169" s="3616"/>
      <c r="Y169" s="410"/>
      <c r="Z169" s="3616"/>
      <c r="AA169" s="410"/>
      <c r="AB169" s="3616"/>
      <c r="AC169" s="410"/>
      <c r="AD169" s="3616"/>
      <c r="AE169" s="410"/>
      <c r="AF169" s="3616"/>
      <c r="AG169" s="410"/>
      <c r="AH169" s="3616"/>
      <c r="AI169" s="410"/>
      <c r="AJ169" s="3616"/>
      <c r="AK169" s="3617"/>
      <c r="AL169" s="411"/>
      <c r="AM169" s="410"/>
      <c r="AN169" s="413"/>
      <c r="AO169" s="3617"/>
      <c r="AP169" s="411"/>
      <c r="AQ169" s="414"/>
      <c r="AR169" s="413"/>
      <c r="AS169" s="3589"/>
      <c r="AT169" s="385"/>
      <c r="AU169" s="3617"/>
      <c r="AV169" s="411"/>
      <c r="AW169" s="3617"/>
      <c r="AX169" s="411"/>
      <c r="AY169" s="1755" t="str">
        <f t="shared" si="571"/>
        <v/>
      </c>
      <c r="CA169" s="3235" t="str">
        <f t="shared" si="544"/>
        <v/>
      </c>
      <c r="CB169" s="2873" t="str">
        <f t="shared" si="572"/>
        <v/>
      </c>
      <c r="CC169" s="2873" t="str">
        <f t="shared" si="545"/>
        <v/>
      </c>
      <c r="CD169" s="2718"/>
      <c r="CE169" s="2718"/>
      <c r="CF169" s="2718"/>
      <c r="CG169" s="2718"/>
      <c r="CH169" s="2718"/>
      <c r="CI169" s="2873" t="str">
        <f t="shared" si="546"/>
        <v/>
      </c>
      <c r="CJ169" s="603"/>
      <c r="CK169" s="2873" t="str">
        <f t="shared" si="547"/>
        <v/>
      </c>
      <c r="CL169" s="2873" t="str">
        <f t="shared" si="548"/>
        <v/>
      </c>
      <c r="CM169" s="2873" t="str">
        <f t="shared" si="549"/>
        <v/>
      </c>
      <c r="CN169" s="2873" t="str">
        <f t="shared" si="550"/>
        <v/>
      </c>
      <c r="CO169" s="2873" t="str">
        <f t="shared" si="551"/>
        <v/>
      </c>
      <c r="CP169" s="2873" t="str">
        <f t="shared" si="552"/>
        <v/>
      </c>
      <c r="CQ169" s="2873" t="str">
        <f t="shared" si="553"/>
        <v/>
      </c>
      <c r="CR169" s="2718"/>
      <c r="CS169" s="2718"/>
      <c r="CT169" s="6325" t="str">
        <f t="shared" si="554"/>
        <v/>
      </c>
      <c r="CU169" s="6325" t="str">
        <f t="shared" si="555"/>
        <v/>
      </c>
      <c r="CV169" s="6325" t="str">
        <f t="shared" si="556"/>
        <v/>
      </c>
      <c r="CW169" s="6325" t="str">
        <f t="shared" si="557"/>
        <v/>
      </c>
      <c r="DE169" s="3235">
        <f t="shared" si="558"/>
        <v>0</v>
      </c>
      <c r="DF169" s="2873">
        <f t="shared" si="573"/>
        <v>0</v>
      </c>
      <c r="DG169" s="2873">
        <f t="shared" si="559"/>
        <v>0</v>
      </c>
      <c r="DH169" s="2718"/>
      <c r="DI169" s="2718"/>
      <c r="DJ169" s="2718"/>
      <c r="DK169" s="2718"/>
      <c r="DL169" s="2718"/>
      <c r="DM169" s="2873">
        <f t="shared" si="560"/>
        <v>0</v>
      </c>
      <c r="DN169" s="603"/>
      <c r="DO169" s="2873">
        <f t="shared" si="561"/>
        <v>0</v>
      </c>
      <c r="DP169" s="2873">
        <f t="shared" si="561"/>
        <v>0</v>
      </c>
      <c r="DQ169" s="2873">
        <f t="shared" si="562"/>
        <v>0</v>
      </c>
      <c r="DR169" s="2873">
        <f t="shared" si="563"/>
        <v>0</v>
      </c>
      <c r="DS169" s="2873">
        <f t="shared" si="564"/>
        <v>0</v>
      </c>
      <c r="DT169" s="2873">
        <f t="shared" si="565"/>
        <v>0</v>
      </c>
      <c r="DU169" s="2873">
        <f t="shared" si="566"/>
        <v>0</v>
      </c>
      <c r="DV169" s="2718"/>
      <c r="DW169" s="2718"/>
      <c r="DX169" s="6325">
        <f t="shared" si="567"/>
        <v>0</v>
      </c>
      <c r="DY169" s="6325">
        <f t="shared" si="568"/>
        <v>0</v>
      </c>
      <c r="DZ169" s="6325">
        <f t="shared" si="569"/>
        <v>0</v>
      </c>
      <c r="EA169" s="6325">
        <f t="shared" si="570"/>
        <v>0</v>
      </c>
    </row>
    <row r="170" spans="1:131" x14ac:dyDescent="0.25">
      <c r="A170" s="7716" t="s">
        <v>545</v>
      </c>
      <c r="B170" s="5371" t="s">
        <v>2689</v>
      </c>
      <c r="C170" s="2093">
        <f t="shared" ref="C170:D172" si="574">+O170+Q170+S170+U170+W170+Y170+AA170+AC170+AE170+AG170</f>
        <v>0</v>
      </c>
      <c r="D170" s="5380">
        <f t="shared" si="574"/>
        <v>0</v>
      </c>
      <c r="E170" s="5381"/>
      <c r="F170" s="5382"/>
      <c r="G170" s="5381"/>
      <c r="H170" s="5382"/>
      <c r="I170" s="5381"/>
      <c r="J170" s="5382"/>
      <c r="K170" s="5381"/>
      <c r="L170" s="5382"/>
      <c r="M170" s="5381"/>
      <c r="N170" s="5382"/>
      <c r="O170" s="5358"/>
      <c r="P170" s="5359"/>
      <c r="Q170" s="5358"/>
      <c r="R170" s="5359"/>
      <c r="S170" s="5358"/>
      <c r="T170" s="5359"/>
      <c r="U170" s="5358"/>
      <c r="V170" s="5359"/>
      <c r="W170" s="5358"/>
      <c r="X170" s="5359"/>
      <c r="Y170" s="5358"/>
      <c r="Z170" s="5359"/>
      <c r="AA170" s="5358"/>
      <c r="AB170" s="5359"/>
      <c r="AC170" s="5358"/>
      <c r="AD170" s="5359"/>
      <c r="AE170" s="5358"/>
      <c r="AF170" s="5359"/>
      <c r="AG170" s="5358"/>
      <c r="AH170" s="5359"/>
      <c r="AI170" s="5388"/>
      <c r="AJ170" s="5389"/>
      <c r="AK170" s="5390"/>
      <c r="AL170" s="5360"/>
      <c r="AM170" s="5358"/>
      <c r="AN170" s="5391"/>
      <c r="AO170" s="5390"/>
      <c r="AP170" s="5360"/>
      <c r="AQ170" s="5392"/>
      <c r="AR170" s="5391"/>
      <c r="AS170" s="5393"/>
      <c r="AT170" s="3608"/>
      <c r="AU170" s="5392"/>
      <c r="AV170" s="5391"/>
      <c r="AW170" s="5394"/>
      <c r="AX170" s="5395"/>
      <c r="AY170" s="1755" t="str">
        <f>$CA170&amp;CB170&amp;$CC170&amp;CD170&amp;CE170&amp;CF170&amp;CG170&amp;CH170&amp;CI170&amp;CJ170&amp;CK170&amp;CL170&amp;CM170&amp;CN170&amp;CO170&amp;CP170&amp;CQ170&amp;CR170&amp;CS170</f>
        <v/>
      </c>
      <c r="CA170" s="3235" t="str">
        <f t="shared" si="544"/>
        <v/>
      </c>
      <c r="CB170" s="2873" t="str">
        <f t="shared" si="572"/>
        <v/>
      </c>
      <c r="CC170" s="2873" t="str">
        <f t="shared" si="545"/>
        <v/>
      </c>
      <c r="CD170" s="2718"/>
      <c r="CE170" s="2718"/>
      <c r="CF170" s="2718"/>
      <c r="CG170" s="2718"/>
      <c r="CH170" s="2718"/>
      <c r="CI170" s="2873" t="str">
        <f t="shared" si="546"/>
        <v/>
      </c>
      <c r="CJ170" s="603"/>
      <c r="CK170" s="2873" t="str">
        <f t="shared" si="547"/>
        <v/>
      </c>
      <c r="CL170" s="2873" t="str">
        <f t="shared" si="548"/>
        <v/>
      </c>
      <c r="CM170" s="2873" t="str">
        <f t="shared" si="549"/>
        <v/>
      </c>
      <c r="CN170" s="2873" t="str">
        <f t="shared" si="550"/>
        <v/>
      </c>
      <c r="CO170" s="2873" t="str">
        <f t="shared" si="551"/>
        <v/>
      </c>
      <c r="CP170" s="2873" t="str">
        <f t="shared" si="552"/>
        <v/>
      </c>
      <c r="CQ170" s="2873" t="str">
        <f t="shared" si="553"/>
        <v/>
      </c>
      <c r="CR170" s="2718"/>
      <c r="CS170" s="2718"/>
      <c r="DE170" s="3235">
        <f t="shared" si="558"/>
        <v>0</v>
      </c>
      <c r="DF170" s="2873">
        <f t="shared" si="573"/>
        <v>0</v>
      </c>
      <c r="DG170" s="2873">
        <f t="shared" si="559"/>
        <v>0</v>
      </c>
      <c r="DH170" s="2718"/>
      <c r="DI170" s="2718"/>
      <c r="DJ170" s="2718"/>
      <c r="DK170" s="2718"/>
      <c r="DL170" s="2718"/>
      <c r="DM170" s="2873">
        <f t="shared" si="560"/>
        <v>0</v>
      </c>
      <c r="DN170" s="603"/>
      <c r="DO170" s="2873">
        <f t="shared" si="561"/>
        <v>0</v>
      </c>
      <c r="DP170" s="2873">
        <f t="shared" si="561"/>
        <v>0</v>
      </c>
      <c r="DQ170" s="2873">
        <f t="shared" si="562"/>
        <v>0</v>
      </c>
      <c r="DR170" s="2873">
        <f t="shared" si="563"/>
        <v>0</v>
      </c>
      <c r="DS170" s="2873">
        <f t="shared" si="564"/>
        <v>0</v>
      </c>
      <c r="DT170" s="2873">
        <f t="shared" si="565"/>
        <v>0</v>
      </c>
      <c r="DU170" s="2873">
        <f t="shared" si="566"/>
        <v>0</v>
      </c>
      <c r="DV170" s="2718"/>
      <c r="DW170" s="2718"/>
    </row>
    <row r="171" spans="1:131" x14ac:dyDescent="0.25">
      <c r="A171" s="6505"/>
      <c r="B171" s="3603" t="s">
        <v>2690</v>
      </c>
      <c r="C171" s="2014">
        <f t="shared" si="574"/>
        <v>0</v>
      </c>
      <c r="D171" s="5222">
        <f t="shared" si="574"/>
        <v>0</v>
      </c>
      <c r="E171" s="5339"/>
      <c r="F171" s="5340"/>
      <c r="G171" s="5339"/>
      <c r="H171" s="5340"/>
      <c r="I171" s="5339"/>
      <c r="J171" s="5340"/>
      <c r="K171" s="5339"/>
      <c r="L171" s="5340"/>
      <c r="M171" s="5339"/>
      <c r="N171" s="5340"/>
      <c r="O171" s="5229"/>
      <c r="P171" s="5342"/>
      <c r="Q171" s="5229"/>
      <c r="R171" s="5342"/>
      <c r="S171" s="5229"/>
      <c r="T171" s="5342"/>
      <c r="U171" s="5229"/>
      <c r="V171" s="5342"/>
      <c r="W171" s="5229"/>
      <c r="X171" s="5342"/>
      <c r="Y171" s="5229"/>
      <c r="Z171" s="5342"/>
      <c r="AA171" s="5229"/>
      <c r="AB171" s="5342"/>
      <c r="AC171" s="5229"/>
      <c r="AD171" s="5342"/>
      <c r="AE171" s="5229"/>
      <c r="AF171" s="5342"/>
      <c r="AG171" s="5229"/>
      <c r="AH171" s="5342"/>
      <c r="AI171" s="5339"/>
      <c r="AJ171" s="5341"/>
      <c r="AK171" s="5337"/>
      <c r="AL171" s="3609"/>
      <c r="AM171" s="5229"/>
      <c r="AN171" s="3610"/>
      <c r="AO171" s="5337"/>
      <c r="AP171" s="3609"/>
      <c r="AQ171" s="3572"/>
      <c r="AR171" s="3610"/>
      <c r="AS171" s="5337"/>
      <c r="AT171" s="3610"/>
      <c r="AU171" s="3572"/>
      <c r="AV171" s="3610"/>
      <c r="AW171" s="5396"/>
      <c r="AX171" s="3612"/>
      <c r="AY171" s="1755" t="str">
        <f t="shared" ref="AY171" si="575">$CA171&amp;CB171&amp;$CC171&amp;CD171&amp;CE171&amp;CF171&amp;CG171&amp;CH171&amp;CI171&amp;CJ171&amp;CK171&amp;CL171&amp;CM171&amp;CN171&amp;CO171&amp;CP171&amp;CQ171&amp;CR171&amp;CS171</f>
        <v/>
      </c>
      <c r="CA171" s="3235" t="str">
        <f t="shared" si="544"/>
        <v/>
      </c>
      <c r="CB171" s="2873" t="str">
        <f t="shared" si="572"/>
        <v/>
      </c>
      <c r="CC171" s="2873" t="str">
        <f t="shared" si="545"/>
        <v/>
      </c>
      <c r="CD171" s="2718"/>
      <c r="CE171" s="2718"/>
      <c r="CF171" s="2718"/>
      <c r="CG171" s="2718"/>
      <c r="CH171" s="2718"/>
      <c r="CI171" s="2873" t="str">
        <f t="shared" si="546"/>
        <v/>
      </c>
      <c r="CJ171" s="603"/>
      <c r="CK171" s="2873" t="str">
        <f t="shared" si="547"/>
        <v/>
      </c>
      <c r="CL171" s="2873" t="str">
        <f t="shared" si="548"/>
        <v/>
      </c>
      <c r="CM171" s="2873" t="str">
        <f t="shared" si="549"/>
        <v/>
      </c>
      <c r="CN171" s="2873" t="str">
        <f t="shared" si="550"/>
        <v/>
      </c>
      <c r="CO171" s="2873" t="str">
        <f t="shared" si="551"/>
        <v/>
      </c>
      <c r="CP171" s="2873" t="str">
        <f t="shared" si="552"/>
        <v/>
      </c>
      <c r="CQ171" s="2873" t="str">
        <f t="shared" si="553"/>
        <v/>
      </c>
      <c r="CR171" s="2718"/>
      <c r="CS171" s="2718"/>
      <c r="DE171" s="3235">
        <f t="shared" si="558"/>
        <v>0</v>
      </c>
      <c r="DF171" s="2873">
        <f t="shared" si="573"/>
        <v>0</v>
      </c>
      <c r="DG171" s="2873">
        <f t="shared" si="559"/>
        <v>0</v>
      </c>
      <c r="DH171" s="2718"/>
      <c r="DI171" s="2718"/>
      <c r="DJ171" s="2718"/>
      <c r="DK171" s="2718"/>
      <c r="DL171" s="2718"/>
      <c r="DM171" s="2873">
        <f t="shared" si="560"/>
        <v>0</v>
      </c>
      <c r="DN171" s="603"/>
      <c r="DO171" s="2873">
        <f t="shared" si="561"/>
        <v>0</v>
      </c>
      <c r="DP171" s="2873">
        <f t="shared" si="561"/>
        <v>0</v>
      </c>
      <c r="DQ171" s="2873">
        <f t="shared" si="562"/>
        <v>0</v>
      </c>
      <c r="DR171" s="2873">
        <f t="shared" si="563"/>
        <v>0</v>
      </c>
      <c r="DS171" s="2873">
        <f t="shared" si="564"/>
        <v>0</v>
      </c>
      <c r="DT171" s="2873">
        <f t="shared" si="565"/>
        <v>0</v>
      </c>
      <c r="DU171" s="2873">
        <f t="shared" si="566"/>
        <v>0</v>
      </c>
      <c r="DV171" s="2718"/>
      <c r="DW171" s="2718"/>
    </row>
    <row r="172" spans="1:131" x14ac:dyDescent="0.25">
      <c r="A172" s="6607"/>
      <c r="B172" s="613" t="s">
        <v>2691</v>
      </c>
      <c r="C172" s="3614">
        <f t="shared" si="574"/>
        <v>0</v>
      </c>
      <c r="D172" s="3622">
        <f t="shared" si="574"/>
        <v>0</v>
      </c>
      <c r="E172" s="3623"/>
      <c r="F172" s="3624"/>
      <c r="G172" s="3623"/>
      <c r="H172" s="3624"/>
      <c r="I172" s="3623"/>
      <c r="J172" s="3624"/>
      <c r="K172" s="3623"/>
      <c r="L172" s="3624"/>
      <c r="M172" s="3623"/>
      <c r="N172" s="3624"/>
      <c r="O172" s="3586"/>
      <c r="P172" s="3585"/>
      <c r="Q172" s="3586"/>
      <c r="R172" s="3585"/>
      <c r="S172" s="3586"/>
      <c r="T172" s="3585"/>
      <c r="U172" s="3586"/>
      <c r="V172" s="3585"/>
      <c r="W172" s="3586"/>
      <c r="X172" s="3585"/>
      <c r="Y172" s="3586"/>
      <c r="Z172" s="3585"/>
      <c r="AA172" s="3586"/>
      <c r="AB172" s="3585"/>
      <c r="AC172" s="3586"/>
      <c r="AD172" s="3585"/>
      <c r="AE172" s="3586"/>
      <c r="AF172" s="3585"/>
      <c r="AG172" s="3586"/>
      <c r="AH172" s="3585"/>
      <c r="AI172" s="3623"/>
      <c r="AJ172" s="3625"/>
      <c r="AK172" s="3589"/>
      <c r="AL172" s="290"/>
      <c r="AM172" s="3586"/>
      <c r="AN172" s="385"/>
      <c r="AO172" s="3589"/>
      <c r="AP172" s="290"/>
      <c r="AQ172" s="288"/>
      <c r="AR172" s="385"/>
      <c r="AS172" s="3589"/>
      <c r="AT172" s="385"/>
      <c r="AU172" s="288"/>
      <c r="AV172" s="385"/>
      <c r="AW172" s="3626"/>
      <c r="AX172" s="614"/>
      <c r="AY172" s="1755" t="str">
        <f>$CA172&amp;CB172&amp;$CC172&amp;CD172&amp;CE172&amp;CF172&amp;CG172&amp;CH172&amp;CI172&amp;CJ172&amp;CK172&amp;CL172&amp;CM172&amp;CN172&amp;CO172&amp;CP172&amp;CQ172&amp;CR172&amp;CS172</f>
        <v/>
      </c>
      <c r="CA172" s="3235" t="str">
        <f t="shared" si="544"/>
        <v/>
      </c>
      <c r="CB172" s="2873" t="str">
        <f t="shared" si="572"/>
        <v/>
      </c>
      <c r="CC172" s="2873" t="str">
        <f t="shared" si="545"/>
        <v/>
      </c>
      <c r="CD172" s="2718"/>
      <c r="CE172" s="2718"/>
      <c r="CF172" s="2718"/>
      <c r="CG172" s="2718"/>
      <c r="CH172" s="2718"/>
      <c r="CI172" s="2873" t="str">
        <f t="shared" si="546"/>
        <v/>
      </c>
      <c r="CJ172" s="603"/>
      <c r="CK172" s="2873" t="str">
        <f t="shared" si="547"/>
        <v/>
      </c>
      <c r="CL172" s="2873" t="str">
        <f t="shared" si="548"/>
        <v/>
      </c>
      <c r="CM172" s="2873" t="str">
        <f t="shared" si="549"/>
        <v/>
      </c>
      <c r="CN172" s="2873" t="str">
        <f t="shared" si="550"/>
        <v/>
      </c>
      <c r="CO172" s="2873" t="str">
        <f t="shared" si="551"/>
        <v/>
      </c>
      <c r="CP172" s="2873" t="str">
        <f t="shared" si="552"/>
        <v/>
      </c>
      <c r="CQ172" s="2873" t="str">
        <f t="shared" si="553"/>
        <v/>
      </c>
      <c r="CR172" s="2718"/>
      <c r="CS172" s="2718"/>
      <c r="DE172" s="3235">
        <f t="shared" si="558"/>
        <v>0</v>
      </c>
      <c r="DF172" s="2873">
        <f t="shared" si="573"/>
        <v>0</v>
      </c>
      <c r="DG172" s="2873">
        <f t="shared" si="559"/>
        <v>0</v>
      </c>
      <c r="DH172" s="2718"/>
      <c r="DI172" s="2718"/>
      <c r="DJ172" s="2718"/>
      <c r="DK172" s="2718"/>
      <c r="DL172" s="2718"/>
      <c r="DM172" s="2873">
        <f t="shared" si="560"/>
        <v>0</v>
      </c>
      <c r="DN172" s="603"/>
      <c r="DO172" s="2873">
        <f t="shared" si="561"/>
        <v>0</v>
      </c>
      <c r="DP172" s="2873">
        <f t="shared" si="561"/>
        <v>0</v>
      </c>
      <c r="DQ172" s="2873">
        <f t="shared" si="562"/>
        <v>0</v>
      </c>
      <c r="DR172" s="2873">
        <f t="shared" si="563"/>
        <v>0</v>
      </c>
      <c r="DS172" s="2873">
        <f t="shared" si="564"/>
        <v>0</v>
      </c>
      <c r="DT172" s="2873">
        <f t="shared" si="565"/>
        <v>0</v>
      </c>
      <c r="DU172" s="2873">
        <f t="shared" si="566"/>
        <v>0</v>
      </c>
      <c r="DV172" s="2718"/>
      <c r="DW172" s="2718"/>
    </row>
    <row r="173" spans="1:131" x14ac:dyDescent="0.25">
      <c r="A173" s="7717" t="s">
        <v>2673</v>
      </c>
      <c r="B173" s="7718"/>
      <c r="C173" s="2093">
        <f t="shared" ref="C173:D175" si="576">+E173+G173+I173+K173+M173+O173+Q173+S173+U173+W173+Y173+AA173+AC173+AE173+AG173+AI173</f>
        <v>0</v>
      </c>
      <c r="D173" s="5222">
        <f t="shared" si="576"/>
        <v>0</v>
      </c>
      <c r="E173" s="276"/>
      <c r="F173" s="5334"/>
      <c r="G173" s="276"/>
      <c r="H173" s="5334"/>
      <c r="I173" s="276"/>
      <c r="J173" s="5334"/>
      <c r="K173" s="276"/>
      <c r="L173" s="5334"/>
      <c r="M173" s="5397"/>
      <c r="N173" s="3628"/>
      <c r="O173" s="5397"/>
      <c r="P173" s="3628"/>
      <c r="Q173" s="5397"/>
      <c r="R173" s="3628"/>
      <c r="S173" s="5397"/>
      <c r="T173" s="3628"/>
      <c r="U173" s="5397"/>
      <c r="V173" s="3628"/>
      <c r="W173" s="5397"/>
      <c r="X173" s="3628"/>
      <c r="Y173" s="5397"/>
      <c r="Z173" s="3628"/>
      <c r="AA173" s="5397"/>
      <c r="AB173" s="3628"/>
      <c r="AC173" s="5397"/>
      <c r="AD173" s="3629"/>
      <c r="AE173" s="5397"/>
      <c r="AF173" s="3629"/>
      <c r="AG173" s="5354"/>
      <c r="AH173" s="5356"/>
      <c r="AI173" s="5397"/>
      <c r="AJ173" s="3628"/>
      <c r="AK173" s="5393"/>
      <c r="AL173" s="4659"/>
      <c r="AM173" s="276"/>
      <c r="AN173" s="3608"/>
      <c r="AO173" s="5393"/>
      <c r="AP173" s="4659"/>
      <c r="AQ173" s="615"/>
      <c r="AR173" s="3608"/>
      <c r="AS173" s="5393"/>
      <c r="AT173" s="3608"/>
      <c r="AU173" s="5393"/>
      <c r="AV173" s="4659"/>
      <c r="AW173" s="5393"/>
      <c r="AX173" s="4659"/>
      <c r="AY173" s="1755" t="str">
        <f t="shared" si="571"/>
        <v/>
      </c>
      <c r="CA173" s="3235" t="str">
        <f t="shared" si="544"/>
        <v/>
      </c>
      <c r="CB173" s="2873" t="str">
        <f t="shared" si="572"/>
        <v/>
      </c>
      <c r="CC173" s="2873" t="str">
        <f t="shared" si="545"/>
        <v/>
      </c>
      <c r="CD173" s="2718"/>
      <c r="CE173" s="2718"/>
      <c r="CF173" s="2718"/>
      <c r="CG173" s="2718"/>
      <c r="CH173" s="2718"/>
      <c r="CI173" s="2873" t="str">
        <f t="shared" si="546"/>
        <v/>
      </c>
      <c r="CJ173" s="603"/>
      <c r="CK173" s="2873" t="str">
        <f t="shared" si="547"/>
        <v/>
      </c>
      <c r="CL173" s="2873" t="str">
        <f t="shared" si="548"/>
        <v/>
      </c>
      <c r="CM173" s="2873" t="str">
        <f t="shared" si="549"/>
        <v/>
      </c>
      <c r="CN173" s="2873" t="str">
        <f t="shared" si="550"/>
        <v/>
      </c>
      <c r="CO173" s="2873" t="str">
        <f t="shared" si="551"/>
        <v/>
      </c>
      <c r="CP173" s="2873" t="str">
        <f t="shared" si="552"/>
        <v/>
      </c>
      <c r="CQ173" s="2873" t="str">
        <f t="shared" si="553"/>
        <v/>
      </c>
      <c r="CR173" s="2718"/>
      <c r="CS173" s="2718"/>
      <c r="CT173" s="6325" t="str">
        <f t="shared" si="554"/>
        <v/>
      </c>
      <c r="CU173" s="6325" t="str">
        <f t="shared" si="555"/>
        <v/>
      </c>
      <c r="CV173" s="6325" t="str">
        <f t="shared" ref="CV173:CV183" si="577">IF(AND((M173+O173)&gt;0,AW173=""),"*No olvide digitar los Exámenes Procesados de 14-18 años. Digite cero si no tiene.","")</f>
        <v/>
      </c>
      <c r="CW173" s="6325" t="str">
        <f t="shared" ref="CW173:CW183" si="578">IF(AND((N173+P173)&gt;0,AX173=""),"*No olvide digitar los Exámenes Confirmados Positivos por ISP de 14-18 años. Digite cero si no tiene.","")</f>
        <v/>
      </c>
      <c r="DE173" s="3235">
        <f t="shared" si="558"/>
        <v>0</v>
      </c>
      <c r="DF173" s="2873">
        <f t="shared" si="573"/>
        <v>0</v>
      </c>
      <c r="DG173" s="2873">
        <f t="shared" si="559"/>
        <v>0</v>
      </c>
      <c r="DH173" s="2718"/>
      <c r="DI173" s="2718"/>
      <c r="DJ173" s="2718"/>
      <c r="DK173" s="2718"/>
      <c r="DL173" s="2718"/>
      <c r="DM173" s="2873">
        <f t="shared" si="560"/>
        <v>0</v>
      </c>
      <c r="DN173" s="603"/>
      <c r="DO173" s="2873">
        <f t="shared" si="561"/>
        <v>0</v>
      </c>
      <c r="DP173" s="2873">
        <f t="shared" si="561"/>
        <v>0</v>
      </c>
      <c r="DQ173" s="2873">
        <f t="shared" si="562"/>
        <v>0</v>
      </c>
      <c r="DR173" s="2873">
        <f t="shared" si="563"/>
        <v>0</v>
      </c>
      <c r="DS173" s="2873">
        <f t="shared" si="564"/>
        <v>0</v>
      </c>
      <c r="DT173" s="2873">
        <f t="shared" si="565"/>
        <v>0</v>
      </c>
      <c r="DU173" s="2873">
        <f t="shared" si="566"/>
        <v>0</v>
      </c>
      <c r="DV173" s="2718"/>
      <c r="DW173" s="2718"/>
      <c r="DX173" s="6325">
        <f t="shared" si="567"/>
        <v>0</v>
      </c>
      <c r="DY173" s="6325">
        <f t="shared" si="568"/>
        <v>0</v>
      </c>
      <c r="DZ173" s="6325">
        <f t="shared" ref="DZ173:DZ183" si="579">IF(AND((M173+O173)&gt;0,AW173=""),1,0)</f>
        <v>0</v>
      </c>
      <c r="EA173" s="6325">
        <f t="shared" ref="EA173:EA183" si="580">IF(AND((N173+P173)&gt;0,AX173=""),1,0)</f>
        <v>0</v>
      </c>
    </row>
    <row r="174" spans="1:131" x14ac:dyDescent="0.25">
      <c r="A174" s="7710" t="s">
        <v>2705</v>
      </c>
      <c r="B174" s="7711"/>
      <c r="C174" s="2014">
        <f t="shared" si="576"/>
        <v>0</v>
      </c>
      <c r="D174" s="2012">
        <f t="shared" si="576"/>
        <v>0</v>
      </c>
      <c r="E174" s="5229"/>
      <c r="F174" s="5342"/>
      <c r="G174" s="5229"/>
      <c r="H174" s="5342"/>
      <c r="I174" s="5229"/>
      <c r="J174" s="5342"/>
      <c r="K174" s="5229"/>
      <c r="L174" s="5342"/>
      <c r="M174" s="5229"/>
      <c r="N174" s="5342"/>
      <c r="O174" s="410"/>
      <c r="P174" s="3616"/>
      <c r="Q174" s="410"/>
      <c r="R174" s="3616"/>
      <c r="S174" s="410"/>
      <c r="T174" s="3616"/>
      <c r="U174" s="410"/>
      <c r="V174" s="3616"/>
      <c r="W174" s="410"/>
      <c r="X174" s="3616"/>
      <c r="Y174" s="410"/>
      <c r="Z174" s="3616"/>
      <c r="AA174" s="410"/>
      <c r="AB174" s="3616"/>
      <c r="AC174" s="410"/>
      <c r="AD174" s="3630"/>
      <c r="AE174" s="410"/>
      <c r="AF174" s="3630"/>
      <c r="AG174" s="410"/>
      <c r="AH174" s="412"/>
      <c r="AI174" s="410"/>
      <c r="AJ174" s="3616"/>
      <c r="AK174" s="3617"/>
      <c r="AL174" s="411"/>
      <c r="AM174" s="410"/>
      <c r="AN174" s="413"/>
      <c r="AO174" s="3617"/>
      <c r="AP174" s="411"/>
      <c r="AQ174" s="414"/>
      <c r="AR174" s="413"/>
      <c r="AS174" s="3617"/>
      <c r="AT174" s="413"/>
      <c r="AU174" s="3617"/>
      <c r="AV174" s="411"/>
      <c r="AW174" s="3617"/>
      <c r="AX174" s="411"/>
      <c r="AY174" s="1755" t="str">
        <f t="shared" si="571"/>
        <v/>
      </c>
      <c r="CA174" s="3235" t="str">
        <f t="shared" si="544"/>
        <v/>
      </c>
      <c r="CB174" s="2873" t="str">
        <f t="shared" si="572"/>
        <v/>
      </c>
      <c r="CC174" s="2873" t="str">
        <f t="shared" si="545"/>
        <v/>
      </c>
      <c r="CD174" s="2718"/>
      <c r="CE174" s="2718"/>
      <c r="CF174" s="2718"/>
      <c r="CG174" s="2718"/>
      <c r="CH174" s="2718"/>
      <c r="CI174" s="2873" t="str">
        <f t="shared" si="546"/>
        <v/>
      </c>
      <c r="CJ174" s="603"/>
      <c r="CK174" s="2873" t="str">
        <f t="shared" si="547"/>
        <v/>
      </c>
      <c r="CL174" s="2873" t="str">
        <f t="shared" si="548"/>
        <v/>
      </c>
      <c r="CM174" s="2873" t="str">
        <f t="shared" si="549"/>
        <v/>
      </c>
      <c r="CN174" s="2873" t="str">
        <f t="shared" si="550"/>
        <v/>
      </c>
      <c r="CO174" s="2873" t="str">
        <f t="shared" si="551"/>
        <v/>
      </c>
      <c r="CP174" s="2873" t="str">
        <f t="shared" si="552"/>
        <v/>
      </c>
      <c r="CQ174" s="2873" t="str">
        <f t="shared" si="553"/>
        <v/>
      </c>
      <c r="CR174" s="2718"/>
      <c r="CS174" s="2718"/>
      <c r="CT174" s="6325" t="str">
        <f t="shared" si="554"/>
        <v/>
      </c>
      <c r="CU174" s="6325" t="str">
        <f t="shared" si="555"/>
        <v/>
      </c>
      <c r="CV174" s="6325" t="str">
        <f t="shared" si="577"/>
        <v/>
      </c>
      <c r="CW174" s="6325" t="str">
        <f t="shared" si="578"/>
        <v/>
      </c>
      <c r="DE174" s="3235">
        <f t="shared" si="558"/>
        <v>0</v>
      </c>
      <c r="DF174" s="2873">
        <f t="shared" si="573"/>
        <v>0</v>
      </c>
      <c r="DG174" s="2873">
        <f t="shared" si="559"/>
        <v>0</v>
      </c>
      <c r="DH174" s="2718"/>
      <c r="DI174" s="2718"/>
      <c r="DJ174" s="2718"/>
      <c r="DK174" s="2718"/>
      <c r="DL174" s="2718"/>
      <c r="DM174" s="2873">
        <f t="shared" si="560"/>
        <v>0</v>
      </c>
      <c r="DN174" s="603"/>
      <c r="DO174" s="2873">
        <f t="shared" si="561"/>
        <v>0</v>
      </c>
      <c r="DP174" s="2873">
        <f t="shared" si="561"/>
        <v>0</v>
      </c>
      <c r="DQ174" s="2873">
        <f t="shared" si="562"/>
        <v>0</v>
      </c>
      <c r="DR174" s="2873">
        <f t="shared" si="563"/>
        <v>0</v>
      </c>
      <c r="DS174" s="2873">
        <f t="shared" si="564"/>
        <v>0</v>
      </c>
      <c r="DT174" s="2873">
        <f t="shared" si="565"/>
        <v>0</v>
      </c>
      <c r="DU174" s="2873">
        <f t="shared" si="566"/>
        <v>0</v>
      </c>
      <c r="DV174" s="2718"/>
      <c r="DW174" s="2718"/>
      <c r="DX174" s="6325">
        <f t="shared" si="567"/>
        <v>0</v>
      </c>
      <c r="DY174" s="6325">
        <f t="shared" si="568"/>
        <v>0</v>
      </c>
      <c r="DZ174" s="6325">
        <f t="shared" si="579"/>
        <v>0</v>
      </c>
      <c r="EA174" s="6325">
        <f t="shared" si="580"/>
        <v>0</v>
      </c>
    </row>
    <row r="175" spans="1:131" x14ac:dyDescent="0.25">
      <c r="A175" s="7710" t="s">
        <v>2675</v>
      </c>
      <c r="B175" s="7711"/>
      <c r="C175" s="2014">
        <f t="shared" si="576"/>
        <v>0</v>
      </c>
      <c r="D175" s="2012">
        <f>+F175+H175+J175+L175+N175+P175+R175+T175+V175+X175+Z175+AB175+AD175+AF175+AH175+AJ175</f>
        <v>0</v>
      </c>
      <c r="E175" s="5229"/>
      <c r="F175" s="5342"/>
      <c r="G175" s="5229"/>
      <c r="H175" s="5342"/>
      <c r="I175" s="5229"/>
      <c r="J175" s="5342"/>
      <c r="K175" s="5229"/>
      <c r="L175" s="5342"/>
      <c r="M175" s="5229"/>
      <c r="N175" s="5342"/>
      <c r="O175" s="410"/>
      <c r="P175" s="3616"/>
      <c r="Q175" s="410"/>
      <c r="R175" s="3616"/>
      <c r="S175" s="410"/>
      <c r="T175" s="3616"/>
      <c r="U175" s="410"/>
      <c r="V175" s="3616"/>
      <c r="W175" s="410"/>
      <c r="X175" s="3616"/>
      <c r="Y175" s="410"/>
      <c r="Z175" s="3616"/>
      <c r="AA175" s="410"/>
      <c r="AB175" s="3616"/>
      <c r="AC175" s="410"/>
      <c r="AD175" s="3630"/>
      <c r="AE175" s="410"/>
      <c r="AF175" s="3630"/>
      <c r="AG175" s="410"/>
      <c r="AH175" s="412"/>
      <c r="AI175" s="410"/>
      <c r="AJ175" s="3616"/>
      <c r="AK175" s="3617"/>
      <c r="AL175" s="411"/>
      <c r="AM175" s="410"/>
      <c r="AN175" s="413"/>
      <c r="AO175" s="3617"/>
      <c r="AP175" s="411"/>
      <c r="AQ175" s="414"/>
      <c r="AR175" s="413"/>
      <c r="AS175" s="3617"/>
      <c r="AT175" s="413"/>
      <c r="AU175" s="3617"/>
      <c r="AV175" s="411"/>
      <c r="AW175" s="3617"/>
      <c r="AX175" s="411"/>
      <c r="AY175" s="1755" t="str">
        <f t="shared" si="571"/>
        <v/>
      </c>
      <c r="CA175" s="3235" t="str">
        <f t="shared" si="544"/>
        <v/>
      </c>
      <c r="CB175" s="2873" t="str">
        <f t="shared" si="572"/>
        <v/>
      </c>
      <c r="CC175" s="2873" t="str">
        <f t="shared" si="545"/>
        <v/>
      </c>
      <c r="CD175" s="2718"/>
      <c r="CE175" s="2718"/>
      <c r="CF175" s="2718"/>
      <c r="CG175" s="2718"/>
      <c r="CH175" s="2718"/>
      <c r="CI175" s="2873" t="str">
        <f t="shared" si="546"/>
        <v/>
      </c>
      <c r="CJ175" s="603"/>
      <c r="CK175" s="2873" t="str">
        <f t="shared" si="547"/>
        <v/>
      </c>
      <c r="CL175" s="2873" t="str">
        <f t="shared" si="548"/>
        <v/>
      </c>
      <c r="CM175" s="2873" t="str">
        <f t="shared" si="549"/>
        <v/>
      </c>
      <c r="CN175" s="2873" t="str">
        <f t="shared" si="550"/>
        <v/>
      </c>
      <c r="CO175" s="2873" t="str">
        <f t="shared" si="551"/>
        <v/>
      </c>
      <c r="CP175" s="2873" t="str">
        <f t="shared" si="552"/>
        <v/>
      </c>
      <c r="CQ175" s="2873" t="str">
        <f t="shared" si="553"/>
        <v/>
      </c>
      <c r="CR175" s="2718"/>
      <c r="CS175" s="2718"/>
      <c r="CT175" s="6325" t="str">
        <f t="shared" si="554"/>
        <v/>
      </c>
      <c r="CU175" s="6325" t="str">
        <f t="shared" si="555"/>
        <v/>
      </c>
      <c r="CV175" s="6325" t="str">
        <f t="shared" si="577"/>
        <v/>
      </c>
      <c r="CW175" s="6325" t="str">
        <f t="shared" si="578"/>
        <v/>
      </c>
      <c r="DE175" s="3235">
        <f t="shared" si="558"/>
        <v>0</v>
      </c>
      <c r="DF175" s="2873">
        <f t="shared" si="573"/>
        <v>0</v>
      </c>
      <c r="DG175" s="2873">
        <f t="shared" si="559"/>
        <v>0</v>
      </c>
      <c r="DH175" s="2718"/>
      <c r="DI175" s="2718"/>
      <c r="DJ175" s="2718"/>
      <c r="DK175" s="2718"/>
      <c r="DL175" s="2718"/>
      <c r="DM175" s="2873">
        <f t="shared" si="560"/>
        <v>0</v>
      </c>
      <c r="DN175" s="603"/>
      <c r="DO175" s="2873">
        <f t="shared" si="561"/>
        <v>0</v>
      </c>
      <c r="DP175" s="2873">
        <f t="shared" si="561"/>
        <v>0</v>
      </c>
      <c r="DQ175" s="2873">
        <f t="shared" si="562"/>
        <v>0</v>
      </c>
      <c r="DR175" s="2873">
        <f t="shared" si="563"/>
        <v>0</v>
      </c>
      <c r="DS175" s="2873">
        <f t="shared" si="564"/>
        <v>0</v>
      </c>
      <c r="DT175" s="2873">
        <f t="shared" si="565"/>
        <v>0</v>
      </c>
      <c r="DU175" s="2873">
        <f t="shared" si="566"/>
        <v>0</v>
      </c>
      <c r="DV175" s="2718"/>
      <c r="DW175" s="2718"/>
      <c r="DX175" s="6325">
        <f t="shared" si="567"/>
        <v>0</v>
      </c>
      <c r="DY175" s="6325">
        <f t="shared" si="568"/>
        <v>0</v>
      </c>
      <c r="DZ175" s="6325">
        <f t="shared" si="579"/>
        <v>0</v>
      </c>
      <c r="EA175" s="6325">
        <f t="shared" si="580"/>
        <v>0</v>
      </c>
    </row>
    <row r="176" spans="1:131" x14ac:dyDescent="0.25">
      <c r="A176" s="7710" t="s">
        <v>2706</v>
      </c>
      <c r="B176" s="7711"/>
      <c r="C176" s="2014">
        <f t="shared" ref="C176:D178" si="581">+O176+Q176+S176+U176+W176+Y176+AA176+AC176+AE176+AG176+AI176</f>
        <v>0</v>
      </c>
      <c r="D176" s="3631">
        <f t="shared" si="581"/>
        <v>0</v>
      </c>
      <c r="E176" s="5339"/>
      <c r="F176" s="5340"/>
      <c r="G176" s="5339"/>
      <c r="H176" s="5340"/>
      <c r="I176" s="5339"/>
      <c r="J176" s="5340"/>
      <c r="K176" s="5339"/>
      <c r="L176" s="5340"/>
      <c r="M176" s="5339"/>
      <c r="N176" s="5340"/>
      <c r="O176" s="410"/>
      <c r="P176" s="3616"/>
      <c r="Q176" s="410"/>
      <c r="R176" s="3616"/>
      <c r="S176" s="410"/>
      <c r="T176" s="3616"/>
      <c r="U176" s="410"/>
      <c r="V176" s="3616"/>
      <c r="W176" s="410"/>
      <c r="X176" s="3616"/>
      <c r="Y176" s="410"/>
      <c r="Z176" s="3616"/>
      <c r="AA176" s="410"/>
      <c r="AB176" s="3616"/>
      <c r="AC176" s="410"/>
      <c r="AD176" s="3630"/>
      <c r="AE176" s="410"/>
      <c r="AF176" s="3630"/>
      <c r="AG176" s="410"/>
      <c r="AH176" s="412"/>
      <c r="AI176" s="410"/>
      <c r="AJ176" s="3616"/>
      <c r="AK176" s="3617"/>
      <c r="AL176" s="411"/>
      <c r="AM176" s="410"/>
      <c r="AN176" s="413"/>
      <c r="AO176" s="3617"/>
      <c r="AP176" s="411"/>
      <c r="AQ176" s="414"/>
      <c r="AR176" s="413"/>
      <c r="AS176" s="3617"/>
      <c r="AT176" s="413"/>
      <c r="AU176" s="3617"/>
      <c r="AV176" s="411"/>
      <c r="AW176" s="3617"/>
      <c r="AX176" s="411"/>
      <c r="AY176" s="1755" t="str">
        <f t="shared" si="571"/>
        <v/>
      </c>
      <c r="CA176" s="3235" t="str">
        <f t="shared" si="544"/>
        <v/>
      </c>
      <c r="CB176" s="2873" t="str">
        <f t="shared" si="572"/>
        <v/>
      </c>
      <c r="CC176" s="2873" t="str">
        <f t="shared" si="545"/>
        <v/>
      </c>
      <c r="CD176" s="2718"/>
      <c r="CE176" s="2718"/>
      <c r="CF176" s="2718"/>
      <c r="CG176" s="2718"/>
      <c r="CH176" s="2718"/>
      <c r="CI176" s="2873" t="str">
        <f t="shared" si="546"/>
        <v/>
      </c>
      <c r="CJ176" s="603"/>
      <c r="CK176" s="2873" t="str">
        <f t="shared" si="547"/>
        <v/>
      </c>
      <c r="CL176" s="2873" t="str">
        <f t="shared" si="548"/>
        <v/>
      </c>
      <c r="CM176" s="2873" t="str">
        <f t="shared" si="549"/>
        <v/>
      </c>
      <c r="CN176" s="2873" t="str">
        <f t="shared" si="550"/>
        <v/>
      </c>
      <c r="CO176" s="2873" t="str">
        <f t="shared" si="551"/>
        <v/>
      </c>
      <c r="CP176" s="2873" t="str">
        <f t="shared" si="552"/>
        <v/>
      </c>
      <c r="CQ176" s="2873" t="str">
        <f t="shared" si="553"/>
        <v/>
      </c>
      <c r="CR176" s="2718"/>
      <c r="CS176" s="2718"/>
      <c r="CT176" s="6325" t="str">
        <f t="shared" si="554"/>
        <v/>
      </c>
      <c r="CU176" s="6325" t="str">
        <f t="shared" si="555"/>
        <v/>
      </c>
      <c r="CV176" s="6325" t="str">
        <f t="shared" si="577"/>
        <v/>
      </c>
      <c r="CW176" s="6325" t="str">
        <f t="shared" si="578"/>
        <v/>
      </c>
      <c r="DE176" s="3235">
        <f t="shared" si="558"/>
        <v>0</v>
      </c>
      <c r="DF176" s="2873">
        <f t="shared" si="573"/>
        <v>0</v>
      </c>
      <c r="DG176" s="2873">
        <f t="shared" si="559"/>
        <v>0</v>
      </c>
      <c r="DH176" s="2718"/>
      <c r="DI176" s="2718"/>
      <c r="DJ176" s="2718"/>
      <c r="DK176" s="2718"/>
      <c r="DL176" s="2718"/>
      <c r="DM176" s="2873">
        <f t="shared" si="560"/>
        <v>0</v>
      </c>
      <c r="DN176" s="603"/>
      <c r="DO176" s="2873">
        <f t="shared" si="561"/>
        <v>0</v>
      </c>
      <c r="DP176" s="2873">
        <f t="shared" si="561"/>
        <v>0</v>
      </c>
      <c r="DQ176" s="2873">
        <f t="shared" si="562"/>
        <v>0</v>
      </c>
      <c r="DR176" s="2873">
        <f t="shared" si="563"/>
        <v>0</v>
      </c>
      <c r="DS176" s="2873">
        <f t="shared" si="564"/>
        <v>0</v>
      </c>
      <c r="DT176" s="2873">
        <f t="shared" si="565"/>
        <v>0</v>
      </c>
      <c r="DU176" s="2873">
        <f t="shared" si="566"/>
        <v>0</v>
      </c>
      <c r="DV176" s="2718"/>
      <c r="DW176" s="2718"/>
      <c r="DX176" s="6325">
        <f t="shared" si="567"/>
        <v>0</v>
      </c>
      <c r="DY176" s="6325">
        <f t="shared" si="568"/>
        <v>0</v>
      </c>
      <c r="DZ176" s="6325">
        <f t="shared" si="579"/>
        <v>0</v>
      </c>
      <c r="EA176" s="6325">
        <f t="shared" si="580"/>
        <v>0</v>
      </c>
    </row>
    <row r="177" spans="1:131" x14ac:dyDescent="0.25">
      <c r="A177" s="7710" t="s">
        <v>2707</v>
      </c>
      <c r="B177" s="7711"/>
      <c r="C177" s="2014">
        <f t="shared" si="581"/>
        <v>0</v>
      </c>
      <c r="D177" s="3631">
        <f t="shared" si="581"/>
        <v>0</v>
      </c>
      <c r="E177" s="5339"/>
      <c r="F177" s="5340"/>
      <c r="G177" s="5339"/>
      <c r="H177" s="5340"/>
      <c r="I177" s="5339"/>
      <c r="J177" s="5340"/>
      <c r="K177" s="5339"/>
      <c r="L177" s="5340"/>
      <c r="M177" s="5339"/>
      <c r="N177" s="5340"/>
      <c r="O177" s="410"/>
      <c r="P177" s="3616"/>
      <c r="Q177" s="410"/>
      <c r="R177" s="3616"/>
      <c r="S177" s="410"/>
      <c r="T177" s="3616"/>
      <c r="U177" s="410"/>
      <c r="V177" s="3616"/>
      <c r="W177" s="410"/>
      <c r="X177" s="3616"/>
      <c r="Y177" s="410"/>
      <c r="Z177" s="3616"/>
      <c r="AA177" s="410"/>
      <c r="AB177" s="3616"/>
      <c r="AC177" s="410"/>
      <c r="AD177" s="3630"/>
      <c r="AE177" s="410"/>
      <c r="AF177" s="3630"/>
      <c r="AG177" s="5229"/>
      <c r="AH177" s="411"/>
      <c r="AI177" s="5229"/>
      <c r="AJ177" s="414"/>
      <c r="AK177" s="3617"/>
      <c r="AL177" s="411"/>
      <c r="AM177" s="410"/>
      <c r="AN177" s="413"/>
      <c r="AO177" s="3617"/>
      <c r="AP177" s="411"/>
      <c r="AQ177" s="414"/>
      <c r="AR177" s="413"/>
      <c r="AS177" s="3617"/>
      <c r="AT177" s="413"/>
      <c r="AU177" s="3617"/>
      <c r="AV177" s="411"/>
      <c r="AW177" s="3617"/>
      <c r="AX177" s="411"/>
      <c r="AY177" s="1755" t="str">
        <f t="shared" si="571"/>
        <v/>
      </c>
      <c r="CA177" s="3235" t="str">
        <f t="shared" si="544"/>
        <v/>
      </c>
      <c r="CB177" s="2873" t="str">
        <f t="shared" si="572"/>
        <v/>
      </c>
      <c r="CC177" s="2873" t="str">
        <f t="shared" si="545"/>
        <v/>
      </c>
      <c r="CD177" s="2718"/>
      <c r="CE177" s="2718"/>
      <c r="CF177" s="2718"/>
      <c r="CG177" s="2718"/>
      <c r="CH177" s="2718"/>
      <c r="CI177" s="2873" t="str">
        <f t="shared" si="546"/>
        <v/>
      </c>
      <c r="CJ177" s="603"/>
      <c r="CK177" s="2873" t="str">
        <f t="shared" si="547"/>
        <v/>
      </c>
      <c r="CL177" s="2873" t="str">
        <f t="shared" si="548"/>
        <v/>
      </c>
      <c r="CM177" s="2873" t="str">
        <f t="shared" si="549"/>
        <v/>
      </c>
      <c r="CN177" s="2873" t="str">
        <f t="shared" si="550"/>
        <v/>
      </c>
      <c r="CO177" s="2873" t="str">
        <f t="shared" si="551"/>
        <v/>
      </c>
      <c r="CP177" s="2873" t="str">
        <f t="shared" si="552"/>
        <v/>
      </c>
      <c r="CQ177" s="2873" t="str">
        <f t="shared" si="553"/>
        <v/>
      </c>
      <c r="CR177" s="2718"/>
      <c r="CS177" s="2718"/>
      <c r="CT177" s="6325" t="str">
        <f t="shared" si="554"/>
        <v/>
      </c>
      <c r="CU177" s="6325" t="str">
        <f t="shared" si="555"/>
        <v/>
      </c>
      <c r="CV177" s="6325" t="str">
        <f t="shared" si="577"/>
        <v/>
      </c>
      <c r="CW177" s="6325" t="str">
        <f t="shared" si="578"/>
        <v/>
      </c>
      <c r="DE177" s="3235">
        <f t="shared" si="558"/>
        <v>0</v>
      </c>
      <c r="DF177" s="2873">
        <f t="shared" si="573"/>
        <v>0</v>
      </c>
      <c r="DG177" s="2873">
        <f t="shared" si="559"/>
        <v>0</v>
      </c>
      <c r="DH177" s="2718"/>
      <c r="DI177" s="2718"/>
      <c r="DJ177" s="2718"/>
      <c r="DK177" s="2718"/>
      <c r="DL177" s="2718"/>
      <c r="DM177" s="2873">
        <f t="shared" si="560"/>
        <v>0</v>
      </c>
      <c r="DN177" s="603"/>
      <c r="DO177" s="2873">
        <f t="shared" si="561"/>
        <v>0</v>
      </c>
      <c r="DP177" s="2873">
        <f t="shared" si="561"/>
        <v>0</v>
      </c>
      <c r="DQ177" s="2873">
        <f t="shared" si="562"/>
        <v>0</v>
      </c>
      <c r="DR177" s="2873">
        <f t="shared" si="563"/>
        <v>0</v>
      </c>
      <c r="DS177" s="2873">
        <f t="shared" si="564"/>
        <v>0</v>
      </c>
      <c r="DT177" s="2873">
        <f t="shared" si="565"/>
        <v>0</v>
      </c>
      <c r="DU177" s="2873">
        <f t="shared" si="566"/>
        <v>0</v>
      </c>
      <c r="DV177" s="2718"/>
      <c r="DW177" s="2718"/>
      <c r="DX177" s="6325">
        <f t="shared" si="567"/>
        <v>0</v>
      </c>
      <c r="DY177" s="6325">
        <f t="shared" si="568"/>
        <v>0</v>
      </c>
      <c r="DZ177" s="6325">
        <f t="shared" si="579"/>
        <v>0</v>
      </c>
      <c r="EA177" s="6325">
        <f t="shared" si="580"/>
        <v>0</v>
      </c>
    </row>
    <row r="178" spans="1:131" x14ac:dyDescent="0.25">
      <c r="A178" s="7710" t="s">
        <v>2708</v>
      </c>
      <c r="B178" s="7711"/>
      <c r="C178" s="2014">
        <f t="shared" si="581"/>
        <v>0</v>
      </c>
      <c r="D178" s="3631">
        <f t="shared" si="581"/>
        <v>0</v>
      </c>
      <c r="E178" s="5339"/>
      <c r="F178" s="5340"/>
      <c r="G178" s="5339"/>
      <c r="H178" s="5340"/>
      <c r="I178" s="5339"/>
      <c r="J178" s="5340"/>
      <c r="K178" s="5339"/>
      <c r="L178" s="5340"/>
      <c r="M178" s="5339"/>
      <c r="N178" s="5340"/>
      <c r="O178" s="410"/>
      <c r="P178" s="3616"/>
      <c r="Q178" s="410"/>
      <c r="R178" s="3616"/>
      <c r="S178" s="410"/>
      <c r="T178" s="3616"/>
      <c r="U178" s="410"/>
      <c r="V178" s="3616"/>
      <c r="W178" s="410"/>
      <c r="X178" s="3616"/>
      <c r="Y178" s="410"/>
      <c r="Z178" s="3616"/>
      <c r="AA178" s="410"/>
      <c r="AB178" s="3616"/>
      <c r="AC178" s="410"/>
      <c r="AD178" s="3630"/>
      <c r="AE178" s="410"/>
      <c r="AF178" s="3630"/>
      <c r="AG178" s="410"/>
      <c r="AH178" s="412"/>
      <c r="AI178" s="410"/>
      <c r="AJ178" s="3616"/>
      <c r="AK178" s="3617"/>
      <c r="AL178" s="411"/>
      <c r="AM178" s="410"/>
      <c r="AN178" s="413"/>
      <c r="AO178" s="3617"/>
      <c r="AP178" s="411"/>
      <c r="AQ178" s="414"/>
      <c r="AR178" s="413"/>
      <c r="AS178" s="3617"/>
      <c r="AT178" s="413"/>
      <c r="AU178" s="3617"/>
      <c r="AV178" s="411"/>
      <c r="AW178" s="3617"/>
      <c r="AX178" s="411"/>
      <c r="AY178" s="1755" t="str">
        <f t="shared" si="571"/>
        <v/>
      </c>
      <c r="CA178" s="3235" t="str">
        <f t="shared" si="544"/>
        <v/>
      </c>
      <c r="CB178" s="2873" t="str">
        <f t="shared" si="572"/>
        <v/>
      </c>
      <c r="CC178" s="2873" t="str">
        <f t="shared" si="545"/>
        <v/>
      </c>
      <c r="CD178" s="2718"/>
      <c r="CE178" s="2718"/>
      <c r="CF178" s="2718"/>
      <c r="CG178" s="2718"/>
      <c r="CH178" s="2718"/>
      <c r="CI178" s="2873" t="str">
        <f t="shared" si="546"/>
        <v/>
      </c>
      <c r="CJ178" s="603"/>
      <c r="CK178" s="2873" t="str">
        <f t="shared" si="547"/>
        <v/>
      </c>
      <c r="CL178" s="2873" t="str">
        <f t="shared" si="548"/>
        <v/>
      </c>
      <c r="CM178" s="2873" t="str">
        <f t="shared" si="549"/>
        <v/>
      </c>
      <c r="CN178" s="2873" t="str">
        <f t="shared" si="550"/>
        <v/>
      </c>
      <c r="CO178" s="2873" t="str">
        <f t="shared" si="551"/>
        <v/>
      </c>
      <c r="CP178" s="2873" t="str">
        <f t="shared" si="552"/>
        <v/>
      </c>
      <c r="CQ178" s="2873" t="str">
        <f t="shared" si="553"/>
        <v/>
      </c>
      <c r="CR178" s="2718"/>
      <c r="CS178" s="2718"/>
      <c r="CT178" s="6325" t="str">
        <f t="shared" si="554"/>
        <v/>
      </c>
      <c r="CU178" s="6325" t="str">
        <f t="shared" si="555"/>
        <v/>
      </c>
      <c r="CV178" s="6325" t="str">
        <f t="shared" si="577"/>
        <v/>
      </c>
      <c r="CW178" s="6325" t="str">
        <f t="shared" si="578"/>
        <v/>
      </c>
      <c r="DE178" s="3235">
        <f t="shared" si="558"/>
        <v>0</v>
      </c>
      <c r="DF178" s="2873">
        <f t="shared" si="573"/>
        <v>0</v>
      </c>
      <c r="DG178" s="2873">
        <f t="shared" si="559"/>
        <v>0</v>
      </c>
      <c r="DH178" s="2718"/>
      <c r="DI178" s="2718"/>
      <c r="DJ178" s="2718"/>
      <c r="DK178" s="2718"/>
      <c r="DL178" s="2718"/>
      <c r="DM178" s="2873">
        <f t="shared" si="560"/>
        <v>0</v>
      </c>
      <c r="DN178" s="603"/>
      <c r="DO178" s="2873">
        <f t="shared" si="561"/>
        <v>0</v>
      </c>
      <c r="DP178" s="2873">
        <f t="shared" si="561"/>
        <v>0</v>
      </c>
      <c r="DQ178" s="2873">
        <f t="shared" si="562"/>
        <v>0</v>
      </c>
      <c r="DR178" s="2873">
        <f t="shared" si="563"/>
        <v>0</v>
      </c>
      <c r="DS178" s="2873">
        <f t="shared" si="564"/>
        <v>0</v>
      </c>
      <c r="DT178" s="2873">
        <f t="shared" si="565"/>
        <v>0</v>
      </c>
      <c r="DU178" s="2873">
        <f t="shared" si="566"/>
        <v>0</v>
      </c>
      <c r="DV178" s="2718"/>
      <c r="DW178" s="2718"/>
      <c r="DX178" s="6325">
        <f t="shared" si="567"/>
        <v>0</v>
      </c>
      <c r="DY178" s="6325">
        <f t="shared" si="568"/>
        <v>0</v>
      </c>
      <c r="DZ178" s="6325">
        <f t="shared" si="579"/>
        <v>0</v>
      </c>
      <c r="EA178" s="6325">
        <f t="shared" si="580"/>
        <v>0</v>
      </c>
    </row>
    <row r="179" spans="1:131" x14ac:dyDescent="0.25">
      <c r="A179" s="7710" t="s">
        <v>2709</v>
      </c>
      <c r="B179" s="7711"/>
      <c r="C179" s="2014">
        <f t="shared" ref="C179:D183" si="582">+E179+G179+I179+K179+M179+O179+Q179+S179+U179+W179+Y179+AA179+AC179+AE179+AG179+AI179</f>
        <v>0</v>
      </c>
      <c r="D179" s="3631">
        <f t="shared" si="582"/>
        <v>0</v>
      </c>
      <c r="E179" s="410"/>
      <c r="F179" s="3616"/>
      <c r="G179" s="410"/>
      <c r="H179" s="3616"/>
      <c r="I179" s="410"/>
      <c r="J179" s="3616"/>
      <c r="K179" s="410"/>
      <c r="L179" s="3616"/>
      <c r="M179" s="410"/>
      <c r="N179" s="3616"/>
      <c r="O179" s="410"/>
      <c r="P179" s="3616"/>
      <c r="Q179" s="410"/>
      <c r="R179" s="3616"/>
      <c r="S179" s="410"/>
      <c r="T179" s="3616"/>
      <c r="U179" s="410"/>
      <c r="V179" s="3616"/>
      <c r="W179" s="410"/>
      <c r="X179" s="3616"/>
      <c r="Y179" s="410"/>
      <c r="Z179" s="3616"/>
      <c r="AA179" s="410"/>
      <c r="AB179" s="3616"/>
      <c r="AC179" s="410"/>
      <c r="AD179" s="3630"/>
      <c r="AE179" s="410"/>
      <c r="AF179" s="3630"/>
      <c r="AG179" s="410"/>
      <c r="AH179" s="412"/>
      <c r="AI179" s="410"/>
      <c r="AJ179" s="3616"/>
      <c r="AK179" s="3617"/>
      <c r="AL179" s="411"/>
      <c r="AM179" s="410"/>
      <c r="AN179" s="413"/>
      <c r="AO179" s="3617"/>
      <c r="AP179" s="411"/>
      <c r="AQ179" s="414"/>
      <c r="AR179" s="413"/>
      <c r="AS179" s="3617"/>
      <c r="AT179" s="413"/>
      <c r="AU179" s="3617"/>
      <c r="AV179" s="411"/>
      <c r="AW179" s="3617"/>
      <c r="AX179" s="411"/>
      <c r="AY179" s="1755" t="str">
        <f t="shared" si="571"/>
        <v/>
      </c>
      <c r="CA179" s="3235" t="str">
        <f t="shared" si="544"/>
        <v/>
      </c>
      <c r="CB179" s="2873" t="str">
        <f t="shared" si="572"/>
        <v/>
      </c>
      <c r="CC179" s="2873" t="str">
        <f t="shared" si="545"/>
        <v/>
      </c>
      <c r="CD179" s="2718"/>
      <c r="CE179" s="2718"/>
      <c r="CF179" s="2718"/>
      <c r="CG179" s="2718"/>
      <c r="CH179" s="2718"/>
      <c r="CI179" s="2873" t="str">
        <f t="shared" si="546"/>
        <v/>
      </c>
      <c r="CJ179" s="603"/>
      <c r="CK179" s="2873" t="str">
        <f t="shared" si="547"/>
        <v/>
      </c>
      <c r="CL179" s="2873" t="str">
        <f t="shared" si="548"/>
        <v/>
      </c>
      <c r="CM179" s="2873" t="str">
        <f t="shared" si="549"/>
        <v/>
      </c>
      <c r="CN179" s="2873" t="str">
        <f t="shared" si="550"/>
        <v/>
      </c>
      <c r="CO179" s="2873" t="str">
        <f t="shared" si="551"/>
        <v/>
      </c>
      <c r="CP179" s="2873" t="str">
        <f t="shared" si="552"/>
        <v/>
      </c>
      <c r="CQ179" s="2873" t="str">
        <f t="shared" si="553"/>
        <v/>
      </c>
      <c r="CR179" s="2718"/>
      <c r="CS179" s="2718"/>
      <c r="CT179" s="6325" t="str">
        <f t="shared" si="554"/>
        <v/>
      </c>
      <c r="CU179" s="6325" t="str">
        <f t="shared" si="555"/>
        <v/>
      </c>
      <c r="CV179" s="6325" t="str">
        <f t="shared" si="577"/>
        <v/>
      </c>
      <c r="CW179" s="6325" t="str">
        <f t="shared" si="578"/>
        <v/>
      </c>
      <c r="DE179" s="3235">
        <f t="shared" si="558"/>
        <v>0</v>
      </c>
      <c r="DF179" s="2873">
        <f t="shared" si="573"/>
        <v>0</v>
      </c>
      <c r="DG179" s="2873">
        <f t="shared" si="559"/>
        <v>0</v>
      </c>
      <c r="DH179" s="2718"/>
      <c r="DI179" s="2718"/>
      <c r="DJ179" s="2718"/>
      <c r="DK179" s="2718"/>
      <c r="DL179" s="2718"/>
      <c r="DM179" s="2873">
        <f t="shared" si="560"/>
        <v>0</v>
      </c>
      <c r="DN179" s="603"/>
      <c r="DO179" s="2873">
        <f t="shared" si="561"/>
        <v>0</v>
      </c>
      <c r="DP179" s="2873">
        <f t="shared" si="561"/>
        <v>0</v>
      </c>
      <c r="DQ179" s="2873">
        <f t="shared" si="562"/>
        <v>0</v>
      </c>
      <c r="DR179" s="2873">
        <f t="shared" si="563"/>
        <v>0</v>
      </c>
      <c r="DS179" s="2873">
        <f t="shared" si="564"/>
        <v>0</v>
      </c>
      <c r="DT179" s="2873">
        <f t="shared" si="565"/>
        <v>0</v>
      </c>
      <c r="DU179" s="2873">
        <f t="shared" si="566"/>
        <v>0</v>
      </c>
      <c r="DV179" s="2718"/>
      <c r="DW179" s="2718"/>
      <c r="DX179" s="6325">
        <f t="shared" si="567"/>
        <v>0</v>
      </c>
      <c r="DY179" s="6325">
        <f t="shared" si="568"/>
        <v>0</v>
      </c>
      <c r="DZ179" s="6325">
        <f t="shared" si="579"/>
        <v>0</v>
      </c>
      <c r="EA179" s="6325">
        <f t="shared" si="580"/>
        <v>0</v>
      </c>
    </row>
    <row r="180" spans="1:131" x14ac:dyDescent="0.25">
      <c r="A180" s="7710" t="s">
        <v>2710</v>
      </c>
      <c r="B180" s="7711"/>
      <c r="C180" s="2014">
        <f t="shared" si="582"/>
        <v>0</v>
      </c>
      <c r="D180" s="3631">
        <f t="shared" si="582"/>
        <v>0</v>
      </c>
      <c r="E180" s="410"/>
      <c r="F180" s="3616"/>
      <c r="G180" s="410"/>
      <c r="H180" s="3616"/>
      <c r="I180" s="410"/>
      <c r="J180" s="3616"/>
      <c r="K180" s="410"/>
      <c r="L180" s="3616"/>
      <c r="M180" s="410"/>
      <c r="N180" s="3616"/>
      <c r="O180" s="410"/>
      <c r="P180" s="3616"/>
      <c r="Q180" s="410"/>
      <c r="R180" s="3616"/>
      <c r="S180" s="410"/>
      <c r="T180" s="3616"/>
      <c r="U180" s="410"/>
      <c r="V180" s="3616"/>
      <c r="W180" s="410"/>
      <c r="X180" s="3616"/>
      <c r="Y180" s="410"/>
      <c r="Z180" s="3616"/>
      <c r="AA180" s="410"/>
      <c r="AB180" s="3616"/>
      <c r="AC180" s="410"/>
      <c r="AD180" s="3630"/>
      <c r="AE180" s="410"/>
      <c r="AF180" s="3630"/>
      <c r="AG180" s="410"/>
      <c r="AH180" s="412"/>
      <c r="AI180" s="410"/>
      <c r="AJ180" s="3616"/>
      <c r="AK180" s="3617"/>
      <c r="AL180" s="411"/>
      <c r="AM180" s="410"/>
      <c r="AN180" s="413"/>
      <c r="AO180" s="3617"/>
      <c r="AP180" s="411"/>
      <c r="AQ180" s="414"/>
      <c r="AR180" s="413"/>
      <c r="AS180" s="3617"/>
      <c r="AT180" s="413"/>
      <c r="AU180" s="3617"/>
      <c r="AV180" s="411"/>
      <c r="AW180" s="3617"/>
      <c r="AX180" s="411"/>
      <c r="AY180" s="1755" t="str">
        <f t="shared" si="571"/>
        <v/>
      </c>
      <c r="CA180" s="3235" t="str">
        <f t="shared" si="544"/>
        <v/>
      </c>
      <c r="CB180" s="2873" t="str">
        <f t="shared" si="572"/>
        <v/>
      </c>
      <c r="CC180" s="2873" t="str">
        <f t="shared" si="545"/>
        <v/>
      </c>
      <c r="CD180" s="2718"/>
      <c r="CE180" s="2718"/>
      <c r="CF180" s="2718"/>
      <c r="CG180" s="2718"/>
      <c r="CH180" s="2718"/>
      <c r="CI180" s="2873" t="str">
        <f t="shared" si="546"/>
        <v/>
      </c>
      <c r="CJ180" s="603"/>
      <c r="CK180" s="2873" t="str">
        <f t="shared" si="547"/>
        <v/>
      </c>
      <c r="CL180" s="2873" t="str">
        <f t="shared" si="548"/>
        <v/>
      </c>
      <c r="CM180" s="2873" t="str">
        <f t="shared" si="549"/>
        <v/>
      </c>
      <c r="CN180" s="2873" t="str">
        <f t="shared" si="550"/>
        <v/>
      </c>
      <c r="CO180" s="2873" t="str">
        <f t="shared" si="551"/>
        <v/>
      </c>
      <c r="CP180" s="2873" t="str">
        <f t="shared" si="552"/>
        <v/>
      </c>
      <c r="CQ180" s="2873" t="str">
        <f t="shared" si="553"/>
        <v/>
      </c>
      <c r="CR180" s="2718"/>
      <c r="CS180" s="2718"/>
      <c r="CT180" s="6325" t="str">
        <f t="shared" si="554"/>
        <v/>
      </c>
      <c r="CU180" s="6325" t="str">
        <f t="shared" si="555"/>
        <v/>
      </c>
      <c r="CV180" s="6325" t="str">
        <f t="shared" si="577"/>
        <v/>
      </c>
      <c r="CW180" s="6325" t="str">
        <f t="shared" si="578"/>
        <v/>
      </c>
      <c r="DE180" s="3235">
        <f t="shared" si="558"/>
        <v>0</v>
      </c>
      <c r="DF180" s="2873">
        <f t="shared" si="573"/>
        <v>0</v>
      </c>
      <c r="DG180" s="2873">
        <f t="shared" si="559"/>
        <v>0</v>
      </c>
      <c r="DH180" s="2718"/>
      <c r="DI180" s="2718"/>
      <c r="DJ180" s="2718"/>
      <c r="DK180" s="2718"/>
      <c r="DL180" s="2718"/>
      <c r="DM180" s="2873">
        <f t="shared" si="560"/>
        <v>0</v>
      </c>
      <c r="DN180" s="603"/>
      <c r="DO180" s="2873">
        <f t="shared" si="561"/>
        <v>0</v>
      </c>
      <c r="DP180" s="2873">
        <f t="shared" si="561"/>
        <v>0</v>
      </c>
      <c r="DQ180" s="2873">
        <f t="shared" si="562"/>
        <v>0</v>
      </c>
      <c r="DR180" s="2873">
        <f t="shared" si="563"/>
        <v>0</v>
      </c>
      <c r="DS180" s="2873">
        <f t="shared" si="564"/>
        <v>0</v>
      </c>
      <c r="DT180" s="2873">
        <f t="shared" si="565"/>
        <v>0</v>
      </c>
      <c r="DU180" s="2873">
        <f t="shared" si="566"/>
        <v>0</v>
      </c>
      <c r="DV180" s="2718"/>
      <c r="DW180" s="2718"/>
      <c r="DX180" s="6325">
        <f t="shared" si="567"/>
        <v>0</v>
      </c>
      <c r="DY180" s="6325">
        <f t="shared" si="568"/>
        <v>0</v>
      </c>
      <c r="DZ180" s="6325">
        <f t="shared" si="579"/>
        <v>0</v>
      </c>
      <c r="EA180" s="6325">
        <f t="shared" si="580"/>
        <v>0</v>
      </c>
    </row>
    <row r="181" spans="1:131" x14ac:dyDescent="0.25">
      <c r="A181" s="7710" t="s">
        <v>2711</v>
      </c>
      <c r="B181" s="7711"/>
      <c r="C181" s="2014">
        <f t="shared" si="582"/>
        <v>0</v>
      </c>
      <c r="D181" s="3631">
        <f t="shared" si="582"/>
        <v>0</v>
      </c>
      <c r="E181" s="410"/>
      <c r="F181" s="3616"/>
      <c r="G181" s="410"/>
      <c r="H181" s="3616"/>
      <c r="I181" s="410"/>
      <c r="J181" s="3616"/>
      <c r="K181" s="410"/>
      <c r="L181" s="3616"/>
      <c r="M181" s="410"/>
      <c r="N181" s="3616"/>
      <c r="O181" s="410"/>
      <c r="P181" s="3616"/>
      <c r="Q181" s="410"/>
      <c r="R181" s="3616"/>
      <c r="S181" s="410"/>
      <c r="T181" s="3616"/>
      <c r="U181" s="410"/>
      <c r="V181" s="3616"/>
      <c r="W181" s="410"/>
      <c r="X181" s="3616"/>
      <c r="Y181" s="410"/>
      <c r="Z181" s="3616"/>
      <c r="AA181" s="410"/>
      <c r="AB181" s="3616"/>
      <c r="AC181" s="410"/>
      <c r="AD181" s="3630"/>
      <c r="AE181" s="410"/>
      <c r="AF181" s="3630"/>
      <c r="AG181" s="410"/>
      <c r="AH181" s="412"/>
      <c r="AI181" s="410"/>
      <c r="AJ181" s="3616"/>
      <c r="AK181" s="3617"/>
      <c r="AL181" s="411"/>
      <c r="AM181" s="410"/>
      <c r="AN181" s="413"/>
      <c r="AO181" s="3617"/>
      <c r="AP181" s="411"/>
      <c r="AQ181" s="414"/>
      <c r="AR181" s="413"/>
      <c r="AS181" s="3617"/>
      <c r="AT181" s="413"/>
      <c r="AU181" s="3617"/>
      <c r="AV181" s="411"/>
      <c r="AW181" s="3617"/>
      <c r="AX181" s="411"/>
      <c r="AY181" s="1755" t="str">
        <f t="shared" si="571"/>
        <v/>
      </c>
      <c r="CA181" s="3235" t="str">
        <f t="shared" si="544"/>
        <v/>
      </c>
      <c r="CB181" s="2873" t="str">
        <f t="shared" si="572"/>
        <v/>
      </c>
      <c r="CC181" s="2873" t="str">
        <f t="shared" si="545"/>
        <v/>
      </c>
      <c r="CD181" s="2718"/>
      <c r="CE181" s="2718"/>
      <c r="CF181" s="2718"/>
      <c r="CG181" s="2718"/>
      <c r="CH181" s="2718"/>
      <c r="CI181" s="2873" t="str">
        <f t="shared" si="546"/>
        <v/>
      </c>
      <c r="CJ181" s="603"/>
      <c r="CK181" s="2873" t="str">
        <f t="shared" si="547"/>
        <v/>
      </c>
      <c r="CL181" s="2873" t="str">
        <f t="shared" si="548"/>
        <v/>
      </c>
      <c r="CM181" s="2873" t="str">
        <f t="shared" si="549"/>
        <v/>
      </c>
      <c r="CN181" s="2873" t="str">
        <f t="shared" si="550"/>
        <v/>
      </c>
      <c r="CO181" s="2873" t="str">
        <f t="shared" si="551"/>
        <v/>
      </c>
      <c r="CP181" s="2873" t="str">
        <f t="shared" si="552"/>
        <v/>
      </c>
      <c r="CQ181" s="2873" t="str">
        <f t="shared" si="553"/>
        <v/>
      </c>
      <c r="CR181" s="2718"/>
      <c r="CS181" s="2718"/>
      <c r="CT181" s="6325" t="str">
        <f t="shared" si="554"/>
        <v/>
      </c>
      <c r="CU181" s="6325" t="str">
        <f t="shared" si="555"/>
        <v/>
      </c>
      <c r="CV181" s="6325" t="str">
        <f t="shared" si="577"/>
        <v/>
      </c>
      <c r="CW181" s="6325" t="str">
        <f t="shared" si="578"/>
        <v/>
      </c>
      <c r="DE181" s="3235">
        <f t="shared" si="558"/>
        <v>0</v>
      </c>
      <c r="DF181" s="2873">
        <f t="shared" si="573"/>
        <v>0</v>
      </c>
      <c r="DG181" s="2873">
        <f t="shared" si="559"/>
        <v>0</v>
      </c>
      <c r="DH181" s="2718"/>
      <c r="DI181" s="2718"/>
      <c r="DJ181" s="2718"/>
      <c r="DK181" s="2718"/>
      <c r="DL181" s="2718"/>
      <c r="DM181" s="2873">
        <f t="shared" si="560"/>
        <v>0</v>
      </c>
      <c r="DN181" s="603"/>
      <c r="DO181" s="2873">
        <f t="shared" si="561"/>
        <v>0</v>
      </c>
      <c r="DP181" s="2873">
        <f t="shared" si="561"/>
        <v>0</v>
      </c>
      <c r="DQ181" s="2873">
        <f t="shared" si="562"/>
        <v>0</v>
      </c>
      <c r="DR181" s="2873">
        <f t="shared" si="563"/>
        <v>0</v>
      </c>
      <c r="DS181" s="2873">
        <f t="shared" si="564"/>
        <v>0</v>
      </c>
      <c r="DT181" s="2873">
        <f t="shared" si="565"/>
        <v>0</v>
      </c>
      <c r="DU181" s="2873">
        <f t="shared" si="566"/>
        <v>0</v>
      </c>
      <c r="DV181" s="2718"/>
      <c r="DW181" s="2718"/>
      <c r="DX181" s="6325">
        <f t="shared" si="567"/>
        <v>0</v>
      </c>
      <c r="DY181" s="6325">
        <f t="shared" si="568"/>
        <v>0</v>
      </c>
      <c r="DZ181" s="6325">
        <f t="shared" si="579"/>
        <v>0</v>
      </c>
      <c r="EA181" s="6325">
        <f t="shared" si="580"/>
        <v>0</v>
      </c>
    </row>
    <row r="182" spans="1:131" x14ac:dyDescent="0.25">
      <c r="A182" s="7710" t="s">
        <v>2712</v>
      </c>
      <c r="B182" s="7711"/>
      <c r="C182" s="2014">
        <f t="shared" si="582"/>
        <v>0</v>
      </c>
      <c r="D182" s="3631">
        <f t="shared" si="582"/>
        <v>0</v>
      </c>
      <c r="E182" s="410"/>
      <c r="F182" s="3616"/>
      <c r="G182" s="410"/>
      <c r="H182" s="3616"/>
      <c r="I182" s="410"/>
      <c r="J182" s="3616"/>
      <c r="K182" s="410"/>
      <c r="L182" s="3616"/>
      <c r="M182" s="410"/>
      <c r="N182" s="3616"/>
      <c r="O182" s="410"/>
      <c r="P182" s="3616"/>
      <c r="Q182" s="410"/>
      <c r="R182" s="3616"/>
      <c r="S182" s="410"/>
      <c r="T182" s="3616"/>
      <c r="U182" s="410"/>
      <c r="V182" s="3616"/>
      <c r="W182" s="410"/>
      <c r="X182" s="3616"/>
      <c r="Y182" s="410"/>
      <c r="Z182" s="3616"/>
      <c r="AA182" s="410"/>
      <c r="AB182" s="3616"/>
      <c r="AC182" s="410"/>
      <c r="AD182" s="3630"/>
      <c r="AE182" s="410"/>
      <c r="AF182" s="3630"/>
      <c r="AG182" s="410"/>
      <c r="AH182" s="412"/>
      <c r="AI182" s="410"/>
      <c r="AJ182" s="3616"/>
      <c r="AK182" s="3617"/>
      <c r="AL182" s="411"/>
      <c r="AM182" s="410"/>
      <c r="AN182" s="413"/>
      <c r="AO182" s="3617"/>
      <c r="AP182" s="411"/>
      <c r="AQ182" s="414"/>
      <c r="AR182" s="413"/>
      <c r="AS182" s="3617"/>
      <c r="AT182" s="413"/>
      <c r="AU182" s="3617"/>
      <c r="AV182" s="411"/>
      <c r="AW182" s="3617"/>
      <c r="AX182" s="411"/>
      <c r="AY182" s="1755" t="str">
        <f t="shared" si="571"/>
        <v/>
      </c>
      <c r="CA182" s="3235" t="str">
        <f t="shared" si="544"/>
        <v/>
      </c>
      <c r="CB182" s="2873" t="str">
        <f t="shared" si="572"/>
        <v/>
      </c>
      <c r="CC182" s="2873" t="str">
        <f t="shared" si="545"/>
        <v/>
      </c>
      <c r="CD182" s="2718"/>
      <c r="CE182" s="2718"/>
      <c r="CF182" s="2718"/>
      <c r="CG182" s="2718"/>
      <c r="CH182" s="2718"/>
      <c r="CI182" s="2873" t="str">
        <f t="shared" si="546"/>
        <v/>
      </c>
      <c r="CJ182" s="603"/>
      <c r="CK182" s="2873" t="str">
        <f t="shared" si="547"/>
        <v/>
      </c>
      <c r="CL182" s="2873" t="str">
        <f t="shared" si="548"/>
        <v/>
      </c>
      <c r="CM182" s="2873" t="str">
        <f t="shared" si="549"/>
        <v/>
      </c>
      <c r="CN182" s="2873" t="str">
        <f t="shared" si="550"/>
        <v/>
      </c>
      <c r="CO182" s="2873" t="str">
        <f t="shared" si="551"/>
        <v/>
      </c>
      <c r="CP182" s="2873" t="str">
        <f t="shared" si="552"/>
        <v/>
      </c>
      <c r="CQ182" s="2873" t="str">
        <f t="shared" si="553"/>
        <v/>
      </c>
      <c r="CR182" s="2718"/>
      <c r="CS182" s="2718"/>
      <c r="CT182" s="6325" t="str">
        <f t="shared" si="554"/>
        <v/>
      </c>
      <c r="CU182" s="6325" t="str">
        <f t="shared" si="555"/>
        <v/>
      </c>
      <c r="CV182" s="6325" t="str">
        <f t="shared" si="577"/>
        <v/>
      </c>
      <c r="CW182" s="6325" t="str">
        <f t="shared" si="578"/>
        <v/>
      </c>
      <c r="DE182" s="3235">
        <f t="shared" si="558"/>
        <v>0</v>
      </c>
      <c r="DF182" s="2873">
        <f t="shared" si="573"/>
        <v>0</v>
      </c>
      <c r="DG182" s="2873">
        <f t="shared" si="559"/>
        <v>0</v>
      </c>
      <c r="DH182" s="2718"/>
      <c r="DI182" s="2718"/>
      <c r="DJ182" s="2718"/>
      <c r="DK182" s="2718"/>
      <c r="DL182" s="2718"/>
      <c r="DM182" s="2873">
        <f t="shared" si="560"/>
        <v>0</v>
      </c>
      <c r="DN182" s="603"/>
      <c r="DO182" s="2873">
        <f t="shared" si="561"/>
        <v>0</v>
      </c>
      <c r="DP182" s="2873">
        <f t="shared" si="561"/>
        <v>0</v>
      </c>
      <c r="DQ182" s="2873">
        <f t="shared" si="562"/>
        <v>0</v>
      </c>
      <c r="DR182" s="2873">
        <f t="shared" si="563"/>
        <v>0</v>
      </c>
      <c r="DS182" s="2873">
        <f t="shared" si="564"/>
        <v>0</v>
      </c>
      <c r="DT182" s="2873">
        <f t="shared" si="565"/>
        <v>0</v>
      </c>
      <c r="DU182" s="2873">
        <f t="shared" si="566"/>
        <v>0</v>
      </c>
      <c r="DV182" s="2718"/>
      <c r="DW182" s="2718"/>
      <c r="DX182" s="6325">
        <f t="shared" si="567"/>
        <v>0</v>
      </c>
      <c r="DY182" s="6325">
        <f t="shared" si="568"/>
        <v>0</v>
      </c>
      <c r="DZ182" s="6325">
        <f t="shared" si="579"/>
        <v>0</v>
      </c>
      <c r="EA182" s="6325">
        <f t="shared" si="580"/>
        <v>0</v>
      </c>
    </row>
    <row r="183" spans="1:131" x14ac:dyDescent="0.25">
      <c r="A183" s="7712" t="s">
        <v>2713</v>
      </c>
      <c r="B183" s="7713"/>
      <c r="C183" s="3614">
        <f t="shared" si="582"/>
        <v>0</v>
      </c>
      <c r="D183" s="3622">
        <f t="shared" si="582"/>
        <v>0</v>
      </c>
      <c r="E183" s="3586"/>
      <c r="F183" s="3585"/>
      <c r="G183" s="3586"/>
      <c r="H183" s="3585"/>
      <c r="I183" s="3586"/>
      <c r="J183" s="3585"/>
      <c r="K183" s="3586"/>
      <c r="L183" s="3585"/>
      <c r="M183" s="3586"/>
      <c r="N183" s="3587"/>
      <c r="O183" s="3586"/>
      <c r="P183" s="3585"/>
      <c r="Q183" s="3586"/>
      <c r="R183" s="3585"/>
      <c r="S183" s="3586"/>
      <c r="T183" s="3585"/>
      <c r="U183" s="3586"/>
      <c r="V183" s="3585"/>
      <c r="W183" s="3586"/>
      <c r="X183" s="3585"/>
      <c r="Y183" s="3586"/>
      <c r="Z183" s="3585"/>
      <c r="AA183" s="3586"/>
      <c r="AB183" s="3585"/>
      <c r="AC183" s="3586"/>
      <c r="AD183" s="3632"/>
      <c r="AE183" s="3586"/>
      <c r="AF183" s="3632"/>
      <c r="AG183" s="3586"/>
      <c r="AH183" s="3587"/>
      <c r="AI183" s="3586"/>
      <c r="AJ183" s="3585"/>
      <c r="AK183" s="3589"/>
      <c r="AL183" s="290"/>
      <c r="AM183" s="3586"/>
      <c r="AN183" s="385"/>
      <c r="AO183" s="3589"/>
      <c r="AP183" s="290"/>
      <c r="AQ183" s="288"/>
      <c r="AR183" s="385"/>
      <c r="AS183" s="3589"/>
      <c r="AT183" s="385"/>
      <c r="AU183" s="3589"/>
      <c r="AV183" s="290"/>
      <c r="AW183" s="3589"/>
      <c r="AX183" s="290"/>
      <c r="AY183" s="175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3235" t="str">
        <f t="shared" si="544"/>
        <v/>
      </c>
      <c r="CB183" s="2873" t="str">
        <f t="shared" si="572"/>
        <v/>
      </c>
      <c r="CC183" s="2873" t="str">
        <f t="shared" si="545"/>
        <v/>
      </c>
      <c r="CD183" s="2718"/>
      <c r="CE183" s="2718"/>
      <c r="CF183" s="2718"/>
      <c r="CG183" s="2718"/>
      <c r="CH183" s="2718"/>
      <c r="CI183" s="2873" t="str">
        <f t="shared" si="546"/>
        <v/>
      </c>
      <c r="CJ183" s="603"/>
      <c r="CK183" s="2873" t="str">
        <f t="shared" si="547"/>
        <v/>
      </c>
      <c r="CL183" s="2873" t="str">
        <f t="shared" si="548"/>
        <v/>
      </c>
      <c r="CM183" s="2873" t="str">
        <f t="shared" si="549"/>
        <v/>
      </c>
      <c r="CN183" s="2873" t="str">
        <f t="shared" si="550"/>
        <v/>
      </c>
      <c r="CO183" s="2873" t="str">
        <f t="shared" si="551"/>
        <v/>
      </c>
      <c r="CP183" s="2873" t="str">
        <f t="shared" si="552"/>
        <v/>
      </c>
      <c r="CQ183" s="2873" t="str">
        <f t="shared" si="553"/>
        <v/>
      </c>
      <c r="CR183" s="2718"/>
      <c r="CS183" s="2718"/>
      <c r="CT183" s="6325" t="str">
        <f t="shared" si="554"/>
        <v/>
      </c>
      <c r="CU183" s="6325" t="str">
        <f t="shared" si="555"/>
        <v/>
      </c>
      <c r="CV183" s="6325" t="str">
        <f t="shared" si="577"/>
        <v/>
      </c>
      <c r="CW183" s="6325" t="str">
        <f t="shared" si="578"/>
        <v/>
      </c>
      <c r="DE183" s="3235">
        <f t="shared" si="558"/>
        <v>0</v>
      </c>
      <c r="DF183" s="2873">
        <f t="shared" si="573"/>
        <v>0</v>
      </c>
      <c r="DG183" s="2873">
        <f t="shared" si="559"/>
        <v>0</v>
      </c>
      <c r="DH183" s="2718"/>
      <c r="DI183" s="2718"/>
      <c r="DJ183" s="2718"/>
      <c r="DK183" s="2718"/>
      <c r="DL183" s="2718"/>
      <c r="DM183" s="2873">
        <f t="shared" si="560"/>
        <v>0</v>
      </c>
      <c r="DN183" s="603"/>
      <c r="DO183" s="2873">
        <f t="shared" si="561"/>
        <v>0</v>
      </c>
      <c r="DP183" s="2873">
        <f t="shared" si="561"/>
        <v>0</v>
      </c>
      <c r="DQ183" s="2873">
        <f t="shared" si="562"/>
        <v>0</v>
      </c>
      <c r="DR183" s="2873">
        <f t="shared" si="563"/>
        <v>0</v>
      </c>
      <c r="DS183" s="2873">
        <f t="shared" si="564"/>
        <v>0</v>
      </c>
      <c r="DT183" s="2873">
        <f t="shared" si="565"/>
        <v>0</v>
      </c>
      <c r="DU183" s="2873">
        <f t="shared" si="566"/>
        <v>0</v>
      </c>
      <c r="DV183" s="2718"/>
      <c r="DW183" s="2718"/>
      <c r="DX183" s="6325">
        <f t="shared" si="567"/>
        <v>0</v>
      </c>
      <c r="DY183" s="6325">
        <f t="shared" si="568"/>
        <v>0</v>
      </c>
      <c r="DZ183" s="6325">
        <f t="shared" si="579"/>
        <v>0</v>
      </c>
      <c r="EA183" s="6325">
        <f t="shared" si="580"/>
        <v>0</v>
      </c>
    </row>
    <row r="184" spans="1:131" ht="18" customHeight="1" x14ac:dyDescent="0.25">
      <c r="A184" s="7725" t="s">
        <v>2714</v>
      </c>
      <c r="B184" s="7725"/>
      <c r="C184" s="7725"/>
      <c r="D184" s="7725"/>
      <c r="E184" s="7725"/>
      <c r="F184" s="7725"/>
      <c r="G184" s="7725"/>
      <c r="H184" s="7725"/>
      <c r="I184" s="5398"/>
      <c r="J184" s="5398"/>
      <c r="K184" s="5398"/>
      <c r="L184" s="5398"/>
      <c r="M184" s="5398"/>
      <c r="N184" s="5398"/>
      <c r="O184" s="5398"/>
      <c r="P184" s="5398"/>
      <c r="Q184" s="5398"/>
      <c r="R184" s="5398"/>
      <c r="S184" s="5398"/>
      <c r="T184" s="5398"/>
      <c r="U184" s="5398"/>
      <c r="V184" s="5398"/>
      <c r="W184" s="5398"/>
      <c r="X184" s="5398"/>
      <c r="Y184" s="5398"/>
      <c r="Z184" s="5398"/>
      <c r="AA184" s="5398"/>
      <c r="AB184" s="5398"/>
      <c r="AC184" s="5398"/>
      <c r="AD184" s="5398"/>
      <c r="AE184" s="5398"/>
      <c r="AF184" s="5398"/>
      <c r="AG184" s="5398"/>
      <c r="AH184" s="5398"/>
      <c r="AI184" s="5398"/>
      <c r="AJ184" s="5398"/>
      <c r="AK184" s="3633"/>
      <c r="AL184" s="3633"/>
      <c r="AM184" s="3633"/>
      <c r="AN184" s="3633"/>
      <c r="AO184" s="3633"/>
      <c r="AP184" s="3633"/>
      <c r="AQ184" s="3633"/>
      <c r="AR184" s="3633"/>
      <c r="AS184" s="3633"/>
      <c r="AT184" s="3633"/>
      <c r="AU184" s="3633"/>
      <c r="AV184" s="3633"/>
      <c r="AW184" s="3633"/>
      <c r="AX184" s="3633"/>
    </row>
    <row r="185" spans="1:131" x14ac:dyDescent="0.25">
      <c r="A185" s="7726" t="s">
        <v>2682</v>
      </c>
      <c r="B185" s="7672"/>
      <c r="C185" s="7728" t="s">
        <v>24</v>
      </c>
      <c r="D185" s="7729"/>
      <c r="E185" s="7683" t="s">
        <v>12</v>
      </c>
      <c r="F185" s="7681"/>
      <c r="G185" s="7681"/>
      <c r="H185" s="7681"/>
      <c r="I185" s="7681"/>
      <c r="J185" s="7681"/>
      <c r="K185" s="7681"/>
      <c r="L185" s="7681"/>
      <c r="M185" s="7681"/>
      <c r="N185" s="7681"/>
      <c r="O185" s="7681"/>
      <c r="P185" s="7681"/>
      <c r="Q185" s="7681"/>
      <c r="R185" s="7681"/>
      <c r="S185" s="7681"/>
      <c r="T185" s="7681"/>
      <c r="U185" s="7681"/>
      <c r="V185" s="7681"/>
      <c r="W185" s="7681"/>
      <c r="X185" s="7681"/>
      <c r="Y185" s="7681"/>
      <c r="Z185" s="7681"/>
      <c r="AA185" s="7681"/>
      <c r="AB185" s="7681"/>
      <c r="AC185" s="7681"/>
      <c r="AD185" s="7681"/>
      <c r="AE185" s="7681"/>
      <c r="AF185" s="7681"/>
      <c r="AG185" s="7681"/>
      <c r="AH185" s="7681"/>
      <c r="AI185" s="7681"/>
      <c r="AJ185" s="7684"/>
      <c r="AK185" s="7694" t="s">
        <v>2695</v>
      </c>
      <c r="AL185" s="7694"/>
      <c r="AM185" s="7694"/>
      <c r="AN185" s="7695"/>
      <c r="AO185" s="7693" t="s">
        <v>48</v>
      </c>
      <c r="AP185" s="7694"/>
      <c r="AQ185" s="7694"/>
      <c r="AR185" s="7695"/>
      <c r="AS185" s="7721" t="s">
        <v>546</v>
      </c>
      <c r="AT185" s="7722"/>
      <c r="AU185" s="7721" t="s">
        <v>3</v>
      </c>
      <c r="AV185" s="7722"/>
      <c r="AW185" s="6689" t="s">
        <v>2696</v>
      </c>
      <c r="AX185" s="7672"/>
    </row>
    <row r="186" spans="1:131" x14ac:dyDescent="0.25">
      <c r="A186" s="6600"/>
      <c r="B186" s="6472"/>
      <c r="C186" s="7292"/>
      <c r="D186" s="7293"/>
      <c r="E186" s="7701" t="s">
        <v>3778</v>
      </c>
      <c r="F186" s="7702"/>
      <c r="G186" s="7701" t="s">
        <v>54</v>
      </c>
      <c r="H186" s="7702"/>
      <c r="I186" s="7701" t="s">
        <v>3704</v>
      </c>
      <c r="J186" s="7702"/>
      <c r="K186" s="7683" t="s">
        <v>37</v>
      </c>
      <c r="L186" s="7682"/>
      <c r="M186" s="7683" t="s">
        <v>38</v>
      </c>
      <c r="N186" s="7682"/>
      <c r="O186" s="7683" t="s">
        <v>4</v>
      </c>
      <c r="P186" s="7682"/>
      <c r="Q186" s="7683" t="s">
        <v>5</v>
      </c>
      <c r="R186" s="7682"/>
      <c r="S186" s="7683" t="s">
        <v>6</v>
      </c>
      <c r="T186" s="7682"/>
      <c r="U186" s="7683" t="s">
        <v>7</v>
      </c>
      <c r="V186" s="7682"/>
      <c r="W186" s="7683" t="s">
        <v>8</v>
      </c>
      <c r="X186" s="7682"/>
      <c r="Y186" s="7683" t="s">
        <v>9</v>
      </c>
      <c r="Z186" s="7682"/>
      <c r="AA186" s="7683" t="s">
        <v>10</v>
      </c>
      <c r="AB186" s="7682"/>
      <c r="AC186" s="7683" t="s">
        <v>11</v>
      </c>
      <c r="AD186" s="7682"/>
      <c r="AE186" s="7683" t="s">
        <v>18</v>
      </c>
      <c r="AF186" s="7682"/>
      <c r="AG186" s="7683" t="s">
        <v>19</v>
      </c>
      <c r="AH186" s="7682"/>
      <c r="AI186" s="7683" t="s">
        <v>2697</v>
      </c>
      <c r="AJ186" s="7684"/>
      <c r="AK186" s="7685" t="s">
        <v>22</v>
      </c>
      <c r="AL186" s="7649"/>
      <c r="AM186" s="7648" t="s">
        <v>27</v>
      </c>
      <c r="AN186" s="7662"/>
      <c r="AO186" s="7685" t="s">
        <v>42</v>
      </c>
      <c r="AP186" s="7649"/>
      <c r="AQ186" s="7703" t="s">
        <v>41</v>
      </c>
      <c r="AR186" s="7662"/>
      <c r="AS186" s="7723"/>
      <c r="AT186" s="7724"/>
      <c r="AU186" s="7723"/>
      <c r="AV186" s="7724"/>
      <c r="AW186" s="7700"/>
      <c r="AX186" s="7287"/>
    </row>
    <row r="187" spans="1:131" ht="31.5" x14ac:dyDescent="0.25">
      <c r="A187" s="7727"/>
      <c r="B187" s="7287"/>
      <c r="C187" s="5324" t="s">
        <v>2656</v>
      </c>
      <c r="D187" s="5325" t="s">
        <v>2698</v>
      </c>
      <c r="E187" s="5324" t="s">
        <v>2656</v>
      </c>
      <c r="F187" s="5325" t="s">
        <v>2698</v>
      </c>
      <c r="G187" s="5324" t="s">
        <v>2656</v>
      </c>
      <c r="H187" s="5325" t="s">
        <v>2698</v>
      </c>
      <c r="I187" s="5324" t="s">
        <v>2656</v>
      </c>
      <c r="J187" s="5325" t="s">
        <v>2698</v>
      </c>
      <c r="K187" s="5324" t="s">
        <v>2656</v>
      </c>
      <c r="L187" s="5325" t="s">
        <v>2698</v>
      </c>
      <c r="M187" s="5324" t="s">
        <v>2656</v>
      </c>
      <c r="N187" s="5325" t="s">
        <v>2698</v>
      </c>
      <c r="O187" s="5324" t="s">
        <v>2656</v>
      </c>
      <c r="P187" s="5325" t="s">
        <v>2698</v>
      </c>
      <c r="Q187" s="5324" t="s">
        <v>2656</v>
      </c>
      <c r="R187" s="5325" t="s">
        <v>2698</v>
      </c>
      <c r="S187" s="5324" t="s">
        <v>2656</v>
      </c>
      <c r="T187" s="5325" t="s">
        <v>2698</v>
      </c>
      <c r="U187" s="5324" t="s">
        <v>2656</v>
      </c>
      <c r="V187" s="5325" t="s">
        <v>2698</v>
      </c>
      <c r="W187" s="5324" t="s">
        <v>2656</v>
      </c>
      <c r="X187" s="5325" t="s">
        <v>2698</v>
      </c>
      <c r="Y187" s="5324" t="s">
        <v>2656</v>
      </c>
      <c r="Z187" s="5325" t="s">
        <v>2698</v>
      </c>
      <c r="AA187" s="5324" t="s">
        <v>2656</v>
      </c>
      <c r="AB187" s="5325" t="s">
        <v>2698</v>
      </c>
      <c r="AC187" s="5324" t="s">
        <v>2656</v>
      </c>
      <c r="AD187" s="5325" t="s">
        <v>2698</v>
      </c>
      <c r="AE187" s="5324" t="s">
        <v>2656</v>
      </c>
      <c r="AF187" s="5325" t="s">
        <v>2698</v>
      </c>
      <c r="AG187" s="5324" t="s">
        <v>2656</v>
      </c>
      <c r="AH187" s="5325" t="s">
        <v>2698</v>
      </c>
      <c r="AI187" s="5324" t="s">
        <v>2656</v>
      </c>
      <c r="AJ187" s="5328" t="s">
        <v>2698</v>
      </c>
      <c r="AK187" s="5378" t="s">
        <v>2656</v>
      </c>
      <c r="AL187" s="5325" t="s">
        <v>2698</v>
      </c>
      <c r="AM187" s="5324" t="s">
        <v>2656</v>
      </c>
      <c r="AN187" s="5325" t="s">
        <v>2698</v>
      </c>
      <c r="AO187" s="5379" t="s">
        <v>2656</v>
      </c>
      <c r="AP187" s="5325" t="s">
        <v>2698</v>
      </c>
      <c r="AQ187" s="5324" t="s">
        <v>2656</v>
      </c>
      <c r="AR187" s="5325" t="s">
        <v>2698</v>
      </c>
      <c r="AS187" s="5379" t="s">
        <v>2656</v>
      </c>
      <c r="AT187" s="5325" t="s">
        <v>2698</v>
      </c>
      <c r="AU187" s="5379" t="s">
        <v>2656</v>
      </c>
      <c r="AV187" s="5326" t="s">
        <v>2698</v>
      </c>
      <c r="AW187" s="5379" t="s">
        <v>2656</v>
      </c>
      <c r="AX187" s="5326" t="s">
        <v>2698</v>
      </c>
    </row>
    <row r="188" spans="1:131" x14ac:dyDescent="0.25">
      <c r="A188" s="7719" t="s">
        <v>2699</v>
      </c>
      <c r="B188" s="7720"/>
      <c r="C188" s="5331">
        <f t="shared" ref="C188:D190" si="583">+M188+O188+Q188+S188+U188+W188+Y188+AA188+AC188+AE188</f>
        <v>0</v>
      </c>
      <c r="D188" s="5380">
        <f t="shared" si="583"/>
        <v>0</v>
      </c>
      <c r="E188" s="5381"/>
      <c r="F188" s="5382"/>
      <c r="G188" s="5381"/>
      <c r="H188" s="5382"/>
      <c r="I188" s="5381"/>
      <c r="J188" s="5382"/>
      <c r="K188" s="5381"/>
      <c r="L188" s="5382"/>
      <c r="M188" s="5358"/>
      <c r="N188" s="5359"/>
      <c r="O188" s="5358"/>
      <c r="P188" s="5359"/>
      <c r="Q188" s="5358"/>
      <c r="R188" s="5359"/>
      <c r="S188" s="5358"/>
      <c r="T188" s="5359"/>
      <c r="U188" s="5358"/>
      <c r="V188" s="5359"/>
      <c r="W188" s="5358"/>
      <c r="X188" s="5359"/>
      <c r="Y188" s="5358"/>
      <c r="Z188" s="5359"/>
      <c r="AA188" s="5358"/>
      <c r="AB188" s="5359"/>
      <c r="AC188" s="5358"/>
      <c r="AD188" s="5359"/>
      <c r="AE188" s="5358"/>
      <c r="AF188" s="5359"/>
      <c r="AG188" s="5381"/>
      <c r="AH188" s="5383"/>
      <c r="AI188" s="5381"/>
      <c r="AJ188" s="5384"/>
      <c r="AK188" s="3607"/>
      <c r="AL188" s="5385"/>
      <c r="AM188" s="276"/>
      <c r="AN188" s="3608"/>
      <c r="AO188" s="5337"/>
      <c r="AP188" s="3609"/>
      <c r="AQ188" s="3572"/>
      <c r="AR188" s="3610"/>
      <c r="AS188" s="5337"/>
      <c r="AT188" s="3610"/>
      <c r="AU188" s="5337"/>
      <c r="AV188" s="3609"/>
      <c r="AW188" s="5337"/>
      <c r="AX188" s="3609"/>
      <c r="AY188" s="1755" t="str">
        <f>$CA188&amp;$CC188&amp;CD188&amp;CE188&amp;CF188&amp;CG188&amp;CH188&amp;CI188&amp;CJ188&amp;CK188&amp;CL188&amp;CM188&amp;CN188&amp;CO188&amp;CP188&amp;CQ188&amp;CR188&amp;CS188&amp;CT188&amp;CU188</f>
        <v/>
      </c>
      <c r="CA188" s="3235" t="str">
        <f>IF(D188&gt;C188," * El Total de Exámenes Confirmados Positivos por ISP NO DEBE SUPERAR los Exámenes Procesados. ","")</f>
        <v/>
      </c>
      <c r="CB188" s="3611"/>
      <c r="CC188" s="2873" t="str">
        <f>IF(AN188&gt;AM188," * El número de Exámenes por Sexo Mujeres Confirmados positivos por ISP NO PUEDE Superar al número de Procesados. ","")</f>
        <v/>
      </c>
      <c r="CD188" s="2718"/>
      <c r="CE188" s="2718"/>
      <c r="CF188" s="2718"/>
      <c r="CG188" s="2718"/>
      <c r="CH188" s="2718"/>
      <c r="CI188" s="2873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603"/>
      <c r="CK188" s="2873" t="str">
        <f>IF((AM188+AK188)&lt;&gt;C188," * El N° de exámenes Procesados por SEXO (Hombres + Mujeres)no puede ser distinto al Total de exámenes procesados","")</f>
        <v/>
      </c>
      <c r="CL188" s="2873" t="str">
        <f>IF((AN188+AL188)&lt;&gt;D188," * El N° de exámenes Confirmados positivos por ISP por Sexo (Hombres+Mujeres) no puede ser distinto al N° Total de exámenes Confirmados positivos por ISP ","")</f>
        <v/>
      </c>
      <c r="CM188" s="2873" t="str">
        <f>IF(AND(C188&gt;0,AS188="")," * No olvide digitar los examanes Procesados de Pueblos Originarios. Digite Cero si no tiene.",IF(AS188&gt;C188," * Los exámenes procesados Pueblos originarios no pueden ser mayor que el Total de exámenes procesados.",""))</f>
        <v/>
      </c>
      <c r="CN188" s="2873" t="str">
        <f>IF(AND(C188&gt;0,AU188="")," * No olvide digitar los examenes Procesados de Migrantes. Digite Cero si no tiene.",IF(AU188&gt;C188," * Los exámenes procesados de Migrantes no pueden ser mayor que el Total de exámenes procesados.",""))</f>
        <v/>
      </c>
      <c r="CO188" s="2873" t="str">
        <f>IF(AND(D188&gt;0,OR(AP188="",AR188=""))," * No olvide digitar los exámenes Confirmados positivos por ISP de Trans (Masculino y femenino) Digite Cero si no tiene.",IF((AP188+AR188)&gt;D188," * Los exámenes confirmados positivos por ISP de Trans (Masculino y femenino) no pueden ser mayor que el Total de exámenes Confirmados positivos por ISP.",""))</f>
        <v/>
      </c>
      <c r="CP188" s="2873" t="str">
        <f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2873" t="str">
        <f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2718"/>
      <c r="CS188" s="2718"/>
      <c r="CT188" s="2873" t="str">
        <f>IF(AND((M188+O188)&gt;0,AW188=""),"* No olvide digitar la variable 14-18 años Procesados. Si no tiene digite Cero.",IF(AW188&gt;(M188+O188),"* El Total de Procesados de 14-18 años NO DEBE ser mayor al Total de Procesados registrados en los grupos de edad 10 a 14 y 15 a 19 años. ",""))</f>
        <v/>
      </c>
      <c r="CU188" s="2873" t="str">
        <f>IF(AND((N188+P188)&gt;0,AX188=""),"* No olvide digitar la variable 14-18 años Confirmados. Si no tiene digite Cero.",IF(AX188&gt;(N188+P188),"* El Total de Confirmados de 14-18 años NO DEBE ser mayor al Total de Confirmados registrados en los grupos de edad 10 a 14 y 15 a 19 años. ",""))</f>
        <v/>
      </c>
      <c r="DE188" s="3235">
        <f>IF(D188&gt;C188,1,0)</f>
        <v>0</v>
      </c>
      <c r="DF188" s="3611"/>
      <c r="DG188" s="2873">
        <f>IF(AN188&gt;AM188,1,0)</f>
        <v>0</v>
      </c>
      <c r="DH188" s="2718"/>
      <c r="DI188" s="2718"/>
      <c r="DJ188" s="2718"/>
      <c r="DK188" s="2718"/>
      <c r="DL188" s="2718"/>
      <c r="DM188" s="2873">
        <f>IF(AND(C188&gt;0,AND(AO188="",AQ188="")),1,IF((AO188+AQ188)&gt;C188,1,0))</f>
        <v>0</v>
      </c>
      <c r="DN188" s="603"/>
      <c r="DO188" s="2873">
        <f>IF((AM188+AK188)&lt;&gt;C188,1,0)</f>
        <v>0</v>
      </c>
      <c r="DP188" s="2873">
        <f>IF((AN188+AL188)&lt;&gt;D188,1,0)</f>
        <v>0</v>
      </c>
      <c r="DQ188" s="2873">
        <f>IF(AND(C188&gt;0,AS188=""),1,IF(AS188&gt;C188,1,0))</f>
        <v>0</v>
      </c>
      <c r="DR188" s="2873">
        <f>IF(AND(C188&gt;0,AU188=""),1,IF(AU188&gt;C188,1,0))</f>
        <v>0</v>
      </c>
      <c r="DS188" s="2873">
        <f>IF(AND(D188&gt;0,OR(AP188="",AR188="")),1,IF((AP188+AR188)&gt;D188,1,0))</f>
        <v>0</v>
      </c>
      <c r="DT188" s="2873">
        <f>IF(AND(D188&gt;0,AT188=""),1,IF(AT188&gt;D188,1,0))</f>
        <v>0</v>
      </c>
      <c r="DU188" s="2873">
        <f>IF(AND(D188&gt;0,AV188=""),1,IF(AV188&gt;D188,1,0))</f>
        <v>0</v>
      </c>
      <c r="DV188" s="2718"/>
      <c r="DW188" s="2718"/>
      <c r="DX188" s="2873">
        <f>IF(AND((M188+O188)&gt;0,AW188=""),1,IF(AW188&gt;(M188+O188),1,0))</f>
        <v>0</v>
      </c>
      <c r="DY188" s="2873">
        <f>IF(AND((N188+P188)&gt;0,AX188=""),1,IF(AX188&gt;(N188+P188),1,0))</f>
        <v>0</v>
      </c>
    </row>
    <row r="189" spans="1:131" x14ac:dyDescent="0.25">
      <c r="A189" s="7710" t="s">
        <v>2700</v>
      </c>
      <c r="B189" s="7711"/>
      <c r="C189" s="2014">
        <f t="shared" si="583"/>
        <v>0</v>
      </c>
      <c r="D189" s="5222">
        <f t="shared" si="583"/>
        <v>0</v>
      </c>
      <c r="E189" s="5339"/>
      <c r="F189" s="5340"/>
      <c r="G189" s="5339"/>
      <c r="H189" s="5340"/>
      <c r="I189" s="5339"/>
      <c r="J189" s="5340"/>
      <c r="K189" s="5339"/>
      <c r="L189" s="5340"/>
      <c r="M189" s="276"/>
      <c r="N189" s="5334"/>
      <c r="O189" s="276"/>
      <c r="P189" s="5334"/>
      <c r="Q189" s="276"/>
      <c r="R189" s="5334"/>
      <c r="S189" s="276"/>
      <c r="T189" s="5334"/>
      <c r="U189" s="276"/>
      <c r="V189" s="5334"/>
      <c r="W189" s="276"/>
      <c r="X189" s="5334"/>
      <c r="Y189" s="276"/>
      <c r="Z189" s="5334"/>
      <c r="AA189" s="276"/>
      <c r="AB189" s="5334"/>
      <c r="AC189" s="276"/>
      <c r="AD189" s="5334"/>
      <c r="AE189" s="276"/>
      <c r="AF189" s="5334"/>
      <c r="AG189" s="5339"/>
      <c r="AH189" s="5341"/>
      <c r="AI189" s="5339"/>
      <c r="AJ189" s="5347"/>
      <c r="AK189" s="3576"/>
      <c r="AL189" s="3612"/>
      <c r="AM189" s="5229"/>
      <c r="AN189" s="3610"/>
      <c r="AO189" s="5337"/>
      <c r="AP189" s="3609"/>
      <c r="AQ189" s="3572"/>
      <c r="AR189" s="3610"/>
      <c r="AS189" s="5337"/>
      <c r="AT189" s="3610"/>
      <c r="AU189" s="5337"/>
      <c r="AV189" s="3609"/>
      <c r="AW189" s="5337"/>
      <c r="AX189" s="3609"/>
      <c r="AY189" s="1755" t="str">
        <f>$CA189&amp;$CC189&amp;CD189&amp;CE189&amp;CF189&amp;CG189&amp;CH189&amp;CI189&amp;CJ189&amp;CK189&amp;CL189&amp;CM189&amp;CN189&amp;CO189&amp;CP189&amp;CQ189&amp;CR189&amp;CS189&amp;CT189</f>
        <v/>
      </c>
      <c r="CA189" s="3235" t="str">
        <f t="shared" ref="CA189:CA210" si="584">IF(D189&gt;C189," * El Total de Exámenes Confirmados Positivos por ISP NO DEBE SUPERAR los Exámenes Procesados. ","")</f>
        <v/>
      </c>
      <c r="CB189" s="3611"/>
      <c r="CC189" s="2873" t="str">
        <f t="shared" ref="CC189:CC210" si="585">IF(AN189&gt;AM189," * El número de Exámenes por Sexo Mujeres Confirmados positivos por ISP NO PUEDE Superar al número de Procesados. ","")</f>
        <v/>
      </c>
      <c r="CD189" s="2718"/>
      <c r="CE189" s="2718"/>
      <c r="CF189" s="2718"/>
      <c r="CG189" s="2718"/>
      <c r="CH189" s="2718"/>
      <c r="CI189" s="2873" t="str">
        <f t="shared" ref="CI189:CI210" si="586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603"/>
      <c r="CK189" s="2873" t="str">
        <f t="shared" ref="CK189:CK210" si="587">IF((AM189+AK189)&lt;&gt;C189," * El N° de exámenes Procesados por SEXO (Hombres + Mujeres)no puede ser distinto al Total de exámenes procesados","")</f>
        <v/>
      </c>
      <c r="CL189" s="2873" t="str">
        <f t="shared" ref="CL189:CL210" si="588">IF((AN189+AL189)&lt;&gt;D189," * El N° de exámenes Confirmados positivos por ISP por Sexo (Hombres+Mujeres) no puede ser distinto al N° Total de exámenes Confirmados positivos por ISP ","")</f>
        <v/>
      </c>
      <c r="CM189" s="2873" t="str">
        <f t="shared" ref="CM189:CM210" si="589">IF(AND(C189&gt;0,AS189="")," * No olvide digitar los examanes Procesados de Pueblos Originarios. Digite Cero si no tiene.",IF(AS189&gt;C189," * Los exámenes procesados Pueblos originarios no pueden ser mayor que el Total de exámenes procesados.",""))</f>
        <v/>
      </c>
      <c r="CN189" s="2873" t="str">
        <f t="shared" ref="CN189:CN210" si="590">IF(AND(C189&gt;0,AU189="")," * No olvide digitar los examenes Procesados de Migrantes. Digite Cero si no tiene.",IF(AU189&gt;C189," * Los exámenes procesados de Migrantes no pueden ser mayor que el Total de exámenes procesados.",""))</f>
        <v/>
      </c>
      <c r="CO189" s="2873" t="str">
        <f t="shared" ref="CO189:CO210" si="591">IF(AND(D189&gt;0,OR(AP189="",AR189=""))," * No olvide digitar los exámenes Confirmados positivos por ISP de Trans (Masculino y femenino) Digite Cero si no tiene.",IF((AP189+AR189)&gt;D189," * Los exámenes confirmados positivos por ISP de Trans (Masculino y femenino) no pueden ser mayor que el Total de exámenes Confirmados positivos por ISP.",""))</f>
        <v/>
      </c>
      <c r="CP189" s="2873" t="str">
        <f t="shared" ref="CP189:CP210" si="592">IF(AND(D189&gt;0,AT189="")," * No olvide digitar los exámenes Confirmados positivos por ISP de Pueblos Originarios. Digite Cero si no tiene.",IF(AT189&gt;D189," * Los exámenes Confirmados positivos por ISP de Pueblos originarios no pueden ser mayor que el Total de exámenes Procesados por ISP.",""))</f>
        <v/>
      </c>
      <c r="CQ189" s="2873" t="str">
        <f t="shared" ref="CQ189:CQ210" si="593">IF(AND(D189&gt;0,AV189="")," * No olvide digitar los exámenes Confirmados positivos por ISP de Migrantes. Digite Cero si no tiene.",IF(AV189&gt;D189," * Los exámenes Confirmados positivos por ISP de Migrantes no pueden ser mayor que el Total de exámenes Procesados por ISP.",""))</f>
        <v/>
      </c>
      <c r="CR189" s="2718"/>
      <c r="CS189" s="2718"/>
      <c r="CT189" s="2873" t="str">
        <f t="shared" ref="CT189:CT196" si="594">IF(AND((M189+O189)&gt;0,AW189=""),"* No olvide digitar la variable 14-18 años Procesados. Si no tiene digite Cero.",IF(AW189&gt;(M189+O189),"* El Total de Procesados de 14-18 años NO DEBE ser mayor al Total de Procesados registrados en los grupos de edad 10 a 14 y 15 a 19 años. ",""))</f>
        <v/>
      </c>
      <c r="CU189" s="2873" t="str">
        <f t="shared" ref="CU189:CU196" si="595">IF(AND((N189+P189)&gt;0,AX189=""),"* No olvide digitar la variable 14-18 años Confirmados. Si no tiene digite Cero.",IF(AX189&gt;(N189+P189),"* El Total de Confirmados de 14-18 años NO DEBE ser mayor al Total de Confirmados registrados en los grupos de edad 10 a 14 y 15 a 19 años. ",""))</f>
        <v/>
      </c>
      <c r="DE189" s="3235">
        <f t="shared" ref="DE189:DE210" si="596">IF(D189&gt;C189,1,0)</f>
        <v>0</v>
      </c>
      <c r="DF189" s="3611"/>
      <c r="DG189" s="2873">
        <f t="shared" ref="DG189:DG210" si="597">IF(AN189&gt;AM189,1,0)</f>
        <v>0</v>
      </c>
      <c r="DH189" s="2718"/>
      <c r="DI189" s="2718"/>
      <c r="DJ189" s="2718"/>
      <c r="DK189" s="2718"/>
      <c r="DL189" s="2718"/>
      <c r="DM189" s="2873">
        <f t="shared" ref="DM189:DM210" si="598">IF(AND(C189&gt;0,AND(AO189="",AQ189="")),1,IF((AO189+AQ189)&gt;C189,1,0))</f>
        <v>0</v>
      </c>
      <c r="DN189" s="603"/>
      <c r="DO189" s="2873">
        <f t="shared" ref="DO189:DO210" si="599">IF((AM189+AK189)&lt;&gt;C189,1,0)</f>
        <v>0</v>
      </c>
      <c r="DP189" s="2873">
        <f t="shared" ref="DP189:DP210" si="600">IF((AN189+AL189)&lt;&gt;D189,1,0)</f>
        <v>0</v>
      </c>
      <c r="DQ189" s="2873">
        <f t="shared" ref="DQ189:DQ210" si="601">IF(AND(C189&gt;0,AS189=""),1,IF(AS189&gt;C189,1,0))</f>
        <v>0</v>
      </c>
      <c r="DR189" s="2873">
        <f t="shared" ref="DR189:DR210" si="602">IF(AND(C189&gt;0,AU189=""),1,IF(AU189&gt;C189,1,0))</f>
        <v>0</v>
      </c>
      <c r="DS189" s="2873">
        <f t="shared" ref="DS189:DS210" si="603">IF(AND(D189&gt;0,OR(AP189="",AR189="")),1,IF((AP189+AR189)&gt;D189,1,0))</f>
        <v>0</v>
      </c>
      <c r="DT189" s="2873">
        <f t="shared" ref="DT189:DT210" si="604">IF(AND(D189&gt;0,AT189=""),1,IF(AT189&gt;D189,1,0))</f>
        <v>0</v>
      </c>
      <c r="DU189" s="2873">
        <f t="shared" ref="DU189:DU210" si="605">IF(AND(D189&gt;0,AV189=""),1,IF(AV189&gt;D189,1,0))</f>
        <v>0</v>
      </c>
      <c r="DV189" s="2718"/>
      <c r="DW189" s="2718"/>
      <c r="DX189" s="2873">
        <f t="shared" ref="DX189:DX196" si="606">IF(AND((M189+O189)&gt;0,AW189=""),1,IF(AW189&gt;(M189+O189),1,0))</f>
        <v>0</v>
      </c>
      <c r="DY189" s="2873">
        <f t="shared" ref="DY189:DY196" si="607">IF(AND((N189+P189)&gt;0,AX189=""),1,IF(AX189&gt;(N189+P189),1,0))</f>
        <v>0</v>
      </c>
    </row>
    <row r="190" spans="1:131" x14ac:dyDescent="0.25">
      <c r="A190" s="7710" t="s">
        <v>2701</v>
      </c>
      <c r="B190" s="7711"/>
      <c r="C190" s="2014">
        <f t="shared" si="583"/>
        <v>0</v>
      </c>
      <c r="D190" s="5222">
        <f t="shared" si="583"/>
        <v>0</v>
      </c>
      <c r="E190" s="5339"/>
      <c r="F190" s="5340"/>
      <c r="G190" s="5339"/>
      <c r="H190" s="5340"/>
      <c r="I190" s="5339"/>
      <c r="J190" s="5340"/>
      <c r="K190" s="5339"/>
      <c r="L190" s="5340"/>
      <c r="M190" s="5229"/>
      <c r="N190" s="5342"/>
      <c r="O190" s="5229"/>
      <c r="P190" s="5342"/>
      <c r="Q190" s="5229"/>
      <c r="R190" s="5342"/>
      <c r="S190" s="5229"/>
      <c r="T190" s="5342"/>
      <c r="U190" s="5229"/>
      <c r="V190" s="5342"/>
      <c r="W190" s="5229"/>
      <c r="X190" s="5342"/>
      <c r="Y190" s="5229"/>
      <c r="Z190" s="5342"/>
      <c r="AA190" s="5229"/>
      <c r="AB190" s="5342"/>
      <c r="AC190" s="5229"/>
      <c r="AD190" s="5342"/>
      <c r="AE190" s="5229"/>
      <c r="AF190" s="5342"/>
      <c r="AG190" s="5339"/>
      <c r="AH190" s="5341"/>
      <c r="AI190" s="5339"/>
      <c r="AJ190" s="5347"/>
      <c r="AK190" s="3576"/>
      <c r="AL190" s="3612"/>
      <c r="AM190" s="5229"/>
      <c r="AN190" s="3610"/>
      <c r="AO190" s="5337"/>
      <c r="AP190" s="3609"/>
      <c r="AQ190" s="3572"/>
      <c r="AR190" s="3610"/>
      <c r="AS190" s="5337"/>
      <c r="AT190" s="3610"/>
      <c r="AU190" s="5337"/>
      <c r="AV190" s="3609"/>
      <c r="AW190" s="5337"/>
      <c r="AX190" s="3609"/>
      <c r="AY190" s="1755" t="str">
        <f t="shared" ref="AY190" si="608">$CA190&amp;$CC190&amp;CD190&amp;CE190&amp;CF190&amp;CG190&amp;CH190&amp;CI190&amp;CJ190&amp;CK190&amp;CL190&amp;CM190&amp;CN190&amp;CO190&amp;CP190&amp;CQ190&amp;CR190&amp;CS190&amp;CT190</f>
        <v/>
      </c>
      <c r="CA190" s="3235" t="str">
        <f t="shared" si="584"/>
        <v/>
      </c>
      <c r="CB190" s="3611"/>
      <c r="CC190" s="2873" t="str">
        <f t="shared" si="585"/>
        <v/>
      </c>
      <c r="CD190" s="2718"/>
      <c r="CE190" s="2718"/>
      <c r="CF190" s="2718"/>
      <c r="CG190" s="2718"/>
      <c r="CH190" s="2718"/>
      <c r="CI190" s="2873" t="str">
        <f t="shared" si="586"/>
        <v/>
      </c>
      <c r="CJ190" s="603"/>
      <c r="CK190" s="2873" t="str">
        <f t="shared" si="587"/>
        <v/>
      </c>
      <c r="CL190" s="2873" t="str">
        <f t="shared" si="588"/>
        <v/>
      </c>
      <c r="CM190" s="2873" t="str">
        <f t="shared" si="589"/>
        <v/>
      </c>
      <c r="CN190" s="2873" t="str">
        <f t="shared" si="590"/>
        <v/>
      </c>
      <c r="CO190" s="2873" t="str">
        <f t="shared" si="591"/>
        <v/>
      </c>
      <c r="CP190" s="2873" t="str">
        <f t="shared" si="592"/>
        <v/>
      </c>
      <c r="CQ190" s="2873" t="str">
        <f t="shared" si="593"/>
        <v/>
      </c>
      <c r="CR190" s="2718"/>
      <c r="CS190" s="2718"/>
      <c r="CT190" s="2873" t="str">
        <f t="shared" si="594"/>
        <v/>
      </c>
      <c r="CU190" s="2873" t="str">
        <f t="shared" si="595"/>
        <v/>
      </c>
      <c r="DE190" s="3235">
        <f t="shared" si="596"/>
        <v>0</v>
      </c>
      <c r="DF190" s="3611"/>
      <c r="DG190" s="2873">
        <f t="shared" si="597"/>
        <v>0</v>
      </c>
      <c r="DH190" s="2718"/>
      <c r="DI190" s="2718"/>
      <c r="DJ190" s="2718"/>
      <c r="DK190" s="2718"/>
      <c r="DL190" s="2718"/>
      <c r="DM190" s="2873">
        <f t="shared" si="598"/>
        <v>0</v>
      </c>
      <c r="DN190" s="603"/>
      <c r="DO190" s="2873">
        <f t="shared" si="599"/>
        <v>0</v>
      </c>
      <c r="DP190" s="2873">
        <f t="shared" si="600"/>
        <v>0</v>
      </c>
      <c r="DQ190" s="2873">
        <f t="shared" si="601"/>
        <v>0</v>
      </c>
      <c r="DR190" s="2873">
        <f t="shared" si="602"/>
        <v>0</v>
      </c>
      <c r="DS190" s="2873">
        <f t="shared" si="603"/>
        <v>0</v>
      </c>
      <c r="DT190" s="2873">
        <f t="shared" si="604"/>
        <v>0</v>
      </c>
      <c r="DU190" s="2873">
        <f t="shared" si="605"/>
        <v>0</v>
      </c>
      <c r="DV190" s="2718"/>
      <c r="DW190" s="2718"/>
      <c r="DX190" s="2873">
        <f t="shared" si="606"/>
        <v>0</v>
      </c>
      <c r="DY190" s="2873">
        <f t="shared" si="607"/>
        <v>0</v>
      </c>
    </row>
    <row r="191" spans="1:131" x14ac:dyDescent="0.25">
      <c r="A191" s="7710" t="s">
        <v>2668</v>
      </c>
      <c r="B191" s="7711"/>
      <c r="C191" s="2014">
        <f>+O191+Q191+S191+U191+W191+Y191+AA191+AC191+AE191+AG191+AI191</f>
        <v>0</v>
      </c>
      <c r="D191" s="2012">
        <f>+P191+R191+T191+V191+X191+Z191+AB191+AD191+AF191+AH191+AJ191</f>
        <v>0</v>
      </c>
      <c r="E191" s="5339"/>
      <c r="F191" s="5340"/>
      <c r="G191" s="5339"/>
      <c r="H191" s="5340"/>
      <c r="I191" s="5339"/>
      <c r="J191" s="5340"/>
      <c r="K191" s="5339"/>
      <c r="L191" s="5340"/>
      <c r="M191" s="5339"/>
      <c r="N191" s="5340"/>
      <c r="O191" s="5229"/>
      <c r="P191" s="5342"/>
      <c r="Q191" s="5229"/>
      <c r="R191" s="5342"/>
      <c r="S191" s="5229"/>
      <c r="T191" s="5342"/>
      <c r="U191" s="5229"/>
      <c r="V191" s="5342"/>
      <c r="W191" s="5229"/>
      <c r="X191" s="5342"/>
      <c r="Y191" s="5229"/>
      <c r="Z191" s="5342"/>
      <c r="AA191" s="5229"/>
      <c r="AB191" s="5342"/>
      <c r="AC191" s="5229"/>
      <c r="AD191" s="5342"/>
      <c r="AE191" s="5229"/>
      <c r="AF191" s="5342"/>
      <c r="AG191" s="5229"/>
      <c r="AH191" s="5342"/>
      <c r="AI191" s="5229"/>
      <c r="AJ191" s="5342"/>
      <c r="AK191" s="5337"/>
      <c r="AL191" s="3609"/>
      <c r="AM191" s="5229"/>
      <c r="AN191" s="3610"/>
      <c r="AO191" s="5337"/>
      <c r="AP191" s="3609"/>
      <c r="AQ191" s="3572"/>
      <c r="AR191" s="3610"/>
      <c r="AS191" s="5337"/>
      <c r="AT191" s="3610"/>
      <c r="AU191" s="5337"/>
      <c r="AV191" s="3609"/>
      <c r="AW191" s="5337"/>
      <c r="AX191" s="3609"/>
      <c r="AY191" s="175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3235" t="str">
        <f t="shared" si="584"/>
        <v/>
      </c>
      <c r="CB191" s="2873" t="str">
        <f>IF(AL191&gt;AK191," * El número de Exámenes por Sexo Hombres Confirmados positivos por ISP NO PUEDE Superar al número de Procesados. ","")</f>
        <v/>
      </c>
      <c r="CC191" s="2873" t="str">
        <f t="shared" si="585"/>
        <v/>
      </c>
      <c r="CD191" s="2718"/>
      <c r="CE191" s="2718"/>
      <c r="CF191" s="2718"/>
      <c r="CG191" s="2718"/>
      <c r="CH191" s="2718"/>
      <c r="CI191" s="2873" t="str">
        <f t="shared" si="586"/>
        <v/>
      </c>
      <c r="CJ191" s="603"/>
      <c r="CK191" s="2873" t="str">
        <f t="shared" si="587"/>
        <v/>
      </c>
      <c r="CL191" s="2873" t="str">
        <f t="shared" si="588"/>
        <v/>
      </c>
      <c r="CM191" s="2873" t="str">
        <f t="shared" si="589"/>
        <v/>
      </c>
      <c r="CN191" s="2873" t="str">
        <f t="shared" si="590"/>
        <v/>
      </c>
      <c r="CO191" s="2873" t="str">
        <f t="shared" si="591"/>
        <v/>
      </c>
      <c r="CP191" s="2873" t="str">
        <f t="shared" si="592"/>
        <v/>
      </c>
      <c r="CQ191" s="2873" t="str">
        <f t="shared" si="593"/>
        <v/>
      </c>
      <c r="CR191" s="2718"/>
      <c r="CS191" s="2718"/>
      <c r="CT191" s="2873" t="str">
        <f t="shared" si="594"/>
        <v/>
      </c>
      <c r="CU191" s="2873" t="str">
        <f t="shared" si="595"/>
        <v/>
      </c>
      <c r="DE191" s="3235">
        <f t="shared" si="596"/>
        <v>0</v>
      </c>
      <c r="DF191" s="2873">
        <f>IF(AL191&gt;AK191,1,0)</f>
        <v>0</v>
      </c>
      <c r="DG191" s="2873">
        <f t="shared" si="597"/>
        <v>0</v>
      </c>
      <c r="DH191" s="2718"/>
      <c r="DI191" s="2718"/>
      <c r="DJ191" s="2718"/>
      <c r="DK191" s="2718"/>
      <c r="DL191" s="2718"/>
      <c r="DM191" s="2873">
        <f t="shared" si="598"/>
        <v>0</v>
      </c>
      <c r="DN191" s="603"/>
      <c r="DO191" s="2873">
        <f t="shared" si="599"/>
        <v>0</v>
      </c>
      <c r="DP191" s="2873">
        <f t="shared" si="600"/>
        <v>0</v>
      </c>
      <c r="DQ191" s="2873">
        <f t="shared" si="601"/>
        <v>0</v>
      </c>
      <c r="DR191" s="2873">
        <f t="shared" si="602"/>
        <v>0</v>
      </c>
      <c r="DS191" s="2873">
        <f t="shared" si="603"/>
        <v>0</v>
      </c>
      <c r="DT191" s="2873">
        <f t="shared" si="604"/>
        <v>0</v>
      </c>
      <c r="DU191" s="2873">
        <f t="shared" si="605"/>
        <v>0</v>
      </c>
      <c r="DV191" s="2718"/>
      <c r="DW191" s="2718"/>
      <c r="DX191" s="2873">
        <f t="shared" si="606"/>
        <v>0</v>
      </c>
      <c r="DY191" s="2873">
        <f t="shared" si="607"/>
        <v>0</v>
      </c>
    </row>
    <row r="192" spans="1:131" x14ac:dyDescent="0.25">
      <c r="A192" s="7710" t="s">
        <v>2674</v>
      </c>
      <c r="B192" s="7711"/>
      <c r="C192" s="2014">
        <f>+E192+G192+I192+K192+M192+O192+Q192+S192+U192+W192+Y192+AA192+AC192+AE192+AG192+AI192</f>
        <v>0</v>
      </c>
      <c r="D192" s="2012">
        <f>+F192+H192+J192+L192+N192+P192+R192+T192+V192+X192+Z192+AB192+AD192+AF192+AH192+AJ192</f>
        <v>0</v>
      </c>
      <c r="E192" s="5229"/>
      <c r="F192" s="5342"/>
      <c r="G192" s="5229"/>
      <c r="H192" s="5342"/>
      <c r="I192" s="5229"/>
      <c r="J192" s="5342"/>
      <c r="K192" s="5229"/>
      <c r="L192" s="5342"/>
      <c r="M192" s="5229"/>
      <c r="N192" s="5342"/>
      <c r="O192" s="5229"/>
      <c r="P192" s="5342"/>
      <c r="Q192" s="5229"/>
      <c r="R192" s="5342"/>
      <c r="S192" s="5229"/>
      <c r="T192" s="5342"/>
      <c r="U192" s="5229"/>
      <c r="V192" s="5342"/>
      <c r="W192" s="5229"/>
      <c r="X192" s="5342"/>
      <c r="Y192" s="5229"/>
      <c r="Z192" s="5342"/>
      <c r="AA192" s="5229"/>
      <c r="AB192" s="5342"/>
      <c r="AC192" s="5229"/>
      <c r="AD192" s="5342"/>
      <c r="AE192" s="5229"/>
      <c r="AF192" s="5342"/>
      <c r="AG192" s="5229"/>
      <c r="AH192" s="5342"/>
      <c r="AI192" s="5229"/>
      <c r="AJ192" s="5342"/>
      <c r="AK192" s="5386"/>
      <c r="AL192" s="3613"/>
      <c r="AM192" s="5387"/>
      <c r="AN192" s="3610"/>
      <c r="AO192" s="5337"/>
      <c r="AP192" s="3609"/>
      <c r="AQ192" s="3572"/>
      <c r="AR192" s="3610"/>
      <c r="AS192" s="5337"/>
      <c r="AT192" s="3610"/>
      <c r="AU192" s="5337"/>
      <c r="AV192" s="3609"/>
      <c r="AW192" s="5337"/>
      <c r="AX192" s="3609"/>
      <c r="AY192" s="1755" t="str">
        <f t="shared" ref="AY192:AY210" si="609">$CA192&amp;CB192&amp;$CC192&amp;CD192&amp;CE192&amp;CF192&amp;CG192&amp;CH192&amp;CI192&amp;CJ192&amp;CK192&amp;CL192&amp;CM192&amp;CN192&amp;CO192&amp;CP192&amp;CQ192&amp;CR192&amp;CS192&amp;CT192&amp;CU192</f>
        <v/>
      </c>
      <c r="CA192" s="3235" t="str">
        <f t="shared" si="584"/>
        <v/>
      </c>
      <c r="CB192" s="2873" t="str">
        <f t="shared" ref="CB192:CB210" si="610">IF(AL192&gt;AK192," * El número de Exámenes por Sexo Hombres Confirmados positivos por ISP NO PUEDE Superar al número de Procesados. ","")</f>
        <v/>
      </c>
      <c r="CC192" s="2873" t="str">
        <f t="shared" si="585"/>
        <v/>
      </c>
      <c r="CD192" s="2718"/>
      <c r="CE192" s="2718"/>
      <c r="CF192" s="2718"/>
      <c r="CG192" s="2718"/>
      <c r="CH192" s="2718"/>
      <c r="CI192" s="2873" t="str">
        <f t="shared" si="586"/>
        <v/>
      </c>
      <c r="CJ192" s="603"/>
      <c r="CK192" s="2873" t="str">
        <f t="shared" si="587"/>
        <v/>
      </c>
      <c r="CL192" s="2873" t="str">
        <f t="shared" si="588"/>
        <v/>
      </c>
      <c r="CM192" s="2873" t="str">
        <f t="shared" si="589"/>
        <v/>
      </c>
      <c r="CN192" s="2873" t="str">
        <f t="shared" si="590"/>
        <v/>
      </c>
      <c r="CO192" s="2873" t="str">
        <f t="shared" si="591"/>
        <v/>
      </c>
      <c r="CP192" s="2873" t="str">
        <f t="shared" si="592"/>
        <v/>
      </c>
      <c r="CQ192" s="2873" t="str">
        <f t="shared" si="593"/>
        <v/>
      </c>
      <c r="CR192" s="2718"/>
      <c r="CS192" s="2718"/>
      <c r="CT192" s="2873" t="str">
        <f t="shared" si="594"/>
        <v/>
      </c>
      <c r="CU192" s="2873" t="str">
        <f t="shared" si="595"/>
        <v/>
      </c>
      <c r="DE192" s="3235">
        <f t="shared" si="596"/>
        <v>0</v>
      </c>
      <c r="DF192" s="2873">
        <f t="shared" ref="DF192:DF210" si="611">IF(AL192&gt;AK192,1,0)</f>
        <v>0</v>
      </c>
      <c r="DG192" s="2873">
        <f t="shared" si="597"/>
        <v>0</v>
      </c>
      <c r="DH192" s="2718"/>
      <c r="DI192" s="2718"/>
      <c r="DJ192" s="2718"/>
      <c r="DK192" s="2718"/>
      <c r="DL192" s="2718"/>
      <c r="DM192" s="2873">
        <f t="shared" si="598"/>
        <v>0</v>
      </c>
      <c r="DN192" s="603"/>
      <c r="DO192" s="2873">
        <f t="shared" si="599"/>
        <v>0</v>
      </c>
      <c r="DP192" s="2873">
        <f t="shared" si="600"/>
        <v>0</v>
      </c>
      <c r="DQ192" s="2873">
        <f t="shared" si="601"/>
        <v>0</v>
      </c>
      <c r="DR192" s="2873">
        <f t="shared" si="602"/>
        <v>0</v>
      </c>
      <c r="DS192" s="2873">
        <f t="shared" si="603"/>
        <v>0</v>
      </c>
      <c r="DT192" s="2873">
        <f t="shared" si="604"/>
        <v>0</v>
      </c>
      <c r="DU192" s="2873">
        <f t="shared" si="605"/>
        <v>0</v>
      </c>
      <c r="DV192" s="2718"/>
      <c r="DW192" s="2718"/>
      <c r="DX192" s="2873">
        <f t="shared" si="606"/>
        <v>0</v>
      </c>
      <c r="DY192" s="2873">
        <f t="shared" si="607"/>
        <v>0</v>
      </c>
    </row>
    <row r="193" spans="1:129" x14ac:dyDescent="0.25">
      <c r="A193" s="7710" t="s">
        <v>2702</v>
      </c>
      <c r="B193" s="7711"/>
      <c r="C193" s="2014">
        <f>+E193+G193+I193+K193+M193+O193+Q193+S193+U193+W193+Y193+AA193+AC193+AE193+AG193+AI193</f>
        <v>0</v>
      </c>
      <c r="D193" s="5222">
        <f>+F193+H193+J193+L193+N193+P193+R193+T193+V193+X193+Z193+AB193+AD193+AF193+AH193+AJ193</f>
        <v>0</v>
      </c>
      <c r="E193" s="5229"/>
      <c r="F193" s="5342"/>
      <c r="G193" s="5229"/>
      <c r="H193" s="5342"/>
      <c r="I193" s="5229"/>
      <c r="J193" s="5342"/>
      <c r="K193" s="5229"/>
      <c r="L193" s="5342"/>
      <c r="M193" s="5229"/>
      <c r="N193" s="5342"/>
      <c r="O193" s="5229"/>
      <c r="P193" s="5342"/>
      <c r="Q193" s="5229"/>
      <c r="R193" s="5342"/>
      <c r="S193" s="5229"/>
      <c r="T193" s="5342"/>
      <c r="U193" s="5229"/>
      <c r="V193" s="5342"/>
      <c r="W193" s="5229"/>
      <c r="X193" s="5342"/>
      <c r="Y193" s="5229"/>
      <c r="Z193" s="5342"/>
      <c r="AA193" s="5229"/>
      <c r="AB193" s="5342"/>
      <c r="AC193" s="5229"/>
      <c r="AD193" s="5342"/>
      <c r="AE193" s="5229"/>
      <c r="AF193" s="5342"/>
      <c r="AG193" s="5229"/>
      <c r="AH193" s="5342"/>
      <c r="AI193" s="5229"/>
      <c r="AJ193" s="5342"/>
      <c r="AK193" s="5337"/>
      <c r="AL193" s="3609"/>
      <c r="AM193" s="5229"/>
      <c r="AN193" s="3610"/>
      <c r="AO193" s="5337"/>
      <c r="AP193" s="3609"/>
      <c r="AQ193" s="3572"/>
      <c r="AR193" s="3610"/>
      <c r="AS193" s="5337"/>
      <c r="AT193" s="3610"/>
      <c r="AU193" s="5337"/>
      <c r="AV193" s="3609"/>
      <c r="AW193" s="5337"/>
      <c r="AX193" s="3609"/>
      <c r="AY193" s="1755" t="str">
        <f t="shared" si="609"/>
        <v/>
      </c>
      <c r="CA193" s="3235" t="str">
        <f t="shared" si="584"/>
        <v/>
      </c>
      <c r="CB193" s="2873" t="str">
        <f t="shared" si="610"/>
        <v/>
      </c>
      <c r="CC193" s="2873" t="str">
        <f t="shared" si="585"/>
        <v/>
      </c>
      <c r="CD193" s="2718"/>
      <c r="CE193" s="2718"/>
      <c r="CF193" s="2718"/>
      <c r="CG193" s="2718"/>
      <c r="CH193" s="2718"/>
      <c r="CI193" s="2873" t="str">
        <f t="shared" si="586"/>
        <v/>
      </c>
      <c r="CJ193" s="603"/>
      <c r="CK193" s="2873" t="str">
        <f t="shared" si="587"/>
        <v/>
      </c>
      <c r="CL193" s="2873" t="str">
        <f t="shared" si="588"/>
        <v/>
      </c>
      <c r="CM193" s="2873" t="str">
        <f t="shared" si="589"/>
        <v/>
      </c>
      <c r="CN193" s="2873" t="str">
        <f t="shared" si="590"/>
        <v/>
      </c>
      <c r="CO193" s="2873" t="str">
        <f t="shared" si="591"/>
        <v/>
      </c>
      <c r="CP193" s="2873" t="str">
        <f t="shared" si="592"/>
        <v/>
      </c>
      <c r="CQ193" s="2873" t="str">
        <f t="shared" si="593"/>
        <v/>
      </c>
      <c r="CR193" s="2718"/>
      <c r="CS193" s="2718"/>
      <c r="CT193" s="2873" t="str">
        <f t="shared" si="594"/>
        <v/>
      </c>
      <c r="CU193" s="2873" t="str">
        <f t="shared" si="595"/>
        <v/>
      </c>
      <c r="DE193" s="3235">
        <f t="shared" si="596"/>
        <v>0</v>
      </c>
      <c r="DF193" s="2873">
        <f t="shared" si="611"/>
        <v>0</v>
      </c>
      <c r="DG193" s="2873">
        <f t="shared" si="597"/>
        <v>0</v>
      </c>
      <c r="DH193" s="2718"/>
      <c r="DI193" s="2718"/>
      <c r="DJ193" s="2718"/>
      <c r="DK193" s="2718"/>
      <c r="DL193" s="2718"/>
      <c r="DM193" s="2873">
        <f t="shared" si="598"/>
        <v>0</v>
      </c>
      <c r="DN193" s="603"/>
      <c r="DO193" s="2873">
        <f t="shared" si="599"/>
        <v>0</v>
      </c>
      <c r="DP193" s="2873">
        <f t="shared" si="600"/>
        <v>0</v>
      </c>
      <c r="DQ193" s="2873">
        <f t="shared" si="601"/>
        <v>0</v>
      </c>
      <c r="DR193" s="2873">
        <f t="shared" si="602"/>
        <v>0</v>
      </c>
      <c r="DS193" s="2873">
        <f t="shared" si="603"/>
        <v>0</v>
      </c>
      <c r="DT193" s="2873">
        <f t="shared" si="604"/>
        <v>0</v>
      </c>
      <c r="DU193" s="2873">
        <f t="shared" si="605"/>
        <v>0</v>
      </c>
      <c r="DV193" s="2718"/>
      <c r="DW193" s="2718"/>
      <c r="DX193" s="2873">
        <f t="shared" si="606"/>
        <v>0</v>
      </c>
      <c r="DY193" s="2873">
        <f t="shared" si="607"/>
        <v>0</v>
      </c>
    </row>
    <row r="194" spans="1:129" x14ac:dyDescent="0.25">
      <c r="A194" s="7710" t="s">
        <v>2703</v>
      </c>
      <c r="B194" s="7711"/>
      <c r="C194" s="2014">
        <f>+O194+Q194+S194+U194+W194+Y194+AA194+AC194+AE194+AG194+AI194</f>
        <v>0</v>
      </c>
      <c r="D194" s="5222">
        <f>+P194+R194+T194+V194+X194+Z194+AB194+AD194+AF194+AH194+AJ194</f>
        <v>0</v>
      </c>
      <c r="E194" s="5339"/>
      <c r="F194" s="5340"/>
      <c r="G194" s="5339"/>
      <c r="H194" s="5340"/>
      <c r="I194" s="5339"/>
      <c r="J194" s="5340"/>
      <c r="K194" s="5339"/>
      <c r="L194" s="5340"/>
      <c r="M194" s="5339"/>
      <c r="N194" s="5340"/>
      <c r="O194" s="5229"/>
      <c r="P194" s="5342"/>
      <c r="Q194" s="5229"/>
      <c r="R194" s="5342"/>
      <c r="S194" s="5229"/>
      <c r="T194" s="5342"/>
      <c r="U194" s="5229"/>
      <c r="V194" s="5342"/>
      <c r="W194" s="5229"/>
      <c r="X194" s="5342"/>
      <c r="Y194" s="5229"/>
      <c r="Z194" s="5342"/>
      <c r="AA194" s="5229"/>
      <c r="AB194" s="5342"/>
      <c r="AC194" s="5229"/>
      <c r="AD194" s="5342"/>
      <c r="AE194" s="5229"/>
      <c r="AF194" s="5342"/>
      <c r="AG194" s="5229"/>
      <c r="AH194" s="5342"/>
      <c r="AI194" s="5229"/>
      <c r="AJ194" s="5342"/>
      <c r="AK194" s="5337"/>
      <c r="AL194" s="3609"/>
      <c r="AM194" s="5229"/>
      <c r="AN194" s="3610"/>
      <c r="AO194" s="5337"/>
      <c r="AP194" s="3609"/>
      <c r="AQ194" s="3572"/>
      <c r="AR194" s="3610"/>
      <c r="AS194" s="5337"/>
      <c r="AT194" s="3610"/>
      <c r="AU194" s="5337"/>
      <c r="AV194" s="3609"/>
      <c r="AW194" s="5337"/>
      <c r="AX194" s="3609"/>
      <c r="AY194" s="1755" t="str">
        <f t="shared" si="609"/>
        <v/>
      </c>
      <c r="CA194" s="3235" t="str">
        <f t="shared" si="584"/>
        <v/>
      </c>
      <c r="CB194" s="2873" t="str">
        <f t="shared" si="610"/>
        <v/>
      </c>
      <c r="CC194" s="2873" t="str">
        <f t="shared" si="585"/>
        <v/>
      </c>
      <c r="CD194" s="2718"/>
      <c r="CE194" s="2718"/>
      <c r="CF194" s="2718"/>
      <c r="CG194" s="2718"/>
      <c r="CH194" s="2718"/>
      <c r="CI194" s="2873" t="str">
        <f t="shared" si="586"/>
        <v/>
      </c>
      <c r="CJ194" s="603"/>
      <c r="CK194" s="2873" t="str">
        <f t="shared" si="587"/>
        <v/>
      </c>
      <c r="CL194" s="2873" t="str">
        <f t="shared" si="588"/>
        <v/>
      </c>
      <c r="CM194" s="2873" t="str">
        <f t="shared" si="589"/>
        <v/>
      </c>
      <c r="CN194" s="2873" t="str">
        <f t="shared" si="590"/>
        <v/>
      </c>
      <c r="CO194" s="2873" t="str">
        <f t="shared" si="591"/>
        <v/>
      </c>
      <c r="CP194" s="2873" t="str">
        <f t="shared" si="592"/>
        <v/>
      </c>
      <c r="CQ194" s="2873" t="str">
        <f t="shared" si="593"/>
        <v/>
      </c>
      <c r="CR194" s="2718"/>
      <c r="CS194" s="2718"/>
      <c r="CT194" s="2873" t="str">
        <f t="shared" si="594"/>
        <v/>
      </c>
      <c r="CU194" s="2873" t="str">
        <f t="shared" si="595"/>
        <v/>
      </c>
      <c r="DE194" s="3235">
        <f t="shared" si="596"/>
        <v>0</v>
      </c>
      <c r="DF194" s="2873">
        <f t="shared" si="611"/>
        <v>0</v>
      </c>
      <c r="DG194" s="2873">
        <f t="shared" si="597"/>
        <v>0</v>
      </c>
      <c r="DH194" s="2718"/>
      <c r="DI194" s="2718"/>
      <c r="DJ194" s="2718"/>
      <c r="DK194" s="2718"/>
      <c r="DL194" s="2718"/>
      <c r="DM194" s="2873">
        <f t="shared" si="598"/>
        <v>0</v>
      </c>
      <c r="DN194" s="603"/>
      <c r="DO194" s="2873">
        <f t="shared" si="599"/>
        <v>0</v>
      </c>
      <c r="DP194" s="2873">
        <f t="shared" si="600"/>
        <v>0</v>
      </c>
      <c r="DQ194" s="2873">
        <f t="shared" si="601"/>
        <v>0</v>
      </c>
      <c r="DR194" s="2873">
        <f t="shared" si="602"/>
        <v>0</v>
      </c>
      <c r="DS194" s="2873">
        <f t="shared" si="603"/>
        <v>0</v>
      </c>
      <c r="DT194" s="2873">
        <f t="shared" si="604"/>
        <v>0</v>
      </c>
      <c r="DU194" s="2873">
        <f t="shared" si="605"/>
        <v>0</v>
      </c>
      <c r="DV194" s="2718"/>
      <c r="DW194" s="2718"/>
      <c r="DX194" s="2873">
        <f t="shared" si="606"/>
        <v>0</v>
      </c>
      <c r="DY194" s="2873">
        <f t="shared" si="607"/>
        <v>0</v>
      </c>
    </row>
    <row r="195" spans="1:129" x14ac:dyDescent="0.25">
      <c r="A195" s="7710" t="s">
        <v>2671</v>
      </c>
      <c r="B195" s="7711"/>
      <c r="C195" s="2014">
        <f>+O195+Q195+S195+U195+W195+Y195+AA195+AC195+AE195+AG195+AI195</f>
        <v>0</v>
      </c>
      <c r="D195" s="5222">
        <f>+P195+R195+T195+V195+X195+Z195+AB195+AD195+AF195+AH195+AJ195</f>
        <v>0</v>
      </c>
      <c r="E195" s="5339"/>
      <c r="F195" s="5340"/>
      <c r="G195" s="5339"/>
      <c r="H195" s="5340"/>
      <c r="I195" s="5339"/>
      <c r="J195" s="5340"/>
      <c r="K195" s="5339"/>
      <c r="L195" s="5340"/>
      <c r="M195" s="5339"/>
      <c r="N195" s="5340"/>
      <c r="O195" s="5229"/>
      <c r="P195" s="5342"/>
      <c r="Q195" s="5229"/>
      <c r="R195" s="5342"/>
      <c r="S195" s="5229"/>
      <c r="T195" s="5342"/>
      <c r="U195" s="5229"/>
      <c r="V195" s="5342"/>
      <c r="W195" s="5229"/>
      <c r="X195" s="5342"/>
      <c r="Y195" s="5229"/>
      <c r="Z195" s="5342"/>
      <c r="AA195" s="5229"/>
      <c r="AB195" s="5342"/>
      <c r="AC195" s="5229"/>
      <c r="AD195" s="5342"/>
      <c r="AE195" s="5229"/>
      <c r="AF195" s="5342"/>
      <c r="AG195" s="5229"/>
      <c r="AH195" s="5342"/>
      <c r="AI195" s="5229"/>
      <c r="AJ195" s="5342"/>
      <c r="AK195" s="5337"/>
      <c r="AL195" s="3609"/>
      <c r="AM195" s="5229"/>
      <c r="AN195" s="3610"/>
      <c r="AO195" s="5337"/>
      <c r="AP195" s="3609"/>
      <c r="AQ195" s="3572"/>
      <c r="AR195" s="3610"/>
      <c r="AS195" s="5337"/>
      <c r="AT195" s="3610"/>
      <c r="AU195" s="5337"/>
      <c r="AV195" s="3609"/>
      <c r="AW195" s="5337"/>
      <c r="AX195" s="3609"/>
      <c r="AY195" s="1755" t="str">
        <f t="shared" si="609"/>
        <v/>
      </c>
      <c r="CA195" s="3235" t="str">
        <f t="shared" si="584"/>
        <v/>
      </c>
      <c r="CB195" s="2873" t="str">
        <f t="shared" si="610"/>
        <v/>
      </c>
      <c r="CC195" s="2873" t="str">
        <f t="shared" si="585"/>
        <v/>
      </c>
      <c r="CD195" s="2718"/>
      <c r="CE195" s="2718"/>
      <c r="CF195" s="2718"/>
      <c r="CG195" s="2718"/>
      <c r="CH195" s="2718"/>
      <c r="CI195" s="2873" t="str">
        <f t="shared" si="586"/>
        <v/>
      </c>
      <c r="CJ195" s="603"/>
      <c r="CK195" s="2873" t="str">
        <f t="shared" si="587"/>
        <v/>
      </c>
      <c r="CL195" s="2873" t="str">
        <f t="shared" si="588"/>
        <v/>
      </c>
      <c r="CM195" s="2873" t="str">
        <f t="shared" si="589"/>
        <v/>
      </c>
      <c r="CN195" s="2873" t="str">
        <f t="shared" si="590"/>
        <v/>
      </c>
      <c r="CO195" s="2873" t="str">
        <f t="shared" si="591"/>
        <v/>
      </c>
      <c r="CP195" s="2873" t="str">
        <f t="shared" si="592"/>
        <v/>
      </c>
      <c r="CQ195" s="2873" t="str">
        <f t="shared" si="593"/>
        <v/>
      </c>
      <c r="CR195" s="2718"/>
      <c r="CS195" s="2718"/>
      <c r="CT195" s="2873" t="str">
        <f t="shared" si="594"/>
        <v/>
      </c>
      <c r="CU195" s="2873" t="str">
        <f t="shared" si="595"/>
        <v/>
      </c>
      <c r="DE195" s="3235">
        <f t="shared" si="596"/>
        <v>0</v>
      </c>
      <c r="DF195" s="2873">
        <f t="shared" si="611"/>
        <v>0</v>
      </c>
      <c r="DG195" s="2873">
        <f t="shared" si="597"/>
        <v>0</v>
      </c>
      <c r="DH195" s="2718"/>
      <c r="DI195" s="2718"/>
      <c r="DJ195" s="2718"/>
      <c r="DK195" s="2718"/>
      <c r="DL195" s="2718"/>
      <c r="DM195" s="2873">
        <f t="shared" si="598"/>
        <v>0</v>
      </c>
      <c r="DN195" s="603"/>
      <c r="DO195" s="2873">
        <f t="shared" si="599"/>
        <v>0</v>
      </c>
      <c r="DP195" s="2873">
        <f t="shared" si="600"/>
        <v>0</v>
      </c>
      <c r="DQ195" s="2873">
        <f t="shared" si="601"/>
        <v>0</v>
      </c>
      <c r="DR195" s="2873">
        <f t="shared" si="602"/>
        <v>0</v>
      </c>
      <c r="DS195" s="2873">
        <f t="shared" si="603"/>
        <v>0</v>
      </c>
      <c r="DT195" s="2873">
        <f t="shared" si="604"/>
        <v>0</v>
      </c>
      <c r="DU195" s="2873">
        <f t="shared" si="605"/>
        <v>0</v>
      </c>
      <c r="DV195" s="2718"/>
      <c r="DW195" s="2718"/>
      <c r="DX195" s="2873">
        <f t="shared" si="606"/>
        <v>0</v>
      </c>
      <c r="DY195" s="2873">
        <f t="shared" si="607"/>
        <v>0</v>
      </c>
    </row>
    <row r="196" spans="1:129" x14ac:dyDescent="0.25">
      <c r="A196" s="7714" t="s">
        <v>2704</v>
      </c>
      <c r="B196" s="7715"/>
      <c r="C196" s="3614">
        <f>+E196+G196+I196+K196+M196+O196+Q196+S196+U196+W196+Y196+AA196+AC196+AE196+AG196+AI196</f>
        <v>0</v>
      </c>
      <c r="D196" s="3615">
        <f>+F196+H196+J196+L196+N196+P196+R196+T196+V196+X196+Z196+AB196+AD196+AF196+AH196+AJ196</f>
        <v>0</v>
      </c>
      <c r="E196" s="410"/>
      <c r="F196" s="3616"/>
      <c r="G196" s="410"/>
      <c r="H196" s="3616"/>
      <c r="I196" s="410"/>
      <c r="J196" s="3616"/>
      <c r="K196" s="410"/>
      <c r="L196" s="3616"/>
      <c r="M196" s="410"/>
      <c r="N196" s="3616"/>
      <c r="O196" s="410"/>
      <c r="P196" s="3616"/>
      <c r="Q196" s="410"/>
      <c r="R196" s="3616"/>
      <c r="S196" s="410"/>
      <c r="T196" s="3616"/>
      <c r="U196" s="410"/>
      <c r="V196" s="3616"/>
      <c r="W196" s="410"/>
      <c r="X196" s="3616"/>
      <c r="Y196" s="410"/>
      <c r="Z196" s="3616"/>
      <c r="AA196" s="410"/>
      <c r="AB196" s="3616"/>
      <c r="AC196" s="410"/>
      <c r="AD196" s="3616"/>
      <c r="AE196" s="410"/>
      <c r="AF196" s="3616"/>
      <c r="AG196" s="410"/>
      <c r="AH196" s="3616"/>
      <c r="AI196" s="410"/>
      <c r="AJ196" s="3616"/>
      <c r="AK196" s="3617"/>
      <c r="AL196" s="411"/>
      <c r="AM196" s="410"/>
      <c r="AN196" s="413"/>
      <c r="AO196" s="3617"/>
      <c r="AP196" s="411"/>
      <c r="AQ196" s="414"/>
      <c r="AR196" s="413"/>
      <c r="AS196" s="3589"/>
      <c r="AT196" s="385"/>
      <c r="AU196" s="3617"/>
      <c r="AV196" s="411"/>
      <c r="AW196" s="3617"/>
      <c r="AX196" s="411"/>
      <c r="AY196" s="1755" t="str">
        <f t="shared" si="609"/>
        <v/>
      </c>
      <c r="CA196" s="3235" t="str">
        <f t="shared" si="584"/>
        <v/>
      </c>
      <c r="CB196" s="2873" t="str">
        <f t="shared" si="610"/>
        <v/>
      </c>
      <c r="CC196" s="2873" t="str">
        <f t="shared" si="585"/>
        <v/>
      </c>
      <c r="CD196" s="2718"/>
      <c r="CE196" s="2718"/>
      <c r="CF196" s="2718"/>
      <c r="CG196" s="2718"/>
      <c r="CH196" s="2718"/>
      <c r="CI196" s="2873" t="str">
        <f t="shared" si="586"/>
        <v/>
      </c>
      <c r="CJ196" s="603"/>
      <c r="CK196" s="2873" t="str">
        <f t="shared" si="587"/>
        <v/>
      </c>
      <c r="CL196" s="2873" t="str">
        <f t="shared" si="588"/>
        <v/>
      </c>
      <c r="CM196" s="2873" t="str">
        <f t="shared" si="589"/>
        <v/>
      </c>
      <c r="CN196" s="2873" t="str">
        <f t="shared" si="590"/>
        <v/>
      </c>
      <c r="CO196" s="2873" t="str">
        <f t="shared" si="591"/>
        <v/>
      </c>
      <c r="CP196" s="2873" t="str">
        <f t="shared" si="592"/>
        <v/>
      </c>
      <c r="CQ196" s="2873" t="str">
        <f t="shared" si="593"/>
        <v/>
      </c>
      <c r="CR196" s="2718"/>
      <c r="CS196" s="2718"/>
      <c r="CT196" s="2873" t="str">
        <f t="shared" si="594"/>
        <v/>
      </c>
      <c r="CU196" s="2873" t="str">
        <f t="shared" si="595"/>
        <v/>
      </c>
      <c r="DE196" s="3235">
        <f t="shared" si="596"/>
        <v>0</v>
      </c>
      <c r="DF196" s="2873">
        <f t="shared" si="611"/>
        <v>0</v>
      </c>
      <c r="DG196" s="2873">
        <f t="shared" si="597"/>
        <v>0</v>
      </c>
      <c r="DH196" s="2718"/>
      <c r="DI196" s="2718"/>
      <c r="DJ196" s="2718"/>
      <c r="DK196" s="2718"/>
      <c r="DL196" s="2718"/>
      <c r="DM196" s="2873">
        <f t="shared" si="598"/>
        <v>0</v>
      </c>
      <c r="DN196" s="603"/>
      <c r="DO196" s="2873">
        <f t="shared" si="599"/>
        <v>0</v>
      </c>
      <c r="DP196" s="2873">
        <f t="shared" si="600"/>
        <v>0</v>
      </c>
      <c r="DQ196" s="2873">
        <f t="shared" si="601"/>
        <v>0</v>
      </c>
      <c r="DR196" s="2873">
        <f t="shared" si="602"/>
        <v>0</v>
      </c>
      <c r="DS196" s="2873">
        <f t="shared" si="603"/>
        <v>0</v>
      </c>
      <c r="DT196" s="2873">
        <f t="shared" si="604"/>
        <v>0</v>
      </c>
      <c r="DU196" s="2873">
        <f t="shared" si="605"/>
        <v>0</v>
      </c>
      <c r="DV196" s="2718"/>
      <c r="DW196" s="2718"/>
      <c r="DX196" s="2873">
        <f t="shared" si="606"/>
        <v>0</v>
      </c>
      <c r="DY196" s="2873">
        <f t="shared" si="607"/>
        <v>0</v>
      </c>
    </row>
    <row r="197" spans="1:129" x14ac:dyDescent="0.25">
      <c r="A197" s="7716" t="s">
        <v>545</v>
      </c>
      <c r="B197" s="5371" t="s">
        <v>2689</v>
      </c>
      <c r="C197" s="2093">
        <f t="shared" ref="C197:D199" si="612">+O197+Q197+S197+U197+W197+Y197+AA197+AC197+AE197+AG197</f>
        <v>0</v>
      </c>
      <c r="D197" s="5380">
        <f t="shared" si="612"/>
        <v>0</v>
      </c>
      <c r="E197" s="5381"/>
      <c r="F197" s="5382"/>
      <c r="G197" s="5381"/>
      <c r="H197" s="5382"/>
      <c r="I197" s="5381"/>
      <c r="J197" s="5382"/>
      <c r="K197" s="5381"/>
      <c r="L197" s="5382"/>
      <c r="M197" s="5381"/>
      <c r="N197" s="5382"/>
      <c r="O197" s="5358"/>
      <c r="P197" s="5359"/>
      <c r="Q197" s="5358"/>
      <c r="R197" s="5359"/>
      <c r="S197" s="5358"/>
      <c r="T197" s="5359"/>
      <c r="U197" s="5358"/>
      <c r="V197" s="5359"/>
      <c r="W197" s="5358"/>
      <c r="X197" s="5359"/>
      <c r="Y197" s="5358"/>
      <c r="Z197" s="5359"/>
      <c r="AA197" s="5358"/>
      <c r="AB197" s="5359"/>
      <c r="AC197" s="5358"/>
      <c r="AD197" s="5359"/>
      <c r="AE197" s="5358"/>
      <c r="AF197" s="5359"/>
      <c r="AG197" s="5358"/>
      <c r="AH197" s="5359"/>
      <c r="AI197" s="5388"/>
      <c r="AJ197" s="5389"/>
      <c r="AK197" s="5390"/>
      <c r="AL197" s="5360"/>
      <c r="AM197" s="5358"/>
      <c r="AN197" s="5391"/>
      <c r="AO197" s="5390"/>
      <c r="AP197" s="5360"/>
      <c r="AQ197" s="5392"/>
      <c r="AR197" s="5391"/>
      <c r="AS197" s="5393"/>
      <c r="AT197" s="3608"/>
      <c r="AU197" s="5392"/>
      <c r="AV197" s="5391"/>
      <c r="AW197" s="5394"/>
      <c r="AX197" s="5395"/>
      <c r="AY197" s="1755" t="str">
        <f>$CA197&amp;CB197&amp;$CC197&amp;CD197&amp;CE197&amp;CF197&amp;CG197&amp;CH197&amp;CI197&amp;CJ197&amp;CK197&amp;CL197&amp;CM197&amp;CN197&amp;CO197&amp;CP197&amp;CQ197&amp;CR197&amp;CS197</f>
        <v/>
      </c>
      <c r="CA197" s="3235" t="str">
        <f t="shared" si="584"/>
        <v/>
      </c>
      <c r="CB197" s="2873" t="str">
        <f t="shared" si="610"/>
        <v/>
      </c>
      <c r="CC197" s="2873" t="str">
        <f t="shared" si="585"/>
        <v/>
      </c>
      <c r="CD197" s="2718"/>
      <c r="CE197" s="2718"/>
      <c r="CF197" s="2718"/>
      <c r="CG197" s="2718"/>
      <c r="CH197" s="2718"/>
      <c r="CI197" s="2873" t="str">
        <f t="shared" si="586"/>
        <v/>
      </c>
      <c r="CJ197" s="603"/>
      <c r="CK197" s="2873" t="str">
        <f t="shared" si="587"/>
        <v/>
      </c>
      <c r="CL197" s="2873" t="str">
        <f t="shared" si="588"/>
        <v/>
      </c>
      <c r="CM197" s="2873" t="str">
        <f t="shared" si="589"/>
        <v/>
      </c>
      <c r="CN197" s="2873" t="str">
        <f t="shared" si="590"/>
        <v/>
      </c>
      <c r="CO197" s="2873" t="str">
        <f t="shared" si="591"/>
        <v/>
      </c>
      <c r="CP197" s="2873" t="str">
        <f t="shared" si="592"/>
        <v/>
      </c>
      <c r="CQ197" s="2873" t="str">
        <f t="shared" si="593"/>
        <v/>
      </c>
      <c r="CR197" s="2718"/>
      <c r="CS197" s="2718"/>
      <c r="CT197" s="2872"/>
      <c r="CU197" s="2872"/>
      <c r="DE197" s="3235">
        <f t="shared" si="596"/>
        <v>0</v>
      </c>
      <c r="DF197" s="2873">
        <f t="shared" si="611"/>
        <v>0</v>
      </c>
      <c r="DG197" s="2873">
        <f t="shared" si="597"/>
        <v>0</v>
      </c>
      <c r="DH197" s="2718"/>
      <c r="DI197" s="2718"/>
      <c r="DJ197" s="2718"/>
      <c r="DK197" s="2718"/>
      <c r="DL197" s="2718"/>
      <c r="DM197" s="2873">
        <f t="shared" si="598"/>
        <v>0</v>
      </c>
      <c r="DN197" s="603"/>
      <c r="DO197" s="2873">
        <f t="shared" si="599"/>
        <v>0</v>
      </c>
      <c r="DP197" s="2873">
        <f t="shared" si="600"/>
        <v>0</v>
      </c>
      <c r="DQ197" s="2873">
        <f t="shared" si="601"/>
        <v>0</v>
      </c>
      <c r="DR197" s="2873">
        <f t="shared" si="602"/>
        <v>0</v>
      </c>
      <c r="DS197" s="2873">
        <f t="shared" si="603"/>
        <v>0</v>
      </c>
      <c r="DT197" s="2873">
        <f t="shared" si="604"/>
        <v>0</v>
      </c>
      <c r="DU197" s="2873">
        <f t="shared" si="605"/>
        <v>0</v>
      </c>
      <c r="DV197" s="2718"/>
      <c r="DW197" s="2718"/>
      <c r="DX197" s="1793"/>
      <c r="DY197" s="1793"/>
    </row>
    <row r="198" spans="1:129" x14ac:dyDescent="0.25">
      <c r="A198" s="6505"/>
      <c r="B198" s="3603" t="s">
        <v>2690</v>
      </c>
      <c r="C198" s="2014">
        <f t="shared" si="612"/>
        <v>0</v>
      </c>
      <c r="D198" s="5222">
        <f t="shared" si="612"/>
        <v>0</v>
      </c>
      <c r="E198" s="5339"/>
      <c r="F198" s="5340"/>
      <c r="G198" s="5339"/>
      <c r="H198" s="5340"/>
      <c r="I198" s="5339"/>
      <c r="J198" s="5340"/>
      <c r="K198" s="5339"/>
      <c r="L198" s="5340"/>
      <c r="M198" s="5339"/>
      <c r="N198" s="5340"/>
      <c r="O198" s="5229"/>
      <c r="P198" s="5342"/>
      <c r="Q198" s="5229"/>
      <c r="R198" s="5342"/>
      <c r="S198" s="5229"/>
      <c r="T198" s="5342"/>
      <c r="U198" s="5229"/>
      <c r="V198" s="5342"/>
      <c r="W198" s="5229"/>
      <c r="X198" s="5342"/>
      <c r="Y198" s="5229"/>
      <c r="Z198" s="5342"/>
      <c r="AA198" s="5229"/>
      <c r="AB198" s="5342"/>
      <c r="AC198" s="5229"/>
      <c r="AD198" s="5342"/>
      <c r="AE198" s="5229"/>
      <c r="AF198" s="5342"/>
      <c r="AG198" s="5229"/>
      <c r="AH198" s="5342"/>
      <c r="AI198" s="5339"/>
      <c r="AJ198" s="5341"/>
      <c r="AK198" s="5337"/>
      <c r="AL198" s="3609"/>
      <c r="AM198" s="5229"/>
      <c r="AN198" s="3610"/>
      <c r="AO198" s="5337"/>
      <c r="AP198" s="3609"/>
      <c r="AQ198" s="3572"/>
      <c r="AR198" s="3610"/>
      <c r="AS198" s="5337"/>
      <c r="AT198" s="3610"/>
      <c r="AU198" s="3572"/>
      <c r="AV198" s="3610"/>
      <c r="AW198" s="5396"/>
      <c r="AX198" s="3612"/>
      <c r="AY198" s="1755" t="str">
        <f>$CA198&amp;CB198&amp;$CC198&amp;CD198&amp;CE198&amp;CF198&amp;CG198&amp;CH198&amp;CI198&amp;CJ198&amp;CK198&amp;CL198&amp;CM198&amp;CN198&amp;CO198&amp;CP198&amp;CQ198&amp;CR198&amp;CS198</f>
        <v/>
      </c>
      <c r="CA198" s="3235" t="str">
        <f t="shared" si="584"/>
        <v/>
      </c>
      <c r="CB198" s="2873" t="str">
        <f t="shared" si="610"/>
        <v/>
      </c>
      <c r="CC198" s="2873" t="str">
        <f t="shared" si="585"/>
        <v/>
      </c>
      <c r="CD198" s="2718"/>
      <c r="CE198" s="2718"/>
      <c r="CF198" s="2718"/>
      <c r="CG198" s="2718"/>
      <c r="CH198" s="2718"/>
      <c r="CI198" s="2873" t="str">
        <f t="shared" si="586"/>
        <v/>
      </c>
      <c r="CJ198" s="603"/>
      <c r="CK198" s="2873" t="str">
        <f t="shared" si="587"/>
        <v/>
      </c>
      <c r="CL198" s="2873" t="str">
        <f t="shared" si="588"/>
        <v/>
      </c>
      <c r="CM198" s="2873" t="str">
        <f t="shared" si="589"/>
        <v/>
      </c>
      <c r="CN198" s="2873" t="str">
        <f t="shared" si="590"/>
        <v/>
      </c>
      <c r="CO198" s="2873" t="str">
        <f t="shared" si="591"/>
        <v/>
      </c>
      <c r="CP198" s="2873" t="str">
        <f t="shared" si="592"/>
        <v/>
      </c>
      <c r="CQ198" s="2873" t="str">
        <f t="shared" si="593"/>
        <v/>
      </c>
      <c r="CR198" s="2718"/>
      <c r="CS198" s="2718"/>
      <c r="CT198" s="2872"/>
      <c r="CU198" s="2872"/>
      <c r="DE198" s="3235">
        <f t="shared" si="596"/>
        <v>0</v>
      </c>
      <c r="DF198" s="2873">
        <f t="shared" si="611"/>
        <v>0</v>
      </c>
      <c r="DG198" s="2873">
        <f t="shared" si="597"/>
        <v>0</v>
      </c>
      <c r="DH198" s="2718"/>
      <c r="DI198" s="2718"/>
      <c r="DJ198" s="2718"/>
      <c r="DK198" s="2718"/>
      <c r="DL198" s="2718"/>
      <c r="DM198" s="2873">
        <f t="shared" si="598"/>
        <v>0</v>
      </c>
      <c r="DN198" s="603"/>
      <c r="DO198" s="2873">
        <f t="shared" si="599"/>
        <v>0</v>
      </c>
      <c r="DP198" s="2873">
        <f t="shared" si="600"/>
        <v>0</v>
      </c>
      <c r="DQ198" s="2873">
        <f t="shared" si="601"/>
        <v>0</v>
      </c>
      <c r="DR198" s="2873">
        <f t="shared" si="602"/>
        <v>0</v>
      </c>
      <c r="DS198" s="2873">
        <f t="shared" si="603"/>
        <v>0</v>
      </c>
      <c r="DT198" s="2873">
        <f t="shared" si="604"/>
        <v>0</v>
      </c>
      <c r="DU198" s="2873">
        <f t="shared" si="605"/>
        <v>0</v>
      </c>
      <c r="DV198" s="2718"/>
      <c r="DW198" s="2718"/>
      <c r="DX198" s="1793"/>
      <c r="DY198" s="1793"/>
    </row>
    <row r="199" spans="1:129" x14ac:dyDescent="0.25">
      <c r="A199" s="6607"/>
      <c r="B199" s="613" t="s">
        <v>2691</v>
      </c>
      <c r="C199" s="3614">
        <f t="shared" si="612"/>
        <v>0</v>
      </c>
      <c r="D199" s="3622">
        <f t="shared" si="612"/>
        <v>0</v>
      </c>
      <c r="E199" s="3623"/>
      <c r="F199" s="3624"/>
      <c r="G199" s="3623"/>
      <c r="H199" s="3624"/>
      <c r="I199" s="3623"/>
      <c r="J199" s="3624"/>
      <c r="K199" s="3623"/>
      <c r="L199" s="3624"/>
      <c r="M199" s="3623"/>
      <c r="N199" s="3624"/>
      <c r="O199" s="3586"/>
      <c r="P199" s="3585"/>
      <c r="Q199" s="3586"/>
      <c r="R199" s="3585"/>
      <c r="S199" s="3586"/>
      <c r="T199" s="3585"/>
      <c r="U199" s="3586"/>
      <c r="V199" s="3585"/>
      <c r="W199" s="3586"/>
      <c r="X199" s="3585"/>
      <c r="Y199" s="3586"/>
      <c r="Z199" s="3585"/>
      <c r="AA199" s="3586"/>
      <c r="AB199" s="3585"/>
      <c r="AC199" s="3586"/>
      <c r="AD199" s="3585"/>
      <c r="AE199" s="3586"/>
      <c r="AF199" s="3585"/>
      <c r="AG199" s="3586"/>
      <c r="AH199" s="3585"/>
      <c r="AI199" s="3623"/>
      <c r="AJ199" s="3625"/>
      <c r="AK199" s="3589"/>
      <c r="AL199" s="290"/>
      <c r="AM199" s="3586"/>
      <c r="AN199" s="385"/>
      <c r="AO199" s="3589"/>
      <c r="AP199" s="290"/>
      <c r="AQ199" s="288"/>
      <c r="AR199" s="385"/>
      <c r="AS199" s="3589"/>
      <c r="AT199" s="385"/>
      <c r="AU199" s="288"/>
      <c r="AV199" s="385"/>
      <c r="AW199" s="3626"/>
      <c r="AX199" s="614"/>
      <c r="AY199" s="1755" t="str">
        <f t="shared" ref="AY199" si="613">$CA199&amp;CB199&amp;$CC199&amp;CD199&amp;CE199&amp;CF199&amp;CG199&amp;CH199&amp;CI199&amp;CJ199&amp;CK199&amp;CL199&amp;CM199&amp;CN199&amp;CO199&amp;CP199&amp;CQ199&amp;CR199&amp;CS199</f>
        <v/>
      </c>
      <c r="CA199" s="3235" t="str">
        <f t="shared" si="584"/>
        <v/>
      </c>
      <c r="CB199" s="2873" t="str">
        <f t="shared" si="610"/>
        <v/>
      </c>
      <c r="CC199" s="2873" t="str">
        <f t="shared" si="585"/>
        <v/>
      </c>
      <c r="CD199" s="2718"/>
      <c r="CE199" s="2718"/>
      <c r="CF199" s="2718"/>
      <c r="CG199" s="2718"/>
      <c r="CH199" s="2718"/>
      <c r="CI199" s="2873" t="str">
        <f t="shared" si="586"/>
        <v/>
      </c>
      <c r="CJ199" s="603"/>
      <c r="CK199" s="2873" t="str">
        <f t="shared" si="587"/>
        <v/>
      </c>
      <c r="CL199" s="2873" t="str">
        <f t="shared" si="588"/>
        <v/>
      </c>
      <c r="CM199" s="2873" t="str">
        <f t="shared" si="589"/>
        <v/>
      </c>
      <c r="CN199" s="2873" t="str">
        <f t="shared" si="590"/>
        <v/>
      </c>
      <c r="CO199" s="2873" t="str">
        <f t="shared" si="591"/>
        <v/>
      </c>
      <c r="CP199" s="2873" t="str">
        <f t="shared" si="592"/>
        <v/>
      </c>
      <c r="CQ199" s="2873" t="str">
        <f t="shared" si="593"/>
        <v/>
      </c>
      <c r="CR199" s="2718"/>
      <c r="CS199" s="2718"/>
      <c r="CT199" s="2872"/>
      <c r="CU199" s="2872"/>
      <c r="DE199" s="3235">
        <f t="shared" si="596"/>
        <v>0</v>
      </c>
      <c r="DF199" s="2873">
        <f t="shared" si="611"/>
        <v>0</v>
      </c>
      <c r="DG199" s="2873">
        <f t="shared" si="597"/>
        <v>0</v>
      </c>
      <c r="DH199" s="2718"/>
      <c r="DI199" s="2718"/>
      <c r="DJ199" s="2718"/>
      <c r="DK199" s="2718"/>
      <c r="DL199" s="2718"/>
      <c r="DM199" s="2873">
        <f t="shared" si="598"/>
        <v>0</v>
      </c>
      <c r="DN199" s="603"/>
      <c r="DO199" s="2873">
        <f t="shared" si="599"/>
        <v>0</v>
      </c>
      <c r="DP199" s="2873">
        <f t="shared" si="600"/>
        <v>0</v>
      </c>
      <c r="DQ199" s="2873">
        <f t="shared" si="601"/>
        <v>0</v>
      </c>
      <c r="DR199" s="2873">
        <f t="shared" si="602"/>
        <v>0</v>
      </c>
      <c r="DS199" s="2873">
        <f t="shared" si="603"/>
        <v>0</v>
      </c>
      <c r="DT199" s="2873">
        <f t="shared" si="604"/>
        <v>0</v>
      </c>
      <c r="DU199" s="2873">
        <f t="shared" si="605"/>
        <v>0</v>
      </c>
      <c r="DV199" s="2718"/>
      <c r="DW199" s="2718"/>
      <c r="DX199" s="1793"/>
      <c r="DY199" s="1793"/>
    </row>
    <row r="200" spans="1:129" x14ac:dyDescent="0.25">
      <c r="A200" s="7717" t="s">
        <v>2673</v>
      </c>
      <c r="B200" s="7718"/>
      <c r="C200" s="2093">
        <f t="shared" ref="C200:D202" si="614">+E200+G200+I200+K200+M200+O200+Q200+S200+U200+W200+Y200+AA200+AC200+AE200+AG200+AI200</f>
        <v>0</v>
      </c>
      <c r="D200" s="5222">
        <f t="shared" si="614"/>
        <v>0</v>
      </c>
      <c r="E200" s="276"/>
      <c r="F200" s="5334"/>
      <c r="G200" s="276"/>
      <c r="H200" s="5334"/>
      <c r="I200" s="276"/>
      <c r="J200" s="5334"/>
      <c r="K200" s="276"/>
      <c r="L200" s="5334"/>
      <c r="M200" s="5397"/>
      <c r="N200" s="3628"/>
      <c r="O200" s="5397"/>
      <c r="P200" s="3628"/>
      <c r="Q200" s="5397"/>
      <c r="R200" s="3628"/>
      <c r="S200" s="5397"/>
      <c r="T200" s="3628"/>
      <c r="U200" s="5397"/>
      <c r="V200" s="3628"/>
      <c r="W200" s="5397"/>
      <c r="X200" s="3628"/>
      <c r="Y200" s="5397"/>
      <c r="Z200" s="3628"/>
      <c r="AA200" s="5397"/>
      <c r="AB200" s="3628"/>
      <c r="AC200" s="5397"/>
      <c r="AD200" s="3629"/>
      <c r="AE200" s="5397"/>
      <c r="AF200" s="3629"/>
      <c r="AG200" s="5354"/>
      <c r="AH200" s="5356"/>
      <c r="AI200" s="5397"/>
      <c r="AJ200" s="3628"/>
      <c r="AK200" s="5393"/>
      <c r="AL200" s="4659"/>
      <c r="AM200" s="276"/>
      <c r="AN200" s="3608"/>
      <c r="AO200" s="5393"/>
      <c r="AP200" s="4659"/>
      <c r="AQ200" s="615"/>
      <c r="AR200" s="3608"/>
      <c r="AS200" s="5393"/>
      <c r="AT200" s="3608"/>
      <c r="AU200" s="5393"/>
      <c r="AV200" s="4659"/>
      <c r="AW200" s="5393"/>
      <c r="AX200" s="4659"/>
      <c r="AY200" s="1755" t="str">
        <f t="shared" si="609"/>
        <v/>
      </c>
      <c r="CA200" s="3235" t="str">
        <f t="shared" si="584"/>
        <v/>
      </c>
      <c r="CB200" s="2873" t="str">
        <f t="shared" si="610"/>
        <v/>
      </c>
      <c r="CC200" s="2873" t="str">
        <f t="shared" si="585"/>
        <v/>
      </c>
      <c r="CD200" s="2718"/>
      <c r="CE200" s="2718"/>
      <c r="CF200" s="2718"/>
      <c r="CG200" s="2718"/>
      <c r="CH200" s="2718"/>
      <c r="CI200" s="2873" t="str">
        <f t="shared" si="586"/>
        <v/>
      </c>
      <c r="CJ200" s="603"/>
      <c r="CK200" s="2873" t="str">
        <f t="shared" si="587"/>
        <v/>
      </c>
      <c r="CL200" s="2873" t="str">
        <f t="shared" si="588"/>
        <v/>
      </c>
      <c r="CM200" s="2873" t="str">
        <f t="shared" si="589"/>
        <v/>
      </c>
      <c r="CN200" s="2873" t="str">
        <f t="shared" si="590"/>
        <v/>
      </c>
      <c r="CO200" s="2873" t="str">
        <f t="shared" si="591"/>
        <v/>
      </c>
      <c r="CP200" s="2873" t="str">
        <f t="shared" si="592"/>
        <v/>
      </c>
      <c r="CQ200" s="2873" t="str">
        <f t="shared" si="593"/>
        <v/>
      </c>
      <c r="CR200" s="2718"/>
      <c r="CS200" s="2718"/>
      <c r="CT200" s="2873" t="str">
        <f t="shared" ref="CT200:CT210" si="615">IF(AND((M200+O200)&gt;0,AW200=""),"* No olvide digitar la variable 14-18 años Procesados. Si no tiene digite Cero.",IF(AW200&gt;(M200+O200),"* El Total de Procesados de 14-18 años NO DEBE ser mayor al Total de Procesados registrados en los grupos de edad 10 a 14 y 15 a 19 años. ",""))</f>
        <v/>
      </c>
      <c r="CU200" s="2873" t="str">
        <f t="shared" ref="CU200:CU210" si="616">IF(AND((N200+P200)&gt;0,AX200=""),"* No olvide digitar la variable 14-18 años Confirmados. Si no tiene digite Cero.",IF(AX200&gt;(N200+P200),"* El Total de Confirmados de 14-18 años NO DEBE ser mayor al Total de Confirmados registrados en los grupos de edad 10 a 14 y 15 a 19 años. ",""))</f>
        <v/>
      </c>
      <c r="DE200" s="3235">
        <f t="shared" si="596"/>
        <v>0</v>
      </c>
      <c r="DF200" s="2873">
        <f t="shared" si="611"/>
        <v>0</v>
      </c>
      <c r="DG200" s="2873">
        <f t="shared" si="597"/>
        <v>0</v>
      </c>
      <c r="DH200" s="2718"/>
      <c r="DI200" s="2718"/>
      <c r="DJ200" s="2718"/>
      <c r="DK200" s="2718"/>
      <c r="DL200" s="2718"/>
      <c r="DM200" s="2873">
        <f t="shared" si="598"/>
        <v>0</v>
      </c>
      <c r="DN200" s="603"/>
      <c r="DO200" s="2873">
        <f t="shared" si="599"/>
        <v>0</v>
      </c>
      <c r="DP200" s="2873">
        <f t="shared" si="600"/>
        <v>0</v>
      </c>
      <c r="DQ200" s="2873">
        <f t="shared" si="601"/>
        <v>0</v>
      </c>
      <c r="DR200" s="2873">
        <f t="shared" si="602"/>
        <v>0</v>
      </c>
      <c r="DS200" s="2873">
        <f t="shared" si="603"/>
        <v>0</v>
      </c>
      <c r="DT200" s="2873">
        <f t="shared" si="604"/>
        <v>0</v>
      </c>
      <c r="DU200" s="2873">
        <f t="shared" si="605"/>
        <v>0</v>
      </c>
      <c r="DV200" s="2718"/>
      <c r="DW200" s="2718"/>
      <c r="DX200" s="2873">
        <f t="shared" ref="DX200:DY210" si="617">IF(AND((M200+O200)&gt;0,AW200=""),1,IF(AW200&gt;(M200+O200),1,0))</f>
        <v>0</v>
      </c>
      <c r="DY200" s="2873">
        <f t="shared" si="617"/>
        <v>0</v>
      </c>
    </row>
    <row r="201" spans="1:129" x14ac:dyDescent="0.25">
      <c r="A201" s="7710" t="s">
        <v>2705</v>
      </c>
      <c r="B201" s="7711"/>
      <c r="C201" s="2014">
        <f t="shared" si="614"/>
        <v>0</v>
      </c>
      <c r="D201" s="2012">
        <f t="shared" si="614"/>
        <v>0</v>
      </c>
      <c r="E201" s="5229"/>
      <c r="F201" s="5342"/>
      <c r="G201" s="5229"/>
      <c r="H201" s="5342"/>
      <c r="I201" s="5229"/>
      <c r="J201" s="5342"/>
      <c r="K201" s="5229"/>
      <c r="L201" s="5342"/>
      <c r="M201" s="5229"/>
      <c r="N201" s="5342"/>
      <c r="O201" s="410"/>
      <c r="P201" s="3616"/>
      <c r="Q201" s="410"/>
      <c r="R201" s="3616"/>
      <c r="S201" s="410"/>
      <c r="T201" s="3616"/>
      <c r="U201" s="410"/>
      <c r="V201" s="3616"/>
      <c r="W201" s="410"/>
      <c r="X201" s="3616"/>
      <c r="Y201" s="410"/>
      <c r="Z201" s="3616"/>
      <c r="AA201" s="410"/>
      <c r="AB201" s="3616"/>
      <c r="AC201" s="410"/>
      <c r="AD201" s="3630"/>
      <c r="AE201" s="410"/>
      <c r="AF201" s="3630"/>
      <c r="AG201" s="410"/>
      <c r="AH201" s="412"/>
      <c r="AI201" s="410"/>
      <c r="AJ201" s="3616"/>
      <c r="AK201" s="3617"/>
      <c r="AL201" s="411"/>
      <c r="AM201" s="410"/>
      <c r="AN201" s="413"/>
      <c r="AO201" s="3617"/>
      <c r="AP201" s="411"/>
      <c r="AQ201" s="414"/>
      <c r="AR201" s="413"/>
      <c r="AS201" s="3617"/>
      <c r="AT201" s="413"/>
      <c r="AU201" s="3617"/>
      <c r="AV201" s="411"/>
      <c r="AW201" s="3617"/>
      <c r="AX201" s="411"/>
      <c r="AY201" s="175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3235" t="str">
        <f t="shared" si="584"/>
        <v/>
      </c>
      <c r="CB201" s="2873" t="str">
        <f t="shared" si="610"/>
        <v/>
      </c>
      <c r="CC201" s="2873" t="str">
        <f t="shared" si="585"/>
        <v/>
      </c>
      <c r="CD201" s="2718"/>
      <c r="CE201" s="2718"/>
      <c r="CF201" s="2718"/>
      <c r="CG201" s="2718"/>
      <c r="CH201" s="2718"/>
      <c r="CI201" s="2873" t="str">
        <f t="shared" si="586"/>
        <v/>
      </c>
      <c r="CJ201" s="603"/>
      <c r="CK201" s="2873" t="str">
        <f t="shared" si="587"/>
        <v/>
      </c>
      <c r="CL201" s="2873" t="str">
        <f t="shared" si="588"/>
        <v/>
      </c>
      <c r="CM201" s="2873" t="str">
        <f t="shared" si="589"/>
        <v/>
      </c>
      <c r="CN201" s="2873" t="str">
        <f t="shared" si="590"/>
        <v/>
      </c>
      <c r="CO201" s="2873" t="str">
        <f t="shared" si="591"/>
        <v/>
      </c>
      <c r="CP201" s="2873" t="str">
        <f t="shared" si="592"/>
        <v/>
      </c>
      <c r="CQ201" s="2873" t="str">
        <f t="shared" si="593"/>
        <v/>
      </c>
      <c r="CR201" s="2718"/>
      <c r="CS201" s="2718"/>
      <c r="CT201" s="2873" t="str">
        <f t="shared" si="615"/>
        <v/>
      </c>
      <c r="CU201" s="2873" t="str">
        <f t="shared" si="616"/>
        <v/>
      </c>
      <c r="DE201" s="3235">
        <f t="shared" si="596"/>
        <v>0</v>
      </c>
      <c r="DF201" s="2873">
        <f t="shared" si="611"/>
        <v>0</v>
      </c>
      <c r="DG201" s="2873">
        <f t="shared" si="597"/>
        <v>0</v>
      </c>
      <c r="DH201" s="2718"/>
      <c r="DI201" s="2718"/>
      <c r="DJ201" s="2718"/>
      <c r="DK201" s="2718"/>
      <c r="DL201" s="2718"/>
      <c r="DM201" s="2873">
        <f t="shared" si="598"/>
        <v>0</v>
      </c>
      <c r="DN201" s="603"/>
      <c r="DO201" s="2873">
        <f t="shared" si="599"/>
        <v>0</v>
      </c>
      <c r="DP201" s="2873">
        <f t="shared" si="600"/>
        <v>0</v>
      </c>
      <c r="DQ201" s="2873">
        <f t="shared" si="601"/>
        <v>0</v>
      </c>
      <c r="DR201" s="2873">
        <f t="shared" si="602"/>
        <v>0</v>
      </c>
      <c r="DS201" s="2873">
        <f t="shared" si="603"/>
        <v>0</v>
      </c>
      <c r="DT201" s="2873">
        <f t="shared" si="604"/>
        <v>0</v>
      </c>
      <c r="DU201" s="2873">
        <f t="shared" si="605"/>
        <v>0</v>
      </c>
      <c r="DV201" s="2718"/>
      <c r="DW201" s="2718"/>
      <c r="DX201" s="2873">
        <f t="shared" si="617"/>
        <v>0</v>
      </c>
      <c r="DY201" s="2873">
        <f t="shared" si="617"/>
        <v>0</v>
      </c>
    </row>
    <row r="202" spans="1:129" x14ac:dyDescent="0.25">
      <c r="A202" s="7710" t="s">
        <v>2675</v>
      </c>
      <c r="B202" s="7711"/>
      <c r="C202" s="2014">
        <f t="shared" si="614"/>
        <v>0</v>
      </c>
      <c r="D202" s="2012">
        <f>+F202+H202+J202+L202+N202+P202+R202+T202+V202+X202+Z202+AB202+AD202+AF202+AH202+AJ202</f>
        <v>0</v>
      </c>
      <c r="E202" s="5229"/>
      <c r="F202" s="5342"/>
      <c r="G202" s="5229"/>
      <c r="H202" s="5342"/>
      <c r="I202" s="5229"/>
      <c r="J202" s="5342"/>
      <c r="K202" s="5229"/>
      <c r="L202" s="5342"/>
      <c r="M202" s="5229"/>
      <c r="N202" s="5342"/>
      <c r="O202" s="410"/>
      <c r="P202" s="3616"/>
      <c r="Q202" s="410"/>
      <c r="R202" s="3616"/>
      <c r="S202" s="410"/>
      <c r="T202" s="3616"/>
      <c r="U202" s="410"/>
      <c r="V202" s="3616"/>
      <c r="W202" s="410"/>
      <c r="X202" s="3616"/>
      <c r="Y202" s="410"/>
      <c r="Z202" s="3616"/>
      <c r="AA202" s="410"/>
      <c r="AB202" s="3616"/>
      <c r="AC202" s="410"/>
      <c r="AD202" s="3630"/>
      <c r="AE202" s="410"/>
      <c r="AF202" s="3630"/>
      <c r="AG202" s="410"/>
      <c r="AH202" s="412"/>
      <c r="AI202" s="410"/>
      <c r="AJ202" s="3616"/>
      <c r="AK202" s="3617"/>
      <c r="AL202" s="411"/>
      <c r="AM202" s="410"/>
      <c r="AN202" s="413"/>
      <c r="AO202" s="3617"/>
      <c r="AP202" s="411"/>
      <c r="AQ202" s="414"/>
      <c r="AR202" s="413"/>
      <c r="AS202" s="3617"/>
      <c r="AT202" s="413"/>
      <c r="AU202" s="3617"/>
      <c r="AV202" s="411"/>
      <c r="AW202" s="3617"/>
      <c r="AX202" s="411"/>
      <c r="AY202" s="1755" t="str">
        <f t="shared" si="609"/>
        <v/>
      </c>
      <c r="CA202" s="3235" t="str">
        <f t="shared" si="584"/>
        <v/>
      </c>
      <c r="CB202" s="2873" t="str">
        <f t="shared" si="610"/>
        <v/>
      </c>
      <c r="CC202" s="2873" t="str">
        <f t="shared" si="585"/>
        <v/>
      </c>
      <c r="CD202" s="2718"/>
      <c r="CE202" s="2718"/>
      <c r="CF202" s="2718"/>
      <c r="CG202" s="2718"/>
      <c r="CH202" s="2718"/>
      <c r="CI202" s="2873" t="str">
        <f t="shared" si="586"/>
        <v/>
      </c>
      <c r="CJ202" s="603"/>
      <c r="CK202" s="2873" t="str">
        <f t="shared" si="587"/>
        <v/>
      </c>
      <c r="CL202" s="2873" t="str">
        <f t="shared" si="588"/>
        <v/>
      </c>
      <c r="CM202" s="2873" t="str">
        <f t="shared" si="589"/>
        <v/>
      </c>
      <c r="CN202" s="2873" t="str">
        <f t="shared" si="590"/>
        <v/>
      </c>
      <c r="CO202" s="2873" t="str">
        <f t="shared" si="591"/>
        <v/>
      </c>
      <c r="CP202" s="2873" t="str">
        <f t="shared" si="592"/>
        <v/>
      </c>
      <c r="CQ202" s="2873" t="str">
        <f t="shared" si="593"/>
        <v/>
      </c>
      <c r="CR202" s="2718"/>
      <c r="CS202" s="2718"/>
      <c r="CT202" s="2873" t="str">
        <f t="shared" si="615"/>
        <v/>
      </c>
      <c r="CU202" s="2873" t="str">
        <f t="shared" si="616"/>
        <v/>
      </c>
      <c r="DE202" s="3235">
        <f t="shared" si="596"/>
        <v>0</v>
      </c>
      <c r="DF202" s="2873">
        <f t="shared" si="611"/>
        <v>0</v>
      </c>
      <c r="DG202" s="2873">
        <f t="shared" si="597"/>
        <v>0</v>
      </c>
      <c r="DH202" s="2718"/>
      <c r="DI202" s="2718"/>
      <c r="DJ202" s="2718"/>
      <c r="DK202" s="2718"/>
      <c r="DL202" s="2718"/>
      <c r="DM202" s="2873">
        <f t="shared" si="598"/>
        <v>0</v>
      </c>
      <c r="DN202" s="603"/>
      <c r="DO202" s="2873">
        <f t="shared" si="599"/>
        <v>0</v>
      </c>
      <c r="DP202" s="2873">
        <f t="shared" si="600"/>
        <v>0</v>
      </c>
      <c r="DQ202" s="2873">
        <f t="shared" si="601"/>
        <v>0</v>
      </c>
      <c r="DR202" s="2873">
        <f t="shared" si="602"/>
        <v>0</v>
      </c>
      <c r="DS202" s="2873">
        <f t="shared" si="603"/>
        <v>0</v>
      </c>
      <c r="DT202" s="2873">
        <f t="shared" si="604"/>
        <v>0</v>
      </c>
      <c r="DU202" s="2873">
        <f t="shared" si="605"/>
        <v>0</v>
      </c>
      <c r="DV202" s="2718"/>
      <c r="DW202" s="2718"/>
      <c r="DX202" s="2873">
        <f t="shared" si="617"/>
        <v>0</v>
      </c>
      <c r="DY202" s="2873">
        <f t="shared" si="617"/>
        <v>0</v>
      </c>
    </row>
    <row r="203" spans="1:129" x14ac:dyDescent="0.25">
      <c r="A203" s="7710" t="s">
        <v>2706</v>
      </c>
      <c r="B203" s="7711"/>
      <c r="C203" s="2014">
        <f t="shared" ref="C203:D205" si="618">+O203+Q203+S203+U203+W203+Y203+AA203+AC203+AE203+AG203+AI203</f>
        <v>0</v>
      </c>
      <c r="D203" s="3631">
        <f t="shared" si="618"/>
        <v>0</v>
      </c>
      <c r="E203" s="5339"/>
      <c r="F203" s="5340"/>
      <c r="G203" s="5339"/>
      <c r="H203" s="5340"/>
      <c r="I203" s="5339"/>
      <c r="J203" s="5340"/>
      <c r="K203" s="5339"/>
      <c r="L203" s="5340"/>
      <c r="M203" s="5339"/>
      <c r="N203" s="5340"/>
      <c r="O203" s="410"/>
      <c r="P203" s="3616"/>
      <c r="Q203" s="410"/>
      <c r="R203" s="3616"/>
      <c r="S203" s="410"/>
      <c r="T203" s="3616"/>
      <c r="U203" s="410"/>
      <c r="V203" s="3616"/>
      <c r="W203" s="410"/>
      <c r="X203" s="3616"/>
      <c r="Y203" s="410"/>
      <c r="Z203" s="3616"/>
      <c r="AA203" s="410"/>
      <c r="AB203" s="3616"/>
      <c r="AC203" s="410"/>
      <c r="AD203" s="3630"/>
      <c r="AE203" s="410"/>
      <c r="AF203" s="3630"/>
      <c r="AG203" s="410"/>
      <c r="AH203" s="412"/>
      <c r="AI203" s="410"/>
      <c r="AJ203" s="3616"/>
      <c r="AK203" s="3617"/>
      <c r="AL203" s="411"/>
      <c r="AM203" s="410"/>
      <c r="AN203" s="413"/>
      <c r="AO203" s="3617"/>
      <c r="AP203" s="411"/>
      <c r="AQ203" s="414"/>
      <c r="AR203" s="413"/>
      <c r="AS203" s="3617"/>
      <c r="AT203" s="413"/>
      <c r="AU203" s="3617"/>
      <c r="AV203" s="411"/>
      <c r="AW203" s="3617"/>
      <c r="AX203" s="411"/>
      <c r="AY203" s="1755" t="str">
        <f t="shared" si="609"/>
        <v/>
      </c>
      <c r="CA203" s="3235" t="str">
        <f t="shared" si="584"/>
        <v/>
      </c>
      <c r="CB203" s="2873" t="str">
        <f t="shared" si="610"/>
        <v/>
      </c>
      <c r="CC203" s="2873" t="str">
        <f t="shared" si="585"/>
        <v/>
      </c>
      <c r="CD203" s="2718"/>
      <c r="CE203" s="2718"/>
      <c r="CF203" s="2718"/>
      <c r="CG203" s="2718"/>
      <c r="CH203" s="2718"/>
      <c r="CI203" s="2873" t="str">
        <f t="shared" si="586"/>
        <v/>
      </c>
      <c r="CJ203" s="603"/>
      <c r="CK203" s="2873" t="str">
        <f t="shared" si="587"/>
        <v/>
      </c>
      <c r="CL203" s="2873" t="str">
        <f t="shared" si="588"/>
        <v/>
      </c>
      <c r="CM203" s="2873" t="str">
        <f t="shared" si="589"/>
        <v/>
      </c>
      <c r="CN203" s="2873" t="str">
        <f t="shared" si="590"/>
        <v/>
      </c>
      <c r="CO203" s="2873" t="str">
        <f t="shared" si="591"/>
        <v/>
      </c>
      <c r="CP203" s="2873" t="str">
        <f t="shared" si="592"/>
        <v/>
      </c>
      <c r="CQ203" s="2873" t="str">
        <f t="shared" si="593"/>
        <v/>
      </c>
      <c r="CR203" s="2718"/>
      <c r="CS203" s="2718"/>
      <c r="CT203" s="2873" t="str">
        <f t="shared" si="615"/>
        <v/>
      </c>
      <c r="CU203" s="2873" t="str">
        <f t="shared" si="616"/>
        <v/>
      </c>
      <c r="DE203" s="3235">
        <f t="shared" si="596"/>
        <v>0</v>
      </c>
      <c r="DF203" s="2873">
        <f t="shared" si="611"/>
        <v>0</v>
      </c>
      <c r="DG203" s="2873">
        <f t="shared" si="597"/>
        <v>0</v>
      </c>
      <c r="DH203" s="2718"/>
      <c r="DI203" s="2718"/>
      <c r="DJ203" s="2718"/>
      <c r="DK203" s="2718"/>
      <c r="DL203" s="2718"/>
      <c r="DM203" s="2873">
        <f t="shared" si="598"/>
        <v>0</v>
      </c>
      <c r="DN203" s="603"/>
      <c r="DO203" s="2873">
        <f t="shared" si="599"/>
        <v>0</v>
      </c>
      <c r="DP203" s="2873">
        <f t="shared" si="600"/>
        <v>0</v>
      </c>
      <c r="DQ203" s="2873">
        <f t="shared" si="601"/>
        <v>0</v>
      </c>
      <c r="DR203" s="2873">
        <f t="shared" si="602"/>
        <v>0</v>
      </c>
      <c r="DS203" s="2873">
        <f t="shared" si="603"/>
        <v>0</v>
      </c>
      <c r="DT203" s="2873">
        <f t="shared" si="604"/>
        <v>0</v>
      </c>
      <c r="DU203" s="2873">
        <f t="shared" si="605"/>
        <v>0</v>
      </c>
      <c r="DV203" s="2718"/>
      <c r="DW203" s="2718"/>
      <c r="DX203" s="2873">
        <f t="shared" si="617"/>
        <v>0</v>
      </c>
      <c r="DY203" s="2873">
        <f t="shared" si="617"/>
        <v>0</v>
      </c>
    </row>
    <row r="204" spans="1:129" x14ac:dyDescent="0.25">
      <c r="A204" s="7710" t="s">
        <v>2707</v>
      </c>
      <c r="B204" s="7711"/>
      <c r="C204" s="2014">
        <f t="shared" si="618"/>
        <v>0</v>
      </c>
      <c r="D204" s="3631">
        <f t="shared" si="618"/>
        <v>0</v>
      </c>
      <c r="E204" s="5339"/>
      <c r="F204" s="5340"/>
      <c r="G204" s="5339"/>
      <c r="H204" s="5340"/>
      <c r="I204" s="5339"/>
      <c r="J204" s="5340"/>
      <c r="K204" s="5339"/>
      <c r="L204" s="5340"/>
      <c r="M204" s="5339"/>
      <c r="N204" s="5340"/>
      <c r="O204" s="410"/>
      <c r="P204" s="3616"/>
      <c r="Q204" s="410"/>
      <c r="R204" s="3616"/>
      <c r="S204" s="410"/>
      <c r="T204" s="3616"/>
      <c r="U204" s="410"/>
      <c r="V204" s="3616"/>
      <c r="W204" s="410"/>
      <c r="X204" s="3616"/>
      <c r="Y204" s="410"/>
      <c r="Z204" s="3616"/>
      <c r="AA204" s="410"/>
      <c r="AB204" s="3616"/>
      <c r="AC204" s="410"/>
      <c r="AD204" s="3630"/>
      <c r="AE204" s="410"/>
      <c r="AF204" s="3630"/>
      <c r="AG204" s="5229"/>
      <c r="AH204" s="411"/>
      <c r="AI204" s="5229"/>
      <c r="AJ204" s="414"/>
      <c r="AK204" s="3617"/>
      <c r="AL204" s="411"/>
      <c r="AM204" s="410"/>
      <c r="AN204" s="413"/>
      <c r="AO204" s="3617"/>
      <c r="AP204" s="411"/>
      <c r="AQ204" s="414"/>
      <c r="AR204" s="413"/>
      <c r="AS204" s="3617"/>
      <c r="AT204" s="413"/>
      <c r="AU204" s="3617"/>
      <c r="AV204" s="411"/>
      <c r="AW204" s="3617"/>
      <c r="AX204" s="411"/>
      <c r="AY204" s="1755" t="str">
        <f t="shared" si="609"/>
        <v/>
      </c>
      <c r="CA204" s="3235" t="str">
        <f t="shared" si="584"/>
        <v/>
      </c>
      <c r="CB204" s="2873" t="str">
        <f t="shared" si="610"/>
        <v/>
      </c>
      <c r="CC204" s="2873" t="str">
        <f t="shared" si="585"/>
        <v/>
      </c>
      <c r="CD204" s="2718"/>
      <c r="CE204" s="2718"/>
      <c r="CF204" s="2718"/>
      <c r="CG204" s="2718"/>
      <c r="CH204" s="2718"/>
      <c r="CI204" s="2873" t="str">
        <f t="shared" si="586"/>
        <v/>
      </c>
      <c r="CJ204" s="603"/>
      <c r="CK204" s="2873" t="str">
        <f t="shared" si="587"/>
        <v/>
      </c>
      <c r="CL204" s="2873" t="str">
        <f t="shared" si="588"/>
        <v/>
      </c>
      <c r="CM204" s="2873" t="str">
        <f t="shared" si="589"/>
        <v/>
      </c>
      <c r="CN204" s="2873" t="str">
        <f t="shared" si="590"/>
        <v/>
      </c>
      <c r="CO204" s="2873" t="str">
        <f t="shared" si="591"/>
        <v/>
      </c>
      <c r="CP204" s="2873" t="str">
        <f t="shared" si="592"/>
        <v/>
      </c>
      <c r="CQ204" s="2873" t="str">
        <f t="shared" si="593"/>
        <v/>
      </c>
      <c r="CR204" s="2718"/>
      <c r="CS204" s="2718"/>
      <c r="CT204" s="2873" t="str">
        <f t="shared" si="615"/>
        <v/>
      </c>
      <c r="CU204" s="2873" t="str">
        <f t="shared" si="616"/>
        <v/>
      </c>
      <c r="DE204" s="3235">
        <f t="shared" si="596"/>
        <v>0</v>
      </c>
      <c r="DF204" s="2873">
        <f t="shared" si="611"/>
        <v>0</v>
      </c>
      <c r="DG204" s="2873">
        <f t="shared" si="597"/>
        <v>0</v>
      </c>
      <c r="DH204" s="2718"/>
      <c r="DI204" s="2718"/>
      <c r="DJ204" s="2718"/>
      <c r="DK204" s="2718"/>
      <c r="DL204" s="2718"/>
      <c r="DM204" s="2873">
        <f t="shared" si="598"/>
        <v>0</v>
      </c>
      <c r="DN204" s="603"/>
      <c r="DO204" s="2873">
        <f t="shared" si="599"/>
        <v>0</v>
      </c>
      <c r="DP204" s="2873">
        <f t="shared" si="600"/>
        <v>0</v>
      </c>
      <c r="DQ204" s="2873">
        <f t="shared" si="601"/>
        <v>0</v>
      </c>
      <c r="DR204" s="2873">
        <f t="shared" si="602"/>
        <v>0</v>
      </c>
      <c r="DS204" s="2873">
        <f t="shared" si="603"/>
        <v>0</v>
      </c>
      <c r="DT204" s="2873">
        <f t="shared" si="604"/>
        <v>0</v>
      </c>
      <c r="DU204" s="2873">
        <f t="shared" si="605"/>
        <v>0</v>
      </c>
      <c r="DV204" s="2718"/>
      <c r="DW204" s="2718"/>
      <c r="DX204" s="2873">
        <f t="shared" si="617"/>
        <v>0</v>
      </c>
      <c r="DY204" s="2873">
        <f t="shared" si="617"/>
        <v>0</v>
      </c>
    </row>
    <row r="205" spans="1:129" x14ac:dyDescent="0.25">
      <c r="A205" s="7710" t="s">
        <v>2708</v>
      </c>
      <c r="B205" s="7711"/>
      <c r="C205" s="2014">
        <f t="shared" si="618"/>
        <v>0</v>
      </c>
      <c r="D205" s="3631">
        <f t="shared" si="618"/>
        <v>0</v>
      </c>
      <c r="E205" s="5339"/>
      <c r="F205" s="5340"/>
      <c r="G205" s="5339"/>
      <c r="H205" s="5340"/>
      <c r="I205" s="5339"/>
      <c r="J205" s="5340"/>
      <c r="K205" s="5339"/>
      <c r="L205" s="5340"/>
      <c r="M205" s="5339"/>
      <c r="N205" s="5340"/>
      <c r="O205" s="410"/>
      <c r="P205" s="3616"/>
      <c r="Q205" s="410"/>
      <c r="R205" s="3616"/>
      <c r="S205" s="410"/>
      <c r="T205" s="3616"/>
      <c r="U205" s="410"/>
      <c r="V205" s="3616"/>
      <c r="W205" s="410"/>
      <c r="X205" s="3616"/>
      <c r="Y205" s="410"/>
      <c r="Z205" s="3616"/>
      <c r="AA205" s="410"/>
      <c r="AB205" s="3616"/>
      <c r="AC205" s="410"/>
      <c r="AD205" s="3630"/>
      <c r="AE205" s="410"/>
      <c r="AF205" s="3630"/>
      <c r="AG205" s="410"/>
      <c r="AH205" s="412"/>
      <c r="AI205" s="410"/>
      <c r="AJ205" s="3616"/>
      <c r="AK205" s="3617"/>
      <c r="AL205" s="411"/>
      <c r="AM205" s="410"/>
      <c r="AN205" s="413"/>
      <c r="AO205" s="3617"/>
      <c r="AP205" s="411"/>
      <c r="AQ205" s="414"/>
      <c r="AR205" s="413"/>
      <c r="AS205" s="3617"/>
      <c r="AT205" s="413"/>
      <c r="AU205" s="3617"/>
      <c r="AV205" s="411"/>
      <c r="AW205" s="3617"/>
      <c r="AX205" s="411"/>
      <c r="AY205" s="1755" t="str">
        <f t="shared" si="609"/>
        <v/>
      </c>
      <c r="CA205" s="3235" t="str">
        <f t="shared" si="584"/>
        <v/>
      </c>
      <c r="CB205" s="2873" t="str">
        <f t="shared" si="610"/>
        <v/>
      </c>
      <c r="CC205" s="2873" t="str">
        <f t="shared" si="585"/>
        <v/>
      </c>
      <c r="CD205" s="2718"/>
      <c r="CE205" s="2718"/>
      <c r="CF205" s="2718"/>
      <c r="CG205" s="2718"/>
      <c r="CH205" s="2718"/>
      <c r="CI205" s="2873" t="str">
        <f t="shared" si="586"/>
        <v/>
      </c>
      <c r="CJ205" s="603"/>
      <c r="CK205" s="2873" t="str">
        <f t="shared" si="587"/>
        <v/>
      </c>
      <c r="CL205" s="2873" t="str">
        <f t="shared" si="588"/>
        <v/>
      </c>
      <c r="CM205" s="2873" t="str">
        <f t="shared" si="589"/>
        <v/>
      </c>
      <c r="CN205" s="2873" t="str">
        <f t="shared" si="590"/>
        <v/>
      </c>
      <c r="CO205" s="2873" t="str">
        <f t="shared" si="591"/>
        <v/>
      </c>
      <c r="CP205" s="2873" t="str">
        <f t="shared" si="592"/>
        <v/>
      </c>
      <c r="CQ205" s="2873" t="str">
        <f t="shared" si="593"/>
        <v/>
      </c>
      <c r="CR205" s="2718"/>
      <c r="CS205" s="2718"/>
      <c r="CT205" s="2873" t="str">
        <f t="shared" si="615"/>
        <v/>
      </c>
      <c r="CU205" s="2873" t="str">
        <f t="shared" si="616"/>
        <v/>
      </c>
      <c r="DE205" s="3235">
        <f t="shared" si="596"/>
        <v>0</v>
      </c>
      <c r="DF205" s="2873">
        <f t="shared" si="611"/>
        <v>0</v>
      </c>
      <c r="DG205" s="2873">
        <f t="shared" si="597"/>
        <v>0</v>
      </c>
      <c r="DH205" s="2718"/>
      <c r="DI205" s="2718"/>
      <c r="DJ205" s="2718"/>
      <c r="DK205" s="2718"/>
      <c r="DL205" s="2718"/>
      <c r="DM205" s="2873">
        <f t="shared" si="598"/>
        <v>0</v>
      </c>
      <c r="DN205" s="603"/>
      <c r="DO205" s="2873">
        <f t="shared" si="599"/>
        <v>0</v>
      </c>
      <c r="DP205" s="2873">
        <f t="shared" si="600"/>
        <v>0</v>
      </c>
      <c r="DQ205" s="2873">
        <f t="shared" si="601"/>
        <v>0</v>
      </c>
      <c r="DR205" s="2873">
        <f t="shared" si="602"/>
        <v>0</v>
      </c>
      <c r="DS205" s="2873">
        <f t="shared" si="603"/>
        <v>0</v>
      </c>
      <c r="DT205" s="2873">
        <f t="shared" si="604"/>
        <v>0</v>
      </c>
      <c r="DU205" s="2873">
        <f t="shared" si="605"/>
        <v>0</v>
      </c>
      <c r="DV205" s="2718"/>
      <c r="DW205" s="2718"/>
      <c r="DX205" s="2873">
        <f t="shared" si="617"/>
        <v>0</v>
      </c>
      <c r="DY205" s="2873">
        <f t="shared" si="617"/>
        <v>0</v>
      </c>
    </row>
    <row r="206" spans="1:129" x14ac:dyDescent="0.25">
      <c r="A206" s="7710" t="s">
        <v>2709</v>
      </c>
      <c r="B206" s="7711"/>
      <c r="C206" s="2014">
        <f t="shared" ref="C206:D210" si="619">+E206+G206+I206+K206+M206+O206+Q206+S206+U206+W206+Y206+AA206+AC206+AE206+AG206+AI206</f>
        <v>0</v>
      </c>
      <c r="D206" s="3631">
        <f t="shared" si="619"/>
        <v>0</v>
      </c>
      <c r="E206" s="410"/>
      <c r="F206" s="3616"/>
      <c r="G206" s="410"/>
      <c r="H206" s="3616"/>
      <c r="I206" s="410"/>
      <c r="J206" s="3616"/>
      <c r="K206" s="410"/>
      <c r="L206" s="3616"/>
      <c r="M206" s="410"/>
      <c r="N206" s="3616"/>
      <c r="O206" s="410"/>
      <c r="P206" s="3616"/>
      <c r="Q206" s="410"/>
      <c r="R206" s="3616"/>
      <c r="S206" s="410"/>
      <c r="T206" s="3616"/>
      <c r="U206" s="410"/>
      <c r="V206" s="3616"/>
      <c r="W206" s="410"/>
      <c r="X206" s="3616"/>
      <c r="Y206" s="410"/>
      <c r="Z206" s="3616"/>
      <c r="AA206" s="410"/>
      <c r="AB206" s="3616"/>
      <c r="AC206" s="410"/>
      <c r="AD206" s="3630"/>
      <c r="AE206" s="410"/>
      <c r="AF206" s="3630"/>
      <c r="AG206" s="410"/>
      <c r="AH206" s="412"/>
      <c r="AI206" s="410"/>
      <c r="AJ206" s="3616"/>
      <c r="AK206" s="3617"/>
      <c r="AL206" s="411"/>
      <c r="AM206" s="410"/>
      <c r="AN206" s="413"/>
      <c r="AO206" s="3617"/>
      <c r="AP206" s="411"/>
      <c r="AQ206" s="414"/>
      <c r="AR206" s="413"/>
      <c r="AS206" s="3617"/>
      <c r="AT206" s="413"/>
      <c r="AU206" s="3617"/>
      <c r="AV206" s="411"/>
      <c r="AW206" s="3617"/>
      <c r="AX206" s="411"/>
      <c r="AY206" s="1755" t="str">
        <f t="shared" si="609"/>
        <v/>
      </c>
      <c r="CA206" s="3235" t="str">
        <f t="shared" si="584"/>
        <v/>
      </c>
      <c r="CB206" s="2873" t="str">
        <f t="shared" si="610"/>
        <v/>
      </c>
      <c r="CC206" s="2873" t="str">
        <f t="shared" si="585"/>
        <v/>
      </c>
      <c r="CD206" s="2718"/>
      <c r="CE206" s="2718"/>
      <c r="CF206" s="2718"/>
      <c r="CG206" s="2718"/>
      <c r="CH206" s="2718"/>
      <c r="CI206" s="2873" t="str">
        <f t="shared" si="586"/>
        <v/>
      </c>
      <c r="CJ206" s="603"/>
      <c r="CK206" s="2873" t="str">
        <f t="shared" si="587"/>
        <v/>
      </c>
      <c r="CL206" s="2873" t="str">
        <f t="shared" si="588"/>
        <v/>
      </c>
      <c r="CM206" s="2873" t="str">
        <f t="shared" si="589"/>
        <v/>
      </c>
      <c r="CN206" s="2873" t="str">
        <f t="shared" si="590"/>
        <v/>
      </c>
      <c r="CO206" s="2873" t="str">
        <f t="shared" si="591"/>
        <v/>
      </c>
      <c r="CP206" s="2873" t="str">
        <f t="shared" si="592"/>
        <v/>
      </c>
      <c r="CQ206" s="2873" t="str">
        <f t="shared" si="593"/>
        <v/>
      </c>
      <c r="CR206" s="2718"/>
      <c r="CS206" s="2718"/>
      <c r="CT206" s="2873" t="str">
        <f t="shared" si="615"/>
        <v/>
      </c>
      <c r="CU206" s="2873" t="str">
        <f t="shared" si="616"/>
        <v/>
      </c>
      <c r="DE206" s="3235">
        <f t="shared" si="596"/>
        <v>0</v>
      </c>
      <c r="DF206" s="2873">
        <f t="shared" si="611"/>
        <v>0</v>
      </c>
      <c r="DG206" s="2873">
        <f t="shared" si="597"/>
        <v>0</v>
      </c>
      <c r="DH206" s="2718"/>
      <c r="DI206" s="2718"/>
      <c r="DJ206" s="2718"/>
      <c r="DK206" s="2718"/>
      <c r="DL206" s="2718"/>
      <c r="DM206" s="2873">
        <f t="shared" si="598"/>
        <v>0</v>
      </c>
      <c r="DN206" s="603"/>
      <c r="DO206" s="2873">
        <f t="shared" si="599"/>
        <v>0</v>
      </c>
      <c r="DP206" s="2873">
        <f t="shared" si="600"/>
        <v>0</v>
      </c>
      <c r="DQ206" s="2873">
        <f t="shared" si="601"/>
        <v>0</v>
      </c>
      <c r="DR206" s="2873">
        <f t="shared" si="602"/>
        <v>0</v>
      </c>
      <c r="DS206" s="2873">
        <f t="shared" si="603"/>
        <v>0</v>
      </c>
      <c r="DT206" s="2873">
        <f t="shared" si="604"/>
        <v>0</v>
      </c>
      <c r="DU206" s="2873">
        <f t="shared" si="605"/>
        <v>0</v>
      </c>
      <c r="DV206" s="2718"/>
      <c r="DW206" s="2718"/>
      <c r="DX206" s="2873">
        <f t="shared" si="617"/>
        <v>0</v>
      </c>
      <c r="DY206" s="2873">
        <f t="shared" si="617"/>
        <v>0</v>
      </c>
    </row>
    <row r="207" spans="1:129" x14ac:dyDescent="0.25">
      <c r="A207" s="7710" t="s">
        <v>2710</v>
      </c>
      <c r="B207" s="7711"/>
      <c r="C207" s="2014">
        <f t="shared" si="619"/>
        <v>0</v>
      </c>
      <c r="D207" s="3631">
        <f t="shared" si="619"/>
        <v>0</v>
      </c>
      <c r="E207" s="410"/>
      <c r="F207" s="3616"/>
      <c r="G207" s="410"/>
      <c r="H207" s="3616"/>
      <c r="I207" s="410"/>
      <c r="J207" s="3616"/>
      <c r="K207" s="410"/>
      <c r="L207" s="3616"/>
      <c r="M207" s="410"/>
      <c r="N207" s="3616"/>
      <c r="O207" s="410"/>
      <c r="P207" s="3616"/>
      <c r="Q207" s="410"/>
      <c r="R207" s="3616"/>
      <c r="S207" s="410"/>
      <c r="T207" s="3616"/>
      <c r="U207" s="410"/>
      <c r="V207" s="3616"/>
      <c r="W207" s="410"/>
      <c r="X207" s="3616"/>
      <c r="Y207" s="410"/>
      <c r="Z207" s="3616"/>
      <c r="AA207" s="410"/>
      <c r="AB207" s="3616"/>
      <c r="AC207" s="410"/>
      <c r="AD207" s="3630"/>
      <c r="AE207" s="410"/>
      <c r="AF207" s="3630"/>
      <c r="AG207" s="410"/>
      <c r="AH207" s="412"/>
      <c r="AI207" s="410"/>
      <c r="AJ207" s="3616"/>
      <c r="AK207" s="3617"/>
      <c r="AL207" s="411"/>
      <c r="AM207" s="410"/>
      <c r="AN207" s="413"/>
      <c r="AO207" s="3617"/>
      <c r="AP207" s="411"/>
      <c r="AQ207" s="414"/>
      <c r="AR207" s="413"/>
      <c r="AS207" s="3617"/>
      <c r="AT207" s="413"/>
      <c r="AU207" s="3617"/>
      <c r="AV207" s="411"/>
      <c r="AW207" s="3617"/>
      <c r="AX207" s="411"/>
      <c r="AY207" s="1755" t="str">
        <f t="shared" si="609"/>
        <v/>
      </c>
      <c r="CA207" s="3235" t="str">
        <f t="shared" si="584"/>
        <v/>
      </c>
      <c r="CB207" s="2873" t="str">
        <f t="shared" si="610"/>
        <v/>
      </c>
      <c r="CC207" s="2873" t="str">
        <f t="shared" si="585"/>
        <v/>
      </c>
      <c r="CD207" s="2718"/>
      <c r="CE207" s="2718"/>
      <c r="CF207" s="2718"/>
      <c r="CG207" s="2718"/>
      <c r="CH207" s="2718"/>
      <c r="CI207" s="2873" t="str">
        <f t="shared" si="586"/>
        <v/>
      </c>
      <c r="CJ207" s="603"/>
      <c r="CK207" s="2873" t="str">
        <f t="shared" si="587"/>
        <v/>
      </c>
      <c r="CL207" s="2873" t="str">
        <f t="shared" si="588"/>
        <v/>
      </c>
      <c r="CM207" s="2873" t="str">
        <f t="shared" si="589"/>
        <v/>
      </c>
      <c r="CN207" s="2873" t="str">
        <f t="shared" si="590"/>
        <v/>
      </c>
      <c r="CO207" s="2873" t="str">
        <f t="shared" si="591"/>
        <v/>
      </c>
      <c r="CP207" s="2873" t="str">
        <f t="shared" si="592"/>
        <v/>
      </c>
      <c r="CQ207" s="2873" t="str">
        <f t="shared" si="593"/>
        <v/>
      </c>
      <c r="CR207" s="2718"/>
      <c r="CS207" s="2718"/>
      <c r="CT207" s="2873" t="str">
        <f t="shared" si="615"/>
        <v/>
      </c>
      <c r="CU207" s="2873" t="str">
        <f t="shared" si="616"/>
        <v/>
      </c>
      <c r="DE207" s="3235">
        <f t="shared" si="596"/>
        <v>0</v>
      </c>
      <c r="DF207" s="2873">
        <f t="shared" si="611"/>
        <v>0</v>
      </c>
      <c r="DG207" s="2873">
        <f t="shared" si="597"/>
        <v>0</v>
      </c>
      <c r="DH207" s="2718"/>
      <c r="DI207" s="2718"/>
      <c r="DJ207" s="2718"/>
      <c r="DK207" s="2718"/>
      <c r="DL207" s="2718"/>
      <c r="DM207" s="2873">
        <f t="shared" si="598"/>
        <v>0</v>
      </c>
      <c r="DN207" s="603"/>
      <c r="DO207" s="2873">
        <f t="shared" si="599"/>
        <v>0</v>
      </c>
      <c r="DP207" s="2873">
        <f t="shared" si="600"/>
        <v>0</v>
      </c>
      <c r="DQ207" s="2873">
        <f t="shared" si="601"/>
        <v>0</v>
      </c>
      <c r="DR207" s="2873">
        <f t="shared" si="602"/>
        <v>0</v>
      </c>
      <c r="DS207" s="2873">
        <f t="shared" si="603"/>
        <v>0</v>
      </c>
      <c r="DT207" s="2873">
        <f t="shared" si="604"/>
        <v>0</v>
      </c>
      <c r="DU207" s="2873">
        <f t="shared" si="605"/>
        <v>0</v>
      </c>
      <c r="DV207" s="2718"/>
      <c r="DW207" s="2718"/>
      <c r="DX207" s="2873">
        <f t="shared" si="617"/>
        <v>0</v>
      </c>
      <c r="DY207" s="2873">
        <f t="shared" si="617"/>
        <v>0</v>
      </c>
    </row>
    <row r="208" spans="1:129" x14ac:dyDescent="0.25">
      <c r="A208" s="7710" t="s">
        <v>2711</v>
      </c>
      <c r="B208" s="7711"/>
      <c r="C208" s="2014">
        <f t="shared" si="619"/>
        <v>0</v>
      </c>
      <c r="D208" s="3631">
        <f t="shared" si="619"/>
        <v>0</v>
      </c>
      <c r="E208" s="410"/>
      <c r="F208" s="3616"/>
      <c r="G208" s="410"/>
      <c r="H208" s="3616"/>
      <c r="I208" s="410"/>
      <c r="J208" s="3616"/>
      <c r="K208" s="410"/>
      <c r="L208" s="3616"/>
      <c r="M208" s="410"/>
      <c r="N208" s="3616"/>
      <c r="O208" s="410"/>
      <c r="P208" s="3616"/>
      <c r="Q208" s="410"/>
      <c r="R208" s="3616"/>
      <c r="S208" s="410"/>
      <c r="T208" s="3616"/>
      <c r="U208" s="410"/>
      <c r="V208" s="3616"/>
      <c r="W208" s="410"/>
      <c r="X208" s="3616"/>
      <c r="Y208" s="410"/>
      <c r="Z208" s="3616"/>
      <c r="AA208" s="410"/>
      <c r="AB208" s="3616"/>
      <c r="AC208" s="410"/>
      <c r="AD208" s="3630"/>
      <c r="AE208" s="410"/>
      <c r="AF208" s="3630"/>
      <c r="AG208" s="410"/>
      <c r="AH208" s="412"/>
      <c r="AI208" s="410"/>
      <c r="AJ208" s="3616"/>
      <c r="AK208" s="3617"/>
      <c r="AL208" s="411"/>
      <c r="AM208" s="410"/>
      <c r="AN208" s="413"/>
      <c r="AO208" s="3617"/>
      <c r="AP208" s="411"/>
      <c r="AQ208" s="414"/>
      <c r="AR208" s="413"/>
      <c r="AS208" s="3617"/>
      <c r="AT208" s="413"/>
      <c r="AU208" s="3617"/>
      <c r="AV208" s="411"/>
      <c r="AW208" s="3617"/>
      <c r="AX208" s="411"/>
      <c r="AY208" s="1755" t="str">
        <f t="shared" si="609"/>
        <v/>
      </c>
      <c r="CA208" s="3235" t="str">
        <f t="shared" si="584"/>
        <v/>
      </c>
      <c r="CB208" s="2873" t="str">
        <f t="shared" si="610"/>
        <v/>
      </c>
      <c r="CC208" s="2873" t="str">
        <f t="shared" si="585"/>
        <v/>
      </c>
      <c r="CD208" s="2718"/>
      <c r="CE208" s="2718"/>
      <c r="CF208" s="2718"/>
      <c r="CG208" s="2718"/>
      <c r="CH208" s="2718"/>
      <c r="CI208" s="2873" t="str">
        <f t="shared" si="586"/>
        <v/>
      </c>
      <c r="CJ208" s="603"/>
      <c r="CK208" s="2873" t="str">
        <f t="shared" si="587"/>
        <v/>
      </c>
      <c r="CL208" s="2873" t="str">
        <f t="shared" si="588"/>
        <v/>
      </c>
      <c r="CM208" s="2873" t="str">
        <f t="shared" si="589"/>
        <v/>
      </c>
      <c r="CN208" s="2873" t="str">
        <f t="shared" si="590"/>
        <v/>
      </c>
      <c r="CO208" s="2873" t="str">
        <f t="shared" si="591"/>
        <v/>
      </c>
      <c r="CP208" s="2873" t="str">
        <f t="shared" si="592"/>
        <v/>
      </c>
      <c r="CQ208" s="2873" t="str">
        <f t="shared" si="593"/>
        <v/>
      </c>
      <c r="CR208" s="2718"/>
      <c r="CS208" s="2718"/>
      <c r="CT208" s="2873" t="str">
        <f t="shared" si="615"/>
        <v/>
      </c>
      <c r="CU208" s="2873" t="str">
        <f t="shared" si="616"/>
        <v/>
      </c>
      <c r="DE208" s="3235">
        <f t="shared" si="596"/>
        <v>0</v>
      </c>
      <c r="DF208" s="2873">
        <f t="shared" si="611"/>
        <v>0</v>
      </c>
      <c r="DG208" s="2873">
        <f t="shared" si="597"/>
        <v>0</v>
      </c>
      <c r="DH208" s="2718"/>
      <c r="DI208" s="2718"/>
      <c r="DJ208" s="2718"/>
      <c r="DK208" s="2718"/>
      <c r="DL208" s="2718"/>
      <c r="DM208" s="2873">
        <f t="shared" si="598"/>
        <v>0</v>
      </c>
      <c r="DN208" s="603"/>
      <c r="DO208" s="2873">
        <f t="shared" si="599"/>
        <v>0</v>
      </c>
      <c r="DP208" s="2873">
        <f t="shared" si="600"/>
        <v>0</v>
      </c>
      <c r="DQ208" s="2873">
        <f t="shared" si="601"/>
        <v>0</v>
      </c>
      <c r="DR208" s="2873">
        <f t="shared" si="602"/>
        <v>0</v>
      </c>
      <c r="DS208" s="2873">
        <f t="shared" si="603"/>
        <v>0</v>
      </c>
      <c r="DT208" s="2873">
        <f t="shared" si="604"/>
        <v>0</v>
      </c>
      <c r="DU208" s="2873">
        <f t="shared" si="605"/>
        <v>0</v>
      </c>
      <c r="DV208" s="2718"/>
      <c r="DW208" s="2718"/>
      <c r="DX208" s="2873">
        <f t="shared" si="617"/>
        <v>0</v>
      </c>
      <c r="DY208" s="2873">
        <f t="shared" si="617"/>
        <v>0</v>
      </c>
    </row>
    <row r="209" spans="1:129" x14ac:dyDescent="0.25">
      <c r="A209" s="7710" t="s">
        <v>2712</v>
      </c>
      <c r="B209" s="7711"/>
      <c r="C209" s="2014">
        <f t="shared" si="619"/>
        <v>0</v>
      </c>
      <c r="D209" s="3631">
        <f t="shared" si="619"/>
        <v>0</v>
      </c>
      <c r="E209" s="410"/>
      <c r="F209" s="3616"/>
      <c r="G209" s="410"/>
      <c r="H209" s="3616"/>
      <c r="I209" s="410"/>
      <c r="J209" s="3616"/>
      <c r="K209" s="410"/>
      <c r="L209" s="3616"/>
      <c r="M209" s="410"/>
      <c r="N209" s="3616"/>
      <c r="O209" s="410"/>
      <c r="P209" s="3616"/>
      <c r="Q209" s="410"/>
      <c r="R209" s="3616"/>
      <c r="S209" s="410"/>
      <c r="T209" s="3616"/>
      <c r="U209" s="410"/>
      <c r="V209" s="3616"/>
      <c r="W209" s="410"/>
      <c r="X209" s="3616"/>
      <c r="Y209" s="410"/>
      <c r="Z209" s="3616"/>
      <c r="AA209" s="410"/>
      <c r="AB209" s="3616"/>
      <c r="AC209" s="410"/>
      <c r="AD209" s="3630"/>
      <c r="AE209" s="410"/>
      <c r="AF209" s="3630"/>
      <c r="AG209" s="410"/>
      <c r="AH209" s="412"/>
      <c r="AI209" s="410"/>
      <c r="AJ209" s="3616"/>
      <c r="AK209" s="3617"/>
      <c r="AL209" s="411"/>
      <c r="AM209" s="410"/>
      <c r="AN209" s="413"/>
      <c r="AO209" s="3617"/>
      <c r="AP209" s="411"/>
      <c r="AQ209" s="414"/>
      <c r="AR209" s="413"/>
      <c r="AS209" s="3617"/>
      <c r="AT209" s="413"/>
      <c r="AU209" s="3617"/>
      <c r="AV209" s="411"/>
      <c r="AW209" s="3617"/>
      <c r="AX209" s="411"/>
      <c r="AY209" s="1755" t="str">
        <f t="shared" si="609"/>
        <v/>
      </c>
      <c r="CA209" s="3235" t="str">
        <f t="shared" si="584"/>
        <v/>
      </c>
      <c r="CB209" s="2873" t="str">
        <f t="shared" si="610"/>
        <v/>
      </c>
      <c r="CC209" s="2873" t="str">
        <f t="shared" si="585"/>
        <v/>
      </c>
      <c r="CD209" s="2718"/>
      <c r="CE209" s="2718"/>
      <c r="CF209" s="2718"/>
      <c r="CG209" s="2718"/>
      <c r="CH209" s="2718"/>
      <c r="CI209" s="2873" t="str">
        <f t="shared" si="586"/>
        <v/>
      </c>
      <c r="CJ209" s="603"/>
      <c r="CK209" s="2873" t="str">
        <f t="shared" si="587"/>
        <v/>
      </c>
      <c r="CL209" s="2873" t="str">
        <f t="shared" si="588"/>
        <v/>
      </c>
      <c r="CM209" s="2873" t="str">
        <f t="shared" si="589"/>
        <v/>
      </c>
      <c r="CN209" s="2873" t="str">
        <f t="shared" si="590"/>
        <v/>
      </c>
      <c r="CO209" s="2873" t="str">
        <f t="shared" si="591"/>
        <v/>
      </c>
      <c r="CP209" s="2873" t="str">
        <f t="shared" si="592"/>
        <v/>
      </c>
      <c r="CQ209" s="2873" t="str">
        <f t="shared" si="593"/>
        <v/>
      </c>
      <c r="CR209" s="2718"/>
      <c r="CS209" s="2718"/>
      <c r="CT209" s="2873" t="str">
        <f t="shared" si="615"/>
        <v/>
      </c>
      <c r="CU209" s="2873" t="str">
        <f t="shared" si="616"/>
        <v/>
      </c>
      <c r="DE209" s="3235">
        <f t="shared" si="596"/>
        <v>0</v>
      </c>
      <c r="DF209" s="2873">
        <f t="shared" si="611"/>
        <v>0</v>
      </c>
      <c r="DG209" s="2873">
        <f t="shared" si="597"/>
        <v>0</v>
      </c>
      <c r="DH209" s="2718"/>
      <c r="DI209" s="2718"/>
      <c r="DJ209" s="2718"/>
      <c r="DK209" s="2718"/>
      <c r="DL209" s="2718"/>
      <c r="DM209" s="2873">
        <f t="shared" si="598"/>
        <v>0</v>
      </c>
      <c r="DN209" s="603"/>
      <c r="DO209" s="2873">
        <f t="shared" si="599"/>
        <v>0</v>
      </c>
      <c r="DP209" s="2873">
        <f t="shared" si="600"/>
        <v>0</v>
      </c>
      <c r="DQ209" s="2873">
        <f t="shared" si="601"/>
        <v>0</v>
      </c>
      <c r="DR209" s="2873">
        <f t="shared" si="602"/>
        <v>0</v>
      </c>
      <c r="DS209" s="2873">
        <f t="shared" si="603"/>
        <v>0</v>
      </c>
      <c r="DT209" s="2873">
        <f t="shared" si="604"/>
        <v>0</v>
      </c>
      <c r="DU209" s="2873">
        <f t="shared" si="605"/>
        <v>0</v>
      </c>
      <c r="DV209" s="2718"/>
      <c r="DW209" s="2718"/>
      <c r="DX209" s="2873">
        <f t="shared" si="617"/>
        <v>0</v>
      </c>
      <c r="DY209" s="2873">
        <f t="shared" si="617"/>
        <v>0</v>
      </c>
    </row>
    <row r="210" spans="1:129" x14ac:dyDescent="0.25">
      <c r="A210" s="7712" t="s">
        <v>2713</v>
      </c>
      <c r="B210" s="7713"/>
      <c r="C210" s="3614">
        <f t="shared" si="619"/>
        <v>0</v>
      </c>
      <c r="D210" s="3622">
        <f t="shared" si="619"/>
        <v>0</v>
      </c>
      <c r="E210" s="3586"/>
      <c r="F210" s="3585"/>
      <c r="G210" s="3586"/>
      <c r="H210" s="3585"/>
      <c r="I210" s="3586"/>
      <c r="J210" s="3585"/>
      <c r="K210" s="3586"/>
      <c r="L210" s="3585"/>
      <c r="M210" s="3586"/>
      <c r="N210" s="3587"/>
      <c r="O210" s="3586"/>
      <c r="P210" s="3585"/>
      <c r="Q210" s="3586"/>
      <c r="R210" s="3585"/>
      <c r="S210" s="3586"/>
      <c r="T210" s="3585"/>
      <c r="U210" s="3586"/>
      <c r="V210" s="3585"/>
      <c r="W210" s="3586"/>
      <c r="X210" s="3585"/>
      <c r="Y210" s="3586"/>
      <c r="Z210" s="3585"/>
      <c r="AA210" s="3586"/>
      <c r="AB210" s="3585"/>
      <c r="AC210" s="3586"/>
      <c r="AD210" s="3632"/>
      <c r="AE210" s="3586"/>
      <c r="AF210" s="3632"/>
      <c r="AG210" s="3586"/>
      <c r="AH210" s="3587"/>
      <c r="AI210" s="3586"/>
      <c r="AJ210" s="3585"/>
      <c r="AK210" s="3589"/>
      <c r="AL210" s="290"/>
      <c r="AM210" s="3586"/>
      <c r="AN210" s="385"/>
      <c r="AO210" s="3589"/>
      <c r="AP210" s="290"/>
      <c r="AQ210" s="288"/>
      <c r="AR210" s="385"/>
      <c r="AS210" s="3589"/>
      <c r="AT210" s="385"/>
      <c r="AU210" s="3589"/>
      <c r="AV210" s="290"/>
      <c r="AW210" s="3589"/>
      <c r="AX210" s="290"/>
      <c r="AY210" s="1755" t="str">
        <f t="shared" si="609"/>
        <v/>
      </c>
      <c r="CA210" s="3235" t="str">
        <f t="shared" si="584"/>
        <v/>
      </c>
      <c r="CB210" s="2873" t="str">
        <f t="shared" si="610"/>
        <v/>
      </c>
      <c r="CC210" s="2873" t="str">
        <f t="shared" si="585"/>
        <v/>
      </c>
      <c r="CD210" s="2718"/>
      <c r="CE210" s="2718"/>
      <c r="CF210" s="2718"/>
      <c r="CG210" s="2718"/>
      <c r="CH210" s="2718"/>
      <c r="CI210" s="2873" t="str">
        <f t="shared" si="586"/>
        <v/>
      </c>
      <c r="CJ210" s="603"/>
      <c r="CK210" s="2873" t="str">
        <f t="shared" si="587"/>
        <v/>
      </c>
      <c r="CL210" s="2873" t="str">
        <f t="shared" si="588"/>
        <v/>
      </c>
      <c r="CM210" s="2873" t="str">
        <f t="shared" si="589"/>
        <v/>
      </c>
      <c r="CN210" s="2873" t="str">
        <f t="shared" si="590"/>
        <v/>
      </c>
      <c r="CO210" s="2873" t="str">
        <f t="shared" si="591"/>
        <v/>
      </c>
      <c r="CP210" s="2873" t="str">
        <f t="shared" si="592"/>
        <v/>
      </c>
      <c r="CQ210" s="2873" t="str">
        <f t="shared" si="593"/>
        <v/>
      </c>
      <c r="CR210" s="2718"/>
      <c r="CS210" s="2718"/>
      <c r="CT210" s="2873" t="str">
        <f t="shared" si="615"/>
        <v/>
      </c>
      <c r="CU210" s="2873" t="str">
        <f t="shared" si="616"/>
        <v/>
      </c>
      <c r="DE210" s="3235">
        <f t="shared" si="596"/>
        <v>0</v>
      </c>
      <c r="DF210" s="2873">
        <f t="shared" si="611"/>
        <v>0</v>
      </c>
      <c r="DG210" s="2873">
        <f t="shared" si="597"/>
        <v>0</v>
      </c>
      <c r="DH210" s="2718"/>
      <c r="DI210" s="2718"/>
      <c r="DJ210" s="2718"/>
      <c r="DK210" s="2718"/>
      <c r="DL210" s="2718"/>
      <c r="DM210" s="2873">
        <f t="shared" si="598"/>
        <v>0</v>
      </c>
      <c r="DN210" s="603"/>
      <c r="DO210" s="2873">
        <f t="shared" si="599"/>
        <v>0</v>
      </c>
      <c r="DP210" s="2873">
        <f t="shared" si="600"/>
        <v>0</v>
      </c>
      <c r="DQ210" s="2873">
        <f t="shared" si="601"/>
        <v>0</v>
      </c>
      <c r="DR210" s="2873">
        <f t="shared" si="602"/>
        <v>0</v>
      </c>
      <c r="DS210" s="2873">
        <f t="shared" si="603"/>
        <v>0</v>
      </c>
      <c r="DT210" s="2873">
        <f t="shared" si="604"/>
        <v>0</v>
      </c>
      <c r="DU210" s="2873">
        <f t="shared" si="605"/>
        <v>0</v>
      </c>
      <c r="DV210" s="2718"/>
      <c r="DW210" s="2718"/>
      <c r="DX210" s="2873">
        <f t="shared" si="617"/>
        <v>0</v>
      </c>
      <c r="DY210" s="2873">
        <f t="shared" si="617"/>
        <v>0</v>
      </c>
    </row>
    <row r="211" spans="1:129" ht="18" customHeight="1" x14ac:dyDescent="0.25">
      <c r="A211" s="5399" t="s">
        <v>2715</v>
      </c>
      <c r="B211" s="5399"/>
      <c r="C211" s="5399"/>
      <c r="D211" s="5399"/>
      <c r="E211" s="5399"/>
      <c r="F211" s="5399"/>
      <c r="G211" s="5399"/>
      <c r="H211" s="5399"/>
      <c r="I211" s="5399"/>
      <c r="J211" s="5399"/>
      <c r="K211" s="5399"/>
      <c r="L211" s="5399"/>
      <c r="M211" s="5399"/>
      <c r="N211" s="5399"/>
      <c r="O211" s="5399"/>
      <c r="P211" s="5399"/>
      <c r="Q211" s="5399"/>
      <c r="R211" s="5399"/>
      <c r="S211" s="5399"/>
      <c r="T211" s="5399"/>
      <c r="U211" s="5399"/>
      <c r="V211" s="5399"/>
      <c r="W211" s="5399"/>
      <c r="X211" s="5399"/>
      <c r="Y211" s="5399"/>
      <c r="Z211" s="5399"/>
      <c r="AA211" s="5399"/>
      <c r="AB211" s="5399"/>
      <c r="AC211" s="5399"/>
      <c r="AD211" s="5399"/>
      <c r="AE211" s="5399"/>
      <c r="AF211" s="5399"/>
      <c r="AG211" s="5399"/>
      <c r="AH211" s="5399"/>
      <c r="AI211" s="5399"/>
      <c r="AJ211" s="5399"/>
      <c r="AK211" s="5399"/>
      <c r="AL211" s="603"/>
      <c r="AM211" s="603"/>
      <c r="AN211" s="603"/>
      <c r="AO211" s="603"/>
      <c r="AP211" s="603"/>
      <c r="AQ211" s="603"/>
    </row>
    <row r="212" spans="1:129" ht="26.25" customHeight="1" x14ac:dyDescent="0.25">
      <c r="A212" s="7707" t="s">
        <v>2682</v>
      </c>
      <c r="B212" s="7660" t="s">
        <v>24</v>
      </c>
      <c r="C212" s="7660"/>
      <c r="D212" s="7660" t="s">
        <v>12</v>
      </c>
      <c r="E212" s="7660"/>
      <c r="F212" s="7660"/>
      <c r="G212" s="7660"/>
      <c r="H212" s="7660"/>
      <c r="I212" s="7660"/>
      <c r="J212" s="7660"/>
      <c r="K212" s="7660"/>
      <c r="L212" s="7660"/>
      <c r="M212" s="7660"/>
      <c r="N212" s="7660"/>
      <c r="O212" s="7660"/>
      <c r="P212" s="7660"/>
      <c r="Q212" s="7660"/>
      <c r="R212" s="7660"/>
      <c r="S212" s="7660"/>
      <c r="T212" s="7660"/>
      <c r="U212" s="7660"/>
      <c r="V212" s="7660"/>
      <c r="W212" s="7660"/>
      <c r="X212" s="7660"/>
      <c r="Y212" s="7660"/>
      <c r="Z212" s="7660"/>
      <c r="AA212" s="7660"/>
      <c r="AB212" s="7660"/>
      <c r="AC212" s="7660"/>
      <c r="AD212" s="7660"/>
      <c r="AE212" s="7660"/>
      <c r="AF212" s="7660"/>
      <c r="AG212" s="7660"/>
      <c r="AH212" s="7660"/>
      <c r="AI212" s="7660"/>
      <c r="AJ212" s="7660"/>
      <c r="AK212" s="7661"/>
      <c r="AL212" s="7649" t="s">
        <v>2716</v>
      </c>
      <c r="AM212" s="7678"/>
      <c r="AN212" s="7708" t="s">
        <v>48</v>
      </c>
      <c r="AO212" s="7709"/>
      <c r="AP212" s="7649" t="s">
        <v>2</v>
      </c>
      <c r="AQ212" s="7677" t="s">
        <v>3</v>
      </c>
    </row>
    <row r="213" spans="1:129" x14ac:dyDescent="0.25">
      <c r="A213" s="7654"/>
      <c r="B213" s="7660"/>
      <c r="C213" s="7660"/>
      <c r="D213" s="7660" t="s">
        <v>36</v>
      </c>
      <c r="E213" s="7660"/>
      <c r="F213" s="7660" t="s">
        <v>37</v>
      </c>
      <c r="G213" s="7660"/>
      <c r="H213" s="7660" t="s">
        <v>38</v>
      </c>
      <c r="I213" s="7660"/>
      <c r="J213" s="7660" t="s">
        <v>4</v>
      </c>
      <c r="K213" s="7660"/>
      <c r="L213" s="7660" t="s">
        <v>5</v>
      </c>
      <c r="M213" s="7660"/>
      <c r="N213" s="7660" t="s">
        <v>6</v>
      </c>
      <c r="O213" s="7660"/>
      <c r="P213" s="7660" t="s">
        <v>7</v>
      </c>
      <c r="Q213" s="7660"/>
      <c r="R213" s="7660" t="s">
        <v>8</v>
      </c>
      <c r="S213" s="7660"/>
      <c r="T213" s="7660" t="s">
        <v>9</v>
      </c>
      <c r="U213" s="7660"/>
      <c r="V213" s="7660" t="s">
        <v>10</v>
      </c>
      <c r="W213" s="7660"/>
      <c r="X213" s="7660" t="s">
        <v>11</v>
      </c>
      <c r="Y213" s="7660"/>
      <c r="Z213" s="7660" t="s">
        <v>18</v>
      </c>
      <c r="AA213" s="7660"/>
      <c r="AB213" s="7660" t="s">
        <v>19</v>
      </c>
      <c r="AC213" s="7660"/>
      <c r="AD213" s="7660" t="s">
        <v>20</v>
      </c>
      <c r="AE213" s="7660"/>
      <c r="AF213" s="7660" t="s">
        <v>70</v>
      </c>
      <c r="AG213" s="7660"/>
      <c r="AH213" s="7660" t="s">
        <v>71</v>
      </c>
      <c r="AI213" s="7660"/>
      <c r="AJ213" s="7660" t="s">
        <v>32</v>
      </c>
      <c r="AK213" s="7661"/>
      <c r="AL213" s="7704" t="s">
        <v>22</v>
      </c>
      <c r="AM213" s="7662" t="s">
        <v>27</v>
      </c>
      <c r="AN213" s="6540" t="s">
        <v>41</v>
      </c>
      <c r="AO213" s="7705" t="s">
        <v>42</v>
      </c>
      <c r="AP213" s="7649"/>
      <c r="AQ213" s="7677"/>
    </row>
    <row r="214" spans="1:129" x14ac:dyDescent="0.25">
      <c r="A214" s="7655"/>
      <c r="B214" s="5401" t="s">
        <v>2656</v>
      </c>
      <c r="C214" s="5402" t="s">
        <v>2657</v>
      </c>
      <c r="D214" s="5403" t="s">
        <v>2656</v>
      </c>
      <c r="E214" s="5376" t="s">
        <v>2657</v>
      </c>
      <c r="F214" s="5403" t="s">
        <v>2656</v>
      </c>
      <c r="G214" s="5376" t="s">
        <v>2657</v>
      </c>
      <c r="H214" s="5403" t="s">
        <v>2656</v>
      </c>
      <c r="I214" s="5376" t="s">
        <v>2657</v>
      </c>
      <c r="J214" s="5403" t="s">
        <v>2656</v>
      </c>
      <c r="K214" s="5376" t="s">
        <v>2657</v>
      </c>
      <c r="L214" s="5403" t="s">
        <v>2656</v>
      </c>
      <c r="M214" s="5376" t="s">
        <v>2657</v>
      </c>
      <c r="N214" s="5403" t="s">
        <v>2656</v>
      </c>
      <c r="O214" s="5376" t="s">
        <v>2657</v>
      </c>
      <c r="P214" s="5403" t="s">
        <v>2656</v>
      </c>
      <c r="Q214" s="5376" t="s">
        <v>2657</v>
      </c>
      <c r="R214" s="5403" t="s">
        <v>2656</v>
      </c>
      <c r="S214" s="5376" t="s">
        <v>2657</v>
      </c>
      <c r="T214" s="5403" t="s">
        <v>2656</v>
      </c>
      <c r="U214" s="5376" t="s">
        <v>2657</v>
      </c>
      <c r="V214" s="5403" t="s">
        <v>2656</v>
      </c>
      <c r="W214" s="5376" t="s">
        <v>2657</v>
      </c>
      <c r="X214" s="5403" t="s">
        <v>2656</v>
      </c>
      <c r="Y214" s="5376" t="s">
        <v>2657</v>
      </c>
      <c r="Z214" s="5403" t="s">
        <v>2656</v>
      </c>
      <c r="AA214" s="5376" t="s">
        <v>2657</v>
      </c>
      <c r="AB214" s="5403" t="s">
        <v>2656</v>
      </c>
      <c r="AC214" s="5376" t="s">
        <v>2657</v>
      </c>
      <c r="AD214" s="5403" t="s">
        <v>2656</v>
      </c>
      <c r="AE214" s="5376" t="s">
        <v>2657</v>
      </c>
      <c r="AF214" s="5403" t="s">
        <v>2656</v>
      </c>
      <c r="AG214" s="5376" t="s">
        <v>2657</v>
      </c>
      <c r="AH214" s="5403" t="s">
        <v>2656</v>
      </c>
      <c r="AI214" s="5376" t="s">
        <v>2657</v>
      </c>
      <c r="AJ214" s="5403" t="s">
        <v>2656</v>
      </c>
      <c r="AK214" s="5377" t="s">
        <v>2657</v>
      </c>
      <c r="AL214" s="7704"/>
      <c r="AM214" s="7662"/>
      <c r="AN214" s="6542"/>
      <c r="AO214" s="7706"/>
      <c r="AP214" s="7649"/>
      <c r="AQ214" s="7677"/>
      <c r="DE214" s="603"/>
    </row>
    <row r="215" spans="1:129" x14ac:dyDescent="0.25">
      <c r="A215" s="3635" t="s">
        <v>39</v>
      </c>
      <c r="B215" s="5331">
        <f>SUM(H215+J215+L215+N215+P215+R215+T215+V215+X215)</f>
        <v>0</v>
      </c>
      <c r="C215" s="5332">
        <f>SUM(I215+K215+M215+O215+Q215+S215+U215+W215+Y215)</f>
        <v>0</v>
      </c>
      <c r="D215" s="3576"/>
      <c r="E215" s="5344"/>
      <c r="F215" s="5343"/>
      <c r="G215" s="5344"/>
      <c r="H215" s="5229"/>
      <c r="I215" s="5342"/>
      <c r="J215" s="5229"/>
      <c r="K215" s="5342"/>
      <c r="L215" s="5229"/>
      <c r="M215" s="5342"/>
      <c r="N215" s="5229"/>
      <c r="O215" s="5342"/>
      <c r="P215" s="5229"/>
      <c r="Q215" s="5342"/>
      <c r="R215" s="5229"/>
      <c r="S215" s="5342"/>
      <c r="T215" s="5229"/>
      <c r="U215" s="5342"/>
      <c r="V215" s="5229"/>
      <c r="W215" s="5342"/>
      <c r="X215" s="5229"/>
      <c r="Y215" s="5342"/>
      <c r="Z215" s="5343"/>
      <c r="AA215" s="5344"/>
      <c r="AB215" s="5343"/>
      <c r="AC215" s="5344"/>
      <c r="AD215" s="5343"/>
      <c r="AE215" s="5344"/>
      <c r="AF215" s="5343"/>
      <c r="AG215" s="5344"/>
      <c r="AH215" s="5343"/>
      <c r="AI215" s="5344"/>
      <c r="AJ215" s="5343"/>
      <c r="AK215" s="5345"/>
      <c r="AL215" s="3576"/>
      <c r="AM215" s="5404"/>
      <c r="AN215" s="5390"/>
      <c r="AO215" s="3610"/>
      <c r="AP215" s="3572"/>
      <c r="AQ215" s="3637"/>
      <c r="AR215" s="1755" t="str">
        <f>$CA215&amp;CB215&amp;CC215&amp;CD215&amp;CE215&amp;CG215&amp;CF215&amp;CH215&amp;CI215</f>
        <v/>
      </c>
      <c r="CA215" s="3235" t="str">
        <f>IF(C215&gt;B215," * El Total de Exámenes reactivos NO DEBE SUPERAR los  Exámenes Procesados. ","")</f>
        <v/>
      </c>
      <c r="CB215" s="2873" t="str">
        <f>IF(DF215=1," * El número de Exámenes por Sexo (Procesados) No puede ser distinto al Total de Procesados. ","")</f>
        <v/>
      </c>
      <c r="CC215" s="2718"/>
      <c r="CD215" s="2718"/>
      <c r="CE215" s="2718"/>
      <c r="CF215" s="2873" t="str">
        <f t="shared" ref="CF215:CF221" si="620">IF(DJ215=1," * El número de Migrantes Confirmados positivos por ISP NO PUEDE Superar al número de Migrantes Procesados. ","")</f>
        <v/>
      </c>
      <c r="CG215" s="3235" t="str">
        <f>IF(AND(B215&gt;0,AND(AN215="",AO215=""))," * No olvide digitar Trans Masculino o Femenino. Digite Cero si no tiene.",IF((AN215+AO215)&gt;B215," * El N° de exámenes a Trans no puede ser mayor al Total de procesados.",""))</f>
        <v/>
      </c>
      <c r="CH215" s="3235" t="str">
        <f>IF(AND(B215&gt;0,AP215="")," * No olvide digitar la variable pueblos originarios. Digite Cero si no tiene.",IF(AP215&gt;B215," * La variable Pueblos originarios no puede ser mayor al Total de procesados.",""))</f>
        <v/>
      </c>
      <c r="CI215" s="3235" t="str">
        <f>IF(AND(B215&gt;0,AQ215="")," * No olvide digitar la variable Migrantes. Digite Cero si no tiene.",IF(AQ215&gt;B215," * La variable Migrantes no puede ser mayor al Total de procesados.",""))</f>
        <v/>
      </c>
      <c r="CJ215" s="603"/>
      <c r="DE215" s="3235">
        <f>IF(C215&gt;B215,1,0)</f>
        <v>0</v>
      </c>
      <c r="DF215" s="3009">
        <f>IF(AM215&lt;&gt;B215,1,0)</f>
        <v>0</v>
      </c>
      <c r="DG215" s="2718"/>
      <c r="DH215" s="2718"/>
      <c r="DI215" s="2718"/>
      <c r="DJ215" s="3009">
        <f t="shared" ref="DJ215:DJ221" si="621">IF(AV215&gt;AU215,1,0)</f>
        <v>0</v>
      </c>
      <c r="DK215" s="3009"/>
      <c r="DL215" s="3009">
        <f>IF(AND(B215&gt;0,AND(AN215="",AO215="")),1,IF((AN215+AO215)&gt;B215,1,0))</f>
        <v>0</v>
      </c>
      <c r="DM215" s="3009">
        <f>IF(AND(B215&gt;0,AP215=""),1,IF(AP215&gt;B215,1,0))</f>
        <v>0</v>
      </c>
      <c r="DN215" s="3009">
        <f>IF(AND(B215&gt;0,AQ215=""),1,IF(AQ215&gt;B215,1,0))</f>
        <v>0</v>
      </c>
    </row>
    <row r="216" spans="1:129" x14ac:dyDescent="0.25">
      <c r="A216" s="3635" t="s">
        <v>2717</v>
      </c>
      <c r="B216" s="2014">
        <f>SUM(J216+L216+N216+P216+R216+T216+V216+X216+Z216+AB216+AD216+AF216+AH216+AJ216)</f>
        <v>0</v>
      </c>
      <c r="C216" s="3331">
        <f>SUM(I216+K216+M216+O216+Q216+S216+U216+W216+Y216+AA216+AC216+AE216+AG216+AI216+AK216)</f>
        <v>0</v>
      </c>
      <c r="D216" s="3576"/>
      <c r="E216" s="5344"/>
      <c r="F216" s="5343"/>
      <c r="G216" s="5344"/>
      <c r="H216" s="5343"/>
      <c r="I216" s="5344"/>
      <c r="J216" s="5229"/>
      <c r="K216" s="5342"/>
      <c r="L216" s="5229"/>
      <c r="M216" s="5342"/>
      <c r="N216" s="5229"/>
      <c r="O216" s="5342"/>
      <c r="P216" s="5229"/>
      <c r="Q216" s="5342"/>
      <c r="R216" s="5229"/>
      <c r="S216" s="5342"/>
      <c r="T216" s="5229"/>
      <c r="U216" s="5342"/>
      <c r="V216" s="5229"/>
      <c r="W216" s="5342"/>
      <c r="X216" s="5229"/>
      <c r="Y216" s="5342"/>
      <c r="Z216" s="5229"/>
      <c r="AA216" s="5342"/>
      <c r="AB216" s="5229"/>
      <c r="AC216" s="5342"/>
      <c r="AD216" s="5229"/>
      <c r="AE216" s="5342"/>
      <c r="AF216" s="5229"/>
      <c r="AG216" s="5342"/>
      <c r="AH216" s="5229"/>
      <c r="AI216" s="5342"/>
      <c r="AJ216" s="5229"/>
      <c r="AK216" s="5336"/>
      <c r="AL216" s="3572"/>
      <c r="AM216" s="5336"/>
      <c r="AN216" s="5337"/>
      <c r="AO216" s="3610"/>
      <c r="AP216" s="3572"/>
      <c r="AQ216" s="3637"/>
      <c r="AR216" s="1755" t="str">
        <f t="shared" ref="AR216:AR221" si="622">$CA216&amp;CB216&amp;CC216&amp;CD216&amp;CE216&amp;CG216&amp;CF216&amp;CH216&amp;CI216</f>
        <v/>
      </c>
      <c r="CA216" s="3235" t="str">
        <f t="shared" ref="CA216:CA221" si="623">IF(C216&gt;B216," * El Total de Exámenes reactivos NO DEBE SUPERAR los  Exámenes Procesados. ","")</f>
        <v/>
      </c>
      <c r="CB216" s="2873" t="str">
        <f t="shared" ref="CB216:CB221" si="624">IF(DF216=1," * El número de Exámenes por Sexo (Procesados) No puede ser distinto al Total de Procesados. ","")</f>
        <v/>
      </c>
      <c r="CC216" s="2718"/>
      <c r="CD216" s="2718"/>
      <c r="CE216" s="2718"/>
      <c r="CF216" s="2873" t="str">
        <f t="shared" si="620"/>
        <v/>
      </c>
      <c r="CG216" s="3235" t="str">
        <f t="shared" ref="CG216:CG221" si="625">IF(AND(B216&gt;0,AND(AN216="",AO216=""))," * No olvide digitar Trans Masculino o Femenino. Digite Cero si no tiene.",IF((AN216+AO216)&gt;B216," * El N° de exámenes a Trans no puede ser mayor al Total de procesados.",""))</f>
        <v/>
      </c>
      <c r="CH216" s="3235" t="str">
        <f t="shared" ref="CH216:CH221" si="626">IF(AND(B216&gt;0,AP216="")," * No olvide digitar la variable pueblos originarios. Digite Cero si no tiene.",IF(AP216&gt;B216," * La variable Pueblos originarios no puede ser mayor al Total de procesados.",""))</f>
        <v/>
      </c>
      <c r="CI216" s="3235" t="str">
        <f t="shared" ref="CI216:CI221" si="627">IF(AND(B216&gt;0,AQ216="")," * No olvide digitar la variable Migrantes. Digite Cero si no tiene.",IF(AQ216&gt;B216," * La variable Migrantes no puede ser mayor al Total de procesados.",""))</f>
        <v/>
      </c>
      <c r="DE216" s="3235">
        <f t="shared" ref="DE216:DE221" si="628">IF(C216&gt;B216,1,0)</f>
        <v>0</v>
      </c>
      <c r="DF216" s="3009">
        <f>IF((AL216+AM216)&lt;&gt;B216,1,0)</f>
        <v>0</v>
      </c>
      <c r="DG216" s="2718"/>
      <c r="DH216" s="2718"/>
      <c r="DI216" s="2718"/>
      <c r="DJ216" s="3009">
        <f t="shared" si="621"/>
        <v>0</v>
      </c>
      <c r="DK216" s="3009"/>
      <c r="DL216" s="3009">
        <f t="shared" ref="DL216:DL221" si="629">IF(AND(B216&gt;0,AND(AN216="",AO216="")),1,IF((AN216+AO216)&gt;B216,1,0))</f>
        <v>0</v>
      </c>
      <c r="DM216" s="3009">
        <f t="shared" ref="DM216:DM221" si="630">IF(AND(B216&gt;0,AP216=""),1,IF(AP216&gt;B216,1,0))</f>
        <v>0</v>
      </c>
      <c r="DN216" s="3009">
        <f t="shared" ref="DN216:DN221" si="631">IF(AND(B216&gt;0,AQ216=""),1,IF(AQ216&gt;B216,1,0))</f>
        <v>0</v>
      </c>
    </row>
    <row r="217" spans="1:129" x14ac:dyDescent="0.25">
      <c r="A217" s="3635" t="s">
        <v>2718</v>
      </c>
      <c r="B217" s="2014">
        <f t="shared" ref="B217:C221" si="632">SUM(D217+F217+H217+J217+L217+N217+P217+R217+T217+V217+X217+Z217+AB217+AD217+AF217+AH217+AJ217)</f>
        <v>0</v>
      </c>
      <c r="C217" s="3331">
        <f t="shared" si="632"/>
        <v>0</v>
      </c>
      <c r="D217" s="3572"/>
      <c r="E217" s="5342"/>
      <c r="F217" s="5229"/>
      <c r="G217" s="5342"/>
      <c r="H217" s="5229"/>
      <c r="I217" s="5342"/>
      <c r="J217" s="5229"/>
      <c r="K217" s="5342"/>
      <c r="L217" s="5229"/>
      <c r="M217" s="5342"/>
      <c r="N217" s="5229"/>
      <c r="O217" s="5342"/>
      <c r="P217" s="5229"/>
      <c r="Q217" s="5342"/>
      <c r="R217" s="5229"/>
      <c r="S217" s="5342"/>
      <c r="T217" s="5229"/>
      <c r="U217" s="5342"/>
      <c r="V217" s="5229"/>
      <c r="W217" s="5342"/>
      <c r="X217" s="5229"/>
      <c r="Y217" s="5342"/>
      <c r="Z217" s="5229"/>
      <c r="AA217" s="5342"/>
      <c r="AB217" s="5229"/>
      <c r="AC217" s="5342"/>
      <c r="AD217" s="5229"/>
      <c r="AE217" s="5342"/>
      <c r="AF217" s="5229"/>
      <c r="AG217" s="5342"/>
      <c r="AH217" s="5229"/>
      <c r="AI217" s="5342"/>
      <c r="AJ217" s="5229"/>
      <c r="AK217" s="5336"/>
      <c r="AL217" s="3572"/>
      <c r="AM217" s="5336"/>
      <c r="AN217" s="5337"/>
      <c r="AO217" s="3610"/>
      <c r="AP217" s="3572"/>
      <c r="AQ217" s="3637"/>
      <c r="AR217" s="1755" t="str">
        <f t="shared" si="622"/>
        <v/>
      </c>
      <c r="CA217" s="3235" t="str">
        <f t="shared" si="623"/>
        <v/>
      </c>
      <c r="CB217" s="2873" t="str">
        <f t="shared" si="624"/>
        <v/>
      </c>
      <c r="CC217" s="2718"/>
      <c r="CD217" s="2718"/>
      <c r="CE217" s="2718"/>
      <c r="CF217" s="2873" t="str">
        <f t="shared" si="620"/>
        <v/>
      </c>
      <c r="CG217" s="3235" t="str">
        <f t="shared" si="625"/>
        <v/>
      </c>
      <c r="CH217" s="3235" t="str">
        <f t="shared" si="626"/>
        <v/>
      </c>
      <c r="CI217" s="3235" t="str">
        <f t="shared" si="627"/>
        <v/>
      </c>
      <c r="DE217" s="3235">
        <f t="shared" si="628"/>
        <v>0</v>
      </c>
      <c r="DF217" s="3009">
        <f t="shared" ref="DF217:DF221" si="633">IF((AL217+AM217)&lt;&gt;B217,1,0)</f>
        <v>0</v>
      </c>
      <c r="DG217" s="2718"/>
      <c r="DH217" s="2718"/>
      <c r="DI217" s="2718"/>
      <c r="DJ217" s="3009">
        <f t="shared" si="621"/>
        <v>0</v>
      </c>
      <c r="DK217" s="3009"/>
      <c r="DL217" s="3009">
        <f t="shared" si="629"/>
        <v>0</v>
      </c>
      <c r="DM217" s="3009">
        <f t="shared" si="630"/>
        <v>0</v>
      </c>
      <c r="DN217" s="3009">
        <f t="shared" si="631"/>
        <v>0</v>
      </c>
    </row>
    <row r="218" spans="1:129" x14ac:dyDescent="0.25">
      <c r="A218" s="3635" t="s">
        <v>3774</v>
      </c>
      <c r="B218" s="2014">
        <f t="shared" si="632"/>
        <v>0</v>
      </c>
      <c r="C218" s="3331">
        <f>SUM(E218+G218+I218+K218+M218+O218+Q218+S218+U218+W218+Y218+AA218+AC218+AE218+AG218+AI218+AK218)</f>
        <v>0</v>
      </c>
      <c r="D218" s="3572"/>
      <c r="E218" s="5342"/>
      <c r="F218" s="5229"/>
      <c r="G218" s="5342"/>
      <c r="H218" s="5229"/>
      <c r="I218" s="5342"/>
      <c r="J218" s="5229"/>
      <c r="K218" s="5342"/>
      <c r="L218" s="5229"/>
      <c r="M218" s="5342"/>
      <c r="N218" s="5229"/>
      <c r="O218" s="5342"/>
      <c r="P218" s="5229"/>
      <c r="Q218" s="5342"/>
      <c r="R218" s="5229"/>
      <c r="S218" s="5342"/>
      <c r="T218" s="5229"/>
      <c r="U218" s="5342"/>
      <c r="V218" s="5229"/>
      <c r="W218" s="5342"/>
      <c r="X218" s="5229"/>
      <c r="Y218" s="5342"/>
      <c r="Z218" s="5229"/>
      <c r="AA218" s="5342"/>
      <c r="AB218" s="5229"/>
      <c r="AC218" s="5342"/>
      <c r="AD218" s="5229"/>
      <c r="AE218" s="5342"/>
      <c r="AF218" s="5229"/>
      <c r="AG218" s="5342"/>
      <c r="AH218" s="5229"/>
      <c r="AI218" s="5342"/>
      <c r="AJ218" s="5229"/>
      <c r="AK218" s="5336"/>
      <c r="AL218" s="3572"/>
      <c r="AM218" s="5336"/>
      <c r="AN218" s="5337"/>
      <c r="AO218" s="3610"/>
      <c r="AP218" s="3572"/>
      <c r="AQ218" s="3637"/>
      <c r="AR218" s="1755" t="str">
        <f t="shared" si="622"/>
        <v/>
      </c>
      <c r="CA218" s="3235" t="str">
        <f t="shared" si="623"/>
        <v/>
      </c>
      <c r="CB218" s="2873" t="str">
        <f t="shared" si="624"/>
        <v/>
      </c>
      <c r="CC218" s="2718"/>
      <c r="CD218" s="2718"/>
      <c r="CE218" s="2718"/>
      <c r="CF218" s="2873" t="str">
        <f t="shared" si="620"/>
        <v/>
      </c>
      <c r="CG218" s="3235" t="str">
        <f t="shared" si="625"/>
        <v/>
      </c>
      <c r="CH218" s="3235" t="str">
        <f t="shared" si="626"/>
        <v/>
      </c>
      <c r="CI218" s="3235" t="str">
        <f t="shared" si="627"/>
        <v/>
      </c>
      <c r="DE218" s="3235">
        <f t="shared" si="628"/>
        <v>0</v>
      </c>
      <c r="DF218" s="3009">
        <f t="shared" si="633"/>
        <v>0</v>
      </c>
      <c r="DG218" s="2718"/>
      <c r="DH218" s="2718"/>
      <c r="DI218" s="2718"/>
      <c r="DJ218" s="3009">
        <f t="shared" si="621"/>
        <v>0</v>
      </c>
      <c r="DK218" s="3009"/>
      <c r="DL218" s="3009">
        <f t="shared" si="629"/>
        <v>0</v>
      </c>
      <c r="DM218" s="3009">
        <f t="shared" si="630"/>
        <v>0</v>
      </c>
      <c r="DN218" s="3009">
        <f t="shared" si="631"/>
        <v>0</v>
      </c>
    </row>
    <row r="219" spans="1:129" x14ac:dyDescent="0.25">
      <c r="A219" s="3638" t="s">
        <v>3776</v>
      </c>
      <c r="B219" s="2014">
        <f t="shared" si="632"/>
        <v>0</v>
      </c>
      <c r="C219" s="3331">
        <f>SUM(E219+G219+I219+K219+M219+O219+Q219+S219+U219+W219+Y219+AA219+AC219+AE219+AG219+AI219+AK219)</f>
        <v>0</v>
      </c>
      <c r="D219" s="3572"/>
      <c r="E219" s="5342"/>
      <c r="F219" s="5229"/>
      <c r="G219" s="5342"/>
      <c r="H219" s="5229"/>
      <c r="I219" s="5342"/>
      <c r="J219" s="5229"/>
      <c r="K219" s="5342"/>
      <c r="L219" s="5229"/>
      <c r="M219" s="5342"/>
      <c r="N219" s="5229"/>
      <c r="O219" s="5342"/>
      <c r="P219" s="5229"/>
      <c r="Q219" s="5342"/>
      <c r="R219" s="5229"/>
      <c r="S219" s="5342"/>
      <c r="T219" s="5229"/>
      <c r="U219" s="5342"/>
      <c r="V219" s="5229"/>
      <c r="W219" s="5342"/>
      <c r="X219" s="5229"/>
      <c r="Y219" s="5342"/>
      <c r="Z219" s="5229"/>
      <c r="AA219" s="5342"/>
      <c r="AB219" s="5229"/>
      <c r="AC219" s="5342"/>
      <c r="AD219" s="5229"/>
      <c r="AE219" s="5342"/>
      <c r="AF219" s="5229"/>
      <c r="AG219" s="5342"/>
      <c r="AH219" s="5229"/>
      <c r="AI219" s="5342"/>
      <c r="AJ219" s="5229"/>
      <c r="AK219" s="5336"/>
      <c r="AL219" s="3572"/>
      <c r="AM219" s="5336"/>
      <c r="AN219" s="5337"/>
      <c r="AO219" s="3610"/>
      <c r="AP219" s="3572"/>
      <c r="AQ219" s="3637"/>
      <c r="AR219" s="1755" t="str">
        <f t="shared" si="622"/>
        <v/>
      </c>
      <c r="CA219" s="3235" t="str">
        <f t="shared" si="623"/>
        <v/>
      </c>
      <c r="CB219" s="2873" t="str">
        <f t="shared" si="624"/>
        <v/>
      </c>
      <c r="CC219" s="2718"/>
      <c r="CD219" s="2718"/>
      <c r="CE219" s="2718"/>
      <c r="CF219" s="2873" t="str">
        <f t="shared" si="620"/>
        <v/>
      </c>
      <c r="CG219" s="3235" t="str">
        <f t="shared" si="625"/>
        <v/>
      </c>
      <c r="CH219" s="3235" t="str">
        <f t="shared" si="626"/>
        <v/>
      </c>
      <c r="CI219" s="3235" t="str">
        <f t="shared" si="627"/>
        <v/>
      </c>
      <c r="DE219" s="3235">
        <f t="shared" si="628"/>
        <v>0</v>
      </c>
      <c r="DF219" s="3009">
        <f t="shared" si="633"/>
        <v>0</v>
      </c>
      <c r="DG219" s="2718"/>
      <c r="DH219" s="2718"/>
      <c r="DI219" s="2718"/>
      <c r="DJ219" s="3009">
        <f t="shared" si="621"/>
        <v>0</v>
      </c>
      <c r="DK219" s="3009"/>
      <c r="DL219" s="3009">
        <f t="shared" si="629"/>
        <v>0</v>
      </c>
      <c r="DM219" s="3009">
        <f t="shared" si="630"/>
        <v>0</v>
      </c>
      <c r="DN219" s="3009">
        <f t="shared" si="631"/>
        <v>0</v>
      </c>
    </row>
    <row r="220" spans="1:129" x14ac:dyDescent="0.25">
      <c r="A220" s="3635" t="s">
        <v>2675</v>
      </c>
      <c r="B220" s="2014">
        <f>SUM(D220+F220+H220+J220+L220+N220+P220+R220+T220+V220+X220+Z220+AB220+AD220+AF220+AH220+AJ220)</f>
        <v>0</v>
      </c>
      <c r="C220" s="3331">
        <f t="shared" si="632"/>
        <v>0</v>
      </c>
      <c r="D220" s="3572"/>
      <c r="E220" s="5342"/>
      <c r="F220" s="5229"/>
      <c r="G220" s="5342"/>
      <c r="H220" s="5229"/>
      <c r="I220" s="5342"/>
      <c r="J220" s="5229"/>
      <c r="K220" s="5342"/>
      <c r="L220" s="5229"/>
      <c r="M220" s="5342"/>
      <c r="N220" s="5229"/>
      <c r="O220" s="5342"/>
      <c r="P220" s="5229"/>
      <c r="Q220" s="5342"/>
      <c r="R220" s="5229"/>
      <c r="S220" s="5342"/>
      <c r="T220" s="5229"/>
      <c r="U220" s="5342"/>
      <c r="V220" s="5229"/>
      <c r="W220" s="5342"/>
      <c r="X220" s="5229"/>
      <c r="Y220" s="5342"/>
      <c r="Z220" s="5229"/>
      <c r="AA220" s="5342"/>
      <c r="AB220" s="5229"/>
      <c r="AC220" s="5342"/>
      <c r="AD220" s="5229"/>
      <c r="AE220" s="5342"/>
      <c r="AF220" s="5229"/>
      <c r="AG220" s="5342"/>
      <c r="AH220" s="5229"/>
      <c r="AI220" s="5342"/>
      <c r="AJ220" s="5229"/>
      <c r="AK220" s="5336"/>
      <c r="AL220" s="3572"/>
      <c r="AM220" s="5336"/>
      <c r="AN220" s="5337"/>
      <c r="AO220" s="3610"/>
      <c r="AP220" s="3572"/>
      <c r="AQ220" s="3637"/>
      <c r="AR220" s="1755" t="str">
        <f t="shared" si="622"/>
        <v/>
      </c>
      <c r="CA220" s="3235" t="str">
        <f t="shared" si="623"/>
        <v/>
      </c>
      <c r="CB220" s="2873" t="str">
        <f t="shared" si="624"/>
        <v/>
      </c>
      <c r="CC220" s="2718"/>
      <c r="CD220" s="2718"/>
      <c r="CE220" s="2718"/>
      <c r="CF220" s="2873" t="str">
        <f t="shared" si="620"/>
        <v/>
      </c>
      <c r="CG220" s="3235" t="str">
        <f t="shared" si="625"/>
        <v/>
      </c>
      <c r="CH220" s="3235" t="str">
        <f t="shared" si="626"/>
        <v/>
      </c>
      <c r="CI220" s="3235" t="str">
        <f t="shared" si="627"/>
        <v/>
      </c>
      <c r="DE220" s="3235">
        <f t="shared" si="628"/>
        <v>0</v>
      </c>
      <c r="DF220" s="3009">
        <f t="shared" si="633"/>
        <v>0</v>
      </c>
      <c r="DG220" s="2718"/>
      <c r="DH220" s="2718"/>
      <c r="DI220" s="2718"/>
      <c r="DJ220" s="3009">
        <f t="shared" si="621"/>
        <v>0</v>
      </c>
      <c r="DK220" s="3009"/>
      <c r="DL220" s="3009">
        <f t="shared" si="629"/>
        <v>0</v>
      </c>
      <c r="DM220" s="3009">
        <f t="shared" si="630"/>
        <v>0</v>
      </c>
      <c r="DN220" s="3009">
        <f t="shared" si="631"/>
        <v>0</v>
      </c>
    </row>
    <row r="221" spans="1:129" x14ac:dyDescent="0.25">
      <c r="A221" s="3084" t="s">
        <v>28</v>
      </c>
      <c r="B221" s="5298">
        <f>SUM(D221+F221+H221+J221+L221+N221+P221+R221+T221+V221+X221+Z221+AB221+AD221+AF221+AH221+AJ221)</f>
        <v>0</v>
      </c>
      <c r="C221" s="5299">
        <f t="shared" si="632"/>
        <v>0</v>
      </c>
      <c r="D221" s="288"/>
      <c r="E221" s="3585"/>
      <c r="F221" s="3586"/>
      <c r="G221" s="3585"/>
      <c r="H221" s="3586"/>
      <c r="I221" s="3585"/>
      <c r="J221" s="3586"/>
      <c r="K221" s="3585"/>
      <c r="L221" s="3586"/>
      <c r="M221" s="3585"/>
      <c r="N221" s="3586"/>
      <c r="O221" s="3585"/>
      <c r="P221" s="3586"/>
      <c r="Q221" s="3585"/>
      <c r="R221" s="3586"/>
      <c r="S221" s="3585"/>
      <c r="T221" s="3586"/>
      <c r="U221" s="3585"/>
      <c r="V221" s="3586"/>
      <c r="W221" s="3585"/>
      <c r="X221" s="3586"/>
      <c r="Y221" s="3585"/>
      <c r="Z221" s="3586"/>
      <c r="AA221" s="3585"/>
      <c r="AB221" s="3586"/>
      <c r="AC221" s="3585"/>
      <c r="AD221" s="3586"/>
      <c r="AE221" s="3585"/>
      <c r="AF221" s="3586"/>
      <c r="AG221" s="3585"/>
      <c r="AH221" s="3586"/>
      <c r="AI221" s="3585"/>
      <c r="AJ221" s="3586"/>
      <c r="AK221" s="3588"/>
      <c r="AL221" s="288"/>
      <c r="AM221" s="3588"/>
      <c r="AN221" s="3589"/>
      <c r="AO221" s="385"/>
      <c r="AP221" s="288"/>
      <c r="AQ221" s="384"/>
      <c r="AR221" s="1755" t="str">
        <f t="shared" si="622"/>
        <v/>
      </c>
      <c r="CA221" s="3235" t="str">
        <f t="shared" si="623"/>
        <v/>
      </c>
      <c r="CB221" s="2873" t="str">
        <f t="shared" si="624"/>
        <v/>
      </c>
      <c r="CC221" s="2718"/>
      <c r="CD221" s="2718"/>
      <c r="CE221" s="2718"/>
      <c r="CF221" s="2873" t="str">
        <f t="shared" si="620"/>
        <v/>
      </c>
      <c r="CG221" s="3235" t="str">
        <f t="shared" si="625"/>
        <v/>
      </c>
      <c r="CH221" s="3235" t="str">
        <f t="shared" si="626"/>
        <v/>
      </c>
      <c r="CI221" s="3235" t="str">
        <f t="shared" si="627"/>
        <v/>
      </c>
      <c r="DE221" s="3235">
        <f t="shared" si="628"/>
        <v>0</v>
      </c>
      <c r="DF221" s="3009">
        <f t="shared" si="633"/>
        <v>0</v>
      </c>
      <c r="DG221" s="2718"/>
      <c r="DH221" s="2718"/>
      <c r="DI221" s="2718"/>
      <c r="DJ221" s="3009">
        <f t="shared" si="621"/>
        <v>0</v>
      </c>
      <c r="DK221" s="3009"/>
      <c r="DL221" s="3009">
        <f t="shared" si="629"/>
        <v>0</v>
      </c>
      <c r="DM221" s="3009">
        <f t="shared" si="630"/>
        <v>0</v>
      </c>
      <c r="DN221" s="3009">
        <f t="shared" si="631"/>
        <v>0</v>
      </c>
    </row>
    <row r="222" spans="1:129" s="17" customFormat="1" ht="18" customHeight="1" x14ac:dyDescent="0.2">
      <c r="A222" s="5405" t="s">
        <v>2719</v>
      </c>
      <c r="B222" s="5405"/>
      <c r="C222" s="5405"/>
      <c r="D222" s="5405"/>
      <c r="E222" s="5405"/>
      <c r="F222" s="5405"/>
      <c r="G222" s="5405"/>
      <c r="H222" s="5405"/>
      <c r="I222" s="5405"/>
      <c r="J222" s="5405"/>
      <c r="K222" s="5405"/>
      <c r="L222" s="5405"/>
      <c r="M222" s="5405"/>
      <c r="N222" s="5405"/>
      <c r="O222" s="5405"/>
      <c r="P222" s="5405"/>
      <c r="Q222" s="5405"/>
      <c r="R222" s="5405"/>
      <c r="S222" s="5405"/>
      <c r="T222" s="5405"/>
      <c r="U222" s="5405"/>
      <c r="V222" s="5405"/>
      <c r="W222" s="5405"/>
      <c r="X222" s="5405"/>
      <c r="Y222" s="5405"/>
      <c r="Z222" s="5405"/>
      <c r="AA222" s="5405"/>
      <c r="AB222" s="5405"/>
      <c r="AC222" s="5405"/>
      <c r="AD222" s="5405"/>
      <c r="AE222" s="5405"/>
      <c r="AF222" s="5405"/>
      <c r="AG222" s="5405"/>
      <c r="AH222" s="5405"/>
      <c r="AI222" s="5405"/>
      <c r="AJ222" s="5405"/>
      <c r="AK222" s="5405"/>
      <c r="AL222" s="5405"/>
      <c r="AM222" s="5405"/>
      <c r="AN222" s="3327"/>
      <c r="AO222" s="3327"/>
      <c r="AP222" s="3327"/>
      <c r="AQ222" s="3327"/>
    </row>
    <row r="223" spans="1:129" x14ac:dyDescent="0.25">
      <c r="A223" s="7707" t="s">
        <v>2682</v>
      </c>
      <c r="B223" s="7660" t="s">
        <v>24</v>
      </c>
      <c r="C223" s="7660"/>
      <c r="D223" s="7660" t="s">
        <v>12</v>
      </c>
      <c r="E223" s="7660"/>
      <c r="F223" s="7660"/>
      <c r="G223" s="7660"/>
      <c r="H223" s="7660"/>
      <c r="I223" s="7660"/>
      <c r="J223" s="7660"/>
      <c r="K223" s="7660"/>
      <c r="L223" s="7660"/>
      <c r="M223" s="7660"/>
      <c r="N223" s="7660"/>
      <c r="O223" s="7660"/>
      <c r="P223" s="7660"/>
      <c r="Q223" s="7660"/>
      <c r="R223" s="7660"/>
      <c r="S223" s="7660"/>
      <c r="T223" s="7660"/>
      <c r="U223" s="7660"/>
      <c r="V223" s="7660"/>
      <c r="W223" s="7660"/>
      <c r="X223" s="7660"/>
      <c r="Y223" s="7660"/>
      <c r="Z223" s="7660"/>
      <c r="AA223" s="7660"/>
      <c r="AB223" s="7660"/>
      <c r="AC223" s="7660"/>
      <c r="AD223" s="7660"/>
      <c r="AE223" s="7660"/>
      <c r="AF223" s="7660"/>
      <c r="AG223" s="7660"/>
      <c r="AH223" s="7660"/>
      <c r="AI223" s="7660"/>
      <c r="AJ223" s="7660"/>
      <c r="AK223" s="7661"/>
      <c r="AL223" s="7649" t="s">
        <v>2655</v>
      </c>
      <c r="AM223" s="7678"/>
      <c r="AN223" s="7708" t="s">
        <v>48</v>
      </c>
      <c r="AO223" s="7709"/>
      <c r="AP223" s="7649" t="s">
        <v>2</v>
      </c>
      <c r="AQ223" s="7677" t="s">
        <v>3</v>
      </c>
    </row>
    <row r="224" spans="1:129" x14ac:dyDescent="0.25">
      <c r="A224" s="7654"/>
      <c r="B224" s="7660"/>
      <c r="C224" s="7660"/>
      <c r="D224" s="7660" t="s">
        <v>36</v>
      </c>
      <c r="E224" s="7660"/>
      <c r="F224" s="7660" t="s">
        <v>37</v>
      </c>
      <c r="G224" s="7660"/>
      <c r="H224" s="7660" t="s">
        <v>38</v>
      </c>
      <c r="I224" s="7660"/>
      <c r="J224" s="7660" t="s">
        <v>4</v>
      </c>
      <c r="K224" s="7660"/>
      <c r="L224" s="7660" t="s">
        <v>5</v>
      </c>
      <c r="M224" s="7660"/>
      <c r="N224" s="7660" t="s">
        <v>6</v>
      </c>
      <c r="O224" s="7660"/>
      <c r="P224" s="7660" t="s">
        <v>7</v>
      </c>
      <c r="Q224" s="7660"/>
      <c r="R224" s="7660" t="s">
        <v>8</v>
      </c>
      <c r="S224" s="7660"/>
      <c r="T224" s="7660" t="s">
        <v>9</v>
      </c>
      <c r="U224" s="7660"/>
      <c r="V224" s="7660" t="s">
        <v>10</v>
      </c>
      <c r="W224" s="7660"/>
      <c r="X224" s="7660" t="s">
        <v>11</v>
      </c>
      <c r="Y224" s="7660"/>
      <c r="Z224" s="7660" t="s">
        <v>18</v>
      </c>
      <c r="AA224" s="7660"/>
      <c r="AB224" s="7660" t="s">
        <v>19</v>
      </c>
      <c r="AC224" s="7660"/>
      <c r="AD224" s="7660" t="s">
        <v>20</v>
      </c>
      <c r="AE224" s="7660"/>
      <c r="AF224" s="7660" t="s">
        <v>70</v>
      </c>
      <c r="AG224" s="7660"/>
      <c r="AH224" s="7660" t="s">
        <v>71</v>
      </c>
      <c r="AI224" s="7660"/>
      <c r="AJ224" s="7660" t="s">
        <v>32</v>
      </c>
      <c r="AK224" s="7661"/>
      <c r="AL224" s="7704" t="s">
        <v>22</v>
      </c>
      <c r="AM224" s="7662" t="s">
        <v>27</v>
      </c>
      <c r="AN224" s="6540" t="s">
        <v>41</v>
      </c>
      <c r="AO224" s="7705" t="s">
        <v>42</v>
      </c>
      <c r="AP224" s="7649"/>
      <c r="AQ224" s="7677"/>
    </row>
    <row r="225" spans="1:131" x14ac:dyDescent="0.25">
      <c r="A225" s="7655"/>
      <c r="B225" s="5401" t="s">
        <v>2656</v>
      </c>
      <c r="C225" s="5402" t="s">
        <v>2657</v>
      </c>
      <c r="D225" s="5403" t="s">
        <v>2656</v>
      </c>
      <c r="E225" s="5376" t="s">
        <v>2657</v>
      </c>
      <c r="F225" s="5403" t="s">
        <v>2656</v>
      </c>
      <c r="G225" s="5376" t="s">
        <v>2657</v>
      </c>
      <c r="H225" s="5403" t="s">
        <v>2656</v>
      </c>
      <c r="I225" s="5376" t="s">
        <v>2657</v>
      </c>
      <c r="J225" s="5403" t="s">
        <v>2656</v>
      </c>
      <c r="K225" s="5376" t="s">
        <v>2657</v>
      </c>
      <c r="L225" s="5403" t="s">
        <v>2656</v>
      </c>
      <c r="M225" s="5376" t="s">
        <v>2657</v>
      </c>
      <c r="N225" s="5403" t="s">
        <v>2656</v>
      </c>
      <c r="O225" s="5376" t="s">
        <v>2657</v>
      </c>
      <c r="P225" s="5403" t="s">
        <v>2656</v>
      </c>
      <c r="Q225" s="5376" t="s">
        <v>2657</v>
      </c>
      <c r="R225" s="5403" t="s">
        <v>2656</v>
      </c>
      <c r="S225" s="5376" t="s">
        <v>2657</v>
      </c>
      <c r="T225" s="5403" t="s">
        <v>2656</v>
      </c>
      <c r="U225" s="5376" t="s">
        <v>2657</v>
      </c>
      <c r="V225" s="5403" t="s">
        <v>2656</v>
      </c>
      <c r="W225" s="5376" t="s">
        <v>2657</v>
      </c>
      <c r="X225" s="5403" t="s">
        <v>2656</v>
      </c>
      <c r="Y225" s="5376" t="s">
        <v>2657</v>
      </c>
      <c r="Z225" s="5403" t="s">
        <v>2656</v>
      </c>
      <c r="AA225" s="5376" t="s">
        <v>2657</v>
      </c>
      <c r="AB225" s="5403" t="s">
        <v>2656</v>
      </c>
      <c r="AC225" s="5376" t="s">
        <v>2657</v>
      </c>
      <c r="AD225" s="5403" t="s">
        <v>2656</v>
      </c>
      <c r="AE225" s="5376" t="s">
        <v>2657</v>
      </c>
      <c r="AF225" s="5403" t="s">
        <v>2656</v>
      </c>
      <c r="AG225" s="5376" t="s">
        <v>2657</v>
      </c>
      <c r="AH225" s="5403" t="s">
        <v>2656</v>
      </c>
      <c r="AI225" s="5376" t="s">
        <v>2657</v>
      </c>
      <c r="AJ225" s="5403" t="s">
        <v>2656</v>
      </c>
      <c r="AK225" s="5377" t="s">
        <v>2657</v>
      </c>
      <c r="AL225" s="7704"/>
      <c r="AM225" s="7662"/>
      <c r="AN225" s="6542"/>
      <c r="AO225" s="7706"/>
      <c r="AP225" s="7649"/>
      <c r="AQ225" s="7677"/>
    </row>
    <row r="226" spans="1:131" x14ac:dyDescent="0.25">
      <c r="A226" s="3635" t="s">
        <v>39</v>
      </c>
      <c r="B226" s="5331">
        <f>SUM(D226+F226+H226+J226+L226+N226+P226+R226+T226+V226+X226+Z226+AB226+AD226+AF226+AH226+AJ226)</f>
        <v>0</v>
      </c>
      <c r="C226" s="5332">
        <f t="shared" ref="C226:C227" si="634">SUM(E226+G226+I226+K226+M226+O226+Q226+S226+U226+W226+Y226+AA226+AC226+AE226+AG226+AI226+AK226)</f>
        <v>0</v>
      </c>
      <c r="D226" s="3576"/>
      <c r="E226" s="5344"/>
      <c r="F226" s="5343"/>
      <c r="G226" s="5344"/>
      <c r="H226" s="5229"/>
      <c r="I226" s="5342"/>
      <c r="J226" s="5229"/>
      <c r="K226" s="5342"/>
      <c r="L226" s="5229"/>
      <c r="M226" s="5342"/>
      <c r="N226" s="5229"/>
      <c r="O226" s="5342"/>
      <c r="P226" s="5229"/>
      <c r="Q226" s="5342"/>
      <c r="R226" s="5229"/>
      <c r="S226" s="5342"/>
      <c r="T226" s="5229"/>
      <c r="U226" s="5342"/>
      <c r="V226" s="5229"/>
      <c r="W226" s="5342"/>
      <c r="X226" s="5229"/>
      <c r="Y226" s="5342"/>
      <c r="Z226" s="5343"/>
      <c r="AA226" s="5344"/>
      <c r="AB226" s="5343"/>
      <c r="AC226" s="5344"/>
      <c r="AD226" s="5343"/>
      <c r="AE226" s="5344"/>
      <c r="AF226" s="5343"/>
      <c r="AG226" s="5344"/>
      <c r="AH226" s="5343"/>
      <c r="AI226" s="5344"/>
      <c r="AJ226" s="5343"/>
      <c r="AK226" s="5345"/>
      <c r="AL226" s="3576"/>
      <c r="AM226" s="5404"/>
      <c r="AN226" s="5390"/>
      <c r="AO226" s="3610"/>
      <c r="AP226" s="3572"/>
      <c r="AQ226" s="3637"/>
      <c r="AR226" s="1755" t="str">
        <f>$CA226&amp;CB226&amp;CC226&amp;CD226&amp;CE226&amp;CG226&amp;CF226</f>
        <v/>
      </c>
      <c r="CA226" s="3235" t="str">
        <f>IF(C226&gt;B226," * El Total de Exámenes reactivos NO DEBE SUPERAR los  Exámenes Procesados. ","")</f>
        <v/>
      </c>
      <c r="CB226" s="2873" t="str">
        <f t="shared" ref="CB226:CB232" si="635">IF(B226&lt;&gt;(AL226+AM226)," * La suma de las columnas POR SEXO (Procesados) debe ser igual al N° de exámenes procesados de CHLAMYIDIA TRACHOMATIS.","")</f>
        <v/>
      </c>
      <c r="CC226" s="2873" t="str">
        <f>IF(AND(B226&gt;0,AND(AN226="",AO226=""))," * No olvide digitar la variable Trans (femenino o masculino). Digite cero si no tiene.",IF((AN226+AO226)&gt;B226," *  La suma de exámenes a Trans no puede ser mayor que el Total de exámenes procesados de CHLAMYIDIA TRACHOMATIS.",""))</f>
        <v/>
      </c>
      <c r="CD226" s="2873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2873" t="str">
        <f>IF(AND(B226&gt;0,AQ226="")," * No olvide digitar la variable Migrantes. Digite cero si no tiene.",IF(AQ226&gt;B226," * La variable migrantes no puede ser mayor que el total de procesados.",""))</f>
        <v/>
      </c>
      <c r="CF226" s="2873"/>
      <c r="CG226" s="3235"/>
      <c r="CH226" s="603"/>
      <c r="CI226" s="603"/>
      <c r="CJ226" s="603"/>
      <c r="DE226" s="3009">
        <f>IF(C226&gt;B226,1,0)</f>
        <v>0</v>
      </c>
      <c r="DF226" s="3009">
        <f>IF(B226&lt;&gt;(AL226+AM226),1,0)</f>
        <v>0</v>
      </c>
      <c r="DG226" s="3009">
        <f>IF(AND(B226&gt;0,AND(AN226="",AO226="")),1,IF((AN226+AO226)&gt;B226,1,0))</f>
        <v>0</v>
      </c>
      <c r="DH226" s="3009">
        <f>IF(AND(B226&gt;0,AP226=""),1,IF(AP226&gt;B226,1,0))</f>
        <v>0</v>
      </c>
      <c r="DI226" s="3009">
        <f>IF(AND(B226&gt;0,AQ226=""),1,IF(AQ226&gt;B226,1,0))</f>
        <v>0</v>
      </c>
      <c r="DJ226" s="2718"/>
    </row>
    <row r="227" spans="1:131" x14ac:dyDescent="0.25">
      <c r="A227" s="3635" t="s">
        <v>2717</v>
      </c>
      <c r="B227" s="2014">
        <f t="shared" ref="B227:C232" si="636">SUM(D227+F227+H227+J227+L227+N227+P227+R227+T227+V227+X227+Z227+AB227+AD227+AF227+AH227+AJ227)</f>
        <v>0</v>
      </c>
      <c r="C227" s="3331">
        <f t="shared" si="634"/>
        <v>0</v>
      </c>
      <c r="D227" s="3576"/>
      <c r="E227" s="5344"/>
      <c r="F227" s="5343"/>
      <c r="G227" s="5344"/>
      <c r="H227" s="5343"/>
      <c r="I227" s="5344"/>
      <c r="J227" s="5229"/>
      <c r="K227" s="5342"/>
      <c r="L227" s="5229"/>
      <c r="M227" s="5342"/>
      <c r="N227" s="5229"/>
      <c r="O227" s="5342"/>
      <c r="P227" s="5229"/>
      <c r="Q227" s="5342"/>
      <c r="R227" s="5229"/>
      <c r="S227" s="5342"/>
      <c r="T227" s="5229"/>
      <c r="U227" s="5342"/>
      <c r="V227" s="5229"/>
      <c r="W227" s="5342"/>
      <c r="X227" s="5229"/>
      <c r="Y227" s="5342"/>
      <c r="Z227" s="5229"/>
      <c r="AA227" s="5342"/>
      <c r="AB227" s="5229"/>
      <c r="AC227" s="5342"/>
      <c r="AD227" s="5229"/>
      <c r="AE227" s="5342"/>
      <c r="AF227" s="5229"/>
      <c r="AG227" s="5342"/>
      <c r="AH227" s="5229"/>
      <c r="AI227" s="5342"/>
      <c r="AJ227" s="5229"/>
      <c r="AK227" s="5336"/>
      <c r="AL227" s="3572"/>
      <c r="AM227" s="5336"/>
      <c r="AN227" s="5337"/>
      <c r="AO227" s="3610"/>
      <c r="AP227" s="3572"/>
      <c r="AQ227" s="3637"/>
      <c r="AR227" s="1755" t="str">
        <f t="shared" ref="AR227:AR232" si="637">$CA227&amp;CB227&amp;CC227&amp;CD227&amp;CE227&amp;CG227&amp;CF227</f>
        <v/>
      </c>
      <c r="CA227" s="3235" t="str">
        <f t="shared" ref="CA227:CA232" si="638">IF(C227&gt;B227," * El Total de Exámenes reactivos NO DEBE SUPERAR los  Exámenes Procesados. ","")</f>
        <v/>
      </c>
      <c r="CB227" s="2873" t="str">
        <f t="shared" si="635"/>
        <v/>
      </c>
      <c r="CC227" s="2873" t="str">
        <f t="shared" ref="CC227:CC232" si="639">IF(AND(B227&gt;0,AND(AN227="",AO227=""))," * No olvide digitar la variable Trans (femenino o masculino). Digite cero si no tiene.",IF((AN227+AO227)&gt;B227," *  La suma de exámenes a Trans no puede ser mayor que el Total de exámenes procesados de CHLAMYIDIA TRACHOMATIS.",""))</f>
        <v/>
      </c>
      <c r="CD227" s="2873" t="str">
        <f t="shared" ref="CD227:CD232" si="640">IF(AND(B227&gt;0,AP227="")," * No olvide digitar la variable Pueblos originarios. Digite cero si no tiene.",IF(AP227&gt;B227," * La variable Pueblos originarios no puede ser mayor que el total de procesados.",""))</f>
        <v/>
      </c>
      <c r="CE227" s="2873" t="str">
        <f t="shared" ref="CE227:CE232" si="641">IF(AND(B227&gt;0,AQ227="")," * No olvide digitar la variable Migrantes. Digite cero si no tiene.",IF(AQ227&gt;B227," * La variable migrantes no puede ser mayor que el total de procesados.",""))</f>
        <v/>
      </c>
      <c r="CF227" s="2873"/>
      <c r="CG227" s="3235"/>
      <c r="DE227" s="3009">
        <f t="shared" ref="DE227:DE232" si="642">IF(C227&gt;B227,1,0)</f>
        <v>0</v>
      </c>
      <c r="DF227" s="3009">
        <f t="shared" ref="DF227:DF232" si="643">IF(B227&lt;&gt;(AL227+AM227),1,0)</f>
        <v>0</v>
      </c>
      <c r="DG227" s="3009">
        <f t="shared" ref="DG227:DG232" si="644">IF(AND(B227&gt;0,AND(AN227="",AO227="")),1,IF((AN227+AO227)&gt;B227,1,0))</f>
        <v>0</v>
      </c>
      <c r="DH227" s="3009">
        <f t="shared" ref="DH227:DH232" si="645">IF(AND(B227&gt;0,AP227=""),1,IF(AP227&gt;B227,1,0))</f>
        <v>0</v>
      </c>
      <c r="DI227" s="3009">
        <f t="shared" ref="DI227:DI232" si="646">IF(AND(B227&gt;0,AQ227=""),1,IF(AQ227&gt;B227,1,0))</f>
        <v>0</v>
      </c>
      <c r="DJ227" s="2718"/>
    </row>
    <row r="228" spans="1:131" x14ac:dyDescent="0.25">
      <c r="A228" s="3635" t="s">
        <v>2718</v>
      </c>
      <c r="B228" s="2014">
        <f t="shared" si="636"/>
        <v>0</v>
      </c>
      <c r="C228" s="3331">
        <f>SUM(E228+G228+I228+K228+M228+O228+Q228+S228+U228+W228+Y228+AA228+AC228+AE228+AG228+AI228+AK228)</f>
        <v>0</v>
      </c>
      <c r="D228" s="3572"/>
      <c r="E228" s="5342"/>
      <c r="F228" s="5229"/>
      <c r="G228" s="5342"/>
      <c r="H228" s="5229"/>
      <c r="I228" s="5342"/>
      <c r="J228" s="5229"/>
      <c r="K228" s="5342"/>
      <c r="L228" s="5229"/>
      <c r="M228" s="5342"/>
      <c r="N228" s="5229"/>
      <c r="O228" s="5342"/>
      <c r="P228" s="5229"/>
      <c r="Q228" s="5342"/>
      <c r="R228" s="5229"/>
      <c r="S228" s="5342"/>
      <c r="T228" s="5229"/>
      <c r="U228" s="5342"/>
      <c r="V228" s="5229"/>
      <c r="W228" s="5342"/>
      <c r="X228" s="5229"/>
      <c r="Y228" s="5342"/>
      <c r="Z228" s="5229"/>
      <c r="AA228" s="5342"/>
      <c r="AB228" s="5229"/>
      <c r="AC228" s="5342"/>
      <c r="AD228" s="5229"/>
      <c r="AE228" s="5342"/>
      <c r="AF228" s="5229"/>
      <c r="AG228" s="5342"/>
      <c r="AH228" s="5229"/>
      <c r="AI228" s="5342"/>
      <c r="AJ228" s="5229"/>
      <c r="AK228" s="5336"/>
      <c r="AL228" s="3572"/>
      <c r="AM228" s="5336"/>
      <c r="AN228" s="5337"/>
      <c r="AO228" s="3610"/>
      <c r="AP228" s="3572"/>
      <c r="AQ228" s="3637"/>
      <c r="AR228" s="1755" t="str">
        <f t="shared" si="637"/>
        <v/>
      </c>
      <c r="CA228" s="3235" t="str">
        <f t="shared" si="638"/>
        <v/>
      </c>
      <c r="CB228" s="2873" t="str">
        <f t="shared" si="635"/>
        <v/>
      </c>
      <c r="CC228" s="2873" t="str">
        <f t="shared" si="639"/>
        <v/>
      </c>
      <c r="CD228" s="2873" t="str">
        <f t="shared" si="640"/>
        <v/>
      </c>
      <c r="CE228" s="2873" t="str">
        <f t="shared" si="641"/>
        <v/>
      </c>
      <c r="CF228" s="2873"/>
      <c r="CG228" s="3235"/>
      <c r="DE228" s="3009">
        <f t="shared" si="642"/>
        <v>0</v>
      </c>
      <c r="DF228" s="3009">
        <f t="shared" si="643"/>
        <v>0</v>
      </c>
      <c r="DG228" s="3009">
        <f t="shared" si="644"/>
        <v>0</v>
      </c>
      <c r="DH228" s="3009">
        <f t="shared" si="645"/>
        <v>0</v>
      </c>
      <c r="DI228" s="3009">
        <f t="shared" si="646"/>
        <v>0</v>
      </c>
      <c r="DJ228" s="2718"/>
    </row>
    <row r="229" spans="1:131" x14ac:dyDescent="0.25">
      <c r="A229" s="3635" t="s">
        <v>3774</v>
      </c>
      <c r="B229" s="2014">
        <f t="shared" si="636"/>
        <v>0</v>
      </c>
      <c r="C229" s="3331">
        <f>SUM(E229+G229+I229+K229+M229+O229+Q229+S229+U229+W229+Y229+AA229+AC229+AE229+AG229+AI229+AK229)</f>
        <v>0</v>
      </c>
      <c r="D229" s="3572"/>
      <c r="E229" s="5342"/>
      <c r="F229" s="5229"/>
      <c r="G229" s="5342"/>
      <c r="H229" s="5229"/>
      <c r="I229" s="5342"/>
      <c r="J229" s="5229"/>
      <c r="K229" s="5342"/>
      <c r="L229" s="5229"/>
      <c r="M229" s="5342"/>
      <c r="N229" s="5229"/>
      <c r="O229" s="5342"/>
      <c r="P229" s="5229"/>
      <c r="Q229" s="5342"/>
      <c r="R229" s="5229"/>
      <c r="S229" s="5342"/>
      <c r="T229" s="5229"/>
      <c r="U229" s="5342"/>
      <c r="V229" s="5229"/>
      <c r="W229" s="5342"/>
      <c r="X229" s="5229"/>
      <c r="Y229" s="5342"/>
      <c r="Z229" s="5229"/>
      <c r="AA229" s="5342"/>
      <c r="AB229" s="5229"/>
      <c r="AC229" s="5342"/>
      <c r="AD229" s="5229"/>
      <c r="AE229" s="5342"/>
      <c r="AF229" s="5229"/>
      <c r="AG229" s="5342"/>
      <c r="AH229" s="5229"/>
      <c r="AI229" s="5342"/>
      <c r="AJ229" s="5229"/>
      <c r="AK229" s="5336"/>
      <c r="AL229" s="3572"/>
      <c r="AM229" s="5336"/>
      <c r="AN229" s="5337"/>
      <c r="AO229" s="3610"/>
      <c r="AP229" s="3572"/>
      <c r="AQ229" s="3637"/>
      <c r="AR229" s="1755" t="str">
        <f t="shared" si="637"/>
        <v/>
      </c>
      <c r="CA229" s="3235" t="str">
        <f t="shared" si="638"/>
        <v/>
      </c>
      <c r="CB229" s="2873" t="str">
        <f t="shared" si="635"/>
        <v/>
      </c>
      <c r="CC229" s="2873" t="str">
        <f t="shared" si="639"/>
        <v/>
      </c>
      <c r="CD229" s="2873" t="str">
        <f t="shared" si="640"/>
        <v/>
      </c>
      <c r="CE229" s="2873" t="str">
        <f t="shared" si="641"/>
        <v/>
      </c>
      <c r="CF229" s="2873"/>
      <c r="CG229" s="3235"/>
      <c r="DE229" s="3009">
        <f t="shared" si="642"/>
        <v>0</v>
      </c>
      <c r="DF229" s="3009">
        <f t="shared" si="643"/>
        <v>0</v>
      </c>
      <c r="DG229" s="3009">
        <f t="shared" si="644"/>
        <v>0</v>
      </c>
      <c r="DH229" s="3009">
        <f t="shared" si="645"/>
        <v>0</v>
      </c>
      <c r="DI229" s="3009">
        <f t="shared" si="646"/>
        <v>0</v>
      </c>
      <c r="DJ229" s="2718"/>
    </row>
    <row r="230" spans="1:131" x14ac:dyDescent="0.25">
      <c r="A230" s="3638" t="s">
        <v>3775</v>
      </c>
      <c r="B230" s="2014">
        <f t="shared" si="636"/>
        <v>0</v>
      </c>
      <c r="C230" s="3331">
        <f>SUM(E230+G230+I230+K230+M230+O230+Q230+S230+U230+W230+Y230+AA230+AC230+AE230+AG230+AI230+AK230)</f>
        <v>0</v>
      </c>
      <c r="D230" s="3572"/>
      <c r="E230" s="5342"/>
      <c r="F230" s="5229"/>
      <c r="G230" s="5342"/>
      <c r="H230" s="5229"/>
      <c r="I230" s="5342"/>
      <c r="J230" s="5229"/>
      <c r="K230" s="5342"/>
      <c r="L230" s="5229"/>
      <c r="M230" s="5342"/>
      <c r="N230" s="5229"/>
      <c r="O230" s="5342"/>
      <c r="P230" s="5229"/>
      <c r="Q230" s="5342"/>
      <c r="R230" s="5229"/>
      <c r="S230" s="5342"/>
      <c r="T230" s="5229"/>
      <c r="U230" s="5342"/>
      <c r="V230" s="5229"/>
      <c r="W230" s="5342"/>
      <c r="X230" s="5229"/>
      <c r="Y230" s="5342"/>
      <c r="Z230" s="5229"/>
      <c r="AA230" s="5342"/>
      <c r="AB230" s="5229"/>
      <c r="AC230" s="5342"/>
      <c r="AD230" s="5229"/>
      <c r="AE230" s="5342"/>
      <c r="AF230" s="5229"/>
      <c r="AG230" s="5342"/>
      <c r="AH230" s="5229"/>
      <c r="AI230" s="5342"/>
      <c r="AJ230" s="5229"/>
      <c r="AK230" s="5336"/>
      <c r="AL230" s="3572"/>
      <c r="AM230" s="5336"/>
      <c r="AN230" s="5337"/>
      <c r="AO230" s="3610"/>
      <c r="AP230" s="3572"/>
      <c r="AQ230" s="3637"/>
      <c r="AR230" s="1755" t="str">
        <f t="shared" si="637"/>
        <v/>
      </c>
      <c r="CA230" s="3235" t="str">
        <f t="shared" si="638"/>
        <v/>
      </c>
      <c r="CB230" s="2873" t="str">
        <f t="shared" si="635"/>
        <v/>
      </c>
      <c r="CC230" s="2873" t="str">
        <f t="shared" si="639"/>
        <v/>
      </c>
      <c r="CD230" s="2873" t="str">
        <f t="shared" si="640"/>
        <v/>
      </c>
      <c r="CE230" s="2873" t="str">
        <f t="shared" si="641"/>
        <v/>
      </c>
      <c r="CF230" s="2873"/>
      <c r="CG230" s="3235"/>
      <c r="DE230" s="3009">
        <f t="shared" si="642"/>
        <v>0</v>
      </c>
      <c r="DF230" s="3009">
        <f t="shared" si="643"/>
        <v>0</v>
      </c>
      <c r="DG230" s="3009">
        <f t="shared" si="644"/>
        <v>0</v>
      </c>
      <c r="DH230" s="3009">
        <f t="shared" si="645"/>
        <v>0</v>
      </c>
      <c r="DI230" s="3009">
        <f t="shared" si="646"/>
        <v>0</v>
      </c>
      <c r="DJ230" s="2718"/>
    </row>
    <row r="231" spans="1:131" x14ac:dyDescent="0.25">
      <c r="A231" s="3635" t="s">
        <v>2675</v>
      </c>
      <c r="B231" s="2014">
        <f t="shared" si="636"/>
        <v>0</v>
      </c>
      <c r="C231" s="3331">
        <f t="shared" si="636"/>
        <v>0</v>
      </c>
      <c r="D231" s="3572"/>
      <c r="E231" s="5342"/>
      <c r="F231" s="5229"/>
      <c r="G231" s="5342"/>
      <c r="H231" s="5229"/>
      <c r="I231" s="5342"/>
      <c r="J231" s="5229"/>
      <c r="K231" s="5342"/>
      <c r="L231" s="5229"/>
      <c r="M231" s="5342"/>
      <c r="N231" s="5229"/>
      <c r="O231" s="5342"/>
      <c r="P231" s="5229"/>
      <c r="Q231" s="5342"/>
      <c r="R231" s="5229"/>
      <c r="S231" s="5342"/>
      <c r="T231" s="5229"/>
      <c r="U231" s="5342"/>
      <c r="V231" s="5229"/>
      <c r="W231" s="5342"/>
      <c r="X231" s="5229"/>
      <c r="Y231" s="5342"/>
      <c r="Z231" s="5229"/>
      <c r="AA231" s="5342"/>
      <c r="AB231" s="5229"/>
      <c r="AC231" s="5342"/>
      <c r="AD231" s="5229"/>
      <c r="AE231" s="5342"/>
      <c r="AF231" s="5229"/>
      <c r="AG231" s="5342"/>
      <c r="AH231" s="5229"/>
      <c r="AI231" s="5342"/>
      <c r="AJ231" s="5229"/>
      <c r="AK231" s="5336"/>
      <c r="AL231" s="3572"/>
      <c r="AM231" s="5336"/>
      <c r="AN231" s="5337"/>
      <c r="AO231" s="3610"/>
      <c r="AP231" s="3572"/>
      <c r="AQ231" s="3637"/>
      <c r="AR231" s="1755" t="str">
        <f t="shared" si="637"/>
        <v/>
      </c>
      <c r="CA231" s="3235" t="str">
        <f t="shared" si="638"/>
        <v/>
      </c>
      <c r="CB231" s="2873" t="str">
        <f t="shared" si="635"/>
        <v/>
      </c>
      <c r="CC231" s="2873" t="str">
        <f t="shared" si="639"/>
        <v/>
      </c>
      <c r="CD231" s="2873" t="str">
        <f t="shared" si="640"/>
        <v/>
      </c>
      <c r="CE231" s="2873" t="str">
        <f t="shared" si="641"/>
        <v/>
      </c>
      <c r="CF231" s="2873"/>
      <c r="CG231" s="3235"/>
      <c r="DE231" s="3009">
        <f t="shared" si="642"/>
        <v>0</v>
      </c>
      <c r="DF231" s="3009">
        <f t="shared" si="643"/>
        <v>0</v>
      </c>
      <c r="DG231" s="3009">
        <f t="shared" si="644"/>
        <v>0</v>
      </c>
      <c r="DH231" s="3009">
        <f t="shared" si="645"/>
        <v>0</v>
      </c>
      <c r="DI231" s="3009">
        <f t="shared" si="646"/>
        <v>0</v>
      </c>
      <c r="DJ231" s="2718"/>
    </row>
    <row r="232" spans="1:131" x14ac:dyDescent="0.25">
      <c r="A232" s="3084" t="s">
        <v>28</v>
      </c>
      <c r="B232" s="5298">
        <f t="shared" si="636"/>
        <v>0</v>
      </c>
      <c r="C232" s="5299">
        <f t="shared" si="636"/>
        <v>0</v>
      </c>
      <c r="D232" s="288"/>
      <c r="E232" s="3585"/>
      <c r="F232" s="3586"/>
      <c r="G232" s="3585"/>
      <c r="H232" s="3586"/>
      <c r="I232" s="3585"/>
      <c r="J232" s="3586"/>
      <c r="K232" s="3585"/>
      <c r="L232" s="3586"/>
      <c r="M232" s="3585"/>
      <c r="N232" s="3586"/>
      <c r="O232" s="3585"/>
      <c r="P232" s="3586"/>
      <c r="Q232" s="3585"/>
      <c r="R232" s="3586"/>
      <c r="S232" s="3585"/>
      <c r="T232" s="3586"/>
      <c r="U232" s="3585"/>
      <c r="V232" s="3586"/>
      <c r="W232" s="3585"/>
      <c r="X232" s="3586"/>
      <c r="Y232" s="3585"/>
      <c r="Z232" s="3586"/>
      <c r="AA232" s="3585"/>
      <c r="AB232" s="3586"/>
      <c r="AC232" s="3585"/>
      <c r="AD232" s="3586"/>
      <c r="AE232" s="3585"/>
      <c r="AF232" s="3586"/>
      <c r="AG232" s="3585"/>
      <c r="AH232" s="3586"/>
      <c r="AI232" s="3585"/>
      <c r="AJ232" s="3586"/>
      <c r="AK232" s="3588"/>
      <c r="AL232" s="288"/>
      <c r="AM232" s="3588"/>
      <c r="AN232" s="3589"/>
      <c r="AO232" s="385"/>
      <c r="AP232" s="288"/>
      <c r="AQ232" s="384"/>
      <c r="AR232" s="1755" t="str">
        <f t="shared" si="637"/>
        <v/>
      </c>
      <c r="CA232" s="3235" t="str">
        <f t="shared" si="638"/>
        <v/>
      </c>
      <c r="CB232" s="2873" t="str">
        <f t="shared" si="635"/>
        <v/>
      </c>
      <c r="CC232" s="2873" t="str">
        <f t="shared" si="639"/>
        <v/>
      </c>
      <c r="CD232" s="2873" t="str">
        <f t="shared" si="640"/>
        <v/>
      </c>
      <c r="CE232" s="2873" t="str">
        <f t="shared" si="641"/>
        <v/>
      </c>
      <c r="CF232" s="2873"/>
      <c r="CG232" s="3235"/>
      <c r="DE232" s="3009">
        <f t="shared" si="642"/>
        <v>0</v>
      </c>
      <c r="DF232" s="3009">
        <f t="shared" si="643"/>
        <v>0</v>
      </c>
      <c r="DG232" s="3009">
        <f t="shared" si="644"/>
        <v>0</v>
      </c>
      <c r="DH232" s="3009">
        <f t="shared" si="645"/>
        <v>0</v>
      </c>
      <c r="DI232" s="3009">
        <f t="shared" si="646"/>
        <v>0</v>
      </c>
      <c r="DJ232" s="2718"/>
    </row>
    <row r="233" spans="1:131" ht="18" customHeight="1" x14ac:dyDescent="0.25">
      <c r="A233" s="5405" t="s">
        <v>2720</v>
      </c>
      <c r="B233" s="5405"/>
      <c r="C233" s="5405"/>
      <c r="D233" s="5405"/>
      <c r="E233" s="5405"/>
      <c r="F233" s="5405"/>
      <c r="G233" s="5405"/>
      <c r="H233" s="5405"/>
      <c r="I233" s="5405"/>
      <c r="J233" s="5405"/>
      <c r="K233" s="5405"/>
      <c r="L233" s="5405"/>
      <c r="M233" s="5405"/>
      <c r="N233" s="5405"/>
      <c r="O233" s="5405"/>
      <c r="P233" s="5405"/>
      <c r="Q233" s="5405"/>
      <c r="R233" s="5405"/>
      <c r="S233" s="5405"/>
      <c r="T233" s="5405"/>
      <c r="U233" s="5405"/>
      <c r="V233" s="5405"/>
      <c r="W233" s="5405"/>
      <c r="X233" s="5405"/>
      <c r="Y233" s="5405"/>
      <c r="Z233" s="5405"/>
      <c r="AA233" s="5405"/>
      <c r="AB233" s="5405"/>
      <c r="AC233" s="5405"/>
      <c r="AD233" s="5405"/>
      <c r="AE233" s="5405"/>
      <c r="AF233" s="5405"/>
      <c r="AG233" s="5405"/>
      <c r="AH233" s="5405"/>
      <c r="AI233" s="5405"/>
      <c r="AJ233" s="5405"/>
      <c r="AK233" s="603"/>
      <c r="AL233" s="603"/>
      <c r="AM233" s="603"/>
      <c r="AN233" s="603"/>
      <c r="AO233" s="603"/>
      <c r="AP233" s="603"/>
      <c r="AQ233" s="603"/>
      <c r="AR233" s="603"/>
      <c r="AS233" s="603"/>
      <c r="AT233" s="603"/>
      <c r="AU233" s="603"/>
      <c r="AV233" s="603"/>
      <c r="AW233" s="603"/>
      <c r="AX233" s="603"/>
    </row>
    <row r="234" spans="1:131" x14ac:dyDescent="0.25">
      <c r="A234" s="7686" t="s">
        <v>2721</v>
      </c>
      <c r="B234" s="7687"/>
      <c r="C234" s="7691" t="s">
        <v>24</v>
      </c>
      <c r="D234" s="7687"/>
      <c r="E234" s="7664" t="s">
        <v>12</v>
      </c>
      <c r="F234" s="7665"/>
      <c r="G234" s="7665"/>
      <c r="H234" s="7665"/>
      <c r="I234" s="7665"/>
      <c r="J234" s="7665"/>
      <c r="K234" s="7665"/>
      <c r="L234" s="7665"/>
      <c r="M234" s="7665"/>
      <c r="N234" s="7665"/>
      <c r="O234" s="7665"/>
      <c r="P234" s="7665"/>
      <c r="Q234" s="7665"/>
      <c r="R234" s="7665"/>
      <c r="S234" s="7665"/>
      <c r="T234" s="7665"/>
      <c r="U234" s="7665"/>
      <c r="V234" s="7665"/>
      <c r="W234" s="7665"/>
      <c r="X234" s="7665"/>
      <c r="Y234" s="7665"/>
      <c r="Z234" s="7665"/>
      <c r="AA234" s="7665"/>
      <c r="AB234" s="7665"/>
      <c r="AC234" s="7665"/>
      <c r="AD234" s="7665"/>
      <c r="AE234" s="7665"/>
      <c r="AF234" s="7665"/>
      <c r="AG234" s="7665"/>
      <c r="AH234" s="7665"/>
      <c r="AI234" s="7665"/>
      <c r="AJ234" s="7666"/>
      <c r="AK234" s="7693" t="s">
        <v>2695</v>
      </c>
      <c r="AL234" s="7694"/>
      <c r="AM234" s="7694"/>
      <c r="AN234" s="7695"/>
      <c r="AO234" s="7693" t="s">
        <v>48</v>
      </c>
      <c r="AP234" s="7694"/>
      <c r="AQ234" s="7694"/>
      <c r="AR234" s="7695"/>
      <c r="AS234" s="7696" t="s">
        <v>546</v>
      </c>
      <c r="AT234" s="7697"/>
      <c r="AU234" s="7696" t="s">
        <v>3</v>
      </c>
      <c r="AV234" s="7697"/>
      <c r="AW234" s="6689" t="s">
        <v>2696</v>
      </c>
      <c r="AX234" s="7672"/>
    </row>
    <row r="235" spans="1:131" x14ac:dyDescent="0.25">
      <c r="A235" s="6765"/>
      <c r="B235" s="7688"/>
      <c r="C235" s="7692"/>
      <c r="D235" s="7690"/>
      <c r="E235" s="7701" t="s">
        <v>3778</v>
      </c>
      <c r="F235" s="7702"/>
      <c r="G235" s="7701" t="s">
        <v>54</v>
      </c>
      <c r="H235" s="7702"/>
      <c r="I235" s="7701" t="s">
        <v>3704</v>
      </c>
      <c r="J235" s="7702"/>
      <c r="K235" s="7683" t="s">
        <v>37</v>
      </c>
      <c r="L235" s="7682"/>
      <c r="M235" s="7683" t="s">
        <v>38</v>
      </c>
      <c r="N235" s="7682"/>
      <c r="O235" s="7683" t="s">
        <v>4</v>
      </c>
      <c r="P235" s="7682"/>
      <c r="Q235" s="7683" t="s">
        <v>5</v>
      </c>
      <c r="R235" s="7682"/>
      <c r="S235" s="7683" t="s">
        <v>6</v>
      </c>
      <c r="T235" s="7682"/>
      <c r="U235" s="7683" t="s">
        <v>7</v>
      </c>
      <c r="V235" s="7682"/>
      <c r="W235" s="7681" t="s">
        <v>8</v>
      </c>
      <c r="X235" s="7682"/>
      <c r="Y235" s="7681" t="s">
        <v>9</v>
      </c>
      <c r="Z235" s="7682"/>
      <c r="AA235" s="7681" t="s">
        <v>10</v>
      </c>
      <c r="AB235" s="7682"/>
      <c r="AC235" s="7683" t="s">
        <v>11</v>
      </c>
      <c r="AD235" s="7682"/>
      <c r="AE235" s="7681" t="s">
        <v>18</v>
      </c>
      <c r="AF235" s="7682"/>
      <c r="AG235" s="7681" t="s">
        <v>19</v>
      </c>
      <c r="AH235" s="7682"/>
      <c r="AI235" s="7681" t="s">
        <v>2722</v>
      </c>
      <c r="AJ235" s="7684"/>
      <c r="AK235" s="7685" t="s">
        <v>22</v>
      </c>
      <c r="AL235" s="7649"/>
      <c r="AM235" s="7703" t="s">
        <v>27</v>
      </c>
      <c r="AN235" s="7662"/>
      <c r="AO235" s="7685" t="s">
        <v>41</v>
      </c>
      <c r="AP235" s="7649"/>
      <c r="AQ235" s="7703" t="s">
        <v>42</v>
      </c>
      <c r="AR235" s="7662"/>
      <c r="AS235" s="7698"/>
      <c r="AT235" s="7699"/>
      <c r="AU235" s="7698"/>
      <c r="AV235" s="7699"/>
      <c r="AW235" s="7700"/>
      <c r="AX235" s="7287"/>
    </row>
    <row r="236" spans="1:131" ht="31.5" x14ac:dyDescent="0.25">
      <c r="A236" s="7689"/>
      <c r="B236" s="7690"/>
      <c r="C236" s="5378" t="s">
        <v>2656</v>
      </c>
      <c r="D236" s="5326" t="s">
        <v>2698</v>
      </c>
      <c r="E236" s="5324" t="s">
        <v>2656</v>
      </c>
      <c r="F236" s="5326" t="s">
        <v>2698</v>
      </c>
      <c r="G236" s="5324" t="s">
        <v>2656</v>
      </c>
      <c r="H236" s="5326" t="s">
        <v>2698</v>
      </c>
      <c r="I236" s="5378" t="s">
        <v>2656</v>
      </c>
      <c r="J236" s="5326" t="s">
        <v>2698</v>
      </c>
      <c r="K236" s="5378" t="s">
        <v>2656</v>
      </c>
      <c r="L236" s="5326" t="s">
        <v>2698</v>
      </c>
      <c r="M236" s="5324" t="s">
        <v>2656</v>
      </c>
      <c r="N236" s="5326" t="s">
        <v>2698</v>
      </c>
      <c r="O236" s="5324" t="s">
        <v>2656</v>
      </c>
      <c r="P236" s="5326" t="s">
        <v>2698</v>
      </c>
      <c r="Q236" s="5324" t="s">
        <v>2656</v>
      </c>
      <c r="R236" s="5326" t="s">
        <v>2698</v>
      </c>
      <c r="S236" s="5324" t="s">
        <v>2656</v>
      </c>
      <c r="T236" s="5326" t="s">
        <v>2698</v>
      </c>
      <c r="U236" s="5324" t="s">
        <v>2656</v>
      </c>
      <c r="V236" s="5326" t="s">
        <v>2698</v>
      </c>
      <c r="W236" s="5378" t="s">
        <v>2656</v>
      </c>
      <c r="X236" s="5326" t="s">
        <v>2698</v>
      </c>
      <c r="Y236" s="5378" t="s">
        <v>2656</v>
      </c>
      <c r="Z236" s="5326" t="s">
        <v>2698</v>
      </c>
      <c r="AA236" s="5378" t="s">
        <v>2656</v>
      </c>
      <c r="AB236" s="5326" t="s">
        <v>2698</v>
      </c>
      <c r="AC236" s="5324" t="s">
        <v>2656</v>
      </c>
      <c r="AD236" s="5326" t="s">
        <v>2698</v>
      </c>
      <c r="AE236" s="5378" t="s">
        <v>2656</v>
      </c>
      <c r="AF236" s="5326" t="s">
        <v>2698</v>
      </c>
      <c r="AG236" s="5378" t="s">
        <v>2656</v>
      </c>
      <c r="AH236" s="5326" t="s">
        <v>2698</v>
      </c>
      <c r="AI236" s="5378" t="s">
        <v>2656</v>
      </c>
      <c r="AJ236" s="5326" t="s">
        <v>2698</v>
      </c>
      <c r="AK236" s="5379" t="s">
        <v>2656</v>
      </c>
      <c r="AL236" s="5326" t="s">
        <v>2698</v>
      </c>
      <c r="AM236" s="5378" t="s">
        <v>2656</v>
      </c>
      <c r="AN236" s="5328" t="s">
        <v>2698</v>
      </c>
      <c r="AO236" s="5379" t="s">
        <v>2656</v>
      </c>
      <c r="AP236" s="5326" t="s">
        <v>2698</v>
      </c>
      <c r="AQ236" s="5378" t="s">
        <v>2656</v>
      </c>
      <c r="AR236" s="5328" t="s">
        <v>2698</v>
      </c>
      <c r="AS236" s="5379" t="s">
        <v>2656</v>
      </c>
      <c r="AT236" s="5400" t="s">
        <v>2698</v>
      </c>
      <c r="AU236" s="5379" t="s">
        <v>2656</v>
      </c>
      <c r="AV236" s="5400" t="s">
        <v>2698</v>
      </c>
      <c r="AW236" s="5378" t="s">
        <v>2656</v>
      </c>
      <c r="AX236" s="5326" t="s">
        <v>2698</v>
      </c>
    </row>
    <row r="237" spans="1:131" ht="15" customHeight="1" x14ac:dyDescent="0.25">
      <c r="A237" s="7679" t="s">
        <v>2723</v>
      </c>
      <c r="B237" s="5406" t="s">
        <v>2699</v>
      </c>
      <c r="C237" s="5407">
        <f>+M237+O237+Q237+S237+U237+W237+Y237+AA237+AC237</f>
        <v>0</v>
      </c>
      <c r="D237" s="5332">
        <f t="shared" ref="C237:D239" si="647">+N237+P237+R237+T237+V237+X237+Z237+AB237+AD237</f>
        <v>0</v>
      </c>
      <c r="E237" s="3640"/>
      <c r="F237" s="3641"/>
      <c r="G237" s="3642"/>
      <c r="H237" s="3641"/>
      <c r="I237" s="3642"/>
      <c r="J237" s="3641"/>
      <c r="K237" s="3642"/>
      <c r="L237" s="3641"/>
      <c r="M237" s="3572"/>
      <c r="N237" s="3609"/>
      <c r="O237" s="5342"/>
      <c r="P237" s="3609"/>
      <c r="Q237" s="5229"/>
      <c r="R237" s="3609"/>
      <c r="S237" s="5229"/>
      <c r="T237" s="3609"/>
      <c r="U237" s="5229"/>
      <c r="V237" s="3609"/>
      <c r="W237" s="3572"/>
      <c r="X237" s="3609"/>
      <c r="Y237" s="3572"/>
      <c r="Z237" s="3609"/>
      <c r="AA237" s="3572"/>
      <c r="AB237" s="3609"/>
      <c r="AC237" s="5229"/>
      <c r="AD237" s="3609"/>
      <c r="AE237" s="3576"/>
      <c r="AF237" s="3612"/>
      <c r="AG237" s="3576"/>
      <c r="AH237" s="3612"/>
      <c r="AI237" s="3576"/>
      <c r="AJ237" s="3643"/>
      <c r="AK237" s="5396"/>
      <c r="AL237" s="3612"/>
      <c r="AM237" s="3572"/>
      <c r="AN237" s="3610"/>
      <c r="AO237" s="5337"/>
      <c r="AP237" s="3609"/>
      <c r="AQ237" s="3572"/>
      <c r="AR237" s="3610"/>
      <c r="AS237" s="5337"/>
      <c r="AT237" s="3610"/>
      <c r="AU237" s="5337"/>
      <c r="AV237" s="3610"/>
      <c r="AW237" s="3572"/>
      <c r="AX237" s="3609"/>
      <c r="AY237" s="175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3235" t="str">
        <f>IF(D237&gt;C237," * El Total de Exámenes Confirmados Positivos por ISP NO DEBE SUPERAR los  Exámene Procesados. ","")</f>
        <v/>
      </c>
      <c r="CB237" s="3611"/>
      <c r="CC237" s="2873" t="str">
        <f>IF(AN237&gt;AM237," * El número de Exámenes por Sexo Mujeres Confirmados positivos por ISP NO PUEDE Superar al número de Procesados. ","")</f>
        <v/>
      </c>
      <c r="CD237" s="2718"/>
      <c r="CE237" s="2718"/>
      <c r="CF237" s="2718"/>
      <c r="CG237" s="2718"/>
      <c r="CH237" s="2718"/>
      <c r="CI237" s="2873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603"/>
      <c r="CK237" s="2873" t="str">
        <f>IF((AM237+AK237)&lt;&gt;C237," * El N° de exámenes Procesados por SEXO (Hombres + Mujeres) no puede ser distinto al Total de exámenes procesados","")</f>
        <v/>
      </c>
      <c r="CL237" s="2873" t="str">
        <f>IF((AN237+AL237)&lt;&gt;D237," * El N° de exámenes Confirmados positivos por ISP por Sexo (Hombres+Mujeres) no puede ser distinto al N° Total de exámenes Confirmados positivos por ISP ","")</f>
        <v/>
      </c>
      <c r="CM237" s="2873" t="str">
        <f>IF(AND(C237&gt;0,AS237="")," * No olvide digitar los exámenes Procesados de Pueblos Originarios. Digite Cero si no tiene.",IF(AS237&gt;C237," * Los exámenes procesados Pueblos originarios no pueden ser mayor que el total de exámenes procesados.",""))</f>
        <v/>
      </c>
      <c r="CN237" s="2873" t="str">
        <f>IF(AND(C237&gt;0,AU237="")," * No olvide digitar los examenes Procesados de Migrantes. Digite Cero si no tiene.",IF(AU237&gt;C237," * Los exámenes procesados de Migrantes no pueden ser mayor que el total de exámenes procesados.",""))</f>
        <v/>
      </c>
      <c r="CO237" s="2873" t="str">
        <f>IF(AND(D237&gt;0,OR(AP237="",AR237=""))," * No olvide digitar los exámenes Confirmados positivos por ISP de Trans (Masculino y femenino) Digite Cero si no tiene.",IF((AP237+AR237)&gt;D237," * Los exámenes confirmados positivos por ISP de Trans (Masculino y femenino) no pueden ser mayor que el total de exámenes Confirmados positivos por ISP.",""))</f>
        <v/>
      </c>
      <c r="CP237" s="2873" t="str">
        <f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2873" t="str">
        <f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2873"/>
      <c r="CS237" s="2718"/>
      <c r="CT237" s="6325" t="str">
        <f>IF(AW237&gt;(M237+O237),"* El Total de Procesados de 14-18 años NO DEBE ser mayor al Total de Procesados registrados en los grupos de edad 10 a 14 y 15 a 19 años. ","")</f>
        <v/>
      </c>
      <c r="CU237" s="6325" t="str">
        <f>IF(AX237&gt;(N237+P237),"* El Total de Confirmados de 14-18 años NO DEBE ser mayor al Total de Confirmados registrados en los grupos de edad 10 a 14 y 15 a 19 años. ","")</f>
        <v/>
      </c>
      <c r="CV237" s="6325" t="str">
        <f>IF(AND((M237+O237)&gt;0,AW237=""),"*No olvide digitar los Exámenes Procesados de 14-18 años. Digite cero si no tiene.","")</f>
        <v/>
      </c>
      <c r="CW237" s="6325" t="str">
        <f>IF(AND((N237+P237)&gt;0,AX237=""),"*No olvide digitar los Exámenes Confirmados Positivos por ISP de 14-18 años. Digite cero si no tiene.","")</f>
        <v/>
      </c>
      <c r="DE237" s="3235">
        <f>IF(D237&gt;C237,1,0)</f>
        <v>0</v>
      </c>
      <c r="DF237" s="3611"/>
      <c r="DG237" s="2873">
        <f>IF(AN237&gt;AM237,1,0)</f>
        <v>0</v>
      </c>
      <c r="DH237" s="2718"/>
      <c r="DI237" s="2718"/>
      <c r="DJ237" s="2718"/>
      <c r="DK237" s="2718"/>
      <c r="DL237" s="2718"/>
      <c r="DM237" s="2873">
        <f>IF(AND(C237&gt;0,AND(AO237="",AQ237="")),1,IF((AO237+AQ237)&gt;C237,1,0))</f>
        <v>0</v>
      </c>
      <c r="DN237" s="603"/>
      <c r="DO237" s="2873">
        <f>IF((AM237+AK237)&lt;&gt;C237,1,0)</f>
        <v>0</v>
      </c>
      <c r="DP237" s="2873">
        <f>IF((AN237+AL237)&lt;&gt;D237,1,0)</f>
        <v>0</v>
      </c>
      <c r="DQ237" s="2873">
        <f>IF(AND(C237&gt;0,AS237=""),1,IF(AS237&gt;C237,1,0))</f>
        <v>0</v>
      </c>
      <c r="DR237" s="2873">
        <f>IF(AND(C237&gt;0,AU237=""),1,IF(AU237&gt;C237,1,0))</f>
        <v>0</v>
      </c>
      <c r="DS237" s="2873">
        <f>IF(AND(D237&gt;0,OR(AP237="",AR237="")),1,IF((AP237+AR237)&gt;D237,1,0))</f>
        <v>0</v>
      </c>
      <c r="DT237" s="2873">
        <f>IF(AND(D237&gt;0,AT237=""),1,IF(AT237&gt;D237,1,0))</f>
        <v>0</v>
      </c>
      <c r="DU237" s="2873">
        <f>IF(AND(D237&gt;0,AV237=""),1,IF(AV237&gt;D237,1,0))</f>
        <v>0</v>
      </c>
      <c r="DV237" s="2873"/>
      <c r="DW237" s="2718"/>
      <c r="DX237" s="6325">
        <f>IF(AW237&gt;(M237+O237),1,0)</f>
        <v>0</v>
      </c>
      <c r="DY237" s="6325">
        <f>IF(AX237&gt;(N237+P237),1,0)</f>
        <v>0</v>
      </c>
      <c r="DZ237" s="6325">
        <f>IF(AND((M237+O237)&gt;0,AW237=""),1,0)</f>
        <v>0</v>
      </c>
      <c r="EA237" s="6325">
        <f>IF(AND((N237+P237)&gt;0,AX237=""),1,0)</f>
        <v>0</v>
      </c>
    </row>
    <row r="238" spans="1:131" ht="15" customHeight="1" x14ac:dyDescent="0.25">
      <c r="A238" s="6579"/>
      <c r="B238" s="3135" t="s">
        <v>2700</v>
      </c>
      <c r="C238" s="3644">
        <f>+M238+O238+Q238+S238+U238+W238+Y238+AA238+AC238</f>
        <v>0</v>
      </c>
      <c r="D238" s="3331">
        <f t="shared" si="647"/>
        <v>0</v>
      </c>
      <c r="E238" s="3645"/>
      <c r="F238" s="3646"/>
      <c r="G238" s="3647"/>
      <c r="H238" s="3646"/>
      <c r="I238" s="3647"/>
      <c r="J238" s="3646"/>
      <c r="K238" s="3647"/>
      <c r="L238" s="3646"/>
      <c r="M238" s="3572"/>
      <c r="N238" s="3609"/>
      <c r="O238" s="5342"/>
      <c r="P238" s="3609"/>
      <c r="Q238" s="5229"/>
      <c r="R238" s="3609"/>
      <c r="S238" s="5229"/>
      <c r="T238" s="3609"/>
      <c r="U238" s="5229"/>
      <c r="V238" s="3609"/>
      <c r="W238" s="3572"/>
      <c r="X238" s="3609"/>
      <c r="Y238" s="3572"/>
      <c r="Z238" s="3609"/>
      <c r="AA238" s="3572"/>
      <c r="AB238" s="3609"/>
      <c r="AC238" s="5229"/>
      <c r="AD238" s="3609"/>
      <c r="AE238" s="3576"/>
      <c r="AF238" s="3612"/>
      <c r="AG238" s="3576"/>
      <c r="AH238" s="3612"/>
      <c r="AI238" s="3576"/>
      <c r="AJ238" s="3643"/>
      <c r="AK238" s="5396"/>
      <c r="AL238" s="3612"/>
      <c r="AM238" s="3572"/>
      <c r="AN238" s="3610"/>
      <c r="AO238" s="5337"/>
      <c r="AP238" s="3609"/>
      <c r="AQ238" s="3572"/>
      <c r="AR238" s="3610"/>
      <c r="AS238" s="5337"/>
      <c r="AT238" s="3610"/>
      <c r="AU238" s="5337"/>
      <c r="AV238" s="3610"/>
      <c r="AW238" s="3572"/>
      <c r="AX238" s="3609"/>
      <c r="AY238" s="175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3235" t="str">
        <f t="shared" ref="CA238:CA245" si="648">IF(D238&gt;C238," * El Total de Exámenes Confirmados Positivos por ISP NO DEBE SUPERAR los  Exámene Procesados. ","")</f>
        <v/>
      </c>
      <c r="CB238" s="3611"/>
      <c r="CC238" s="2873" t="str">
        <f t="shared" ref="CC238:CC259" si="649">IF(AN238&gt;AM238," * El número de Exámenes por Sexo Mujeres Confirmados positivos por ISP NO PUEDE Superar al número de Procesados. ","")</f>
        <v/>
      </c>
      <c r="CD238" s="2718"/>
      <c r="CE238" s="2718"/>
      <c r="CF238" s="2718"/>
      <c r="CG238" s="2718"/>
      <c r="CH238" s="2718"/>
      <c r="CI238" s="2873" t="str">
        <f t="shared" ref="CI238:CI259" si="650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603"/>
      <c r="CK238" s="2873" t="str">
        <f t="shared" ref="CK238:CK259" si="651">IF((AM238+AK238)&lt;&gt;C238," * El N° de exámenes Procesados por SEXO (Hombres + Mujeres) no puede ser distinto al Total de exámenes procesados","")</f>
        <v/>
      </c>
      <c r="CL238" s="2873" t="str">
        <f t="shared" ref="CL238:CL259" si="652">IF((AN238+AL238)&lt;&gt;D238," * El N° de exámenes Confirmados positivos por ISP por Sexo (Hombres+Mujeres) no puede ser distinto al N° Total de exámenes Confirmados positivos por ISP ","")</f>
        <v/>
      </c>
      <c r="CM238" s="2873" t="str">
        <f t="shared" ref="CM238:CM259" si="653">IF(AND(C238&gt;0,AS238="")," * No olvide digitar los exámenes Procesados de Pueblos Originarios. Digite Cero si no tiene.",IF(AS238&gt;C238," * Los exámenes procesados Pueblos originarios no pueden ser mayor que el total de exámenes procesados.",""))</f>
        <v/>
      </c>
      <c r="CN238" s="2873" t="str">
        <f t="shared" ref="CN238:CN259" si="654">IF(AND(C238&gt;0,AU238="")," * No olvide digitar los examenes Procesados de Migrantes. Digite Cero si no tiene.",IF(AU238&gt;C238," * Los exámenes procesados de Migrantes no pueden ser mayor que el total de exámenes procesados.",""))</f>
        <v/>
      </c>
      <c r="CO238" s="2873" t="str">
        <f t="shared" ref="CO238:CO259" si="655">IF(AND(D238&gt;0,OR(AP238="",AR238=""))," * No olvide digitar los exámenes Confirmados positivos por ISP de Trans (Masculino y femenino) Digite Cero si no tiene.",IF((AP238+AR238)&gt;D238," * Los exámenes confirmados positivos por ISP de Trans (Masculino y femenino) no pueden ser mayor que el total de exámenes Confirmados positivos por ISP.",""))</f>
        <v/>
      </c>
      <c r="CP238" s="2873" t="str">
        <f t="shared" ref="CP238:CP259" si="656">IF(AND(D238&gt;0,AT238="")," * No olvide digitar los exámenes Confirmados positivos por ISP de Pueblos Originarios. Digite Cero si no tiene.",IF(AT238&gt;D238," * Los exámenes Confirmados positivos por ISP de Pueblos originarios no pueden ser mayor que el total de exámenes Procesados por ISP.",""))</f>
        <v/>
      </c>
      <c r="CQ238" s="2873" t="str">
        <f t="shared" ref="CQ238:CQ259" si="657">IF(AND(D238&gt;0,AV238="")," * No olvide digitar los exámenes Confirmados positivos por ISP de Migrantes. Digite Cero si no tiene.",IF(AV238&gt;D238," * Los exámenes Confirmados positivos por ISP de Migrantes no pueden ser mayor que el total de exámenes Procesados por ISP.",""))</f>
        <v/>
      </c>
      <c r="CR238" s="2873"/>
      <c r="CS238" s="2718"/>
      <c r="CT238" s="6325" t="str">
        <f t="shared" ref="CT238:CT245" si="658">IF(AW238&gt;(M238+O238),"* El Total de Procesados de 14-18 años NO DEBE ser mayor al Total de Procesados registrados en los grupos de edad 10 a 14 y 15 a 19 años. ","")</f>
        <v/>
      </c>
      <c r="CU238" s="6325" t="str">
        <f t="shared" ref="CU238:CU245" si="659">IF(AX238&gt;(N238+P238),"* El Total de Confirmados de 14-18 años NO DEBE ser mayor al Total de Confirmados registrados en los grupos de edad 10 a 14 y 15 a 19 años. ","")</f>
        <v/>
      </c>
      <c r="CV238" s="6325" t="str">
        <f t="shared" ref="CV238:CV259" si="660">IF(AND((M238+O238)&gt;0,AW238=""),"*No olvide digitar los Exámenes Procesados de 14-18 años. Digite cero si no tiene.","")</f>
        <v/>
      </c>
      <c r="CW238" s="6325" t="str">
        <f t="shared" ref="CW238:CW259" si="661">IF(AND((N238+P238)&gt;0,AX238=""),"*No olvide digitar los Exámenes Confirmados Positivos por ISP de 14-18 años. Digite cero si no tiene.","")</f>
        <v/>
      </c>
      <c r="DE238" s="3235">
        <f t="shared" ref="DE238:DE259" si="662">IF(D238&gt;C238,1,0)</f>
        <v>0</v>
      </c>
      <c r="DF238" s="3611"/>
      <c r="DG238" s="2873">
        <f t="shared" ref="DG238:DG259" si="663">IF(AN238&gt;AM238,1,0)</f>
        <v>0</v>
      </c>
      <c r="DH238" s="2718"/>
      <c r="DI238" s="2718"/>
      <c r="DJ238" s="2718"/>
      <c r="DK238" s="2718"/>
      <c r="DL238" s="2718"/>
      <c r="DM238" s="2873">
        <f t="shared" ref="DM238:DM259" si="664">IF(AND(C238&gt;0,AND(AO238="",AQ238="")),1,IF((AO238+AQ238)&gt;C238,1,0))</f>
        <v>0</v>
      </c>
      <c r="DN238" s="603"/>
      <c r="DO238" s="2873">
        <f t="shared" ref="DO238:DO259" si="665">IF((AM238+AK238)&lt;&gt;C238,1,0)</f>
        <v>0</v>
      </c>
      <c r="DP238" s="2873">
        <f t="shared" ref="DP238:DP259" si="666">IF((AN238+AL238)&lt;&gt;D238,1,0)</f>
        <v>0</v>
      </c>
      <c r="DQ238" s="2873">
        <f t="shared" ref="DQ238:DQ259" si="667">IF(AND(C238&gt;0,AS238=""),1,IF(AS238&gt;C238,1,0))</f>
        <v>0</v>
      </c>
      <c r="DR238" s="2873">
        <f t="shared" ref="DR238:DR259" si="668">IF(AND(C238&gt;0,AU238=""),1,IF(AU238&gt;C238,1,0))</f>
        <v>0</v>
      </c>
      <c r="DS238" s="2873">
        <f t="shared" ref="DS238:DS259" si="669">IF(AND(D238&gt;0,OR(AP238="",AR238="")),1,IF((AP238+AR238)&gt;D238,1,0))</f>
        <v>0</v>
      </c>
      <c r="DT238" s="2873">
        <f t="shared" ref="DT238:DT259" si="670">IF(AND(D238&gt;0,AT238=""),1,IF(AT238&gt;D238,1,0))</f>
        <v>0</v>
      </c>
      <c r="DU238" s="2873">
        <f t="shared" ref="DU238:DU259" si="671">IF(AND(D238&gt;0,AV238=""),1,IF(AV238&gt;D238,1,0))</f>
        <v>0</v>
      </c>
      <c r="DV238" s="2873"/>
      <c r="DW238" s="2718"/>
      <c r="DX238" s="6325">
        <f t="shared" ref="DX238:DX245" si="672">IF(AW238&gt;(M238+O238),1,0)</f>
        <v>0</v>
      </c>
      <c r="DY238" s="6325">
        <f t="shared" ref="DY238:DY245" si="673">IF(AX238&gt;(N238+P238),1,0)</f>
        <v>0</v>
      </c>
      <c r="DZ238" s="6325">
        <f t="shared" ref="DZ238:DZ259" si="674">IF(AND((M238+O238)&gt;0,AW238=""),1,0)</f>
        <v>0</v>
      </c>
      <c r="EA238" s="6325">
        <f t="shared" ref="EA238:EA259" si="675">IF(AND((N238+P238)&gt;0,AX238=""),1,0)</f>
        <v>0</v>
      </c>
    </row>
    <row r="239" spans="1:131" ht="15" customHeight="1" x14ac:dyDescent="0.25">
      <c r="A239" s="6579"/>
      <c r="B239" s="3648" t="s">
        <v>2724</v>
      </c>
      <c r="C239" s="3644">
        <f t="shared" si="647"/>
        <v>0</v>
      </c>
      <c r="D239" s="3331">
        <f>+N239+P239+R239+T239+V239+X239+Z239+AB239+AD239</f>
        <v>0</v>
      </c>
      <c r="E239" s="3645"/>
      <c r="F239" s="3646"/>
      <c r="G239" s="3647"/>
      <c r="H239" s="3646"/>
      <c r="I239" s="3647"/>
      <c r="J239" s="3646"/>
      <c r="K239" s="3647"/>
      <c r="L239" s="3646"/>
      <c r="M239" s="3649"/>
      <c r="N239" s="3650"/>
      <c r="O239" s="5342"/>
      <c r="P239" s="3609"/>
      <c r="Q239" s="5229"/>
      <c r="R239" s="3609"/>
      <c r="S239" s="5229"/>
      <c r="T239" s="3609"/>
      <c r="U239" s="5229"/>
      <c r="V239" s="3609"/>
      <c r="W239" s="3572"/>
      <c r="X239" s="3609"/>
      <c r="Y239" s="3572"/>
      <c r="Z239" s="3609"/>
      <c r="AA239" s="3572"/>
      <c r="AB239" s="3609"/>
      <c r="AC239" s="5229"/>
      <c r="AD239" s="3609"/>
      <c r="AE239" s="3576"/>
      <c r="AF239" s="3612"/>
      <c r="AG239" s="3576"/>
      <c r="AH239" s="3612"/>
      <c r="AI239" s="3576"/>
      <c r="AJ239" s="3643"/>
      <c r="AK239" s="5396"/>
      <c r="AL239" s="3612"/>
      <c r="AM239" s="3572"/>
      <c r="AN239" s="3610"/>
      <c r="AO239" s="5337"/>
      <c r="AP239" s="3609"/>
      <c r="AQ239" s="3572"/>
      <c r="AR239" s="3610"/>
      <c r="AS239" s="5337"/>
      <c r="AT239" s="3610"/>
      <c r="AU239" s="5337"/>
      <c r="AV239" s="3610"/>
      <c r="AW239" s="3572"/>
      <c r="AX239" s="3609"/>
      <c r="AY239" s="175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3235" t="str">
        <f t="shared" si="648"/>
        <v/>
      </c>
      <c r="CB239" s="3611"/>
      <c r="CC239" s="2873" t="str">
        <f t="shared" si="649"/>
        <v/>
      </c>
      <c r="CD239" s="2718"/>
      <c r="CE239" s="2718"/>
      <c r="CF239" s="2718"/>
      <c r="CG239" s="2718"/>
      <c r="CH239" s="2718"/>
      <c r="CI239" s="2873" t="str">
        <f t="shared" si="650"/>
        <v/>
      </c>
      <c r="CJ239" s="603"/>
      <c r="CK239" s="2873" t="str">
        <f t="shared" si="651"/>
        <v/>
      </c>
      <c r="CL239" s="2873" t="str">
        <f t="shared" si="652"/>
        <v/>
      </c>
      <c r="CM239" s="2873" t="str">
        <f t="shared" si="653"/>
        <v/>
      </c>
      <c r="CN239" s="2873" t="str">
        <f t="shared" si="654"/>
        <v/>
      </c>
      <c r="CO239" s="2873" t="str">
        <f t="shared" si="655"/>
        <v/>
      </c>
      <c r="CP239" s="2873" t="str">
        <f t="shared" si="656"/>
        <v/>
      </c>
      <c r="CQ239" s="2873" t="str">
        <f t="shared" si="657"/>
        <v/>
      </c>
      <c r="CR239" s="2873"/>
      <c r="CS239" s="2718"/>
      <c r="CT239" s="6325" t="str">
        <f t="shared" si="658"/>
        <v/>
      </c>
      <c r="CU239" s="6325" t="str">
        <f t="shared" si="659"/>
        <v/>
      </c>
      <c r="CV239" s="6325" t="str">
        <f t="shared" si="660"/>
        <v/>
      </c>
      <c r="CW239" s="6325" t="str">
        <f t="shared" si="661"/>
        <v/>
      </c>
      <c r="DE239" s="3235">
        <f t="shared" si="662"/>
        <v>0</v>
      </c>
      <c r="DF239" s="3611"/>
      <c r="DG239" s="2873">
        <f t="shared" si="663"/>
        <v>0</v>
      </c>
      <c r="DH239" s="2718"/>
      <c r="DI239" s="2718"/>
      <c r="DJ239" s="2718"/>
      <c r="DK239" s="2718"/>
      <c r="DL239" s="2718"/>
      <c r="DM239" s="2873">
        <f t="shared" si="664"/>
        <v>0</v>
      </c>
      <c r="DN239" s="603"/>
      <c r="DO239" s="2873">
        <f t="shared" si="665"/>
        <v>0</v>
      </c>
      <c r="DP239" s="2873">
        <f t="shared" si="666"/>
        <v>0</v>
      </c>
      <c r="DQ239" s="2873">
        <f t="shared" si="667"/>
        <v>0</v>
      </c>
      <c r="DR239" s="2873">
        <f t="shared" si="668"/>
        <v>0</v>
      </c>
      <c r="DS239" s="2873">
        <f t="shared" si="669"/>
        <v>0</v>
      </c>
      <c r="DT239" s="2873">
        <f t="shared" si="670"/>
        <v>0</v>
      </c>
      <c r="DU239" s="2873">
        <f t="shared" si="671"/>
        <v>0</v>
      </c>
      <c r="DV239" s="2873"/>
      <c r="DW239" s="2718"/>
      <c r="DX239" s="6325">
        <f t="shared" si="672"/>
        <v>0</v>
      </c>
      <c r="DY239" s="6325">
        <f t="shared" si="673"/>
        <v>0</v>
      </c>
      <c r="DZ239" s="6325">
        <f t="shared" si="674"/>
        <v>0</v>
      </c>
      <c r="EA239" s="6325">
        <f t="shared" si="675"/>
        <v>0</v>
      </c>
    </row>
    <row r="240" spans="1:131" ht="15" customHeight="1" x14ac:dyDescent="0.25">
      <c r="A240" s="6579"/>
      <c r="B240" s="3648" t="s">
        <v>2668</v>
      </c>
      <c r="C240" s="3644">
        <f>+O240+Q240+S240+U240+W240+Y240+AA240+AC240+AE240+AG240+AI240</f>
        <v>0</v>
      </c>
      <c r="D240" s="3331">
        <f>+P240+R240+T240+V240+X240+Z240+AB240+AD240+AF240+AH240+AJ240</f>
        <v>0</v>
      </c>
      <c r="E240" s="3645"/>
      <c r="F240" s="3646"/>
      <c r="G240" s="3647"/>
      <c r="H240" s="3646"/>
      <c r="I240" s="3647"/>
      <c r="J240" s="3646"/>
      <c r="K240" s="3647"/>
      <c r="L240" s="3646"/>
      <c r="M240" s="3651"/>
      <c r="N240" s="3652"/>
      <c r="O240" s="3572"/>
      <c r="P240" s="3609"/>
      <c r="Q240" s="5229"/>
      <c r="R240" s="3609"/>
      <c r="S240" s="5229"/>
      <c r="T240" s="3609"/>
      <c r="U240" s="5229"/>
      <c r="V240" s="3609"/>
      <c r="W240" s="3572"/>
      <c r="X240" s="3609"/>
      <c r="Y240" s="3572"/>
      <c r="Z240" s="3609"/>
      <c r="AA240" s="3572"/>
      <c r="AB240" s="3609"/>
      <c r="AC240" s="5229"/>
      <c r="AD240" s="3609"/>
      <c r="AE240" s="3572"/>
      <c r="AF240" s="3609"/>
      <c r="AG240" s="3572"/>
      <c r="AH240" s="3609"/>
      <c r="AI240" s="3572"/>
      <c r="AJ240" s="3610"/>
      <c r="AK240" s="5337"/>
      <c r="AL240" s="3609"/>
      <c r="AM240" s="3572"/>
      <c r="AN240" s="3610"/>
      <c r="AO240" s="5337"/>
      <c r="AP240" s="3609"/>
      <c r="AQ240" s="3572"/>
      <c r="AR240" s="3610"/>
      <c r="AS240" s="5337"/>
      <c r="AT240" s="3610"/>
      <c r="AU240" s="5337"/>
      <c r="AV240" s="3610"/>
      <c r="AW240" s="3572"/>
      <c r="AX240" s="3609"/>
      <c r="AY240" s="175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3235" t="str">
        <f t="shared" si="648"/>
        <v/>
      </c>
      <c r="CB240" s="2873" t="str">
        <f>IF(AL240&gt;AK240," * El número de Exámenes por Sexo Hombres Confirmados positivos por ISP NO PUEDE Superar al número de Procesados. ","")</f>
        <v/>
      </c>
      <c r="CC240" s="2873" t="str">
        <f t="shared" si="649"/>
        <v/>
      </c>
      <c r="CD240" s="2718"/>
      <c r="CE240" s="2718"/>
      <c r="CF240" s="2718"/>
      <c r="CG240" s="2718"/>
      <c r="CH240" s="2718"/>
      <c r="CI240" s="2873" t="str">
        <f t="shared" si="650"/>
        <v/>
      </c>
      <c r="CJ240" s="603"/>
      <c r="CK240" s="2873" t="str">
        <f t="shared" si="651"/>
        <v/>
      </c>
      <c r="CL240" s="2873" t="str">
        <f t="shared" si="652"/>
        <v/>
      </c>
      <c r="CM240" s="2873" t="str">
        <f t="shared" si="653"/>
        <v/>
      </c>
      <c r="CN240" s="2873" t="str">
        <f t="shared" si="654"/>
        <v/>
      </c>
      <c r="CO240" s="2873" t="str">
        <f t="shared" si="655"/>
        <v/>
      </c>
      <c r="CP240" s="2873" t="str">
        <f t="shared" si="656"/>
        <v/>
      </c>
      <c r="CQ240" s="2873" t="str">
        <f t="shared" si="657"/>
        <v/>
      </c>
      <c r="CR240" s="2873"/>
      <c r="CS240" s="2718"/>
      <c r="CT240" s="6325" t="str">
        <f t="shared" si="658"/>
        <v/>
      </c>
      <c r="CU240" s="6325" t="str">
        <f t="shared" si="659"/>
        <v/>
      </c>
      <c r="CV240" s="6325" t="str">
        <f t="shared" si="660"/>
        <v/>
      </c>
      <c r="CW240" s="6325" t="str">
        <f t="shared" si="661"/>
        <v/>
      </c>
      <c r="DE240" s="3235">
        <f t="shared" si="662"/>
        <v>0</v>
      </c>
      <c r="DF240" s="2873">
        <f>IF(AL240&gt;AK240,1,0)</f>
        <v>0</v>
      </c>
      <c r="DG240" s="2873">
        <f t="shared" si="663"/>
        <v>0</v>
      </c>
      <c r="DH240" s="2718"/>
      <c r="DI240" s="2718"/>
      <c r="DJ240" s="2718"/>
      <c r="DK240" s="2718"/>
      <c r="DL240" s="2718"/>
      <c r="DM240" s="2873">
        <f t="shared" si="664"/>
        <v>0</v>
      </c>
      <c r="DN240" s="603"/>
      <c r="DO240" s="2873">
        <f t="shared" si="665"/>
        <v>0</v>
      </c>
      <c r="DP240" s="2873">
        <f t="shared" si="666"/>
        <v>0</v>
      </c>
      <c r="DQ240" s="2873">
        <f t="shared" si="667"/>
        <v>0</v>
      </c>
      <c r="DR240" s="2873">
        <f t="shared" si="668"/>
        <v>0</v>
      </c>
      <c r="DS240" s="2873">
        <f t="shared" si="669"/>
        <v>0</v>
      </c>
      <c r="DT240" s="2873">
        <f t="shared" si="670"/>
        <v>0</v>
      </c>
      <c r="DU240" s="2873">
        <f t="shared" si="671"/>
        <v>0</v>
      </c>
      <c r="DV240" s="2873"/>
      <c r="DW240" s="2718"/>
      <c r="DX240" s="6325">
        <f t="shared" si="672"/>
        <v>0</v>
      </c>
      <c r="DY240" s="6325">
        <f t="shared" si="673"/>
        <v>0</v>
      </c>
      <c r="DZ240" s="6325">
        <f t="shared" si="674"/>
        <v>0</v>
      </c>
      <c r="EA240" s="6325">
        <f t="shared" si="675"/>
        <v>0</v>
      </c>
    </row>
    <row r="241" spans="1:131" ht="15" customHeight="1" x14ac:dyDescent="0.25">
      <c r="A241" s="6579"/>
      <c r="B241" s="3135" t="s">
        <v>2702</v>
      </c>
      <c r="C241" s="3644">
        <f>+E241+G241+I241+K241+M241+O241+Q241+S241+U241+W241+Y241+AA241+AC241+AE241+AG241+AI241</f>
        <v>0</v>
      </c>
      <c r="D241" s="4929">
        <f>+F241+H241+J241+L241+N241+P241+R241+T241+V241+X241+Z241+AB241+AD241+AF241+AH241+AJ241</f>
        <v>0</v>
      </c>
      <c r="E241" s="615"/>
      <c r="F241" s="4659"/>
      <c r="G241" s="615"/>
      <c r="H241" s="4659"/>
      <c r="I241" s="615"/>
      <c r="J241" s="4659"/>
      <c r="K241" s="615"/>
      <c r="L241" s="4659"/>
      <c r="M241" s="615"/>
      <c r="N241" s="4659"/>
      <c r="O241" s="5342"/>
      <c r="P241" s="3609"/>
      <c r="Q241" s="5229"/>
      <c r="R241" s="3609"/>
      <c r="S241" s="5229"/>
      <c r="T241" s="3609"/>
      <c r="U241" s="5229"/>
      <c r="V241" s="3609"/>
      <c r="W241" s="3572"/>
      <c r="X241" s="3609"/>
      <c r="Y241" s="3572"/>
      <c r="Z241" s="3609"/>
      <c r="AA241" s="3572"/>
      <c r="AB241" s="3609"/>
      <c r="AC241" s="5229"/>
      <c r="AD241" s="3609"/>
      <c r="AE241" s="3572"/>
      <c r="AF241" s="3609"/>
      <c r="AG241" s="3572"/>
      <c r="AH241" s="3609"/>
      <c r="AI241" s="3572"/>
      <c r="AJ241" s="3610"/>
      <c r="AK241" s="5337"/>
      <c r="AL241" s="3609"/>
      <c r="AM241" s="3572"/>
      <c r="AN241" s="3610"/>
      <c r="AO241" s="5337"/>
      <c r="AP241" s="3609"/>
      <c r="AQ241" s="3572"/>
      <c r="AR241" s="3610"/>
      <c r="AS241" s="5337"/>
      <c r="AT241" s="3610"/>
      <c r="AU241" s="5337"/>
      <c r="AV241" s="3610"/>
      <c r="AW241" s="3572"/>
      <c r="AX241" s="3609"/>
      <c r="AY241" s="1755" t="str">
        <f t="shared" ref="AY241:AY259" si="676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3235" t="str">
        <f t="shared" si="648"/>
        <v/>
      </c>
      <c r="CB241" s="2873" t="str">
        <f t="shared" ref="CB241:CB259" si="677">IF(AL241&gt;AK241," * El número de Exámenes por Sexo Hombres Confirmados positivos por ISP NO PUEDE Superar al número de Procesados. ","")</f>
        <v/>
      </c>
      <c r="CC241" s="2873" t="str">
        <f t="shared" si="649"/>
        <v/>
      </c>
      <c r="CD241" s="2718"/>
      <c r="CE241" s="2718"/>
      <c r="CF241" s="2718"/>
      <c r="CG241" s="2718"/>
      <c r="CH241" s="2718"/>
      <c r="CI241" s="2873" t="str">
        <f t="shared" si="650"/>
        <v/>
      </c>
      <c r="CJ241" s="603"/>
      <c r="CK241" s="2873" t="str">
        <f t="shared" si="651"/>
        <v/>
      </c>
      <c r="CL241" s="2873" t="str">
        <f t="shared" si="652"/>
        <v/>
      </c>
      <c r="CM241" s="2873" t="str">
        <f t="shared" si="653"/>
        <v/>
      </c>
      <c r="CN241" s="2873" t="str">
        <f t="shared" si="654"/>
        <v/>
      </c>
      <c r="CO241" s="2873" t="str">
        <f t="shared" si="655"/>
        <v/>
      </c>
      <c r="CP241" s="2873" t="str">
        <f t="shared" si="656"/>
        <v/>
      </c>
      <c r="CQ241" s="2873" t="str">
        <f t="shared" si="657"/>
        <v/>
      </c>
      <c r="CR241" s="2873"/>
      <c r="CS241" s="2718"/>
      <c r="CT241" s="6325" t="str">
        <f t="shared" si="658"/>
        <v/>
      </c>
      <c r="CU241" s="6325" t="str">
        <f t="shared" si="659"/>
        <v/>
      </c>
      <c r="CV241" s="6325" t="str">
        <f t="shared" si="660"/>
        <v/>
      </c>
      <c r="CW241" s="6325" t="str">
        <f t="shared" si="661"/>
        <v/>
      </c>
      <c r="DE241" s="3235">
        <f t="shared" si="662"/>
        <v>0</v>
      </c>
      <c r="DF241" s="2873">
        <f t="shared" ref="DF241:DF259" si="678">IF(AL241&gt;AK241,1,0)</f>
        <v>0</v>
      </c>
      <c r="DG241" s="2873">
        <f t="shared" si="663"/>
        <v>0</v>
      </c>
      <c r="DH241" s="2718"/>
      <c r="DI241" s="2718"/>
      <c r="DJ241" s="2718"/>
      <c r="DK241" s="2718"/>
      <c r="DL241" s="2718"/>
      <c r="DM241" s="2873">
        <f t="shared" si="664"/>
        <v>0</v>
      </c>
      <c r="DN241" s="603"/>
      <c r="DO241" s="2873">
        <f t="shared" si="665"/>
        <v>0</v>
      </c>
      <c r="DP241" s="2873">
        <f t="shared" si="666"/>
        <v>0</v>
      </c>
      <c r="DQ241" s="2873">
        <f t="shared" si="667"/>
        <v>0</v>
      </c>
      <c r="DR241" s="2873">
        <f t="shared" si="668"/>
        <v>0</v>
      </c>
      <c r="DS241" s="2873">
        <f t="shared" si="669"/>
        <v>0</v>
      </c>
      <c r="DT241" s="2873">
        <f t="shared" si="670"/>
        <v>0</v>
      </c>
      <c r="DU241" s="2873">
        <f t="shared" si="671"/>
        <v>0</v>
      </c>
      <c r="DV241" s="2873"/>
      <c r="DW241" s="2718"/>
      <c r="DX241" s="6325">
        <f t="shared" si="672"/>
        <v>0</v>
      </c>
      <c r="DY241" s="6325">
        <f t="shared" si="673"/>
        <v>0</v>
      </c>
      <c r="DZ241" s="6325">
        <f t="shared" si="674"/>
        <v>0</v>
      </c>
      <c r="EA241" s="6325">
        <f t="shared" si="675"/>
        <v>0</v>
      </c>
    </row>
    <row r="242" spans="1:131" ht="24" customHeight="1" x14ac:dyDescent="0.25">
      <c r="A242" s="6579"/>
      <c r="B242" s="3653" t="s">
        <v>2703</v>
      </c>
      <c r="C242" s="3359">
        <f>+M242+O242+Q242+S242+U242+W242+Y242+AA242+AC242+AE242+AG242+AI242</f>
        <v>0</v>
      </c>
      <c r="D242" s="3331">
        <f>+N242+P242+R242+T242+V242+X242+Z242+AB242+AD242+AF242+AH242+AJ242</f>
        <v>0</v>
      </c>
      <c r="E242" s="3645"/>
      <c r="F242" s="3646"/>
      <c r="G242" s="3647"/>
      <c r="H242" s="3646"/>
      <c r="I242" s="3647"/>
      <c r="J242" s="3646"/>
      <c r="K242" s="3647"/>
      <c r="L242" s="3646"/>
      <c r="M242" s="5229"/>
      <c r="N242" s="3609"/>
      <c r="O242" s="3572"/>
      <c r="P242" s="3609"/>
      <c r="Q242" s="5229"/>
      <c r="R242" s="3609"/>
      <c r="S242" s="5229"/>
      <c r="T242" s="3609"/>
      <c r="U242" s="5229"/>
      <c r="V242" s="3609"/>
      <c r="W242" s="3572"/>
      <c r="X242" s="3609"/>
      <c r="Y242" s="3572"/>
      <c r="Z242" s="3609"/>
      <c r="AA242" s="3572"/>
      <c r="AB242" s="3609"/>
      <c r="AC242" s="5229"/>
      <c r="AD242" s="3609"/>
      <c r="AE242" s="3572"/>
      <c r="AF242" s="3609"/>
      <c r="AG242" s="3572"/>
      <c r="AH242" s="3609"/>
      <c r="AI242" s="3572"/>
      <c r="AJ242" s="3610"/>
      <c r="AK242" s="5337"/>
      <c r="AL242" s="3609"/>
      <c r="AM242" s="3572"/>
      <c r="AN242" s="3610"/>
      <c r="AO242" s="5337"/>
      <c r="AP242" s="3609"/>
      <c r="AQ242" s="3572"/>
      <c r="AR242" s="3610"/>
      <c r="AS242" s="5337"/>
      <c r="AT242" s="3610"/>
      <c r="AU242" s="5337"/>
      <c r="AV242" s="3610"/>
      <c r="AW242" s="3572"/>
      <c r="AX242" s="3609"/>
      <c r="AY242" s="1755" t="str">
        <f t="shared" si="676"/>
        <v/>
      </c>
      <c r="CA242" s="3235" t="str">
        <f t="shared" si="648"/>
        <v/>
      </c>
      <c r="CB242" s="2873" t="str">
        <f t="shared" si="677"/>
        <v/>
      </c>
      <c r="CC242" s="2873" t="str">
        <f t="shared" si="649"/>
        <v/>
      </c>
      <c r="CD242" s="2718"/>
      <c r="CE242" s="2718"/>
      <c r="CF242" s="2718"/>
      <c r="CG242" s="2718"/>
      <c r="CH242" s="2718"/>
      <c r="CI242" s="2873" t="str">
        <f t="shared" si="650"/>
        <v/>
      </c>
      <c r="CJ242" s="603"/>
      <c r="CK242" s="2873" t="str">
        <f t="shared" si="651"/>
        <v/>
      </c>
      <c r="CL242" s="2873" t="str">
        <f t="shared" si="652"/>
        <v/>
      </c>
      <c r="CM242" s="2873" t="str">
        <f t="shared" si="653"/>
        <v/>
      </c>
      <c r="CN242" s="2873" t="str">
        <f t="shared" si="654"/>
        <v/>
      </c>
      <c r="CO242" s="2873" t="str">
        <f t="shared" si="655"/>
        <v/>
      </c>
      <c r="CP242" s="2873" t="str">
        <f t="shared" si="656"/>
        <v/>
      </c>
      <c r="CQ242" s="2873" t="str">
        <f t="shared" si="657"/>
        <v/>
      </c>
      <c r="CR242" s="2873"/>
      <c r="CS242" s="2718"/>
      <c r="CT242" s="6325" t="str">
        <f t="shared" si="658"/>
        <v/>
      </c>
      <c r="CU242" s="6325" t="str">
        <f t="shared" si="659"/>
        <v/>
      </c>
      <c r="CV242" s="6325" t="str">
        <f t="shared" si="660"/>
        <v/>
      </c>
      <c r="CW242" s="6325" t="str">
        <f t="shared" si="661"/>
        <v/>
      </c>
      <c r="DE242" s="3235">
        <f t="shared" si="662"/>
        <v>0</v>
      </c>
      <c r="DF242" s="2873">
        <f t="shared" si="678"/>
        <v>0</v>
      </c>
      <c r="DG242" s="2873">
        <f t="shared" si="663"/>
        <v>0</v>
      </c>
      <c r="DH242" s="2718"/>
      <c r="DI242" s="2718"/>
      <c r="DJ242" s="2718"/>
      <c r="DK242" s="2718"/>
      <c r="DL242" s="2718"/>
      <c r="DM242" s="2873">
        <f t="shared" si="664"/>
        <v>0</v>
      </c>
      <c r="DN242" s="603"/>
      <c r="DO242" s="2873">
        <f t="shared" si="665"/>
        <v>0</v>
      </c>
      <c r="DP242" s="2873">
        <f t="shared" si="666"/>
        <v>0</v>
      </c>
      <c r="DQ242" s="2873">
        <f t="shared" si="667"/>
        <v>0</v>
      </c>
      <c r="DR242" s="2873">
        <f t="shared" si="668"/>
        <v>0</v>
      </c>
      <c r="DS242" s="2873">
        <f t="shared" si="669"/>
        <v>0</v>
      </c>
      <c r="DT242" s="2873">
        <f t="shared" si="670"/>
        <v>0</v>
      </c>
      <c r="DU242" s="2873">
        <f t="shared" si="671"/>
        <v>0</v>
      </c>
      <c r="DV242" s="2873"/>
      <c r="DW242" s="2718"/>
      <c r="DX242" s="6325">
        <f t="shared" si="672"/>
        <v>0</v>
      </c>
      <c r="DY242" s="6325">
        <f t="shared" si="673"/>
        <v>0</v>
      </c>
      <c r="DZ242" s="6325">
        <f t="shared" si="674"/>
        <v>0</v>
      </c>
      <c r="EA242" s="6325">
        <f t="shared" si="675"/>
        <v>0</v>
      </c>
    </row>
    <row r="243" spans="1:131" ht="15" customHeight="1" x14ac:dyDescent="0.25">
      <c r="A243" s="6579"/>
      <c r="B243" s="3135" t="s">
        <v>2725</v>
      </c>
      <c r="C243" s="3644">
        <f>+O243+Q243+S243+U243+W243+Y243+AA243+AC243+AE243+AG243+AI243</f>
        <v>0</v>
      </c>
      <c r="D243" s="3331">
        <f>+P243+R243+T243+V243+X243+Z243+AB243+AD243+AF243+AH243+AJ243</f>
        <v>0</v>
      </c>
      <c r="E243" s="3645"/>
      <c r="F243" s="3646"/>
      <c r="G243" s="3647"/>
      <c r="H243" s="3646"/>
      <c r="I243" s="3647"/>
      <c r="J243" s="3646"/>
      <c r="K243" s="3647"/>
      <c r="L243" s="3646"/>
      <c r="M243" s="3654"/>
      <c r="N243" s="3655"/>
      <c r="O243" s="3572"/>
      <c r="P243" s="3609"/>
      <c r="Q243" s="5229"/>
      <c r="R243" s="3609"/>
      <c r="S243" s="5229"/>
      <c r="T243" s="3609"/>
      <c r="U243" s="5229"/>
      <c r="V243" s="3609"/>
      <c r="W243" s="3572"/>
      <c r="X243" s="3609"/>
      <c r="Y243" s="3572"/>
      <c r="Z243" s="3609"/>
      <c r="AA243" s="3572"/>
      <c r="AB243" s="3609"/>
      <c r="AC243" s="5229"/>
      <c r="AD243" s="3609"/>
      <c r="AE243" s="3572"/>
      <c r="AF243" s="3609"/>
      <c r="AG243" s="3572"/>
      <c r="AH243" s="3609"/>
      <c r="AI243" s="3572"/>
      <c r="AJ243" s="3610"/>
      <c r="AK243" s="5337"/>
      <c r="AL243" s="3609"/>
      <c r="AM243" s="3572"/>
      <c r="AN243" s="3610"/>
      <c r="AO243" s="5337"/>
      <c r="AP243" s="3609"/>
      <c r="AQ243" s="3572"/>
      <c r="AR243" s="3610"/>
      <c r="AS243" s="5337"/>
      <c r="AT243" s="3610"/>
      <c r="AU243" s="5337"/>
      <c r="AV243" s="3610"/>
      <c r="AW243" s="3572"/>
      <c r="AX243" s="3609"/>
      <c r="AY243" s="1755" t="str">
        <f t="shared" si="676"/>
        <v/>
      </c>
      <c r="CA243" s="3235" t="str">
        <f t="shared" si="648"/>
        <v/>
      </c>
      <c r="CB243" s="2873" t="str">
        <f t="shared" si="677"/>
        <v/>
      </c>
      <c r="CC243" s="2873" t="str">
        <f t="shared" si="649"/>
        <v/>
      </c>
      <c r="CD243" s="2718"/>
      <c r="CE243" s="2718"/>
      <c r="CF243" s="2718"/>
      <c r="CG243" s="2718"/>
      <c r="CH243" s="2718"/>
      <c r="CI243" s="2873" t="str">
        <f t="shared" si="650"/>
        <v/>
      </c>
      <c r="CJ243" s="603"/>
      <c r="CK243" s="2873" t="str">
        <f t="shared" si="651"/>
        <v/>
      </c>
      <c r="CL243" s="2873" t="str">
        <f t="shared" si="652"/>
        <v/>
      </c>
      <c r="CM243" s="2873" t="str">
        <f t="shared" si="653"/>
        <v/>
      </c>
      <c r="CN243" s="2873" t="str">
        <f t="shared" si="654"/>
        <v/>
      </c>
      <c r="CO243" s="2873" t="str">
        <f t="shared" si="655"/>
        <v/>
      </c>
      <c r="CP243" s="2873" t="str">
        <f t="shared" si="656"/>
        <v/>
      </c>
      <c r="CQ243" s="2873" t="str">
        <f t="shared" si="657"/>
        <v/>
      </c>
      <c r="CR243" s="2873"/>
      <c r="CS243" s="2718"/>
      <c r="CT243" s="6325" t="str">
        <f t="shared" si="658"/>
        <v/>
      </c>
      <c r="CU243" s="6325" t="str">
        <f t="shared" si="659"/>
        <v/>
      </c>
      <c r="CV243" s="6325" t="str">
        <f t="shared" si="660"/>
        <v/>
      </c>
      <c r="CW243" s="6325" t="str">
        <f t="shared" si="661"/>
        <v/>
      </c>
      <c r="DE243" s="3235">
        <f t="shared" si="662"/>
        <v>0</v>
      </c>
      <c r="DF243" s="2873">
        <f t="shared" si="678"/>
        <v>0</v>
      </c>
      <c r="DG243" s="2873">
        <f t="shared" si="663"/>
        <v>0</v>
      </c>
      <c r="DH243" s="2718"/>
      <c r="DI243" s="2718"/>
      <c r="DJ243" s="2718"/>
      <c r="DK243" s="2718"/>
      <c r="DL243" s="2718"/>
      <c r="DM243" s="2873">
        <f t="shared" si="664"/>
        <v>0</v>
      </c>
      <c r="DN243" s="603"/>
      <c r="DO243" s="2873">
        <f t="shared" si="665"/>
        <v>0</v>
      </c>
      <c r="DP243" s="2873">
        <f t="shared" si="666"/>
        <v>0</v>
      </c>
      <c r="DQ243" s="2873">
        <f t="shared" si="667"/>
        <v>0</v>
      </c>
      <c r="DR243" s="2873">
        <f t="shared" si="668"/>
        <v>0</v>
      </c>
      <c r="DS243" s="2873">
        <f t="shared" si="669"/>
        <v>0</v>
      </c>
      <c r="DT243" s="2873">
        <f t="shared" si="670"/>
        <v>0</v>
      </c>
      <c r="DU243" s="2873">
        <f t="shared" si="671"/>
        <v>0</v>
      </c>
      <c r="DV243" s="2873"/>
      <c r="DW243" s="2718"/>
      <c r="DX243" s="6325">
        <f t="shared" si="672"/>
        <v>0</v>
      </c>
      <c r="DY243" s="6325">
        <f t="shared" si="673"/>
        <v>0</v>
      </c>
      <c r="DZ243" s="6325">
        <f t="shared" si="674"/>
        <v>0</v>
      </c>
      <c r="EA243" s="6325">
        <f t="shared" si="675"/>
        <v>0</v>
      </c>
    </row>
    <row r="244" spans="1:131" ht="24" customHeight="1" x14ac:dyDescent="0.25">
      <c r="A244" s="6579"/>
      <c r="B244" s="3648" t="s">
        <v>2704</v>
      </c>
      <c r="C244" s="3656">
        <f>+E244+G244+I244+K244+M244+O244+Q244+S244+U244+W244+Y244+AA244+AC244+AE244+AG244+AI244</f>
        <v>0</v>
      </c>
      <c r="D244" s="4929">
        <f>+F244+H244+J244+L244+N244+P244+R244+T244+V244+X244+Z244+AB244+AD244+AF244+AH244+AJ244</f>
        <v>0</v>
      </c>
      <c r="E244" s="615"/>
      <c r="F244" s="4659"/>
      <c r="G244" s="615"/>
      <c r="H244" s="4659"/>
      <c r="I244" s="615"/>
      <c r="J244" s="4659"/>
      <c r="K244" s="615"/>
      <c r="L244" s="4659"/>
      <c r="M244" s="5229"/>
      <c r="N244" s="3609"/>
      <c r="O244" s="3572"/>
      <c r="P244" s="3609"/>
      <c r="Q244" s="5229"/>
      <c r="R244" s="3609"/>
      <c r="S244" s="5229"/>
      <c r="T244" s="3609"/>
      <c r="U244" s="5229"/>
      <c r="V244" s="3609"/>
      <c r="W244" s="3572"/>
      <c r="X244" s="3609"/>
      <c r="Y244" s="3572"/>
      <c r="Z244" s="3609"/>
      <c r="AA244" s="3572"/>
      <c r="AB244" s="3609"/>
      <c r="AC244" s="5229"/>
      <c r="AD244" s="3609"/>
      <c r="AE244" s="3572"/>
      <c r="AF244" s="3609"/>
      <c r="AG244" s="3572"/>
      <c r="AH244" s="3609"/>
      <c r="AI244" s="3572"/>
      <c r="AJ244" s="3610"/>
      <c r="AK244" s="5337"/>
      <c r="AL244" s="3609"/>
      <c r="AM244" s="3572"/>
      <c r="AN244" s="3610"/>
      <c r="AO244" s="5337"/>
      <c r="AP244" s="3609"/>
      <c r="AQ244" s="3572"/>
      <c r="AR244" s="3610"/>
      <c r="AS244" s="5337"/>
      <c r="AT244" s="3610"/>
      <c r="AU244" s="5337"/>
      <c r="AV244" s="3610"/>
      <c r="AW244" s="3572"/>
      <c r="AX244" s="3609"/>
      <c r="AY244" s="1755" t="str">
        <f t="shared" si="676"/>
        <v/>
      </c>
      <c r="CA244" s="3235" t="str">
        <f t="shared" si="648"/>
        <v/>
      </c>
      <c r="CB244" s="2873" t="str">
        <f t="shared" si="677"/>
        <v/>
      </c>
      <c r="CC244" s="2873" t="str">
        <f t="shared" si="649"/>
        <v/>
      </c>
      <c r="CD244" s="2718"/>
      <c r="CE244" s="2718"/>
      <c r="CF244" s="2718"/>
      <c r="CG244" s="2718"/>
      <c r="CH244" s="2718"/>
      <c r="CI244" s="2873" t="str">
        <f t="shared" si="650"/>
        <v/>
      </c>
      <c r="CJ244" s="603"/>
      <c r="CK244" s="2873" t="str">
        <f t="shared" si="651"/>
        <v/>
      </c>
      <c r="CL244" s="2873" t="str">
        <f t="shared" si="652"/>
        <v/>
      </c>
      <c r="CM244" s="2873" t="str">
        <f t="shared" si="653"/>
        <v/>
      </c>
      <c r="CN244" s="2873" t="str">
        <f t="shared" si="654"/>
        <v/>
      </c>
      <c r="CO244" s="2873" t="str">
        <f t="shared" si="655"/>
        <v/>
      </c>
      <c r="CP244" s="2873" t="str">
        <f t="shared" si="656"/>
        <v/>
      </c>
      <c r="CQ244" s="2873" t="str">
        <f t="shared" si="657"/>
        <v/>
      </c>
      <c r="CR244" s="2873"/>
      <c r="CS244" s="2718"/>
      <c r="CT244" s="6325" t="str">
        <f t="shared" si="658"/>
        <v/>
      </c>
      <c r="CU244" s="6325" t="str">
        <f t="shared" si="659"/>
        <v/>
      </c>
      <c r="CV244" s="6325" t="str">
        <f t="shared" si="660"/>
        <v/>
      </c>
      <c r="CW244" s="6325" t="str">
        <f t="shared" si="661"/>
        <v/>
      </c>
      <c r="DE244" s="3235">
        <f t="shared" si="662"/>
        <v>0</v>
      </c>
      <c r="DF244" s="2873">
        <f t="shared" si="678"/>
        <v>0</v>
      </c>
      <c r="DG244" s="2873">
        <f t="shared" si="663"/>
        <v>0</v>
      </c>
      <c r="DH244" s="2718"/>
      <c r="DI244" s="2718"/>
      <c r="DJ244" s="2718"/>
      <c r="DK244" s="2718"/>
      <c r="DL244" s="2718"/>
      <c r="DM244" s="2873">
        <f t="shared" si="664"/>
        <v>0</v>
      </c>
      <c r="DN244" s="603"/>
      <c r="DO244" s="2873">
        <f t="shared" si="665"/>
        <v>0</v>
      </c>
      <c r="DP244" s="2873">
        <f t="shared" si="666"/>
        <v>0</v>
      </c>
      <c r="DQ244" s="2873">
        <f t="shared" si="667"/>
        <v>0</v>
      </c>
      <c r="DR244" s="2873">
        <f t="shared" si="668"/>
        <v>0</v>
      </c>
      <c r="DS244" s="2873">
        <f t="shared" si="669"/>
        <v>0</v>
      </c>
      <c r="DT244" s="2873">
        <f t="shared" si="670"/>
        <v>0</v>
      </c>
      <c r="DU244" s="2873">
        <f t="shared" si="671"/>
        <v>0</v>
      </c>
      <c r="DV244" s="2873"/>
      <c r="DW244" s="2718"/>
      <c r="DX244" s="6325">
        <f t="shared" si="672"/>
        <v>0</v>
      </c>
      <c r="DY244" s="6325">
        <f t="shared" si="673"/>
        <v>0</v>
      </c>
      <c r="DZ244" s="6325">
        <f t="shared" si="674"/>
        <v>0</v>
      </c>
      <c r="EA244" s="6325">
        <f t="shared" si="675"/>
        <v>0</v>
      </c>
    </row>
    <row r="245" spans="1:131" ht="15" customHeight="1" x14ac:dyDescent="0.25">
      <c r="A245" s="6579"/>
      <c r="B245" s="3648" t="s">
        <v>2673</v>
      </c>
      <c r="C245" s="3644">
        <f>+M245+O245+Q245+S245+U245+W245+Y245+AA245+AC245+AE245+AG245+AI245</f>
        <v>0</v>
      </c>
      <c r="D245" s="4929">
        <f>+N245+P245+R245+T245+V245+X245+Z245+AB245+AD245+AF245+AH245+AJ245</f>
        <v>0</v>
      </c>
      <c r="E245" s="3645"/>
      <c r="F245" s="3646"/>
      <c r="G245" s="3647"/>
      <c r="H245" s="3646"/>
      <c r="I245" s="3647"/>
      <c r="J245" s="3646"/>
      <c r="K245" s="3647"/>
      <c r="L245" s="3646"/>
      <c r="M245" s="3572"/>
      <c r="N245" s="3609"/>
      <c r="O245" s="5342"/>
      <c r="P245" s="3609"/>
      <c r="Q245" s="5229"/>
      <c r="R245" s="3609"/>
      <c r="S245" s="5229"/>
      <c r="T245" s="3609"/>
      <c r="U245" s="5229"/>
      <c r="V245" s="3609"/>
      <c r="W245" s="3572"/>
      <c r="X245" s="3609"/>
      <c r="Y245" s="3572"/>
      <c r="Z245" s="3609"/>
      <c r="AA245" s="3572"/>
      <c r="AB245" s="3609"/>
      <c r="AC245" s="5229"/>
      <c r="AD245" s="3609"/>
      <c r="AE245" s="3572"/>
      <c r="AF245" s="3609"/>
      <c r="AG245" s="3572"/>
      <c r="AH245" s="3609"/>
      <c r="AI245" s="3572"/>
      <c r="AJ245" s="3610"/>
      <c r="AK245" s="5337"/>
      <c r="AL245" s="3609"/>
      <c r="AM245" s="3572"/>
      <c r="AN245" s="3610"/>
      <c r="AO245" s="5337"/>
      <c r="AP245" s="3609"/>
      <c r="AQ245" s="3572"/>
      <c r="AR245" s="3610"/>
      <c r="AS245" s="5337"/>
      <c r="AT245" s="3610"/>
      <c r="AU245" s="5337"/>
      <c r="AV245" s="3610"/>
      <c r="AW245" s="3572"/>
      <c r="AX245" s="3609"/>
      <c r="AY245" s="1755" t="str">
        <f t="shared" si="676"/>
        <v/>
      </c>
      <c r="CA245" s="3235" t="str">
        <f t="shared" si="648"/>
        <v/>
      </c>
      <c r="CB245" s="2873" t="str">
        <f t="shared" si="677"/>
        <v/>
      </c>
      <c r="CC245" s="2873" t="str">
        <f t="shared" si="649"/>
        <v/>
      </c>
      <c r="CD245" s="2718"/>
      <c r="CE245" s="2718"/>
      <c r="CF245" s="2718"/>
      <c r="CG245" s="2718"/>
      <c r="CH245" s="2718"/>
      <c r="CI245" s="2873" t="str">
        <f t="shared" si="650"/>
        <v/>
      </c>
      <c r="CJ245" s="603"/>
      <c r="CK245" s="2873" t="str">
        <f t="shared" si="651"/>
        <v/>
      </c>
      <c r="CL245" s="2873" t="str">
        <f t="shared" si="652"/>
        <v/>
      </c>
      <c r="CM245" s="2873" t="str">
        <f t="shared" si="653"/>
        <v/>
      </c>
      <c r="CN245" s="2873" t="str">
        <f t="shared" si="654"/>
        <v/>
      </c>
      <c r="CO245" s="2873" t="str">
        <f t="shared" si="655"/>
        <v/>
      </c>
      <c r="CP245" s="2873" t="str">
        <f t="shared" si="656"/>
        <v/>
      </c>
      <c r="CQ245" s="2873" t="str">
        <f t="shared" si="657"/>
        <v/>
      </c>
      <c r="CR245" s="2873"/>
      <c r="CS245" s="2718"/>
      <c r="CT245" s="6325" t="str">
        <f t="shared" si="658"/>
        <v/>
      </c>
      <c r="CU245" s="6325" t="str">
        <f t="shared" si="659"/>
        <v/>
      </c>
      <c r="CV245" s="6325" t="str">
        <f t="shared" si="660"/>
        <v/>
      </c>
      <c r="CW245" s="6325" t="str">
        <f t="shared" si="661"/>
        <v/>
      </c>
      <c r="DE245" s="3235">
        <f t="shared" si="662"/>
        <v>0</v>
      </c>
      <c r="DF245" s="2873">
        <f t="shared" si="678"/>
        <v>0</v>
      </c>
      <c r="DG245" s="2873">
        <f t="shared" si="663"/>
        <v>0</v>
      </c>
      <c r="DH245" s="2718"/>
      <c r="DI245" s="2718"/>
      <c r="DJ245" s="2718"/>
      <c r="DK245" s="2718"/>
      <c r="DL245" s="2718"/>
      <c r="DM245" s="2873">
        <f t="shared" si="664"/>
        <v>0</v>
      </c>
      <c r="DN245" s="603"/>
      <c r="DO245" s="2873">
        <f t="shared" si="665"/>
        <v>0</v>
      </c>
      <c r="DP245" s="2873">
        <f t="shared" si="666"/>
        <v>0</v>
      </c>
      <c r="DQ245" s="2873">
        <f t="shared" si="667"/>
        <v>0</v>
      </c>
      <c r="DR245" s="2873">
        <f t="shared" si="668"/>
        <v>0</v>
      </c>
      <c r="DS245" s="2873">
        <f t="shared" si="669"/>
        <v>0</v>
      </c>
      <c r="DT245" s="2873">
        <f t="shared" si="670"/>
        <v>0</v>
      </c>
      <c r="DU245" s="2873">
        <f t="shared" si="671"/>
        <v>0</v>
      </c>
      <c r="DV245" s="2873"/>
      <c r="DW245" s="2718"/>
      <c r="DX245" s="6325">
        <f t="shared" si="672"/>
        <v>0</v>
      </c>
      <c r="DY245" s="6325">
        <f t="shared" si="673"/>
        <v>0</v>
      </c>
      <c r="DZ245" s="6325">
        <f t="shared" si="674"/>
        <v>0</v>
      </c>
      <c r="EA245" s="6325">
        <f t="shared" si="675"/>
        <v>0</v>
      </c>
    </row>
    <row r="246" spans="1:131" ht="15" customHeight="1" x14ac:dyDescent="0.25">
      <c r="A246" s="6579"/>
      <c r="B246" s="3135" t="s">
        <v>2705</v>
      </c>
      <c r="C246" s="3644">
        <f>+M246+O246+Q246+S246+U246+W246+Y246+AA246+AC246+AE246+AG246+AI246</f>
        <v>0</v>
      </c>
      <c r="D246" s="4929">
        <f>+N246+P246+R246+T246+V246+X246+Z246+AB246+AD246+AF246+AH246+AJ246</f>
        <v>0</v>
      </c>
      <c r="E246" s="3645"/>
      <c r="F246" s="3646"/>
      <c r="G246" s="3647"/>
      <c r="H246" s="3646"/>
      <c r="I246" s="3647"/>
      <c r="J246" s="3646"/>
      <c r="K246" s="3647"/>
      <c r="L246" s="3646"/>
      <c r="M246" s="3572"/>
      <c r="N246" s="3609"/>
      <c r="O246" s="3572"/>
      <c r="P246" s="3609"/>
      <c r="Q246" s="5229"/>
      <c r="R246" s="3609"/>
      <c r="S246" s="5229"/>
      <c r="T246" s="3609"/>
      <c r="U246" s="5229"/>
      <c r="V246" s="3609"/>
      <c r="W246" s="3572"/>
      <c r="X246" s="3609"/>
      <c r="Y246" s="3572"/>
      <c r="Z246" s="3609"/>
      <c r="AA246" s="3572"/>
      <c r="AB246" s="3609"/>
      <c r="AC246" s="5229"/>
      <c r="AD246" s="3609"/>
      <c r="AE246" s="3572"/>
      <c r="AF246" s="3609"/>
      <c r="AG246" s="3572"/>
      <c r="AH246" s="3609"/>
      <c r="AI246" s="3572"/>
      <c r="AJ246" s="3610"/>
      <c r="AK246" s="5337"/>
      <c r="AL246" s="3609"/>
      <c r="AM246" s="3572"/>
      <c r="AN246" s="3610"/>
      <c r="AO246" s="5337"/>
      <c r="AP246" s="3609"/>
      <c r="AQ246" s="3572"/>
      <c r="AR246" s="3610"/>
      <c r="AS246" s="5337"/>
      <c r="AT246" s="3610"/>
      <c r="AU246" s="5337"/>
      <c r="AV246" s="3610"/>
      <c r="AW246" s="3572"/>
      <c r="AX246" s="3609"/>
      <c r="AY246" s="1755" t="str">
        <f t="shared" si="676"/>
        <v/>
      </c>
      <c r="CA246" s="3235" t="str">
        <f>IF(D246&gt;C246," * El Total de Exámenes Confirmados Positivos por ISP NO DEBE SUPERAR los  Exámene Procesados. ","")</f>
        <v/>
      </c>
      <c r="CB246" s="2873" t="str">
        <f t="shared" si="677"/>
        <v/>
      </c>
      <c r="CC246" s="2873" t="str">
        <f t="shared" si="649"/>
        <v/>
      </c>
      <c r="CD246" s="2718"/>
      <c r="CE246" s="2718"/>
      <c r="CF246" s="2718"/>
      <c r="CG246" s="2718"/>
      <c r="CH246" s="2718"/>
      <c r="CI246" s="2873" t="str">
        <f t="shared" si="650"/>
        <v/>
      </c>
      <c r="CJ246" s="603"/>
      <c r="CK246" s="2873" t="str">
        <f t="shared" si="651"/>
        <v/>
      </c>
      <c r="CL246" s="2873" t="str">
        <f t="shared" si="652"/>
        <v/>
      </c>
      <c r="CM246" s="2873" t="str">
        <f t="shared" si="653"/>
        <v/>
      </c>
      <c r="CN246" s="2873" t="str">
        <f t="shared" si="654"/>
        <v/>
      </c>
      <c r="CO246" s="2873" t="str">
        <f t="shared" si="655"/>
        <v/>
      </c>
      <c r="CP246" s="2873" t="str">
        <f t="shared" si="656"/>
        <v/>
      </c>
      <c r="CQ246" s="2873" t="str">
        <f t="shared" si="657"/>
        <v/>
      </c>
      <c r="CR246" s="2873"/>
      <c r="CS246" s="2718"/>
      <c r="CT246" s="6325" t="str">
        <f>IF(AW246&gt;(M246+O246),"* El Total de Procesados de 14-18 años NO DEBE ser mayor al Total de Procesados registrados en los grupos de edad 10 a 14 y 15 a 19 años. ","")</f>
        <v/>
      </c>
      <c r="CU246" s="6325" t="str">
        <f t="shared" ref="CU246:CU248" si="679">IF(AX246&gt;(N246+P246),"* El Total de Confirmados de 14-18 años NO DEBE ser mayor al Total de Confirmados registrados en los grupos de edad 10 a 14 y 15 a 19 años. ","")</f>
        <v/>
      </c>
      <c r="CV246" s="6325" t="str">
        <f t="shared" si="660"/>
        <v/>
      </c>
      <c r="CW246" s="6325" t="str">
        <f t="shared" si="661"/>
        <v/>
      </c>
      <c r="DE246" s="3235">
        <f t="shared" si="662"/>
        <v>0</v>
      </c>
      <c r="DF246" s="2873">
        <f t="shared" si="678"/>
        <v>0</v>
      </c>
      <c r="DG246" s="2873">
        <f t="shared" si="663"/>
        <v>0</v>
      </c>
      <c r="DH246" s="2718"/>
      <c r="DI246" s="2718"/>
      <c r="DJ246" s="2718"/>
      <c r="DK246" s="2718"/>
      <c r="DL246" s="2718"/>
      <c r="DM246" s="2873">
        <f t="shared" si="664"/>
        <v>0</v>
      </c>
      <c r="DN246" s="603"/>
      <c r="DO246" s="2873">
        <f t="shared" si="665"/>
        <v>0</v>
      </c>
      <c r="DP246" s="2873">
        <f t="shared" si="666"/>
        <v>0</v>
      </c>
      <c r="DQ246" s="2873">
        <f t="shared" si="667"/>
        <v>0</v>
      </c>
      <c r="DR246" s="2873">
        <f t="shared" si="668"/>
        <v>0</v>
      </c>
      <c r="DS246" s="2873">
        <f t="shared" si="669"/>
        <v>0</v>
      </c>
      <c r="DT246" s="2873">
        <f t="shared" si="670"/>
        <v>0</v>
      </c>
      <c r="DU246" s="2873">
        <f t="shared" si="671"/>
        <v>0</v>
      </c>
      <c r="DV246" s="2873"/>
      <c r="DW246" s="2718"/>
      <c r="DX246" s="6325">
        <f t="shared" ref="DX246:DX248" si="680">IF(AW246&gt;(M246+O246),1,0)</f>
        <v>0</v>
      </c>
      <c r="DY246" s="6325">
        <f t="shared" ref="DY246:DY248" si="681">IF(AX246&gt;(N246+P246),1,0)</f>
        <v>0</v>
      </c>
      <c r="DZ246" s="6325">
        <f t="shared" si="674"/>
        <v>0</v>
      </c>
      <c r="EA246" s="6325">
        <f t="shared" si="675"/>
        <v>0</v>
      </c>
    </row>
    <row r="247" spans="1:131" ht="15" customHeight="1" x14ac:dyDescent="0.25">
      <c r="A247" s="6579"/>
      <c r="B247" s="3135" t="s">
        <v>2675</v>
      </c>
      <c r="C247" s="3644">
        <f>+E247+G247+I247+K247+M247+O247+Q247+S247+U247+W247+Y247+AA247+AC247+AE247+AG247+AI247</f>
        <v>0</v>
      </c>
      <c r="D247" s="4929">
        <f>+F247+H247+J247+L247+N247+P247+R247+T247+V247+X247+Z247+AB247+AD247+AF247+AH247+AJ247</f>
        <v>0</v>
      </c>
      <c r="E247" s="615"/>
      <c r="F247" s="4659"/>
      <c r="G247" s="615"/>
      <c r="H247" s="4659"/>
      <c r="I247" s="615"/>
      <c r="J247" s="4659"/>
      <c r="K247" s="615"/>
      <c r="L247" s="4659"/>
      <c r="M247" s="3572"/>
      <c r="N247" s="3609"/>
      <c r="O247" s="3572"/>
      <c r="P247" s="3609"/>
      <c r="Q247" s="5229"/>
      <c r="R247" s="3609"/>
      <c r="S247" s="5229"/>
      <c r="T247" s="3609"/>
      <c r="U247" s="5229"/>
      <c r="V247" s="3609"/>
      <c r="W247" s="3572"/>
      <c r="X247" s="3609"/>
      <c r="Y247" s="3572"/>
      <c r="Z247" s="3609"/>
      <c r="AA247" s="3572"/>
      <c r="AB247" s="3609"/>
      <c r="AC247" s="5229"/>
      <c r="AD247" s="3609"/>
      <c r="AE247" s="3572"/>
      <c r="AF247" s="3609"/>
      <c r="AG247" s="3572"/>
      <c r="AH247" s="3609"/>
      <c r="AI247" s="3572"/>
      <c r="AJ247" s="3610"/>
      <c r="AK247" s="5337"/>
      <c r="AL247" s="3609"/>
      <c r="AM247" s="3572"/>
      <c r="AN247" s="3610"/>
      <c r="AO247" s="5337"/>
      <c r="AP247" s="3609"/>
      <c r="AQ247" s="3572"/>
      <c r="AR247" s="3610"/>
      <c r="AS247" s="5337"/>
      <c r="AT247" s="3610"/>
      <c r="AU247" s="5337"/>
      <c r="AV247" s="3610"/>
      <c r="AW247" s="3572"/>
      <c r="AX247" s="3609"/>
      <c r="AY247" s="1755" t="str">
        <f t="shared" si="676"/>
        <v/>
      </c>
      <c r="CA247" s="3235" t="str">
        <f t="shared" ref="CA247:CA259" si="682">IF(D247&gt;C247," * El Total de Exámenes Confirmados Positivos por ISP NO DEBE SUPERAR los  Exámene Procesados. ","")</f>
        <v/>
      </c>
      <c r="CB247" s="2873" t="str">
        <f t="shared" si="677"/>
        <v/>
      </c>
      <c r="CC247" s="2873" t="str">
        <f t="shared" si="649"/>
        <v/>
      </c>
      <c r="CD247" s="2718"/>
      <c r="CE247" s="2718"/>
      <c r="CF247" s="2718"/>
      <c r="CG247" s="2718"/>
      <c r="CH247" s="2718"/>
      <c r="CI247" s="2873" t="str">
        <f t="shared" si="650"/>
        <v/>
      </c>
      <c r="CJ247" s="603"/>
      <c r="CK247" s="2873" t="str">
        <f t="shared" si="651"/>
        <v/>
      </c>
      <c r="CL247" s="2873" t="str">
        <f t="shared" si="652"/>
        <v/>
      </c>
      <c r="CM247" s="2873" t="str">
        <f t="shared" si="653"/>
        <v/>
      </c>
      <c r="CN247" s="2873" t="str">
        <f t="shared" si="654"/>
        <v/>
      </c>
      <c r="CO247" s="2873" t="str">
        <f t="shared" si="655"/>
        <v/>
      </c>
      <c r="CP247" s="2873" t="str">
        <f t="shared" si="656"/>
        <v/>
      </c>
      <c r="CQ247" s="2873" t="str">
        <f t="shared" si="657"/>
        <v/>
      </c>
      <c r="CR247" s="2873"/>
      <c r="CS247" s="2718"/>
      <c r="CT247" s="6325" t="str">
        <f t="shared" ref="CT247:CT248" si="683">IF(AW247&gt;(M247+O247),"* El Total de Procesados de 14-18 años NO DEBE ser mayor al Total de Procesados registrados en los grupos de edad 10 a 14 y 15 a 19 años. ","")</f>
        <v/>
      </c>
      <c r="CU247" s="6325" t="str">
        <f t="shared" si="679"/>
        <v/>
      </c>
      <c r="CV247" s="6325" t="str">
        <f t="shared" si="660"/>
        <v/>
      </c>
      <c r="CW247" s="6325" t="str">
        <f t="shared" si="661"/>
        <v/>
      </c>
      <c r="DE247" s="3235">
        <f t="shared" si="662"/>
        <v>0</v>
      </c>
      <c r="DF247" s="2873">
        <f t="shared" si="678"/>
        <v>0</v>
      </c>
      <c r="DG247" s="2873">
        <f t="shared" si="663"/>
        <v>0</v>
      </c>
      <c r="DH247" s="2718"/>
      <c r="DI247" s="2718"/>
      <c r="DJ247" s="2718"/>
      <c r="DK247" s="2718"/>
      <c r="DL247" s="2718"/>
      <c r="DM247" s="2873">
        <f t="shared" si="664"/>
        <v>0</v>
      </c>
      <c r="DN247" s="603"/>
      <c r="DO247" s="2873">
        <f t="shared" si="665"/>
        <v>0</v>
      </c>
      <c r="DP247" s="2873">
        <f t="shared" si="666"/>
        <v>0</v>
      </c>
      <c r="DQ247" s="2873">
        <f t="shared" si="667"/>
        <v>0</v>
      </c>
      <c r="DR247" s="2873">
        <f t="shared" si="668"/>
        <v>0</v>
      </c>
      <c r="DS247" s="2873">
        <f t="shared" si="669"/>
        <v>0</v>
      </c>
      <c r="DT247" s="2873">
        <f t="shared" si="670"/>
        <v>0</v>
      </c>
      <c r="DU247" s="2873">
        <f t="shared" si="671"/>
        <v>0</v>
      </c>
      <c r="DV247" s="2873"/>
      <c r="DW247" s="2718"/>
      <c r="DX247" s="6325">
        <f t="shared" si="680"/>
        <v>0</v>
      </c>
      <c r="DY247" s="6325">
        <f t="shared" si="681"/>
        <v>0</v>
      </c>
      <c r="DZ247" s="6325">
        <f t="shared" si="674"/>
        <v>0</v>
      </c>
      <c r="EA247" s="6325">
        <f t="shared" si="675"/>
        <v>0</v>
      </c>
    </row>
    <row r="248" spans="1:131" ht="15" customHeight="1" x14ac:dyDescent="0.25">
      <c r="A248" s="6579"/>
      <c r="B248" s="3135" t="s">
        <v>2706</v>
      </c>
      <c r="C248" s="3644">
        <f>+O248+Q248+S248+U248+W248+Y248+AA248+AC248+AE248+AG248+AI248</f>
        <v>0</v>
      </c>
      <c r="D248" s="3331">
        <f>+P248+R248+T248+V248+X248+Z248+AB248+AD248+AF248+AH248+AJ248</f>
        <v>0</v>
      </c>
      <c r="E248" s="3645"/>
      <c r="F248" s="3646"/>
      <c r="G248" s="3647"/>
      <c r="H248" s="3646"/>
      <c r="I248" s="3647"/>
      <c r="J248" s="3646"/>
      <c r="K248" s="3647"/>
      <c r="L248" s="3646"/>
      <c r="M248" s="3647"/>
      <c r="N248" s="3646"/>
      <c r="O248" s="3572"/>
      <c r="P248" s="3609"/>
      <c r="Q248" s="5229"/>
      <c r="R248" s="3609"/>
      <c r="S248" s="5229"/>
      <c r="T248" s="3609"/>
      <c r="U248" s="5229"/>
      <c r="V248" s="3609"/>
      <c r="W248" s="3572"/>
      <c r="X248" s="3609"/>
      <c r="Y248" s="3572"/>
      <c r="Z248" s="3609"/>
      <c r="AA248" s="3572"/>
      <c r="AB248" s="3609"/>
      <c r="AC248" s="5229"/>
      <c r="AD248" s="3609"/>
      <c r="AE248" s="3572"/>
      <c r="AF248" s="3609"/>
      <c r="AG248" s="3572"/>
      <c r="AH248" s="3609"/>
      <c r="AI248" s="3572"/>
      <c r="AJ248" s="3610"/>
      <c r="AK248" s="5337"/>
      <c r="AL248" s="3609"/>
      <c r="AM248" s="3572"/>
      <c r="AN248" s="3610"/>
      <c r="AO248" s="5337"/>
      <c r="AP248" s="3609"/>
      <c r="AQ248" s="3572"/>
      <c r="AR248" s="3610"/>
      <c r="AS248" s="5337"/>
      <c r="AT248" s="3610"/>
      <c r="AU248" s="5337"/>
      <c r="AV248" s="3610"/>
      <c r="AW248" s="3572"/>
      <c r="AX248" s="3609"/>
      <c r="AY248" s="1755" t="str">
        <f t="shared" si="676"/>
        <v/>
      </c>
      <c r="CA248" s="3235" t="str">
        <f t="shared" si="682"/>
        <v/>
      </c>
      <c r="CB248" s="2873" t="str">
        <f t="shared" si="677"/>
        <v/>
      </c>
      <c r="CC248" s="2873" t="str">
        <f t="shared" si="649"/>
        <v/>
      </c>
      <c r="CD248" s="2718"/>
      <c r="CE248" s="2718"/>
      <c r="CF248" s="2718"/>
      <c r="CG248" s="2718"/>
      <c r="CH248" s="2718"/>
      <c r="CI248" s="2873" t="str">
        <f t="shared" si="650"/>
        <v/>
      </c>
      <c r="CJ248" s="603"/>
      <c r="CK248" s="2873" t="str">
        <f t="shared" si="651"/>
        <v/>
      </c>
      <c r="CL248" s="2873" t="str">
        <f t="shared" si="652"/>
        <v/>
      </c>
      <c r="CM248" s="2873" t="str">
        <f t="shared" si="653"/>
        <v/>
      </c>
      <c r="CN248" s="2873" t="str">
        <f t="shared" si="654"/>
        <v/>
      </c>
      <c r="CO248" s="2873" t="str">
        <f t="shared" si="655"/>
        <v/>
      </c>
      <c r="CP248" s="2873" t="str">
        <f t="shared" si="656"/>
        <v/>
      </c>
      <c r="CQ248" s="2873" t="str">
        <f t="shared" si="657"/>
        <v/>
      </c>
      <c r="CR248" s="2873"/>
      <c r="CS248" s="2718"/>
      <c r="CT248" s="6325" t="str">
        <f t="shared" si="683"/>
        <v/>
      </c>
      <c r="CU248" s="6325" t="str">
        <f t="shared" si="679"/>
        <v/>
      </c>
      <c r="CV248" s="6325" t="str">
        <f t="shared" si="660"/>
        <v/>
      </c>
      <c r="CW248" s="6325" t="str">
        <f t="shared" si="661"/>
        <v/>
      </c>
      <c r="DE248" s="3235">
        <f t="shared" si="662"/>
        <v>0</v>
      </c>
      <c r="DF248" s="2873">
        <f t="shared" si="678"/>
        <v>0</v>
      </c>
      <c r="DG248" s="2873">
        <f t="shared" si="663"/>
        <v>0</v>
      </c>
      <c r="DH248" s="2718"/>
      <c r="DI248" s="2718"/>
      <c r="DJ248" s="2718"/>
      <c r="DK248" s="2718"/>
      <c r="DL248" s="2718"/>
      <c r="DM248" s="2873">
        <f t="shared" si="664"/>
        <v>0</v>
      </c>
      <c r="DN248" s="603"/>
      <c r="DO248" s="2873">
        <f>IF((AM248+AK248)&lt;&gt;C248,1,0)</f>
        <v>0</v>
      </c>
      <c r="DP248" s="2873">
        <f t="shared" si="666"/>
        <v>0</v>
      </c>
      <c r="DQ248" s="2873">
        <f t="shared" si="667"/>
        <v>0</v>
      </c>
      <c r="DR248" s="2873">
        <f t="shared" si="668"/>
        <v>0</v>
      </c>
      <c r="DS248" s="2873">
        <f t="shared" si="669"/>
        <v>0</v>
      </c>
      <c r="DT248" s="2873">
        <f t="shared" si="670"/>
        <v>0</v>
      </c>
      <c r="DU248" s="2873">
        <f t="shared" si="671"/>
        <v>0</v>
      </c>
      <c r="DV248" s="2873"/>
      <c r="DW248" s="2718"/>
      <c r="DX248" s="6325">
        <f t="shared" si="680"/>
        <v>0</v>
      </c>
      <c r="DY248" s="6325">
        <f t="shared" si="681"/>
        <v>0</v>
      </c>
      <c r="DZ248" s="6325">
        <f t="shared" si="674"/>
        <v>0</v>
      </c>
      <c r="EA248" s="6325">
        <f t="shared" si="675"/>
        <v>0</v>
      </c>
    </row>
    <row r="249" spans="1:131" ht="15" customHeight="1" x14ac:dyDescent="0.25">
      <c r="A249" s="6579"/>
      <c r="B249" s="3648" t="s">
        <v>2707</v>
      </c>
      <c r="C249" s="3644">
        <f>+M249+O249+Q249+S249+U249+W249+Y249+AA249+AC249+AE249+AG249+AI249</f>
        <v>0</v>
      </c>
      <c r="D249" s="3331">
        <f>+N249+P249+R249+T249+V249+X249+Z249+AB249+AD249+AF249+AH249+AJ249</f>
        <v>0</v>
      </c>
      <c r="E249" s="3645"/>
      <c r="F249" s="3657"/>
      <c r="G249" s="3647"/>
      <c r="H249" s="3646"/>
      <c r="I249" s="3647"/>
      <c r="J249" s="3646"/>
      <c r="K249" s="3647"/>
      <c r="L249" s="3646"/>
      <c r="M249" s="5229"/>
      <c r="N249" s="3609"/>
      <c r="O249" s="3572"/>
      <c r="P249" s="3609"/>
      <c r="Q249" s="5229"/>
      <c r="R249" s="3609"/>
      <c r="S249" s="5229"/>
      <c r="T249" s="3609"/>
      <c r="U249" s="5229"/>
      <c r="V249" s="3609"/>
      <c r="W249" s="3572"/>
      <c r="X249" s="3609"/>
      <c r="Y249" s="3572"/>
      <c r="Z249" s="3609"/>
      <c r="AA249" s="3572"/>
      <c r="AB249" s="3609"/>
      <c r="AC249" s="5229"/>
      <c r="AD249" s="3609"/>
      <c r="AE249" s="3572"/>
      <c r="AF249" s="3609"/>
      <c r="AG249" s="3572"/>
      <c r="AH249" s="3609"/>
      <c r="AI249" s="3572"/>
      <c r="AJ249" s="3610"/>
      <c r="AK249" s="5337"/>
      <c r="AL249" s="3609"/>
      <c r="AM249" s="3572"/>
      <c r="AN249" s="3610"/>
      <c r="AO249" s="5337"/>
      <c r="AP249" s="3609"/>
      <c r="AQ249" s="3572"/>
      <c r="AR249" s="3610"/>
      <c r="AS249" s="5337"/>
      <c r="AT249" s="3610"/>
      <c r="AU249" s="5337"/>
      <c r="AV249" s="3610"/>
      <c r="AW249" s="3572"/>
      <c r="AX249" s="3609"/>
      <c r="AY249" s="1755" t="str">
        <f t="shared" si="676"/>
        <v/>
      </c>
      <c r="CA249" s="3235" t="str">
        <f t="shared" si="682"/>
        <v/>
      </c>
      <c r="CB249" s="2873" t="str">
        <f t="shared" si="677"/>
        <v/>
      </c>
      <c r="CC249" s="2873" t="str">
        <f t="shared" si="649"/>
        <v/>
      </c>
      <c r="CD249" s="2718"/>
      <c r="CE249" s="2718"/>
      <c r="CF249" s="2718"/>
      <c r="CG249" s="2718"/>
      <c r="CH249" s="2718"/>
      <c r="CI249" s="2873" t="str">
        <f t="shared" si="650"/>
        <v/>
      </c>
      <c r="CJ249" s="603"/>
      <c r="CK249" s="2873" t="str">
        <f t="shared" si="651"/>
        <v/>
      </c>
      <c r="CL249" s="2873" t="str">
        <f t="shared" si="652"/>
        <v/>
      </c>
      <c r="CM249" s="2873" t="str">
        <f t="shared" si="653"/>
        <v/>
      </c>
      <c r="CN249" s="2873" t="str">
        <f t="shared" si="654"/>
        <v/>
      </c>
      <c r="CO249" s="2873" t="str">
        <f t="shared" si="655"/>
        <v/>
      </c>
      <c r="CP249" s="2873" t="str">
        <f t="shared" si="656"/>
        <v/>
      </c>
      <c r="CQ249" s="2873" t="str">
        <f t="shared" si="657"/>
        <v/>
      </c>
      <c r="CR249" s="2873"/>
      <c r="CS249" s="2718"/>
      <c r="CT249" s="6325" t="str">
        <f t="shared" ref="CT249:CT259" si="684">IF(AW249&gt;(M249+O249),"* El Total de Procesados de 14-18 años NO DEBE ser mayor al Total de Procesados registrados en los grupos de edad 10 a 14 y 15 a 19 años. ","")</f>
        <v/>
      </c>
      <c r="CU249" s="6325" t="str">
        <f t="shared" ref="CU249:CU259" si="685">IF(AX249&gt;(N249+P249),"* El Total de Confirmados de 14-18 años NO DEBE ser mayor al Total de Confirmados registrados en los grupos de edad 10 a 14 y 15 a 19 años. ","")</f>
        <v/>
      </c>
      <c r="CV249" s="6325" t="str">
        <f t="shared" si="660"/>
        <v/>
      </c>
      <c r="CW249" s="6325" t="str">
        <f t="shared" si="661"/>
        <v/>
      </c>
      <c r="DE249" s="3235">
        <f t="shared" si="662"/>
        <v>0</v>
      </c>
      <c r="DF249" s="2873">
        <f t="shared" si="678"/>
        <v>0</v>
      </c>
      <c r="DG249" s="2873">
        <f t="shared" si="663"/>
        <v>0</v>
      </c>
      <c r="DH249" s="2718"/>
      <c r="DI249" s="2718"/>
      <c r="DJ249" s="2718"/>
      <c r="DK249" s="2718"/>
      <c r="DL249" s="2718"/>
      <c r="DM249" s="2873">
        <f t="shared" si="664"/>
        <v>0</v>
      </c>
      <c r="DN249" s="603"/>
      <c r="DO249" s="2873">
        <f t="shared" si="665"/>
        <v>0</v>
      </c>
      <c r="DP249" s="2873">
        <f t="shared" si="666"/>
        <v>0</v>
      </c>
      <c r="DQ249" s="2873">
        <f t="shared" si="667"/>
        <v>0</v>
      </c>
      <c r="DR249" s="2873">
        <f t="shared" si="668"/>
        <v>0</v>
      </c>
      <c r="DS249" s="2873">
        <f t="shared" si="669"/>
        <v>0</v>
      </c>
      <c r="DT249" s="2873">
        <f t="shared" si="670"/>
        <v>0</v>
      </c>
      <c r="DU249" s="2873">
        <f t="shared" si="671"/>
        <v>0</v>
      </c>
      <c r="DV249" s="2873"/>
      <c r="DW249" s="2718"/>
      <c r="DX249" s="6325">
        <f t="shared" ref="DX249:DX259" si="686">IF(AW249&gt;(M249+O249),1,0)</f>
        <v>0</v>
      </c>
      <c r="DY249" s="6325">
        <f t="shared" ref="DY249:DY259" si="687">IF(AX249&gt;(N249+P249),1,0)</f>
        <v>0</v>
      </c>
      <c r="DZ249" s="6325">
        <f t="shared" si="674"/>
        <v>0</v>
      </c>
      <c r="EA249" s="6325">
        <f t="shared" si="675"/>
        <v>0</v>
      </c>
    </row>
    <row r="250" spans="1:131" ht="23.25" customHeight="1" x14ac:dyDescent="0.25">
      <c r="A250" s="6579"/>
      <c r="B250" s="3648" t="s">
        <v>2708</v>
      </c>
      <c r="C250" s="3644">
        <f>+O250+Q250+S250+U250+W250+Y250+AA250+AC250+AE250+AG250+AI250</f>
        <v>0</v>
      </c>
      <c r="D250" s="3331">
        <f>+P250+R250+T250+V250+X250+Z250+AB250+AD250+AF250+AH250+AJ250</f>
        <v>0</v>
      </c>
      <c r="E250" s="3645"/>
      <c r="F250" s="3646"/>
      <c r="G250" s="3647"/>
      <c r="H250" s="3657"/>
      <c r="I250" s="3647"/>
      <c r="J250" s="3646"/>
      <c r="K250" s="3647"/>
      <c r="L250" s="3646"/>
      <c r="M250" s="3654"/>
      <c r="N250" s="3655"/>
      <c r="O250" s="3572"/>
      <c r="P250" s="3609"/>
      <c r="Q250" s="5229"/>
      <c r="R250" s="3609"/>
      <c r="S250" s="5229"/>
      <c r="T250" s="3609"/>
      <c r="U250" s="5229"/>
      <c r="V250" s="3609"/>
      <c r="W250" s="3572"/>
      <c r="X250" s="3609"/>
      <c r="Y250" s="3572"/>
      <c r="Z250" s="3609"/>
      <c r="AA250" s="3572"/>
      <c r="AB250" s="3609"/>
      <c r="AC250" s="5229"/>
      <c r="AD250" s="3609"/>
      <c r="AE250" s="3572"/>
      <c r="AF250" s="3609"/>
      <c r="AG250" s="3572"/>
      <c r="AH250" s="3609"/>
      <c r="AI250" s="3572"/>
      <c r="AJ250" s="3610"/>
      <c r="AK250" s="5337"/>
      <c r="AL250" s="3609"/>
      <c r="AM250" s="3572"/>
      <c r="AN250" s="3610"/>
      <c r="AO250" s="5337"/>
      <c r="AP250" s="3609"/>
      <c r="AQ250" s="3572"/>
      <c r="AR250" s="3610"/>
      <c r="AS250" s="5337"/>
      <c r="AT250" s="3610"/>
      <c r="AU250" s="5337"/>
      <c r="AV250" s="3610"/>
      <c r="AW250" s="3572"/>
      <c r="AX250" s="3609"/>
      <c r="AY250" s="1755" t="str">
        <f t="shared" si="676"/>
        <v/>
      </c>
      <c r="CA250" s="3235" t="str">
        <f t="shared" si="682"/>
        <v/>
      </c>
      <c r="CB250" s="2873" t="str">
        <f t="shared" si="677"/>
        <v/>
      </c>
      <c r="CC250" s="2873" t="str">
        <f t="shared" si="649"/>
        <v/>
      </c>
      <c r="CD250" s="2718"/>
      <c r="CE250" s="2718"/>
      <c r="CF250" s="2718"/>
      <c r="CG250" s="2718"/>
      <c r="CH250" s="2718"/>
      <c r="CI250" s="2873" t="str">
        <f t="shared" si="650"/>
        <v/>
      </c>
      <c r="CJ250" s="603"/>
      <c r="CK250" s="2873" t="str">
        <f t="shared" si="651"/>
        <v/>
      </c>
      <c r="CL250" s="2873" t="str">
        <f t="shared" si="652"/>
        <v/>
      </c>
      <c r="CM250" s="2873" t="str">
        <f t="shared" si="653"/>
        <v/>
      </c>
      <c r="CN250" s="2873" t="str">
        <f t="shared" si="654"/>
        <v/>
      </c>
      <c r="CO250" s="2873" t="str">
        <f t="shared" si="655"/>
        <v/>
      </c>
      <c r="CP250" s="2873" t="str">
        <f t="shared" si="656"/>
        <v/>
      </c>
      <c r="CQ250" s="2873" t="str">
        <f t="shared" si="657"/>
        <v/>
      </c>
      <c r="CR250" s="2873"/>
      <c r="CS250" s="2718"/>
      <c r="CT250" s="6325" t="str">
        <f t="shared" si="684"/>
        <v/>
      </c>
      <c r="CU250" s="6325" t="str">
        <f t="shared" si="685"/>
        <v/>
      </c>
      <c r="CV250" s="6325" t="str">
        <f t="shared" si="660"/>
        <v/>
      </c>
      <c r="CW250" s="6325" t="str">
        <f t="shared" si="661"/>
        <v/>
      </c>
      <c r="DE250" s="3235">
        <f t="shared" si="662"/>
        <v>0</v>
      </c>
      <c r="DF250" s="2873">
        <f t="shared" si="678"/>
        <v>0</v>
      </c>
      <c r="DG250" s="2873">
        <f t="shared" si="663"/>
        <v>0</v>
      </c>
      <c r="DH250" s="2718"/>
      <c r="DI250" s="2718"/>
      <c r="DJ250" s="2718"/>
      <c r="DK250" s="2718"/>
      <c r="DL250" s="2718"/>
      <c r="DM250" s="2873">
        <f t="shared" si="664"/>
        <v>0</v>
      </c>
      <c r="DN250" s="603"/>
      <c r="DO250" s="2873">
        <f t="shared" si="665"/>
        <v>0</v>
      </c>
      <c r="DP250" s="2873">
        <f t="shared" si="666"/>
        <v>0</v>
      </c>
      <c r="DQ250" s="2873">
        <f t="shared" si="667"/>
        <v>0</v>
      </c>
      <c r="DR250" s="2873">
        <f t="shared" si="668"/>
        <v>0</v>
      </c>
      <c r="DS250" s="2873">
        <f t="shared" si="669"/>
        <v>0</v>
      </c>
      <c r="DT250" s="2873">
        <f t="shared" si="670"/>
        <v>0</v>
      </c>
      <c r="DU250" s="2873">
        <f t="shared" si="671"/>
        <v>0</v>
      </c>
      <c r="DV250" s="2873"/>
      <c r="DW250" s="2718"/>
      <c r="DX250" s="6325">
        <f t="shared" si="686"/>
        <v>0</v>
      </c>
      <c r="DY250" s="6325">
        <f t="shared" si="687"/>
        <v>0</v>
      </c>
      <c r="DZ250" s="6325">
        <f t="shared" si="674"/>
        <v>0</v>
      </c>
      <c r="EA250" s="6325">
        <f t="shared" si="675"/>
        <v>0</v>
      </c>
    </row>
    <row r="251" spans="1:131" ht="23.25" customHeight="1" x14ac:dyDescent="0.25">
      <c r="A251" s="6579"/>
      <c r="B251" s="3648" t="s">
        <v>2709</v>
      </c>
      <c r="C251" s="3644">
        <f>+M251+O251+Q251+S251+U251+W251+Y251+AA251+AC251+AE251+AG251+AI251</f>
        <v>0</v>
      </c>
      <c r="D251" s="4929">
        <f t="shared" ref="C251:D255" si="688">+N251+P251+R251+T251+V251+X251+Z251+AB251+AD251+AF251+AH251+AJ251</f>
        <v>0</v>
      </c>
      <c r="E251" s="3645"/>
      <c r="F251" s="3646"/>
      <c r="G251" s="3647"/>
      <c r="H251" s="3646"/>
      <c r="I251" s="3647"/>
      <c r="J251" s="3657"/>
      <c r="K251" s="3647"/>
      <c r="L251" s="3646"/>
      <c r="M251" s="615"/>
      <c r="N251" s="5362"/>
      <c r="O251" s="3572"/>
      <c r="P251" s="5338"/>
      <c r="Q251" s="5229"/>
      <c r="R251" s="5338"/>
      <c r="S251" s="5229"/>
      <c r="T251" s="5338"/>
      <c r="U251" s="5229"/>
      <c r="V251" s="5338"/>
      <c r="W251" s="3572"/>
      <c r="X251" s="5338"/>
      <c r="Y251" s="3572"/>
      <c r="Z251" s="5338"/>
      <c r="AA251" s="3572"/>
      <c r="AB251" s="5338"/>
      <c r="AC251" s="5229"/>
      <c r="AD251" s="5338"/>
      <c r="AE251" s="3572"/>
      <c r="AF251" s="5338"/>
      <c r="AG251" s="3572"/>
      <c r="AH251" s="5338"/>
      <c r="AI251" s="3572"/>
      <c r="AJ251" s="5336"/>
      <c r="AK251" s="5337"/>
      <c r="AL251" s="5338"/>
      <c r="AM251" s="3572"/>
      <c r="AN251" s="5336"/>
      <c r="AO251" s="5337"/>
      <c r="AP251" s="5338"/>
      <c r="AQ251" s="3572"/>
      <c r="AR251" s="5336"/>
      <c r="AS251" s="5337"/>
      <c r="AT251" s="3610"/>
      <c r="AU251" s="5337"/>
      <c r="AV251" s="3610"/>
      <c r="AW251" s="3572"/>
      <c r="AX251" s="5338"/>
      <c r="AY251" s="1755" t="str">
        <f t="shared" si="676"/>
        <v/>
      </c>
      <c r="CA251" s="3235" t="str">
        <f t="shared" si="682"/>
        <v/>
      </c>
      <c r="CB251" s="2873" t="str">
        <f t="shared" si="677"/>
        <v/>
      </c>
      <c r="CC251" s="2873" t="str">
        <f t="shared" si="649"/>
        <v/>
      </c>
      <c r="CD251" s="2718"/>
      <c r="CE251" s="2718"/>
      <c r="CF251" s="2718"/>
      <c r="CG251" s="2718"/>
      <c r="CH251" s="2718"/>
      <c r="CI251" s="2873" t="str">
        <f t="shared" si="650"/>
        <v/>
      </c>
      <c r="CJ251" s="603"/>
      <c r="CK251" s="2873" t="str">
        <f t="shared" si="651"/>
        <v/>
      </c>
      <c r="CL251" s="2873" t="str">
        <f t="shared" si="652"/>
        <v/>
      </c>
      <c r="CM251" s="2873" t="str">
        <f t="shared" si="653"/>
        <v/>
      </c>
      <c r="CN251" s="2873" t="str">
        <f t="shared" si="654"/>
        <v/>
      </c>
      <c r="CO251" s="2873" t="str">
        <f t="shared" si="655"/>
        <v/>
      </c>
      <c r="CP251" s="2873" t="str">
        <f t="shared" si="656"/>
        <v/>
      </c>
      <c r="CQ251" s="2873" t="str">
        <f t="shared" si="657"/>
        <v/>
      </c>
      <c r="CR251" s="2873"/>
      <c r="CS251" s="2718"/>
      <c r="CT251" s="6325" t="str">
        <f t="shared" si="684"/>
        <v/>
      </c>
      <c r="CU251" s="6325" t="str">
        <f t="shared" si="685"/>
        <v/>
      </c>
      <c r="CV251" s="6325" t="str">
        <f t="shared" si="660"/>
        <v/>
      </c>
      <c r="CW251" s="6325" t="str">
        <f t="shared" si="661"/>
        <v/>
      </c>
      <c r="DE251" s="3235">
        <f t="shared" si="662"/>
        <v>0</v>
      </c>
      <c r="DF251" s="2873">
        <f t="shared" si="678"/>
        <v>0</v>
      </c>
      <c r="DG251" s="2873">
        <f t="shared" si="663"/>
        <v>0</v>
      </c>
      <c r="DH251" s="2718"/>
      <c r="DI251" s="2718"/>
      <c r="DJ251" s="2718"/>
      <c r="DK251" s="2718"/>
      <c r="DL251" s="2718"/>
      <c r="DM251" s="2873">
        <f t="shared" si="664"/>
        <v>0</v>
      </c>
      <c r="DN251" s="603"/>
      <c r="DO251" s="2873">
        <f t="shared" si="665"/>
        <v>0</v>
      </c>
      <c r="DP251" s="2873">
        <f t="shared" si="666"/>
        <v>0</v>
      </c>
      <c r="DQ251" s="2873">
        <f t="shared" si="667"/>
        <v>0</v>
      </c>
      <c r="DR251" s="2873">
        <f t="shared" si="668"/>
        <v>0</v>
      </c>
      <c r="DS251" s="2873">
        <f t="shared" si="669"/>
        <v>0</v>
      </c>
      <c r="DT251" s="2873">
        <f t="shared" si="670"/>
        <v>0</v>
      </c>
      <c r="DU251" s="2873">
        <f t="shared" si="671"/>
        <v>0</v>
      </c>
      <c r="DV251" s="2873"/>
      <c r="DW251" s="2718"/>
      <c r="DX251" s="6325">
        <f t="shared" si="686"/>
        <v>0</v>
      </c>
      <c r="DY251" s="6325">
        <f t="shared" si="687"/>
        <v>0</v>
      </c>
      <c r="DZ251" s="6325">
        <f t="shared" si="674"/>
        <v>0</v>
      </c>
      <c r="EA251" s="6325">
        <f t="shared" si="675"/>
        <v>0</v>
      </c>
    </row>
    <row r="252" spans="1:131" ht="15" customHeight="1" x14ac:dyDescent="0.25">
      <c r="A252" s="6579"/>
      <c r="B252" s="3648" t="s">
        <v>2726</v>
      </c>
      <c r="C252" s="3644">
        <f t="shared" si="688"/>
        <v>0</v>
      </c>
      <c r="D252" s="4929">
        <f t="shared" si="688"/>
        <v>0</v>
      </c>
      <c r="E252" s="3645"/>
      <c r="F252" s="3646"/>
      <c r="G252" s="3647"/>
      <c r="H252" s="3646"/>
      <c r="I252" s="3647"/>
      <c r="J252" s="3646"/>
      <c r="K252" s="3647"/>
      <c r="L252" s="3646"/>
      <c r="M252" s="3572"/>
      <c r="N252" s="5338"/>
      <c r="O252" s="3572"/>
      <c r="P252" s="5338"/>
      <c r="Q252" s="5229"/>
      <c r="R252" s="5338"/>
      <c r="S252" s="5229"/>
      <c r="T252" s="5338"/>
      <c r="U252" s="5229"/>
      <c r="V252" s="5338"/>
      <c r="W252" s="3572"/>
      <c r="X252" s="5338"/>
      <c r="Y252" s="3572"/>
      <c r="Z252" s="5338"/>
      <c r="AA252" s="3572"/>
      <c r="AB252" s="5338"/>
      <c r="AC252" s="5229"/>
      <c r="AD252" s="5338"/>
      <c r="AE252" s="3572"/>
      <c r="AF252" s="5338"/>
      <c r="AG252" s="3572"/>
      <c r="AH252" s="5338"/>
      <c r="AI252" s="3572"/>
      <c r="AJ252" s="5336"/>
      <c r="AK252" s="5337"/>
      <c r="AL252" s="5338"/>
      <c r="AM252" s="3572"/>
      <c r="AN252" s="5336"/>
      <c r="AO252" s="5337"/>
      <c r="AP252" s="5338"/>
      <c r="AQ252" s="3572"/>
      <c r="AR252" s="5336"/>
      <c r="AS252" s="5337"/>
      <c r="AT252" s="3610"/>
      <c r="AU252" s="5337"/>
      <c r="AV252" s="3610"/>
      <c r="AW252" s="3572"/>
      <c r="AX252" s="5338"/>
      <c r="AY252" s="1755" t="str">
        <f t="shared" si="676"/>
        <v/>
      </c>
      <c r="CA252" s="3235" t="str">
        <f t="shared" si="682"/>
        <v/>
      </c>
      <c r="CB252" s="2873" t="str">
        <f t="shared" si="677"/>
        <v/>
      </c>
      <c r="CC252" s="2873" t="str">
        <f t="shared" si="649"/>
        <v/>
      </c>
      <c r="CD252" s="2718"/>
      <c r="CE252" s="2718"/>
      <c r="CF252" s="2718"/>
      <c r="CG252" s="2718"/>
      <c r="CH252" s="2718"/>
      <c r="CI252" s="2873" t="str">
        <f t="shared" si="650"/>
        <v/>
      </c>
      <c r="CJ252" s="603"/>
      <c r="CK252" s="2873" t="str">
        <f t="shared" si="651"/>
        <v/>
      </c>
      <c r="CL252" s="2873" t="str">
        <f t="shared" si="652"/>
        <v/>
      </c>
      <c r="CM252" s="2873" t="str">
        <f t="shared" si="653"/>
        <v/>
      </c>
      <c r="CN252" s="2873" t="str">
        <f t="shared" si="654"/>
        <v/>
      </c>
      <c r="CO252" s="2873" t="str">
        <f t="shared" si="655"/>
        <v/>
      </c>
      <c r="CP252" s="2873" t="str">
        <f t="shared" si="656"/>
        <v/>
      </c>
      <c r="CQ252" s="2873" t="str">
        <f t="shared" si="657"/>
        <v/>
      </c>
      <c r="CR252" s="2873"/>
      <c r="CS252" s="2718"/>
      <c r="CT252" s="6325" t="str">
        <f t="shared" si="684"/>
        <v/>
      </c>
      <c r="CU252" s="6325" t="str">
        <f t="shared" si="685"/>
        <v/>
      </c>
      <c r="CV252" s="6325" t="str">
        <f t="shared" si="660"/>
        <v/>
      </c>
      <c r="CW252" s="6325" t="str">
        <f t="shared" si="661"/>
        <v/>
      </c>
      <c r="DE252" s="3235">
        <f t="shared" si="662"/>
        <v>0</v>
      </c>
      <c r="DF252" s="2873">
        <f t="shared" si="678"/>
        <v>0</v>
      </c>
      <c r="DG252" s="2873">
        <f t="shared" si="663"/>
        <v>0</v>
      </c>
      <c r="DH252" s="2718"/>
      <c r="DI252" s="2718"/>
      <c r="DJ252" s="2718"/>
      <c r="DK252" s="2718"/>
      <c r="DL252" s="2718"/>
      <c r="DM252" s="2873">
        <f t="shared" si="664"/>
        <v>0</v>
      </c>
      <c r="DN252" s="603"/>
      <c r="DO252" s="2873">
        <f t="shared" si="665"/>
        <v>0</v>
      </c>
      <c r="DP252" s="2873">
        <f t="shared" si="666"/>
        <v>0</v>
      </c>
      <c r="DQ252" s="2873">
        <f t="shared" si="667"/>
        <v>0</v>
      </c>
      <c r="DR252" s="2873">
        <f t="shared" si="668"/>
        <v>0</v>
      </c>
      <c r="DS252" s="2873">
        <f t="shared" si="669"/>
        <v>0</v>
      </c>
      <c r="DT252" s="2873">
        <f t="shared" si="670"/>
        <v>0</v>
      </c>
      <c r="DU252" s="2873">
        <f t="shared" si="671"/>
        <v>0</v>
      </c>
      <c r="DV252" s="2873"/>
      <c r="DW252" s="2718"/>
      <c r="DX252" s="6325">
        <f t="shared" si="686"/>
        <v>0</v>
      </c>
      <c r="DY252" s="6325">
        <f t="shared" si="687"/>
        <v>0</v>
      </c>
      <c r="DZ252" s="6325">
        <f t="shared" si="674"/>
        <v>0</v>
      </c>
      <c r="EA252" s="6325">
        <f t="shared" si="675"/>
        <v>0</v>
      </c>
    </row>
    <row r="253" spans="1:131" ht="15" customHeight="1" x14ac:dyDescent="0.25">
      <c r="A253" s="6579"/>
      <c r="B253" s="3648" t="s">
        <v>2727</v>
      </c>
      <c r="C253" s="3656">
        <f t="shared" si="688"/>
        <v>0</v>
      </c>
      <c r="D253" s="4929">
        <f t="shared" si="688"/>
        <v>0</v>
      </c>
      <c r="E253" s="3645"/>
      <c r="F253" s="3646"/>
      <c r="G253" s="3647"/>
      <c r="H253" s="3646"/>
      <c r="I253" s="3647"/>
      <c r="J253" s="3646"/>
      <c r="K253" s="3647"/>
      <c r="L253" s="3646"/>
      <c r="M253" s="3572"/>
      <c r="N253" s="5338"/>
      <c r="O253" s="3572"/>
      <c r="P253" s="5338"/>
      <c r="Q253" s="5229"/>
      <c r="R253" s="5338"/>
      <c r="S253" s="5229"/>
      <c r="T253" s="5338"/>
      <c r="U253" s="5229"/>
      <c r="V253" s="5338"/>
      <c r="W253" s="3572"/>
      <c r="X253" s="5338"/>
      <c r="Y253" s="3572"/>
      <c r="Z253" s="5338"/>
      <c r="AA253" s="3572"/>
      <c r="AB253" s="5338"/>
      <c r="AC253" s="5229"/>
      <c r="AD253" s="5338"/>
      <c r="AE253" s="3572"/>
      <c r="AF253" s="5338"/>
      <c r="AG253" s="3572"/>
      <c r="AH253" s="5338"/>
      <c r="AI253" s="3572"/>
      <c r="AJ253" s="5336"/>
      <c r="AK253" s="5337"/>
      <c r="AL253" s="5338"/>
      <c r="AM253" s="3572"/>
      <c r="AN253" s="5336"/>
      <c r="AO253" s="5337"/>
      <c r="AP253" s="5338"/>
      <c r="AQ253" s="3572"/>
      <c r="AR253" s="5336"/>
      <c r="AS253" s="5337"/>
      <c r="AT253" s="3610"/>
      <c r="AU253" s="5337"/>
      <c r="AV253" s="3610"/>
      <c r="AW253" s="3572"/>
      <c r="AX253" s="5338"/>
      <c r="AY253" s="1755" t="str">
        <f t="shared" si="676"/>
        <v/>
      </c>
      <c r="CA253" s="3235" t="str">
        <f t="shared" si="682"/>
        <v/>
      </c>
      <c r="CB253" s="2873" t="str">
        <f t="shared" si="677"/>
        <v/>
      </c>
      <c r="CC253" s="2873" t="str">
        <f t="shared" si="649"/>
        <v/>
      </c>
      <c r="CD253" s="2718"/>
      <c r="CE253" s="2718"/>
      <c r="CF253" s="2718"/>
      <c r="CG253" s="2718"/>
      <c r="CH253" s="2718"/>
      <c r="CI253" s="2873" t="str">
        <f t="shared" si="650"/>
        <v/>
      </c>
      <c r="CJ253" s="603"/>
      <c r="CK253" s="2873" t="str">
        <f t="shared" si="651"/>
        <v/>
      </c>
      <c r="CL253" s="2873" t="str">
        <f t="shared" si="652"/>
        <v/>
      </c>
      <c r="CM253" s="2873" t="str">
        <f t="shared" si="653"/>
        <v/>
      </c>
      <c r="CN253" s="2873" t="str">
        <f t="shared" si="654"/>
        <v/>
      </c>
      <c r="CO253" s="2873" t="str">
        <f t="shared" si="655"/>
        <v/>
      </c>
      <c r="CP253" s="2873" t="str">
        <f t="shared" si="656"/>
        <v/>
      </c>
      <c r="CQ253" s="2873" t="str">
        <f t="shared" si="657"/>
        <v/>
      </c>
      <c r="CR253" s="2873"/>
      <c r="CS253" s="2718"/>
      <c r="CT253" s="6325" t="str">
        <f t="shared" si="684"/>
        <v/>
      </c>
      <c r="CU253" s="6325" t="str">
        <f t="shared" si="685"/>
        <v/>
      </c>
      <c r="CV253" s="6325" t="str">
        <f t="shared" si="660"/>
        <v/>
      </c>
      <c r="CW253" s="6325" t="str">
        <f t="shared" si="661"/>
        <v/>
      </c>
      <c r="DE253" s="3235">
        <f t="shared" si="662"/>
        <v>0</v>
      </c>
      <c r="DF253" s="2873">
        <f t="shared" si="678"/>
        <v>0</v>
      </c>
      <c r="DG253" s="2873">
        <f t="shared" si="663"/>
        <v>0</v>
      </c>
      <c r="DH253" s="2718"/>
      <c r="DI253" s="2718"/>
      <c r="DJ253" s="2718"/>
      <c r="DK253" s="2718"/>
      <c r="DL253" s="2718"/>
      <c r="DM253" s="2873">
        <f t="shared" si="664"/>
        <v>0</v>
      </c>
      <c r="DN253" s="603"/>
      <c r="DO253" s="2873">
        <f t="shared" si="665"/>
        <v>0</v>
      </c>
      <c r="DP253" s="2873">
        <f t="shared" si="666"/>
        <v>0</v>
      </c>
      <c r="DQ253" s="2873">
        <f t="shared" si="667"/>
        <v>0</v>
      </c>
      <c r="DR253" s="2873">
        <f t="shared" si="668"/>
        <v>0</v>
      </c>
      <c r="DS253" s="2873">
        <f t="shared" si="669"/>
        <v>0</v>
      </c>
      <c r="DT253" s="2873">
        <f t="shared" si="670"/>
        <v>0</v>
      </c>
      <c r="DU253" s="2873">
        <f t="shared" si="671"/>
        <v>0</v>
      </c>
      <c r="DV253" s="2873"/>
      <c r="DW253" s="2718"/>
      <c r="DX253" s="6325">
        <f t="shared" si="686"/>
        <v>0</v>
      </c>
      <c r="DY253" s="6325">
        <f t="shared" si="687"/>
        <v>0</v>
      </c>
      <c r="DZ253" s="6325">
        <f t="shared" si="674"/>
        <v>0</v>
      </c>
      <c r="EA253" s="6325">
        <f t="shared" si="675"/>
        <v>0</v>
      </c>
    </row>
    <row r="254" spans="1:131" ht="15" customHeight="1" x14ac:dyDescent="0.25">
      <c r="A254" s="6579"/>
      <c r="B254" s="3135" t="s">
        <v>2712</v>
      </c>
      <c r="C254" s="3644">
        <f t="shared" si="688"/>
        <v>0</v>
      </c>
      <c r="D254" s="4929">
        <f t="shared" si="688"/>
        <v>0</v>
      </c>
      <c r="E254" s="3645"/>
      <c r="F254" s="3646"/>
      <c r="G254" s="3647"/>
      <c r="H254" s="3646"/>
      <c r="I254" s="3647"/>
      <c r="J254" s="3646"/>
      <c r="K254" s="3647"/>
      <c r="L254" s="3657"/>
      <c r="M254" s="3572"/>
      <c r="N254" s="5338"/>
      <c r="O254" s="3572"/>
      <c r="P254" s="5338"/>
      <c r="Q254" s="5229"/>
      <c r="R254" s="5338"/>
      <c r="S254" s="5229"/>
      <c r="T254" s="5338"/>
      <c r="U254" s="5229"/>
      <c r="V254" s="5338"/>
      <c r="W254" s="3572"/>
      <c r="X254" s="5338"/>
      <c r="Y254" s="3572"/>
      <c r="Z254" s="5338"/>
      <c r="AA254" s="3572"/>
      <c r="AB254" s="5338"/>
      <c r="AC254" s="5229"/>
      <c r="AD254" s="5338"/>
      <c r="AE254" s="3572"/>
      <c r="AF254" s="5338"/>
      <c r="AG254" s="3572"/>
      <c r="AH254" s="5338"/>
      <c r="AI254" s="3572"/>
      <c r="AJ254" s="5336"/>
      <c r="AK254" s="5337"/>
      <c r="AL254" s="5338"/>
      <c r="AM254" s="3572"/>
      <c r="AN254" s="5336"/>
      <c r="AO254" s="5337"/>
      <c r="AP254" s="5338"/>
      <c r="AQ254" s="3572"/>
      <c r="AR254" s="5336"/>
      <c r="AS254" s="5337"/>
      <c r="AT254" s="3610"/>
      <c r="AU254" s="5337"/>
      <c r="AV254" s="3610"/>
      <c r="AW254" s="3572"/>
      <c r="AX254" s="5338"/>
      <c r="AY254" s="1755" t="str">
        <f t="shared" si="676"/>
        <v/>
      </c>
      <c r="CA254" s="3235" t="str">
        <f t="shared" si="682"/>
        <v/>
      </c>
      <c r="CB254" s="2873" t="str">
        <f t="shared" si="677"/>
        <v/>
      </c>
      <c r="CC254" s="2873" t="str">
        <f t="shared" si="649"/>
        <v/>
      </c>
      <c r="CD254" s="2718"/>
      <c r="CE254" s="2718"/>
      <c r="CF254" s="2718"/>
      <c r="CG254" s="2718"/>
      <c r="CH254" s="2718"/>
      <c r="CI254" s="2873" t="str">
        <f t="shared" si="650"/>
        <v/>
      </c>
      <c r="CJ254" s="603"/>
      <c r="CK254" s="2873" t="str">
        <f t="shared" si="651"/>
        <v/>
      </c>
      <c r="CL254" s="2873" t="str">
        <f t="shared" si="652"/>
        <v/>
      </c>
      <c r="CM254" s="2873" t="str">
        <f t="shared" si="653"/>
        <v/>
      </c>
      <c r="CN254" s="2873" t="str">
        <f t="shared" si="654"/>
        <v/>
      </c>
      <c r="CO254" s="2873" t="str">
        <f t="shared" si="655"/>
        <v/>
      </c>
      <c r="CP254" s="2873" t="str">
        <f t="shared" si="656"/>
        <v/>
      </c>
      <c r="CQ254" s="2873" t="str">
        <f t="shared" si="657"/>
        <v/>
      </c>
      <c r="CR254" s="2873"/>
      <c r="CS254" s="2718"/>
      <c r="CT254" s="6325" t="str">
        <f t="shared" si="684"/>
        <v/>
      </c>
      <c r="CU254" s="6325" t="str">
        <f t="shared" si="685"/>
        <v/>
      </c>
      <c r="CV254" s="6325" t="str">
        <f t="shared" si="660"/>
        <v/>
      </c>
      <c r="CW254" s="6325" t="str">
        <f t="shared" si="661"/>
        <v/>
      </c>
      <c r="DE254" s="3235">
        <f t="shared" si="662"/>
        <v>0</v>
      </c>
      <c r="DF254" s="2873">
        <f t="shared" si="678"/>
        <v>0</v>
      </c>
      <c r="DG254" s="2873">
        <f t="shared" si="663"/>
        <v>0</v>
      </c>
      <c r="DH254" s="2718"/>
      <c r="DI254" s="2718"/>
      <c r="DJ254" s="2718"/>
      <c r="DK254" s="2718"/>
      <c r="DL254" s="2718"/>
      <c r="DM254" s="2873">
        <f t="shared" si="664"/>
        <v>0</v>
      </c>
      <c r="DN254" s="603"/>
      <c r="DO254" s="2873">
        <f t="shared" si="665"/>
        <v>0</v>
      </c>
      <c r="DP254" s="2873">
        <f t="shared" si="666"/>
        <v>0</v>
      </c>
      <c r="DQ254" s="2873">
        <f t="shared" si="667"/>
        <v>0</v>
      </c>
      <c r="DR254" s="2873">
        <f t="shared" si="668"/>
        <v>0</v>
      </c>
      <c r="DS254" s="2873">
        <f t="shared" si="669"/>
        <v>0</v>
      </c>
      <c r="DT254" s="2873">
        <f t="shared" si="670"/>
        <v>0</v>
      </c>
      <c r="DU254" s="2873">
        <f t="shared" si="671"/>
        <v>0</v>
      </c>
      <c r="DV254" s="2873"/>
      <c r="DW254" s="2718"/>
      <c r="DX254" s="6325">
        <f t="shared" si="686"/>
        <v>0</v>
      </c>
      <c r="DY254" s="6325">
        <f t="shared" si="687"/>
        <v>0</v>
      </c>
      <c r="DZ254" s="6325">
        <f t="shared" si="674"/>
        <v>0</v>
      </c>
      <c r="EA254" s="6325">
        <f t="shared" si="675"/>
        <v>0</v>
      </c>
    </row>
    <row r="255" spans="1:131" ht="15" customHeight="1" x14ac:dyDescent="0.25">
      <c r="A255" s="7269"/>
      <c r="B255" s="150" t="s">
        <v>2713</v>
      </c>
      <c r="C255" s="617">
        <f t="shared" si="688"/>
        <v>0</v>
      </c>
      <c r="D255" s="161">
        <f t="shared" si="688"/>
        <v>0</v>
      </c>
      <c r="E255" s="5408"/>
      <c r="F255" s="5409"/>
      <c r="G255" s="5410"/>
      <c r="H255" s="5409"/>
      <c r="I255" s="5410"/>
      <c r="J255" s="5409"/>
      <c r="K255" s="5410"/>
      <c r="L255" s="5409"/>
      <c r="M255" s="288"/>
      <c r="N255" s="3587"/>
      <c r="O255" s="288"/>
      <c r="P255" s="3587"/>
      <c r="Q255" s="3586"/>
      <c r="R255" s="3587"/>
      <c r="S255" s="3586"/>
      <c r="T255" s="3587"/>
      <c r="U255" s="3586"/>
      <c r="V255" s="3587"/>
      <c r="W255" s="288"/>
      <c r="X255" s="3587"/>
      <c r="Y255" s="288"/>
      <c r="Z255" s="3587"/>
      <c r="AA255" s="288"/>
      <c r="AB255" s="3587"/>
      <c r="AC255" s="3586"/>
      <c r="AD255" s="3587"/>
      <c r="AE255" s="288"/>
      <c r="AF255" s="3587"/>
      <c r="AG255" s="288"/>
      <c r="AH255" s="3587"/>
      <c r="AI255" s="288"/>
      <c r="AJ255" s="3588"/>
      <c r="AK255" s="3589"/>
      <c r="AL255" s="3587"/>
      <c r="AM255" s="288"/>
      <c r="AN255" s="3588"/>
      <c r="AO255" s="3589"/>
      <c r="AP255" s="3587"/>
      <c r="AQ255" s="288"/>
      <c r="AR255" s="3588"/>
      <c r="AS255" s="3589"/>
      <c r="AT255" s="385"/>
      <c r="AU255" s="3589"/>
      <c r="AV255" s="385"/>
      <c r="AW255" s="288"/>
      <c r="AX255" s="3587"/>
      <c r="AY255" s="1755" t="str">
        <f t="shared" si="676"/>
        <v/>
      </c>
      <c r="CA255" s="3235" t="str">
        <f t="shared" si="682"/>
        <v/>
      </c>
      <c r="CB255" s="2873" t="str">
        <f t="shared" si="677"/>
        <v/>
      </c>
      <c r="CC255" s="2873" t="str">
        <f t="shared" si="649"/>
        <v/>
      </c>
      <c r="CD255" s="2718"/>
      <c r="CE255" s="2718"/>
      <c r="CF255" s="2718"/>
      <c r="CG255" s="2718"/>
      <c r="CH255" s="2718"/>
      <c r="CI255" s="2873" t="str">
        <f t="shared" si="650"/>
        <v/>
      </c>
      <c r="CJ255" s="603"/>
      <c r="CK255" s="2873" t="str">
        <f t="shared" si="651"/>
        <v/>
      </c>
      <c r="CL255" s="2873" t="str">
        <f t="shared" si="652"/>
        <v/>
      </c>
      <c r="CM255" s="2873" t="str">
        <f t="shared" si="653"/>
        <v/>
      </c>
      <c r="CN255" s="2873" t="str">
        <f t="shared" si="654"/>
        <v/>
      </c>
      <c r="CO255" s="2873" t="str">
        <f t="shared" si="655"/>
        <v/>
      </c>
      <c r="CP255" s="2873" t="str">
        <f t="shared" si="656"/>
        <v/>
      </c>
      <c r="CQ255" s="2873" t="str">
        <f t="shared" si="657"/>
        <v/>
      </c>
      <c r="CR255" s="2873"/>
      <c r="CS255" s="2718"/>
      <c r="CT255" s="6325" t="str">
        <f t="shared" si="684"/>
        <v/>
      </c>
      <c r="CU255" s="6325" t="str">
        <f t="shared" si="685"/>
        <v/>
      </c>
      <c r="CV255" s="6325" t="str">
        <f t="shared" si="660"/>
        <v/>
      </c>
      <c r="CW255" s="6325" t="str">
        <f t="shared" si="661"/>
        <v/>
      </c>
      <c r="DE255" s="3235">
        <f t="shared" si="662"/>
        <v>0</v>
      </c>
      <c r="DF255" s="2873">
        <f t="shared" si="678"/>
        <v>0</v>
      </c>
      <c r="DG255" s="2873">
        <f t="shared" si="663"/>
        <v>0</v>
      </c>
      <c r="DH255" s="2718"/>
      <c r="DI255" s="2718"/>
      <c r="DJ255" s="2718"/>
      <c r="DK255" s="2718"/>
      <c r="DL255" s="2718"/>
      <c r="DM255" s="2873">
        <f t="shared" si="664"/>
        <v>0</v>
      </c>
      <c r="DN255" s="603"/>
      <c r="DO255" s="2873">
        <f t="shared" si="665"/>
        <v>0</v>
      </c>
      <c r="DP255" s="2873">
        <f t="shared" si="666"/>
        <v>0</v>
      </c>
      <c r="DQ255" s="2873">
        <f t="shared" si="667"/>
        <v>0</v>
      </c>
      <c r="DR255" s="2873">
        <f t="shared" si="668"/>
        <v>0</v>
      </c>
      <c r="DS255" s="2873">
        <f t="shared" si="669"/>
        <v>0</v>
      </c>
      <c r="DT255" s="2873">
        <f t="shared" si="670"/>
        <v>0</v>
      </c>
      <c r="DU255" s="2873">
        <f t="shared" si="671"/>
        <v>0</v>
      </c>
      <c r="DV255" s="2873"/>
      <c r="DW255" s="2718"/>
      <c r="DX255" s="6325">
        <f t="shared" si="686"/>
        <v>0</v>
      </c>
      <c r="DY255" s="6325">
        <f t="shared" si="687"/>
        <v>0</v>
      </c>
      <c r="DZ255" s="6325">
        <f t="shared" si="674"/>
        <v>0</v>
      </c>
      <c r="EA255" s="6325">
        <f t="shared" si="675"/>
        <v>0</v>
      </c>
    </row>
    <row r="256" spans="1:131" ht="15" customHeight="1" x14ac:dyDescent="0.25">
      <c r="A256" s="7679" t="s">
        <v>2728</v>
      </c>
      <c r="B256" s="1760" t="s">
        <v>2729</v>
      </c>
      <c r="C256" s="4931">
        <f t="shared" ref="C256:D259" si="689">+E256+G256+I256+K256+M256+O256+Q256+S256+U256+W256+Y256+AA256+AC256+AE256+AG256+AI256</f>
        <v>0</v>
      </c>
      <c r="D256" s="5411">
        <f t="shared" si="689"/>
        <v>0</v>
      </c>
      <c r="E256" s="615"/>
      <c r="F256" s="5362"/>
      <c r="G256" s="615"/>
      <c r="H256" s="5362"/>
      <c r="I256" s="615"/>
      <c r="J256" s="5362"/>
      <c r="K256" s="615"/>
      <c r="L256" s="5362"/>
      <c r="M256" s="615"/>
      <c r="N256" s="5362"/>
      <c r="O256" s="615"/>
      <c r="P256" s="5362"/>
      <c r="Q256" s="276"/>
      <c r="R256" s="5362"/>
      <c r="S256" s="276"/>
      <c r="T256" s="5362"/>
      <c r="U256" s="276"/>
      <c r="V256" s="5362"/>
      <c r="W256" s="615"/>
      <c r="X256" s="5362"/>
      <c r="Y256" s="615"/>
      <c r="Z256" s="5362"/>
      <c r="AA256" s="615"/>
      <c r="AB256" s="5362"/>
      <c r="AC256" s="276"/>
      <c r="AD256" s="5362"/>
      <c r="AE256" s="615"/>
      <c r="AF256" s="5362"/>
      <c r="AG256" s="615"/>
      <c r="AH256" s="5362"/>
      <c r="AI256" s="615"/>
      <c r="AJ256" s="5335"/>
      <c r="AK256" s="5393"/>
      <c r="AL256" s="5362"/>
      <c r="AM256" s="615"/>
      <c r="AN256" s="5335"/>
      <c r="AO256" s="5393"/>
      <c r="AP256" s="5362"/>
      <c r="AQ256" s="615"/>
      <c r="AR256" s="5335"/>
      <c r="AS256" s="5393"/>
      <c r="AT256" s="3608"/>
      <c r="AU256" s="5393"/>
      <c r="AV256" s="3608"/>
      <c r="AW256" s="615"/>
      <c r="AX256" s="5362"/>
      <c r="AY256" s="1755" t="str">
        <f t="shared" si="676"/>
        <v/>
      </c>
      <c r="CA256" s="3235" t="str">
        <f t="shared" si="682"/>
        <v/>
      </c>
      <c r="CB256" s="2873" t="str">
        <f t="shared" si="677"/>
        <v/>
      </c>
      <c r="CC256" s="2873" t="str">
        <f t="shared" si="649"/>
        <v/>
      </c>
      <c r="CD256" s="2718"/>
      <c r="CE256" s="2718"/>
      <c r="CF256" s="2718"/>
      <c r="CG256" s="2718"/>
      <c r="CH256" s="2718"/>
      <c r="CI256" s="2873" t="str">
        <f t="shared" si="650"/>
        <v/>
      </c>
      <c r="CJ256" s="603"/>
      <c r="CK256" s="2873" t="str">
        <f t="shared" si="651"/>
        <v/>
      </c>
      <c r="CL256" s="2873" t="str">
        <f t="shared" si="652"/>
        <v/>
      </c>
      <c r="CM256" s="2873" t="str">
        <f t="shared" si="653"/>
        <v/>
      </c>
      <c r="CN256" s="2873" t="str">
        <f t="shared" si="654"/>
        <v/>
      </c>
      <c r="CO256" s="2873" t="str">
        <f t="shared" si="655"/>
        <v/>
      </c>
      <c r="CP256" s="2873" t="str">
        <f t="shared" si="656"/>
        <v/>
      </c>
      <c r="CQ256" s="2873" t="str">
        <f t="shared" si="657"/>
        <v/>
      </c>
      <c r="CR256" s="2873"/>
      <c r="CS256" s="2718"/>
      <c r="CT256" s="6325" t="str">
        <f t="shared" si="684"/>
        <v/>
      </c>
      <c r="CU256" s="6325" t="str">
        <f t="shared" si="685"/>
        <v/>
      </c>
      <c r="CV256" s="6325" t="str">
        <f t="shared" si="660"/>
        <v/>
      </c>
      <c r="CW256" s="6325" t="str">
        <f t="shared" si="661"/>
        <v/>
      </c>
      <c r="DE256" s="3235">
        <f t="shared" si="662"/>
        <v>0</v>
      </c>
      <c r="DF256" s="2873">
        <f t="shared" si="678"/>
        <v>0</v>
      </c>
      <c r="DG256" s="2873">
        <f t="shared" si="663"/>
        <v>0</v>
      </c>
      <c r="DH256" s="2718"/>
      <c r="DI256" s="2718"/>
      <c r="DJ256" s="2718"/>
      <c r="DK256" s="2718"/>
      <c r="DL256" s="2718"/>
      <c r="DM256" s="2873">
        <f t="shared" si="664"/>
        <v>0</v>
      </c>
      <c r="DN256" s="603"/>
      <c r="DO256" s="2873">
        <f t="shared" si="665"/>
        <v>0</v>
      </c>
      <c r="DP256" s="2873">
        <f t="shared" si="666"/>
        <v>0</v>
      </c>
      <c r="DQ256" s="2873">
        <f t="shared" si="667"/>
        <v>0</v>
      </c>
      <c r="DR256" s="2873">
        <f t="shared" si="668"/>
        <v>0</v>
      </c>
      <c r="DS256" s="2873">
        <f t="shared" si="669"/>
        <v>0</v>
      </c>
      <c r="DT256" s="2873">
        <f t="shared" si="670"/>
        <v>0</v>
      </c>
      <c r="DU256" s="2873">
        <f t="shared" si="671"/>
        <v>0</v>
      </c>
      <c r="DV256" s="2873"/>
      <c r="DW256" s="2718"/>
      <c r="DX256" s="6325">
        <f t="shared" si="686"/>
        <v>0</v>
      </c>
      <c r="DY256" s="6325">
        <f t="shared" si="687"/>
        <v>0</v>
      </c>
      <c r="DZ256" s="6325">
        <f t="shared" si="674"/>
        <v>0</v>
      </c>
      <c r="EA256" s="6325">
        <f t="shared" si="675"/>
        <v>0</v>
      </c>
    </row>
    <row r="257" spans="1:131" ht="15" customHeight="1" x14ac:dyDescent="0.25">
      <c r="A257" s="6579"/>
      <c r="B257" s="3135" t="s">
        <v>2730</v>
      </c>
      <c r="C257" s="3656">
        <f t="shared" si="689"/>
        <v>0</v>
      </c>
      <c r="D257" s="4929">
        <f t="shared" si="689"/>
        <v>0</v>
      </c>
      <c r="E257" s="3572"/>
      <c r="F257" s="5338"/>
      <c r="G257" s="3572"/>
      <c r="H257" s="5338"/>
      <c r="I257" s="3572"/>
      <c r="J257" s="5338"/>
      <c r="K257" s="3572"/>
      <c r="L257" s="5338"/>
      <c r="M257" s="3572"/>
      <c r="N257" s="5338"/>
      <c r="O257" s="3572"/>
      <c r="P257" s="5338"/>
      <c r="Q257" s="5229"/>
      <c r="R257" s="5338"/>
      <c r="S257" s="5229"/>
      <c r="T257" s="5338"/>
      <c r="U257" s="5229"/>
      <c r="V257" s="5338"/>
      <c r="W257" s="3572"/>
      <c r="X257" s="5338"/>
      <c r="Y257" s="3572"/>
      <c r="Z257" s="5338"/>
      <c r="AA257" s="3572"/>
      <c r="AB257" s="5338"/>
      <c r="AC257" s="5229"/>
      <c r="AD257" s="5338"/>
      <c r="AE257" s="3572"/>
      <c r="AF257" s="5338"/>
      <c r="AG257" s="3572"/>
      <c r="AH257" s="5338"/>
      <c r="AI257" s="3572"/>
      <c r="AJ257" s="5336"/>
      <c r="AK257" s="5337"/>
      <c r="AL257" s="5338"/>
      <c r="AM257" s="3572"/>
      <c r="AN257" s="5336"/>
      <c r="AO257" s="5337"/>
      <c r="AP257" s="5338"/>
      <c r="AQ257" s="3572"/>
      <c r="AR257" s="5336"/>
      <c r="AS257" s="5337"/>
      <c r="AT257" s="3610"/>
      <c r="AU257" s="5337"/>
      <c r="AV257" s="3610"/>
      <c r="AW257" s="3572"/>
      <c r="AX257" s="5338"/>
      <c r="AY257" s="1755" t="str">
        <f t="shared" si="676"/>
        <v/>
      </c>
      <c r="CA257" s="3235" t="str">
        <f t="shared" si="682"/>
        <v/>
      </c>
      <c r="CB257" s="2873" t="str">
        <f t="shared" si="677"/>
        <v/>
      </c>
      <c r="CC257" s="2873" t="str">
        <f t="shared" si="649"/>
        <v/>
      </c>
      <c r="CD257" s="2718"/>
      <c r="CE257" s="2718"/>
      <c r="CF257" s="2718"/>
      <c r="CG257" s="2718"/>
      <c r="CH257" s="2718"/>
      <c r="CI257" s="2873" t="str">
        <f t="shared" si="650"/>
        <v/>
      </c>
      <c r="CJ257" s="603"/>
      <c r="CK257" s="2873" t="str">
        <f t="shared" si="651"/>
        <v/>
      </c>
      <c r="CL257" s="2873" t="str">
        <f t="shared" si="652"/>
        <v/>
      </c>
      <c r="CM257" s="2873" t="str">
        <f t="shared" si="653"/>
        <v/>
      </c>
      <c r="CN257" s="2873" t="str">
        <f t="shared" si="654"/>
        <v/>
      </c>
      <c r="CO257" s="2873" t="str">
        <f t="shared" si="655"/>
        <v/>
      </c>
      <c r="CP257" s="2873" t="str">
        <f t="shared" si="656"/>
        <v/>
      </c>
      <c r="CQ257" s="2873" t="str">
        <f t="shared" si="657"/>
        <v/>
      </c>
      <c r="CR257" s="2873"/>
      <c r="CS257" s="2718"/>
      <c r="CT257" s="6325" t="str">
        <f t="shared" si="684"/>
        <v/>
      </c>
      <c r="CU257" s="6325" t="str">
        <f t="shared" si="685"/>
        <v/>
      </c>
      <c r="CV257" s="6325" t="str">
        <f t="shared" si="660"/>
        <v/>
      </c>
      <c r="CW257" s="6325" t="str">
        <f t="shared" si="661"/>
        <v/>
      </c>
      <c r="DE257" s="3235">
        <f t="shared" si="662"/>
        <v>0</v>
      </c>
      <c r="DF257" s="2873">
        <f t="shared" si="678"/>
        <v>0</v>
      </c>
      <c r="DG257" s="2873">
        <f t="shared" si="663"/>
        <v>0</v>
      </c>
      <c r="DH257" s="2718"/>
      <c r="DI257" s="2718"/>
      <c r="DJ257" s="2718"/>
      <c r="DK257" s="2718"/>
      <c r="DL257" s="2718"/>
      <c r="DM257" s="2873">
        <f t="shared" si="664"/>
        <v>0</v>
      </c>
      <c r="DN257" s="603"/>
      <c r="DO257" s="2873">
        <f t="shared" si="665"/>
        <v>0</v>
      </c>
      <c r="DP257" s="2873">
        <f t="shared" si="666"/>
        <v>0</v>
      </c>
      <c r="DQ257" s="2873">
        <f t="shared" si="667"/>
        <v>0</v>
      </c>
      <c r="DR257" s="2873">
        <f t="shared" si="668"/>
        <v>0</v>
      </c>
      <c r="DS257" s="2873">
        <f t="shared" si="669"/>
        <v>0</v>
      </c>
      <c r="DT257" s="2873">
        <f t="shared" si="670"/>
        <v>0</v>
      </c>
      <c r="DU257" s="2873">
        <f t="shared" si="671"/>
        <v>0</v>
      </c>
      <c r="DV257" s="2873"/>
      <c r="DW257" s="2718"/>
      <c r="DX257" s="6325">
        <f t="shared" si="686"/>
        <v>0</v>
      </c>
      <c r="DY257" s="6325">
        <f t="shared" si="687"/>
        <v>0</v>
      </c>
      <c r="DZ257" s="6325">
        <f t="shared" si="674"/>
        <v>0</v>
      </c>
      <c r="EA257" s="6325">
        <f t="shared" si="675"/>
        <v>0</v>
      </c>
    </row>
    <row r="258" spans="1:131" ht="15" customHeight="1" x14ac:dyDescent="0.25">
      <c r="A258" s="6579"/>
      <c r="B258" s="3135" t="s">
        <v>2731</v>
      </c>
      <c r="C258" s="3656">
        <f t="shared" si="689"/>
        <v>0</v>
      </c>
      <c r="D258" s="4929">
        <f t="shared" si="689"/>
        <v>0</v>
      </c>
      <c r="E258" s="3572"/>
      <c r="F258" s="5338"/>
      <c r="G258" s="3572"/>
      <c r="H258" s="5338"/>
      <c r="I258" s="3572"/>
      <c r="J258" s="5338"/>
      <c r="K258" s="3572"/>
      <c r="L258" s="5338"/>
      <c r="M258" s="3572"/>
      <c r="N258" s="5338"/>
      <c r="O258" s="3572"/>
      <c r="P258" s="5338"/>
      <c r="Q258" s="5229"/>
      <c r="R258" s="5338"/>
      <c r="S258" s="5229"/>
      <c r="T258" s="5338"/>
      <c r="U258" s="5229"/>
      <c r="V258" s="5338"/>
      <c r="W258" s="3572"/>
      <c r="X258" s="5338"/>
      <c r="Y258" s="3572"/>
      <c r="Z258" s="5338"/>
      <c r="AA258" s="3572"/>
      <c r="AB258" s="5338"/>
      <c r="AC258" s="5229"/>
      <c r="AD258" s="5338"/>
      <c r="AE258" s="3572"/>
      <c r="AF258" s="5338"/>
      <c r="AG258" s="3572"/>
      <c r="AH258" s="5338"/>
      <c r="AI258" s="3572"/>
      <c r="AJ258" s="5336"/>
      <c r="AK258" s="5337"/>
      <c r="AL258" s="5338"/>
      <c r="AM258" s="3572"/>
      <c r="AN258" s="5336"/>
      <c r="AO258" s="5337"/>
      <c r="AP258" s="5338"/>
      <c r="AQ258" s="3572"/>
      <c r="AR258" s="5336"/>
      <c r="AS258" s="5337"/>
      <c r="AT258" s="3610"/>
      <c r="AU258" s="5337"/>
      <c r="AV258" s="3610"/>
      <c r="AW258" s="3572"/>
      <c r="AX258" s="5338"/>
      <c r="AY258" s="1755" t="str">
        <f t="shared" si="676"/>
        <v/>
      </c>
      <c r="CA258" s="3235" t="str">
        <f t="shared" si="682"/>
        <v/>
      </c>
      <c r="CB258" s="2873" t="str">
        <f t="shared" si="677"/>
        <v/>
      </c>
      <c r="CC258" s="2873" t="str">
        <f t="shared" si="649"/>
        <v/>
      </c>
      <c r="CD258" s="2718"/>
      <c r="CE258" s="2718"/>
      <c r="CF258" s="2718"/>
      <c r="CG258" s="2718"/>
      <c r="CH258" s="2718"/>
      <c r="CI258" s="2873" t="str">
        <f t="shared" si="650"/>
        <v/>
      </c>
      <c r="CJ258" s="603"/>
      <c r="CK258" s="2873" t="str">
        <f t="shared" si="651"/>
        <v/>
      </c>
      <c r="CL258" s="2873" t="str">
        <f t="shared" si="652"/>
        <v/>
      </c>
      <c r="CM258" s="2873" t="str">
        <f t="shared" si="653"/>
        <v/>
      </c>
      <c r="CN258" s="2873" t="str">
        <f t="shared" si="654"/>
        <v/>
      </c>
      <c r="CO258" s="2873" t="str">
        <f t="shared" si="655"/>
        <v/>
      </c>
      <c r="CP258" s="2873" t="str">
        <f t="shared" si="656"/>
        <v/>
      </c>
      <c r="CQ258" s="2873" t="str">
        <f t="shared" si="657"/>
        <v/>
      </c>
      <c r="CR258" s="2873"/>
      <c r="CS258" s="2718"/>
      <c r="CT258" s="6325" t="str">
        <f t="shared" si="684"/>
        <v/>
      </c>
      <c r="CU258" s="6325" t="str">
        <f t="shared" si="685"/>
        <v/>
      </c>
      <c r="CV258" s="6325" t="str">
        <f t="shared" si="660"/>
        <v/>
      </c>
      <c r="CW258" s="6325" t="str">
        <f t="shared" si="661"/>
        <v/>
      </c>
      <c r="DE258" s="3235">
        <f t="shared" si="662"/>
        <v>0</v>
      </c>
      <c r="DF258" s="2873">
        <f t="shared" si="678"/>
        <v>0</v>
      </c>
      <c r="DG258" s="2873">
        <f t="shared" si="663"/>
        <v>0</v>
      </c>
      <c r="DH258" s="2718"/>
      <c r="DI258" s="2718"/>
      <c r="DJ258" s="2718"/>
      <c r="DK258" s="2718"/>
      <c r="DL258" s="2718"/>
      <c r="DM258" s="2873">
        <f t="shared" si="664"/>
        <v>0</v>
      </c>
      <c r="DN258" s="603"/>
      <c r="DO258" s="2873">
        <f t="shared" si="665"/>
        <v>0</v>
      </c>
      <c r="DP258" s="2873">
        <f t="shared" si="666"/>
        <v>0</v>
      </c>
      <c r="DQ258" s="2873">
        <f t="shared" si="667"/>
        <v>0</v>
      </c>
      <c r="DR258" s="2873">
        <f t="shared" si="668"/>
        <v>0</v>
      </c>
      <c r="DS258" s="2873">
        <f t="shared" si="669"/>
        <v>0</v>
      </c>
      <c r="DT258" s="2873">
        <f t="shared" si="670"/>
        <v>0</v>
      </c>
      <c r="DU258" s="2873">
        <f t="shared" si="671"/>
        <v>0</v>
      </c>
      <c r="DV258" s="2873"/>
      <c r="DW258" s="2718"/>
      <c r="DX258" s="6325">
        <f t="shared" si="686"/>
        <v>0</v>
      </c>
      <c r="DY258" s="6325">
        <f t="shared" si="687"/>
        <v>0</v>
      </c>
      <c r="DZ258" s="6325">
        <f t="shared" si="674"/>
        <v>0</v>
      </c>
      <c r="EA258" s="6325">
        <f t="shared" si="675"/>
        <v>0</v>
      </c>
    </row>
    <row r="259" spans="1:131" ht="15" customHeight="1" x14ac:dyDescent="0.25">
      <c r="A259" s="7269"/>
      <c r="B259" s="3344" t="s">
        <v>2732</v>
      </c>
      <c r="C259" s="4932">
        <f t="shared" si="689"/>
        <v>0</v>
      </c>
      <c r="D259" s="4930">
        <f t="shared" si="689"/>
        <v>0</v>
      </c>
      <c r="E259" s="288"/>
      <c r="F259" s="3587"/>
      <c r="G259" s="288"/>
      <c r="H259" s="3587"/>
      <c r="I259" s="288"/>
      <c r="J259" s="3587"/>
      <c r="K259" s="288"/>
      <c r="L259" s="3587"/>
      <c r="M259" s="288"/>
      <c r="N259" s="3587"/>
      <c r="O259" s="288"/>
      <c r="P259" s="3587"/>
      <c r="Q259" s="3586"/>
      <c r="R259" s="3587"/>
      <c r="S259" s="3586"/>
      <c r="T259" s="3587"/>
      <c r="U259" s="3586"/>
      <c r="V259" s="3587"/>
      <c r="W259" s="288"/>
      <c r="X259" s="3587"/>
      <c r="Y259" s="288"/>
      <c r="Z259" s="3587"/>
      <c r="AA259" s="288"/>
      <c r="AB259" s="3587"/>
      <c r="AC259" s="3586"/>
      <c r="AD259" s="3587"/>
      <c r="AE259" s="288"/>
      <c r="AF259" s="3587"/>
      <c r="AG259" s="288"/>
      <c r="AH259" s="3587"/>
      <c r="AI259" s="288"/>
      <c r="AJ259" s="3588"/>
      <c r="AK259" s="3589"/>
      <c r="AL259" s="3587"/>
      <c r="AM259" s="288"/>
      <c r="AN259" s="3588"/>
      <c r="AO259" s="3589"/>
      <c r="AP259" s="3587"/>
      <c r="AQ259" s="288"/>
      <c r="AR259" s="3588"/>
      <c r="AS259" s="3589"/>
      <c r="AT259" s="385"/>
      <c r="AU259" s="3589"/>
      <c r="AV259" s="385"/>
      <c r="AW259" s="288"/>
      <c r="AX259" s="3587"/>
      <c r="AY259" s="1755" t="str">
        <f t="shared" si="676"/>
        <v/>
      </c>
      <c r="CA259" s="3235" t="str">
        <f t="shared" si="682"/>
        <v/>
      </c>
      <c r="CB259" s="2873" t="str">
        <f t="shared" si="677"/>
        <v/>
      </c>
      <c r="CC259" s="2873" t="str">
        <f t="shared" si="649"/>
        <v/>
      </c>
      <c r="CD259" s="2718"/>
      <c r="CE259" s="2718"/>
      <c r="CF259" s="2718"/>
      <c r="CG259" s="2718"/>
      <c r="CH259" s="2718"/>
      <c r="CI259" s="2873" t="str">
        <f t="shared" si="650"/>
        <v/>
      </c>
      <c r="CJ259" s="603"/>
      <c r="CK259" s="2873" t="str">
        <f t="shared" si="651"/>
        <v/>
      </c>
      <c r="CL259" s="2873" t="str">
        <f t="shared" si="652"/>
        <v/>
      </c>
      <c r="CM259" s="2873" t="str">
        <f t="shared" si="653"/>
        <v/>
      </c>
      <c r="CN259" s="2873" t="str">
        <f t="shared" si="654"/>
        <v/>
      </c>
      <c r="CO259" s="2873" t="str">
        <f t="shared" si="655"/>
        <v/>
      </c>
      <c r="CP259" s="2873" t="str">
        <f t="shared" si="656"/>
        <v/>
      </c>
      <c r="CQ259" s="2873" t="str">
        <f t="shared" si="657"/>
        <v/>
      </c>
      <c r="CR259" s="2873"/>
      <c r="CS259" s="2718"/>
      <c r="CT259" s="6325" t="str">
        <f t="shared" si="684"/>
        <v/>
      </c>
      <c r="CU259" s="6325" t="str">
        <f t="shared" si="685"/>
        <v/>
      </c>
      <c r="CV259" s="6325" t="str">
        <f t="shared" si="660"/>
        <v/>
      </c>
      <c r="CW259" s="6325" t="str">
        <f t="shared" si="661"/>
        <v/>
      </c>
      <c r="DE259" s="3235">
        <f t="shared" si="662"/>
        <v>0</v>
      </c>
      <c r="DF259" s="2873">
        <f t="shared" si="678"/>
        <v>0</v>
      </c>
      <c r="DG259" s="2873">
        <f t="shared" si="663"/>
        <v>0</v>
      </c>
      <c r="DH259" s="2718"/>
      <c r="DI259" s="2718"/>
      <c r="DJ259" s="2718"/>
      <c r="DK259" s="2718"/>
      <c r="DL259" s="2718"/>
      <c r="DM259" s="2873">
        <f t="shared" si="664"/>
        <v>0</v>
      </c>
      <c r="DN259" s="603"/>
      <c r="DO259" s="2873">
        <f t="shared" si="665"/>
        <v>0</v>
      </c>
      <c r="DP259" s="2873">
        <f t="shared" si="666"/>
        <v>0</v>
      </c>
      <c r="DQ259" s="2873">
        <f t="shared" si="667"/>
        <v>0</v>
      </c>
      <c r="DR259" s="2873">
        <f t="shared" si="668"/>
        <v>0</v>
      </c>
      <c r="DS259" s="2873">
        <f t="shared" si="669"/>
        <v>0</v>
      </c>
      <c r="DT259" s="2873">
        <f t="shared" si="670"/>
        <v>0</v>
      </c>
      <c r="DU259" s="2873">
        <f t="shared" si="671"/>
        <v>0</v>
      </c>
      <c r="DV259" s="2873"/>
      <c r="DW259" s="2718"/>
      <c r="DX259" s="6325">
        <f t="shared" si="686"/>
        <v>0</v>
      </c>
      <c r="DY259" s="6325">
        <f t="shared" si="687"/>
        <v>0</v>
      </c>
      <c r="DZ259" s="6325">
        <f t="shared" si="674"/>
        <v>0</v>
      </c>
      <c r="EA259" s="6325">
        <f t="shared" si="675"/>
        <v>0</v>
      </c>
    </row>
    <row r="260" spans="1:131" ht="18" customHeight="1" x14ac:dyDescent="0.25">
      <c r="A260" s="7680" t="s">
        <v>3905</v>
      </c>
      <c r="B260" s="7680"/>
      <c r="C260" s="7680"/>
      <c r="D260" s="7680"/>
      <c r="E260" s="7680"/>
      <c r="F260" s="7680"/>
      <c r="G260" s="7680"/>
      <c r="H260" s="7680"/>
      <c r="I260" s="7680"/>
      <c r="J260" s="7680"/>
      <c r="K260" s="7680"/>
      <c r="L260" s="7680"/>
      <c r="M260" s="7680"/>
      <c r="N260" s="7680"/>
      <c r="O260" s="7680"/>
      <c r="P260" s="7680"/>
      <c r="Q260" s="7680"/>
      <c r="R260" s="7680"/>
      <c r="S260" s="603"/>
      <c r="T260" s="603"/>
    </row>
    <row r="261" spans="1:131" ht="14.45" customHeight="1" x14ac:dyDescent="0.25">
      <c r="A261" s="7673" t="s">
        <v>0</v>
      </c>
      <c r="B261" s="7673" t="s">
        <v>24</v>
      </c>
      <c r="C261" s="7677" t="s">
        <v>2733</v>
      </c>
      <c r="D261" s="7677"/>
      <c r="E261" s="7677"/>
      <c r="F261" s="7677"/>
      <c r="G261" s="7677"/>
      <c r="H261" s="7677"/>
      <c r="I261" s="7677"/>
      <c r="J261" s="7677"/>
      <c r="K261" s="7677"/>
      <c r="L261" s="7678"/>
      <c r="M261" s="7645" t="s">
        <v>2</v>
      </c>
      <c r="N261" s="7673" t="s">
        <v>3</v>
      </c>
    </row>
    <row r="262" spans="1:131" ht="21" x14ac:dyDescent="0.25">
      <c r="A262" s="7674"/>
      <c r="B262" s="7674"/>
      <c r="C262" s="5403" t="s">
        <v>38</v>
      </c>
      <c r="D262" s="5412" t="s">
        <v>4</v>
      </c>
      <c r="E262" s="5412" t="s">
        <v>5</v>
      </c>
      <c r="F262" s="5412" t="s">
        <v>6</v>
      </c>
      <c r="G262" s="5412" t="s">
        <v>7</v>
      </c>
      <c r="H262" s="5412" t="s">
        <v>8</v>
      </c>
      <c r="I262" s="5412" t="s">
        <v>9</v>
      </c>
      <c r="J262" s="5412" t="s">
        <v>10</v>
      </c>
      <c r="K262" s="5412" t="s">
        <v>11</v>
      </c>
      <c r="L262" s="5377" t="s">
        <v>1466</v>
      </c>
      <c r="M262" s="7647"/>
      <c r="N262" s="7674"/>
    </row>
    <row r="263" spans="1:131" x14ac:dyDescent="0.25">
      <c r="A263" s="5413" t="s">
        <v>2734</v>
      </c>
      <c r="B263" s="5414">
        <f>SUM(C263:L263)</f>
        <v>0</v>
      </c>
      <c r="C263" s="106"/>
      <c r="D263" s="5239"/>
      <c r="E263" s="5239"/>
      <c r="F263" s="5239"/>
      <c r="G263" s="5239"/>
      <c r="H263" s="5239"/>
      <c r="I263" s="5239"/>
      <c r="J263" s="5239"/>
      <c r="K263" s="5239"/>
      <c r="L263" s="771"/>
      <c r="M263" s="3166"/>
      <c r="N263" s="148"/>
      <c r="O263" s="3658" t="str">
        <f>$CA263&amp;CB263</f>
        <v/>
      </c>
      <c r="CA263" s="3235" t="str">
        <f>IF(AND(B263&gt;0,M263="")," * No olvide digitar la variable pueblos originarios. Digite Cero si no tiene.",IF(M263&gt;B263," * La variable Pueblos originarios No puede ser mayor al Total.",""))</f>
        <v/>
      </c>
      <c r="CB263" s="3235" t="str">
        <f>IF(AND(B263&gt;0,N263="")," * No olvide digitar la variable Migrantes. Digite Cero si no tiene.",IF(N263&gt;B263," * La variable Migrantes No puede ser mayor al Total.",""))</f>
        <v/>
      </c>
      <c r="DE263" s="1793">
        <f>IF(AND(B263&gt;0,M263=""),1,IF(M263&gt;B263,1,0))</f>
        <v>0</v>
      </c>
      <c r="DF263" s="1793">
        <f>IF(AND(B263&gt;0,N263=""),1,IF(N263&gt;B263,1,0))</f>
        <v>0</v>
      </c>
    </row>
    <row r="264" spans="1:131" x14ac:dyDescent="0.25">
      <c r="A264" s="3659" t="s">
        <v>2735</v>
      </c>
      <c r="B264" s="3660">
        <f>SUM(C264:L264)</f>
        <v>0</v>
      </c>
      <c r="C264" s="1089"/>
      <c r="D264" s="1090"/>
      <c r="E264" s="1090"/>
      <c r="F264" s="1090"/>
      <c r="G264" s="1090"/>
      <c r="H264" s="1090"/>
      <c r="I264" s="1090"/>
      <c r="J264" s="1090"/>
      <c r="K264" s="1090"/>
      <c r="L264" s="3233"/>
      <c r="M264" s="3166"/>
      <c r="N264" s="3234"/>
      <c r="O264" s="3658" t="str">
        <f t="shared" ref="O264:O267" si="690">$CA264&amp;CB264</f>
        <v/>
      </c>
      <c r="CA264" s="3235" t="str">
        <f t="shared" ref="CA264:CA267" si="691">IF(AND(B264&gt;0,M264="")," * No olvide digitar la variable pueblos originarios. Digite Cero si no tiene.",IF(M264&gt;B264," * La variable Pueblos originarios No puede ser mayor al Total.",""))</f>
        <v/>
      </c>
      <c r="CB264" s="3235" t="str">
        <f t="shared" ref="CB264:CB267" si="692">IF(AND(B264&gt;0,N264="")," * No olvide digitar la variable Migrantes. Digite Cero si no tiene.",IF(N264&gt;B264," * La variable Migrantes No puede ser mayor al Total.",""))</f>
        <v/>
      </c>
      <c r="DE264" s="1793">
        <f t="shared" ref="DE264:DE267" si="693">IF(AND(B264&gt;0,M264=""),1,IF(M264&gt;B264,1,0))</f>
        <v>0</v>
      </c>
      <c r="DF264" s="1793">
        <f t="shared" ref="DF264:DF267" si="694">IF(AND(B264&gt;0,N264=""),1,IF(N264&gt;B264,1,0))</f>
        <v>0</v>
      </c>
    </row>
    <row r="265" spans="1:131" x14ac:dyDescent="0.25">
      <c r="A265" s="3659" t="s">
        <v>2736</v>
      </c>
      <c r="B265" s="3661">
        <f>SUM(C265:L265)</f>
        <v>0</v>
      </c>
      <c r="C265" s="1089"/>
      <c r="D265" s="1090"/>
      <c r="E265" s="1090"/>
      <c r="F265" s="1090"/>
      <c r="G265" s="1090"/>
      <c r="H265" s="1090"/>
      <c r="I265" s="1090"/>
      <c r="J265" s="1090"/>
      <c r="K265" s="1090"/>
      <c r="L265" s="3233"/>
      <c r="M265" s="3166"/>
      <c r="N265" s="3234"/>
      <c r="O265" s="3658" t="str">
        <f t="shared" si="690"/>
        <v/>
      </c>
      <c r="CA265" s="3235" t="str">
        <f t="shared" si="691"/>
        <v/>
      </c>
      <c r="CB265" s="3235" t="str">
        <f t="shared" si="692"/>
        <v/>
      </c>
      <c r="DE265" s="1793">
        <f t="shared" si="693"/>
        <v>0</v>
      </c>
      <c r="DF265" s="1793">
        <f t="shared" si="694"/>
        <v>0</v>
      </c>
    </row>
    <row r="266" spans="1:131" ht="21" x14ac:dyDescent="0.25">
      <c r="A266" s="3659" t="s">
        <v>2737</v>
      </c>
      <c r="B266" s="3661">
        <f>SUM(C266:L266)</f>
        <v>0</v>
      </c>
      <c r="C266" s="1089"/>
      <c r="D266" s="1090"/>
      <c r="E266" s="1090"/>
      <c r="F266" s="1090"/>
      <c r="G266" s="1090"/>
      <c r="H266" s="1090"/>
      <c r="I266" s="1090"/>
      <c r="J266" s="1090"/>
      <c r="K266" s="1090"/>
      <c r="L266" s="3233"/>
      <c r="M266" s="3166"/>
      <c r="N266" s="3234"/>
      <c r="O266" s="3658" t="str">
        <f t="shared" si="690"/>
        <v/>
      </c>
      <c r="CA266" s="3235" t="str">
        <f t="shared" si="691"/>
        <v/>
      </c>
      <c r="CB266" s="3235" t="str">
        <f t="shared" si="692"/>
        <v/>
      </c>
      <c r="DE266" s="1793">
        <f t="shared" si="693"/>
        <v>0</v>
      </c>
      <c r="DF266" s="1793">
        <f t="shared" si="694"/>
        <v>0</v>
      </c>
    </row>
    <row r="267" spans="1:131" x14ac:dyDescent="0.25">
      <c r="A267" s="5415" t="s">
        <v>2738</v>
      </c>
      <c r="B267" s="3662">
        <f>SUM(C267:L267)</f>
        <v>0</v>
      </c>
      <c r="C267" s="3112"/>
      <c r="D267" s="3109"/>
      <c r="E267" s="3109"/>
      <c r="F267" s="3109"/>
      <c r="G267" s="3109"/>
      <c r="H267" s="3109"/>
      <c r="I267" s="3109"/>
      <c r="J267" s="3109"/>
      <c r="K267" s="3109"/>
      <c r="L267" s="774"/>
      <c r="M267" s="117"/>
      <c r="N267" s="153"/>
      <c r="O267" s="3658" t="str">
        <f t="shared" si="690"/>
        <v/>
      </c>
      <c r="CA267" s="3235" t="str">
        <f t="shared" si="691"/>
        <v/>
      </c>
      <c r="CB267" s="3235" t="str">
        <f t="shared" si="692"/>
        <v/>
      </c>
      <c r="DE267" s="1793">
        <f t="shared" si="693"/>
        <v>0</v>
      </c>
      <c r="DF267" s="1793">
        <f t="shared" si="694"/>
        <v>0</v>
      </c>
    </row>
    <row r="268" spans="1:131" s="17" customFormat="1" ht="18" customHeight="1" x14ac:dyDescent="0.2">
      <c r="A268" s="7663" t="s">
        <v>2739</v>
      </c>
      <c r="B268" s="7663"/>
      <c r="C268" s="7663"/>
      <c r="D268" s="7663"/>
      <c r="E268" s="7663"/>
      <c r="F268" s="7663"/>
      <c r="G268" s="7663"/>
      <c r="H268" s="7663"/>
      <c r="I268" s="7663"/>
      <c r="J268" s="7663"/>
      <c r="K268" s="7663"/>
      <c r="L268" s="7663"/>
      <c r="M268" s="7663"/>
      <c r="N268" s="7663"/>
      <c r="O268" s="7652"/>
      <c r="P268" s="7652"/>
      <c r="Q268" s="7652"/>
      <c r="R268" s="7652"/>
      <c r="S268" s="3327"/>
      <c r="T268" s="3327"/>
    </row>
    <row r="269" spans="1:131" x14ac:dyDescent="0.25">
      <c r="A269" s="7673" t="s">
        <v>2740</v>
      </c>
      <c r="B269" s="7673" t="s">
        <v>24</v>
      </c>
      <c r="C269" s="7664" t="s">
        <v>12</v>
      </c>
      <c r="D269" s="7665"/>
      <c r="E269" s="7665"/>
      <c r="F269" s="7665"/>
      <c r="G269" s="7665"/>
      <c r="H269" s="7665"/>
      <c r="I269" s="7665"/>
      <c r="J269" s="7665"/>
      <c r="K269" s="7665"/>
      <c r="L269" s="7665"/>
      <c r="M269" s="7665"/>
      <c r="N269" s="7665"/>
      <c r="O269" s="7665"/>
      <c r="P269" s="7665"/>
      <c r="Q269" s="7665"/>
      <c r="R269" s="7666"/>
      <c r="S269" s="7675" t="s">
        <v>2</v>
      </c>
      <c r="T269" s="7645" t="s">
        <v>3</v>
      </c>
    </row>
    <row r="270" spans="1:131" x14ac:dyDescent="0.25">
      <c r="A270" s="7674"/>
      <c r="B270" s="7674"/>
      <c r="C270" s="5403" t="s">
        <v>2741</v>
      </c>
      <c r="D270" s="5412" t="s">
        <v>547</v>
      </c>
      <c r="E270" s="5412" t="s">
        <v>548</v>
      </c>
      <c r="F270" s="5412" t="s">
        <v>549</v>
      </c>
      <c r="G270" s="5412" t="s">
        <v>550</v>
      </c>
      <c r="H270" s="5412" t="s">
        <v>551</v>
      </c>
      <c r="I270" s="5412" t="s">
        <v>552</v>
      </c>
      <c r="J270" s="5412" t="s">
        <v>2742</v>
      </c>
      <c r="K270" s="5412" t="s">
        <v>2743</v>
      </c>
      <c r="L270" s="5412" t="s">
        <v>2744</v>
      </c>
      <c r="M270" s="5412" t="s">
        <v>2745</v>
      </c>
      <c r="N270" s="5412" t="s">
        <v>2746</v>
      </c>
      <c r="O270" s="5412" t="s">
        <v>2747</v>
      </c>
      <c r="P270" s="5416" t="s">
        <v>2748</v>
      </c>
      <c r="Q270" s="5416" t="s">
        <v>2749</v>
      </c>
      <c r="R270" s="5417" t="s">
        <v>2750</v>
      </c>
      <c r="S270" s="7676"/>
      <c r="T270" s="7647"/>
    </row>
    <row r="271" spans="1:131" ht="21" x14ac:dyDescent="0.25">
      <c r="A271" s="5413" t="s">
        <v>2751</v>
      </c>
      <c r="B271" s="5414">
        <f>SUM(C271:R271)</f>
        <v>0</v>
      </c>
      <c r="C271" s="5418"/>
      <c r="D271" s="5419"/>
      <c r="E271" s="5419"/>
      <c r="F271" s="5419"/>
      <c r="G271" s="5419"/>
      <c r="H271" s="5419"/>
      <c r="I271" s="5419"/>
      <c r="J271" s="5419"/>
      <c r="K271" s="5419"/>
      <c r="L271" s="5419"/>
      <c r="M271" s="5419"/>
      <c r="N271" s="5419"/>
      <c r="O271" s="5419"/>
      <c r="P271" s="5419"/>
      <c r="Q271" s="5419"/>
      <c r="R271" s="5420"/>
      <c r="S271" s="5421"/>
      <c r="T271" s="5422"/>
      <c r="U271" s="3658" t="str">
        <f>$CA271&amp;CB271</f>
        <v/>
      </c>
      <c r="CA271" s="3235" t="str">
        <f>IF(AND(B271&gt;0,S271="")," * No olvide digitar la variable pueblos originarios. Digite Cero si no tiene.",IF(S271&gt;B271," * La variable Pueblos originarios No puede ser mayor al Total.",""))</f>
        <v/>
      </c>
      <c r="CB271" s="3235" t="str">
        <f>IF(AND(B271&gt;0,T271="")," * No olvide digitar la variable migrantes. Digite Cero si no tiene.",IF(T271&gt;B271," * La variable Migrantes No puede ser mayor al Total.",""))</f>
        <v/>
      </c>
      <c r="DE271" s="1793">
        <f>IF(AND(B271&gt;0,S271=""),1,IF(S271&gt;B271,1,0))</f>
        <v>0</v>
      </c>
      <c r="DF271" s="1793">
        <f>IF(AND(B271&gt;0,T271=""),1,IF(T271&gt;B271,1,0))</f>
        <v>0</v>
      </c>
    </row>
    <row r="272" spans="1:131" ht="21" x14ac:dyDescent="0.25">
      <c r="A272" s="3659" t="s">
        <v>2752</v>
      </c>
      <c r="B272" s="3664">
        <f>SUM(C272:R272)</f>
        <v>0</v>
      </c>
      <c r="C272" s="1089"/>
      <c r="D272" s="1090"/>
      <c r="E272" s="1090"/>
      <c r="F272" s="1090"/>
      <c r="G272" s="1090"/>
      <c r="H272" s="1090"/>
      <c r="I272" s="1090"/>
      <c r="J272" s="1090"/>
      <c r="K272" s="1090"/>
      <c r="L272" s="1090"/>
      <c r="M272" s="1090"/>
      <c r="N272" s="1090"/>
      <c r="O272" s="1090"/>
      <c r="P272" s="1090"/>
      <c r="Q272" s="1090"/>
      <c r="R272" s="3233"/>
      <c r="S272" s="1079"/>
      <c r="T272" s="3166"/>
      <c r="U272" s="3658" t="str">
        <f t="shared" ref="U272:U275" si="695">$CA272&amp;CB272</f>
        <v/>
      </c>
      <c r="CA272" s="3235" t="str">
        <f t="shared" ref="CA272:CA275" si="696">IF(AND(B272&gt;0,S272="")," * No olvide digitar la variable pueblos originarios. Digite Cero si no tiene.",IF(S272&gt;B272," * La variable Pueblos originarios No puede ser mayor al Total.",""))</f>
        <v/>
      </c>
      <c r="CB272" s="3235" t="str">
        <f t="shared" ref="CB272:CB275" si="697">IF(AND(B272&gt;0,T272="")," * No olvide digitar la variable migrantes. Digite Cero si no tiene.",IF(T272&gt;B272," * La variable Migrantes No puede ser mayor al Total.",""))</f>
        <v/>
      </c>
      <c r="DE272" s="1793">
        <f t="shared" ref="DE272:DE275" si="698">IF(AND(B272&gt;0,S272=""),1,IF(S272&gt;B272,1,0))</f>
        <v>0</v>
      </c>
      <c r="DF272" s="1793">
        <f t="shared" ref="DF272:DF275" si="699">IF(AND(B272&gt;0,T272=""),1,IF(T272&gt;B272,1,0))</f>
        <v>0</v>
      </c>
    </row>
    <row r="273" spans="1:110" ht="22.5" x14ac:dyDescent="0.25">
      <c r="A273" s="3665" t="s">
        <v>2753</v>
      </c>
      <c r="B273" s="3660">
        <f>SUM(C273:R273)</f>
        <v>0</v>
      </c>
      <c r="C273" s="1089"/>
      <c r="D273" s="1090"/>
      <c r="E273" s="1090"/>
      <c r="F273" s="1090"/>
      <c r="G273" s="1090"/>
      <c r="H273" s="1090"/>
      <c r="I273" s="1090"/>
      <c r="J273" s="1090"/>
      <c r="K273" s="1090"/>
      <c r="L273" s="1090"/>
      <c r="M273" s="1090"/>
      <c r="N273" s="1090"/>
      <c r="O273" s="1090"/>
      <c r="P273" s="1090"/>
      <c r="Q273" s="1090"/>
      <c r="R273" s="3233"/>
      <c r="S273" s="1079"/>
      <c r="T273" s="3166"/>
      <c r="U273" s="3658" t="str">
        <f t="shared" si="695"/>
        <v/>
      </c>
      <c r="CA273" s="3235" t="str">
        <f t="shared" si="696"/>
        <v/>
      </c>
      <c r="CB273" s="3235" t="str">
        <f t="shared" si="697"/>
        <v/>
      </c>
      <c r="DE273" s="1793">
        <f t="shared" si="698"/>
        <v>0</v>
      </c>
      <c r="DF273" s="1793">
        <f t="shared" si="699"/>
        <v>0</v>
      </c>
    </row>
    <row r="274" spans="1:110" ht="22.5" x14ac:dyDescent="0.25">
      <c r="A274" s="3666" t="s">
        <v>2754</v>
      </c>
      <c r="B274" s="3661">
        <f>SUM(C274:R274)</f>
        <v>0</v>
      </c>
      <c r="C274" s="1089"/>
      <c r="D274" s="1090"/>
      <c r="E274" s="1090"/>
      <c r="F274" s="1090"/>
      <c r="G274" s="1090"/>
      <c r="H274" s="1090"/>
      <c r="I274" s="1090"/>
      <c r="J274" s="1090"/>
      <c r="K274" s="1090"/>
      <c r="L274" s="1090"/>
      <c r="M274" s="1090"/>
      <c r="N274" s="1090"/>
      <c r="O274" s="1090"/>
      <c r="P274" s="1090"/>
      <c r="Q274" s="1090"/>
      <c r="R274" s="3233"/>
      <c r="S274" s="1079"/>
      <c r="T274" s="3166"/>
      <c r="U274" s="3658" t="str">
        <f t="shared" si="695"/>
        <v/>
      </c>
      <c r="CA274" s="3235" t="str">
        <f t="shared" si="696"/>
        <v/>
      </c>
      <c r="CB274" s="3235" t="str">
        <f t="shared" si="697"/>
        <v/>
      </c>
      <c r="DE274" s="1793">
        <f t="shared" si="698"/>
        <v>0</v>
      </c>
      <c r="DF274" s="1793">
        <f t="shared" si="699"/>
        <v>0</v>
      </c>
    </row>
    <row r="275" spans="1:110" ht="22.5" x14ac:dyDescent="0.25">
      <c r="A275" s="5423" t="s">
        <v>2755</v>
      </c>
      <c r="B275" s="5424">
        <f>SUM(C275:R275)</f>
        <v>0</v>
      </c>
      <c r="C275" s="5281"/>
      <c r="D275" s="2499"/>
      <c r="E275" s="2499"/>
      <c r="F275" s="2499"/>
      <c r="G275" s="2499"/>
      <c r="H275" s="2499"/>
      <c r="I275" s="2499"/>
      <c r="J275" s="2499"/>
      <c r="K275" s="2499"/>
      <c r="L275" s="2499"/>
      <c r="M275" s="2499"/>
      <c r="N275" s="2499"/>
      <c r="O275" s="2499"/>
      <c r="P275" s="2499"/>
      <c r="Q275" s="2499"/>
      <c r="R275" s="5425"/>
      <c r="S275" s="5426"/>
      <c r="T275" s="5282"/>
      <c r="U275" s="3658" t="str">
        <f t="shared" si="695"/>
        <v/>
      </c>
      <c r="CA275" s="3235" t="str">
        <f t="shared" si="696"/>
        <v/>
      </c>
      <c r="CB275" s="3235" t="str">
        <f t="shared" si="697"/>
        <v/>
      </c>
      <c r="DE275" s="1793">
        <f t="shared" si="698"/>
        <v>0</v>
      </c>
      <c r="DF275" s="1793">
        <f t="shared" si="699"/>
        <v>0</v>
      </c>
    </row>
    <row r="276" spans="1:110" ht="18" customHeight="1" x14ac:dyDescent="0.25">
      <c r="A276" s="7652" t="s">
        <v>2756</v>
      </c>
      <c r="B276" s="7652"/>
      <c r="C276" s="7652"/>
      <c r="D276" s="7652"/>
      <c r="E276" s="7652"/>
      <c r="F276" s="7652"/>
      <c r="G276" s="7652"/>
      <c r="H276" s="7652"/>
      <c r="I276" s="7652"/>
      <c r="J276" s="7652"/>
      <c r="K276" s="7652"/>
      <c r="L276" s="7652"/>
      <c r="M276" s="7652"/>
      <c r="N276" s="7652"/>
      <c r="O276" s="7652"/>
      <c r="P276" s="7652"/>
      <c r="Q276" s="7652"/>
      <c r="R276" s="7652"/>
      <c r="S276" s="7652"/>
      <c r="T276" s="7652"/>
      <c r="U276" s="7652"/>
      <c r="V276" s="7652"/>
      <c r="W276" s="7652"/>
      <c r="X276" s="7652"/>
      <c r="Y276" s="7652"/>
      <c r="Z276" s="7652"/>
      <c r="AA276" s="7652"/>
      <c r="AB276" s="7652"/>
      <c r="AC276" s="7652"/>
      <c r="AD276" s="7652"/>
      <c r="AE276" s="7652"/>
      <c r="AF276" s="7652"/>
      <c r="AG276" s="7652"/>
      <c r="AH276" s="7652"/>
      <c r="AI276" s="7652"/>
      <c r="AJ276" s="7652"/>
    </row>
    <row r="277" spans="1:110" x14ac:dyDescent="0.25">
      <c r="A277" s="7653" t="s">
        <v>0</v>
      </c>
      <c r="B277" s="7656" t="s">
        <v>24</v>
      </c>
      <c r="C277" s="7657"/>
      <c r="D277" s="7645"/>
      <c r="E277" s="7664" t="s">
        <v>30</v>
      </c>
      <c r="F277" s="7665"/>
      <c r="G277" s="7665"/>
      <c r="H277" s="7665"/>
      <c r="I277" s="7665"/>
      <c r="J277" s="7665"/>
      <c r="K277" s="7665"/>
      <c r="L277" s="7665"/>
      <c r="M277" s="7665"/>
      <c r="N277" s="7665"/>
      <c r="O277" s="7665"/>
      <c r="P277" s="7665"/>
      <c r="Q277" s="7665"/>
      <c r="R277" s="7665"/>
      <c r="S277" s="7665"/>
      <c r="T277" s="7665"/>
      <c r="U277" s="7665"/>
      <c r="V277" s="7665"/>
      <c r="W277" s="7665"/>
      <c r="X277" s="7665"/>
      <c r="Y277" s="7665"/>
      <c r="Z277" s="7665"/>
      <c r="AA277" s="7665"/>
      <c r="AB277" s="7665"/>
      <c r="AC277" s="7665"/>
      <c r="AD277" s="7665"/>
      <c r="AE277" s="7665"/>
      <c r="AF277" s="7665"/>
      <c r="AG277" s="7665"/>
      <c r="AH277" s="7665"/>
      <c r="AI277" s="7665"/>
      <c r="AJ277" s="7667"/>
    </row>
    <row r="278" spans="1:110" x14ac:dyDescent="0.25">
      <c r="A278" s="7654"/>
      <c r="B278" s="7668" t="s">
        <v>2584</v>
      </c>
      <c r="C278" s="7670" t="s">
        <v>22</v>
      </c>
      <c r="D278" s="7672" t="s">
        <v>27</v>
      </c>
      <c r="E278" s="7648" t="s">
        <v>682</v>
      </c>
      <c r="F278" s="7649"/>
      <c r="G278" s="7650" t="s">
        <v>2757</v>
      </c>
      <c r="H278" s="7651"/>
      <c r="I278" s="7650" t="s">
        <v>553</v>
      </c>
      <c r="J278" s="7651"/>
      <c r="K278" s="7650" t="s">
        <v>554</v>
      </c>
      <c r="L278" s="7651"/>
      <c r="M278" s="7648" t="s">
        <v>4</v>
      </c>
      <c r="N278" s="7649"/>
      <c r="O278" s="7648" t="s">
        <v>5</v>
      </c>
      <c r="P278" s="7649"/>
      <c r="Q278" s="7648" t="s">
        <v>6</v>
      </c>
      <c r="R278" s="7649"/>
      <c r="S278" s="7648" t="s">
        <v>7</v>
      </c>
      <c r="T278" s="7649"/>
      <c r="U278" s="7648" t="s">
        <v>8</v>
      </c>
      <c r="V278" s="7649"/>
      <c r="W278" s="7648" t="s">
        <v>9</v>
      </c>
      <c r="X278" s="7649"/>
      <c r="Y278" s="7648" t="s">
        <v>10</v>
      </c>
      <c r="Z278" s="7649"/>
      <c r="AA278" s="7648" t="s">
        <v>11</v>
      </c>
      <c r="AB278" s="7649"/>
      <c r="AC278" s="7648" t="s">
        <v>555</v>
      </c>
      <c r="AD278" s="7649"/>
      <c r="AE278" s="7648" t="s">
        <v>556</v>
      </c>
      <c r="AF278" s="7649"/>
      <c r="AG278" s="7648" t="s">
        <v>557</v>
      </c>
      <c r="AH278" s="7649"/>
      <c r="AI278" s="7648" t="s">
        <v>1904</v>
      </c>
      <c r="AJ278" s="7649"/>
    </row>
    <row r="279" spans="1:110" x14ac:dyDescent="0.25">
      <c r="A279" s="7655"/>
      <c r="B279" s="7669"/>
      <c r="C279" s="7671"/>
      <c r="D279" s="7287"/>
      <c r="E279" s="5324" t="s">
        <v>22</v>
      </c>
      <c r="F279" s="5353" t="s">
        <v>27</v>
      </c>
      <c r="G279" s="5324" t="s">
        <v>22</v>
      </c>
      <c r="H279" s="5375" t="s">
        <v>27</v>
      </c>
      <c r="I279" s="5324" t="s">
        <v>22</v>
      </c>
      <c r="J279" s="5353" t="s">
        <v>27</v>
      </c>
      <c r="K279" s="5324" t="s">
        <v>22</v>
      </c>
      <c r="L279" s="5353" t="s">
        <v>27</v>
      </c>
      <c r="M279" s="5374" t="s">
        <v>22</v>
      </c>
      <c r="N279" s="5353" t="s">
        <v>27</v>
      </c>
      <c r="O279" s="5324" t="s">
        <v>22</v>
      </c>
      <c r="P279" s="5353" t="s">
        <v>27</v>
      </c>
      <c r="Q279" s="5324" t="s">
        <v>22</v>
      </c>
      <c r="R279" s="5353" t="s">
        <v>27</v>
      </c>
      <c r="S279" s="5324" t="s">
        <v>22</v>
      </c>
      <c r="T279" s="5353" t="s">
        <v>27</v>
      </c>
      <c r="U279" s="5324" t="s">
        <v>22</v>
      </c>
      <c r="V279" s="5353" t="s">
        <v>27</v>
      </c>
      <c r="W279" s="5324" t="s">
        <v>22</v>
      </c>
      <c r="X279" s="5353" t="s">
        <v>27</v>
      </c>
      <c r="Y279" s="5324" t="s">
        <v>22</v>
      </c>
      <c r="Z279" s="5353" t="s">
        <v>27</v>
      </c>
      <c r="AA279" s="5324" t="s">
        <v>22</v>
      </c>
      <c r="AB279" s="5353" t="s">
        <v>27</v>
      </c>
      <c r="AC279" s="5324" t="s">
        <v>22</v>
      </c>
      <c r="AD279" s="5353" t="s">
        <v>27</v>
      </c>
      <c r="AE279" s="5324" t="s">
        <v>22</v>
      </c>
      <c r="AF279" s="5353" t="s">
        <v>27</v>
      </c>
      <c r="AG279" s="5324" t="s">
        <v>22</v>
      </c>
      <c r="AH279" s="5353" t="s">
        <v>27</v>
      </c>
      <c r="AI279" s="5324" t="s">
        <v>22</v>
      </c>
      <c r="AJ279" s="5353" t="s">
        <v>27</v>
      </c>
    </row>
    <row r="280" spans="1:110" ht="33" x14ac:dyDescent="0.25">
      <c r="A280" s="5427" t="s">
        <v>2758</v>
      </c>
      <c r="B280" s="5428">
        <f>SUM(C280:D280)</f>
        <v>0</v>
      </c>
      <c r="C280" s="5429">
        <f>+E280+G280+I280+K280+M280+O280+Q280+S280+U280+W280+Y280+AA280+AC280+AE280+AG280+AI280</f>
        <v>0</v>
      </c>
      <c r="D280" s="5332">
        <f>+F280+H280+J280+L280+N280+P280+R280+T280+V280+X280+Z280+AB280+AD280+AF280+AH280+AJ280</f>
        <v>0</v>
      </c>
      <c r="E280" s="5358"/>
      <c r="F280" s="3609"/>
      <c r="G280" s="5358"/>
      <c r="H280" s="3609"/>
      <c r="I280" s="5358"/>
      <c r="J280" s="3609"/>
      <c r="K280" s="5358"/>
      <c r="L280" s="3609"/>
      <c r="M280" s="5358"/>
      <c r="N280" s="3609"/>
      <c r="O280" s="5358"/>
      <c r="P280" s="3609"/>
      <c r="Q280" s="5358"/>
      <c r="R280" s="3609"/>
      <c r="S280" s="5358"/>
      <c r="T280" s="3609"/>
      <c r="U280" s="5358"/>
      <c r="V280" s="3609"/>
      <c r="W280" s="5358"/>
      <c r="X280" s="3609"/>
      <c r="Y280" s="5358"/>
      <c r="Z280" s="3609"/>
      <c r="AA280" s="5358"/>
      <c r="AB280" s="3609"/>
      <c r="AC280" s="5229"/>
      <c r="AD280" s="3609"/>
      <c r="AE280" s="5229"/>
      <c r="AF280" s="3609"/>
      <c r="AG280" s="5229"/>
      <c r="AH280" s="3609"/>
      <c r="AI280" s="5229"/>
      <c r="AJ280" s="3609"/>
    </row>
    <row r="281" spans="1:110" ht="33" x14ac:dyDescent="0.25">
      <c r="A281" s="3665" t="s">
        <v>2759</v>
      </c>
      <c r="B281" s="4919">
        <f t="shared" ref="B281:B285" si="700">SUM(C281:D281)</f>
        <v>0</v>
      </c>
      <c r="C281" s="4917">
        <f t="shared" ref="C281:D285" si="701">+E281+G281+I281+K281+M281+O281+Q281+S281+U281+W281+Y281+AA281+AC281+AE281+AG281+AI281</f>
        <v>0</v>
      </c>
      <c r="D281" s="4929">
        <f t="shared" si="701"/>
        <v>0</v>
      </c>
      <c r="E281" s="5229"/>
      <c r="F281" s="3609"/>
      <c r="G281" s="5229"/>
      <c r="H281" s="3609"/>
      <c r="I281" s="5229"/>
      <c r="J281" s="3609"/>
      <c r="K281" s="5229"/>
      <c r="L281" s="3609"/>
      <c r="M281" s="5229"/>
      <c r="N281" s="3609"/>
      <c r="O281" s="5229"/>
      <c r="P281" s="3609"/>
      <c r="Q281" s="5229"/>
      <c r="R281" s="3609"/>
      <c r="S281" s="5229"/>
      <c r="T281" s="3609"/>
      <c r="U281" s="5229"/>
      <c r="V281" s="3609"/>
      <c r="W281" s="5229"/>
      <c r="X281" s="3609"/>
      <c r="Y281" s="5229"/>
      <c r="Z281" s="3609"/>
      <c r="AA281" s="5229"/>
      <c r="AB281" s="3609"/>
      <c r="AC281" s="5229"/>
      <c r="AD281" s="3609"/>
      <c r="AE281" s="5229"/>
      <c r="AF281" s="3609"/>
      <c r="AG281" s="5229"/>
      <c r="AH281" s="3609"/>
      <c r="AI281" s="5229"/>
      <c r="AJ281" s="3609"/>
    </row>
    <row r="282" spans="1:110" ht="33" x14ac:dyDescent="0.25">
      <c r="A282" s="3665" t="s">
        <v>2760</v>
      </c>
      <c r="B282" s="4919">
        <f t="shared" si="700"/>
        <v>0</v>
      </c>
      <c r="C282" s="4917">
        <f t="shared" si="701"/>
        <v>0</v>
      </c>
      <c r="D282" s="3331">
        <f>+F282+H282+J282+L282+N282+P282+R282+T282+V282+X282+Z282+AB282+AD282+AF282+AH282+AJ282</f>
        <v>0</v>
      </c>
      <c r="E282" s="5229"/>
      <c r="F282" s="3609"/>
      <c r="G282" s="5229"/>
      <c r="H282" s="3609"/>
      <c r="I282" s="5229"/>
      <c r="J282" s="3609"/>
      <c r="K282" s="5229"/>
      <c r="L282" s="3609"/>
      <c r="M282" s="5229"/>
      <c r="N282" s="3609"/>
      <c r="O282" s="5229"/>
      <c r="P282" s="3609"/>
      <c r="Q282" s="5229"/>
      <c r="R282" s="3609"/>
      <c r="S282" s="5229"/>
      <c r="T282" s="3609"/>
      <c r="U282" s="5229"/>
      <c r="V282" s="3609"/>
      <c r="W282" s="5229"/>
      <c r="X282" s="3609"/>
      <c r="Y282" s="5229"/>
      <c r="Z282" s="3609"/>
      <c r="AA282" s="5229"/>
      <c r="AB282" s="3609"/>
      <c r="AC282" s="5229"/>
      <c r="AD282" s="3609"/>
      <c r="AE282" s="5229"/>
      <c r="AF282" s="3609"/>
      <c r="AG282" s="5229"/>
      <c r="AH282" s="3609"/>
      <c r="AI282" s="5229"/>
      <c r="AJ282" s="3609"/>
    </row>
    <row r="283" spans="1:110" ht="33" x14ac:dyDescent="0.25">
      <c r="A283" s="3665" t="s">
        <v>2761</v>
      </c>
      <c r="B283" s="5430">
        <f t="shared" si="700"/>
        <v>0</v>
      </c>
      <c r="C283" s="4918">
        <f t="shared" si="701"/>
        <v>0</v>
      </c>
      <c r="D283" s="5411">
        <f t="shared" si="701"/>
        <v>0</v>
      </c>
      <c r="E283" s="276"/>
      <c r="F283" s="4659"/>
      <c r="G283" s="276"/>
      <c r="H283" s="4659"/>
      <c r="I283" s="276"/>
      <c r="J283" s="4659"/>
      <c r="K283" s="276"/>
      <c r="L283" s="4659"/>
      <c r="M283" s="276"/>
      <c r="N283" s="4659"/>
      <c r="O283" s="276"/>
      <c r="P283" s="4659"/>
      <c r="Q283" s="276"/>
      <c r="R283" s="4659"/>
      <c r="S283" s="276"/>
      <c r="T283" s="4659"/>
      <c r="U283" s="276"/>
      <c r="V283" s="4659"/>
      <c r="W283" s="276"/>
      <c r="X283" s="4659"/>
      <c r="Y283" s="276"/>
      <c r="Z283" s="4659"/>
      <c r="AA283" s="276"/>
      <c r="AB283" s="4659"/>
      <c r="AC283" s="276"/>
      <c r="AD283" s="4659"/>
      <c r="AE283" s="276"/>
      <c r="AF283" s="4659"/>
      <c r="AG283" s="276"/>
      <c r="AH283" s="4659"/>
      <c r="AI283" s="276"/>
      <c r="AJ283" s="4659"/>
    </row>
    <row r="284" spans="1:110" ht="33" x14ac:dyDescent="0.25">
      <c r="A284" s="3665" t="s">
        <v>2762</v>
      </c>
      <c r="B284" s="4919">
        <f t="shared" si="700"/>
        <v>0</v>
      </c>
      <c r="C284" s="4917">
        <f t="shared" si="701"/>
        <v>0</v>
      </c>
      <c r="D284" s="4929">
        <f t="shared" si="701"/>
        <v>0</v>
      </c>
      <c r="E284" s="5229"/>
      <c r="F284" s="3609"/>
      <c r="G284" s="5229"/>
      <c r="H284" s="3609"/>
      <c r="I284" s="5229"/>
      <c r="J284" s="3609"/>
      <c r="K284" s="5229"/>
      <c r="L284" s="3609"/>
      <c r="M284" s="5229"/>
      <c r="N284" s="3609"/>
      <c r="O284" s="5229"/>
      <c r="P284" s="3609"/>
      <c r="Q284" s="5229"/>
      <c r="R284" s="3609"/>
      <c r="S284" s="5229"/>
      <c r="T284" s="3609"/>
      <c r="U284" s="5229"/>
      <c r="V284" s="3609"/>
      <c r="W284" s="5229"/>
      <c r="X284" s="3609"/>
      <c r="Y284" s="5229"/>
      <c r="Z284" s="3609"/>
      <c r="AA284" s="5229"/>
      <c r="AB284" s="3609"/>
      <c r="AC284" s="5229"/>
      <c r="AD284" s="3609"/>
      <c r="AE284" s="5229"/>
      <c r="AF284" s="3609"/>
      <c r="AG284" s="5229"/>
      <c r="AH284" s="3609"/>
      <c r="AI284" s="5229"/>
      <c r="AJ284" s="3609"/>
    </row>
    <row r="285" spans="1:110" ht="33" x14ac:dyDescent="0.25">
      <c r="A285" s="5431" t="s">
        <v>2763</v>
      </c>
      <c r="B285" s="5432">
        <f t="shared" si="700"/>
        <v>0</v>
      </c>
      <c r="C285" s="5433">
        <f t="shared" si="701"/>
        <v>0</v>
      </c>
      <c r="D285" s="4930">
        <f t="shared" si="701"/>
        <v>0</v>
      </c>
      <c r="E285" s="3586"/>
      <c r="F285" s="290"/>
      <c r="G285" s="3586"/>
      <c r="H285" s="290"/>
      <c r="I285" s="3586"/>
      <c r="J285" s="290"/>
      <c r="K285" s="3586"/>
      <c r="L285" s="290"/>
      <c r="M285" s="3586"/>
      <c r="N285" s="290"/>
      <c r="O285" s="3586"/>
      <c r="P285" s="290"/>
      <c r="Q285" s="3586"/>
      <c r="R285" s="290"/>
      <c r="S285" s="3586"/>
      <c r="T285" s="290"/>
      <c r="U285" s="3586"/>
      <c r="V285" s="290"/>
      <c r="W285" s="3586"/>
      <c r="X285" s="290"/>
      <c r="Y285" s="3586"/>
      <c r="Z285" s="290"/>
      <c r="AA285" s="3586"/>
      <c r="AB285" s="290"/>
      <c r="AC285" s="3586"/>
      <c r="AD285" s="290"/>
      <c r="AE285" s="3586"/>
      <c r="AF285" s="290"/>
      <c r="AG285" s="3586"/>
      <c r="AH285" s="290"/>
      <c r="AI285" s="3586"/>
      <c r="AJ285" s="290"/>
    </row>
    <row r="286" spans="1:110" ht="18" customHeight="1" x14ac:dyDescent="0.25">
      <c r="A286" s="7663" t="s">
        <v>2764</v>
      </c>
      <c r="B286" s="7663"/>
      <c r="C286" s="7663"/>
      <c r="D286" s="7663"/>
      <c r="E286" s="7663"/>
      <c r="F286" s="7663"/>
      <c r="G286" s="7663"/>
      <c r="H286" s="7663"/>
      <c r="I286" s="7663"/>
      <c r="J286" s="7663"/>
      <c r="K286" s="7663"/>
      <c r="L286" s="7663"/>
      <c r="M286" s="7663"/>
      <c r="N286" s="7663"/>
      <c r="O286" s="7663"/>
      <c r="P286" s="7663"/>
      <c r="Q286" s="7663"/>
      <c r="R286" s="7663"/>
      <c r="S286" s="7663"/>
      <c r="T286" s="7663"/>
      <c r="U286" s="7663"/>
      <c r="V286" s="7663"/>
      <c r="W286" s="7663"/>
      <c r="X286" s="7663"/>
      <c r="Y286" s="7663"/>
      <c r="Z286" s="7663"/>
      <c r="AA286" s="7663"/>
      <c r="AB286" s="7663"/>
      <c r="AC286" s="603"/>
      <c r="AD286" s="603"/>
    </row>
    <row r="287" spans="1:110" x14ac:dyDescent="0.25">
      <c r="A287" s="7653" t="s">
        <v>0</v>
      </c>
      <c r="B287" s="7656" t="s">
        <v>24</v>
      </c>
      <c r="C287" s="7657"/>
      <c r="D287" s="7645"/>
      <c r="E287" s="7664" t="s">
        <v>30</v>
      </c>
      <c r="F287" s="7665"/>
      <c r="G287" s="7665"/>
      <c r="H287" s="7665"/>
      <c r="I287" s="7665"/>
      <c r="J287" s="7665"/>
      <c r="K287" s="7665"/>
      <c r="L287" s="7665"/>
      <c r="M287" s="7665"/>
      <c r="N287" s="7665"/>
      <c r="O287" s="7665"/>
      <c r="P287" s="7665"/>
      <c r="Q287" s="7665"/>
      <c r="R287" s="7665"/>
      <c r="S287" s="7665"/>
      <c r="T287" s="7665"/>
      <c r="U287" s="7665"/>
      <c r="V287" s="7665"/>
      <c r="W287" s="7665"/>
      <c r="X287" s="7665"/>
      <c r="Y287" s="7665"/>
      <c r="Z287" s="7665"/>
      <c r="AA287" s="7665"/>
      <c r="AB287" s="7666"/>
      <c r="AC287" s="7642" t="s">
        <v>2</v>
      </c>
      <c r="AD287" s="7645" t="s">
        <v>3</v>
      </c>
    </row>
    <row r="288" spans="1:110" ht="15" customHeight="1" x14ac:dyDescent="0.25">
      <c r="A288" s="7654"/>
      <c r="B288" s="7658"/>
      <c r="C288" s="7659"/>
      <c r="D288" s="7646"/>
      <c r="E288" s="7648" t="s">
        <v>3779</v>
      </c>
      <c r="F288" s="7649"/>
      <c r="G288" s="7648" t="s">
        <v>5</v>
      </c>
      <c r="H288" s="7649"/>
      <c r="I288" s="7648" t="s">
        <v>6</v>
      </c>
      <c r="J288" s="7649"/>
      <c r="K288" s="7648" t="s">
        <v>7</v>
      </c>
      <c r="L288" s="7649"/>
      <c r="M288" s="7648" t="s">
        <v>8</v>
      </c>
      <c r="N288" s="7649"/>
      <c r="O288" s="7648" t="s">
        <v>9</v>
      </c>
      <c r="P288" s="7649"/>
      <c r="Q288" s="7648" t="s">
        <v>10</v>
      </c>
      <c r="R288" s="7649"/>
      <c r="S288" s="7648" t="s">
        <v>11</v>
      </c>
      <c r="T288" s="7649"/>
      <c r="U288" s="7648" t="s">
        <v>555</v>
      </c>
      <c r="V288" s="7649"/>
      <c r="W288" s="7648" t="s">
        <v>556</v>
      </c>
      <c r="X288" s="7649"/>
      <c r="Y288" s="7648" t="s">
        <v>557</v>
      </c>
      <c r="Z288" s="7649"/>
      <c r="AA288" s="7648" t="s">
        <v>1904</v>
      </c>
      <c r="AB288" s="7662"/>
      <c r="AC288" s="7643"/>
      <c r="AD288" s="7646"/>
    </row>
    <row r="289" spans="1:110" x14ac:dyDescent="0.25">
      <c r="A289" s="7655"/>
      <c r="B289" s="5434" t="s">
        <v>2584</v>
      </c>
      <c r="C289" s="5378" t="s">
        <v>22</v>
      </c>
      <c r="D289" s="5353" t="s">
        <v>27</v>
      </c>
      <c r="E289" s="5324" t="s">
        <v>22</v>
      </c>
      <c r="F289" s="5353" t="s">
        <v>27</v>
      </c>
      <c r="G289" s="5324" t="s">
        <v>22</v>
      </c>
      <c r="H289" s="5353" t="s">
        <v>27</v>
      </c>
      <c r="I289" s="5324" t="s">
        <v>22</v>
      </c>
      <c r="J289" s="5353" t="s">
        <v>27</v>
      </c>
      <c r="K289" s="5324" t="s">
        <v>22</v>
      </c>
      <c r="L289" s="5353" t="s">
        <v>27</v>
      </c>
      <c r="M289" s="5324" t="s">
        <v>22</v>
      </c>
      <c r="N289" s="5353" t="s">
        <v>27</v>
      </c>
      <c r="O289" s="5324" t="s">
        <v>22</v>
      </c>
      <c r="P289" s="5353" t="s">
        <v>27</v>
      </c>
      <c r="Q289" s="5324" t="s">
        <v>22</v>
      </c>
      <c r="R289" s="5353" t="s">
        <v>27</v>
      </c>
      <c r="S289" s="5324" t="s">
        <v>22</v>
      </c>
      <c r="T289" s="5353" t="s">
        <v>27</v>
      </c>
      <c r="U289" s="5324" t="s">
        <v>22</v>
      </c>
      <c r="V289" s="5353" t="s">
        <v>27</v>
      </c>
      <c r="W289" s="5324" t="s">
        <v>22</v>
      </c>
      <c r="X289" s="5353" t="s">
        <v>27</v>
      </c>
      <c r="Y289" s="5324" t="s">
        <v>22</v>
      </c>
      <c r="Z289" s="5353" t="s">
        <v>27</v>
      </c>
      <c r="AA289" s="5324" t="s">
        <v>22</v>
      </c>
      <c r="AB289" s="5328" t="s">
        <v>27</v>
      </c>
      <c r="AC289" s="7644"/>
      <c r="AD289" s="7647"/>
    </row>
    <row r="290" spans="1:110" ht="22.5" x14ac:dyDescent="0.25">
      <c r="A290" s="5435" t="s">
        <v>2765</v>
      </c>
      <c r="B290" s="5428">
        <f>SUM(C290:D290)</f>
        <v>0</v>
      </c>
      <c r="C290" s="5429">
        <f>+E290+G290+I290+K290+M290+O290+Q290+S290+U290+W290+Y290+AA290</f>
        <v>0</v>
      </c>
      <c r="D290" s="5436">
        <f>+F290+H290+J290+L290+N290+P290+R290+T290+V290+X290+Z290+AB290</f>
        <v>0</v>
      </c>
      <c r="E290" s="1089"/>
      <c r="F290" s="3232"/>
      <c r="G290" s="1089"/>
      <c r="H290" s="3232"/>
      <c r="I290" s="1089"/>
      <c r="J290" s="3232"/>
      <c r="K290" s="1089"/>
      <c r="L290" s="3232"/>
      <c r="M290" s="1089"/>
      <c r="N290" s="3232"/>
      <c r="O290" s="1089"/>
      <c r="P290" s="3232"/>
      <c r="Q290" s="1089"/>
      <c r="R290" s="3232"/>
      <c r="S290" s="1089"/>
      <c r="T290" s="3232"/>
      <c r="U290" s="1089"/>
      <c r="V290" s="3232"/>
      <c r="W290" s="1089"/>
      <c r="X290" s="3232"/>
      <c r="Y290" s="1089"/>
      <c r="Z290" s="3232"/>
      <c r="AA290" s="1089"/>
      <c r="AB290" s="1078"/>
      <c r="AC290" s="591"/>
      <c r="AD290" s="5238"/>
      <c r="AE290" s="3658" t="str">
        <f>$CA290&amp;CB290</f>
        <v/>
      </c>
      <c r="CA290" s="3235" t="str">
        <f>IF(AND(B290&gt;0,AC290="")," * No olvide digitar la variable Pueblos originarios. Digite Cero si no tiene.",IF(AC290&gt;B290," * La variable Pueblos originarios No puede ser mayor al Total.",""))</f>
        <v/>
      </c>
      <c r="CB290" s="3235" t="str">
        <f>IF(AND(B290&gt;0,AD290="")," * No olvide digitar la variable Migrantes. Digite Cero si no tiene.",IF(AD290&gt;B290," * La variable Migrantes No puede ser mayor al Total.",""))</f>
        <v/>
      </c>
      <c r="CC290" s="2718"/>
      <c r="CD290" s="2718"/>
      <c r="DE290" s="1793">
        <f>IF(AND(B290&gt;0,AC290=""),1,IF(AC290&gt;B290,1,0))</f>
        <v>0</v>
      </c>
      <c r="DF290" s="1793">
        <f>IF(AND(B290&gt;0,AD290=""),1,IF(AD290&gt;B290,1,0))</f>
        <v>0</v>
      </c>
    </row>
    <row r="291" spans="1:110" ht="22.5" x14ac:dyDescent="0.25">
      <c r="A291" s="5431" t="s">
        <v>2766</v>
      </c>
      <c r="B291" s="5432">
        <f>SUM(C291:D291)</f>
        <v>0</v>
      </c>
      <c r="C291" s="5433">
        <f>+E291+G291+I291+K291+M291+O291+Q291+S291+U291+W291+Y291+AA291</f>
        <v>0</v>
      </c>
      <c r="D291" s="5437">
        <f>+F291+H291+J291+L291+N291+P291+R291+T291+V291+X291+Z291+AB291</f>
        <v>0</v>
      </c>
      <c r="E291" s="3112"/>
      <c r="F291" s="117"/>
      <c r="G291" s="3112"/>
      <c r="H291" s="117"/>
      <c r="I291" s="3112"/>
      <c r="J291" s="117"/>
      <c r="K291" s="3112"/>
      <c r="L291" s="117"/>
      <c r="M291" s="3112"/>
      <c r="N291" s="117"/>
      <c r="O291" s="3112"/>
      <c r="P291" s="117"/>
      <c r="Q291" s="3112"/>
      <c r="R291" s="117"/>
      <c r="S291" s="3112"/>
      <c r="T291" s="117"/>
      <c r="U291" s="3112"/>
      <c r="V291" s="117"/>
      <c r="W291" s="3112"/>
      <c r="X291" s="117"/>
      <c r="Y291" s="3112"/>
      <c r="Z291" s="117"/>
      <c r="AA291" s="3112"/>
      <c r="AB291" s="3169"/>
      <c r="AC291" s="121"/>
      <c r="AD291" s="3124"/>
      <c r="AE291" s="3658" t="str">
        <f>$CA291&amp;CB291</f>
        <v/>
      </c>
      <c r="CA291" s="3235" t="str">
        <f>IF(AND(B291&gt;0,AC291="")," * No olvide digitar la variable Pueblos originarios. Digite Cero si no tiene.",IF(AC291&gt;B291," * La variable Pueblos originarios No puede ser mayor al Total.",""))</f>
        <v/>
      </c>
      <c r="CB291" s="3235" t="str">
        <f>IF(AND(B291&gt;0,AD291="")," * No olvide digitar la variable Migrantes. Digite Cero si no tiene.",IF(AD291&gt;B291," * La variable Migrantes No puede ser mayor al Total.",""))</f>
        <v/>
      </c>
      <c r="CC291" s="2718"/>
      <c r="CD291" s="2718"/>
      <c r="DE291" s="1793">
        <f>IF(AND(B291&gt;0,AC291=""),1,IF(AC291&gt;B291,1,0))</f>
        <v>0</v>
      </c>
      <c r="DF291" s="1793">
        <f>IF(AND(B291&gt;0,AD291=""),1,IF(AD291&gt;B291,1,0))</f>
        <v>0</v>
      </c>
    </row>
    <row r="292" spans="1:110" ht="18" customHeight="1" x14ac:dyDescent="0.25">
      <c r="A292" s="7652" t="s">
        <v>2767</v>
      </c>
      <c r="B292" s="7652"/>
      <c r="C292" s="7652"/>
      <c r="D292" s="7652"/>
      <c r="E292" s="7652"/>
      <c r="F292" s="7652"/>
      <c r="G292" s="7652"/>
      <c r="H292" s="7652"/>
      <c r="I292" s="7652"/>
      <c r="J292" s="7652"/>
      <c r="K292" s="7652"/>
      <c r="L292" s="7652"/>
      <c r="M292" s="7652"/>
      <c r="N292" s="7652"/>
      <c r="O292" s="7652"/>
      <c r="P292" s="7652"/>
      <c r="Q292" s="7652"/>
      <c r="R292" s="7652"/>
      <c r="S292" s="7652"/>
      <c r="T292" s="7652"/>
      <c r="U292" s="7652"/>
      <c r="V292" s="7652"/>
      <c r="W292" s="7652"/>
      <c r="X292" s="7652"/>
      <c r="Y292" s="7652"/>
      <c r="Z292" s="7652"/>
      <c r="AA292" s="7652"/>
      <c r="AB292" s="7652"/>
      <c r="AC292" s="7652"/>
      <c r="AD292" s="7652"/>
      <c r="AE292" s="7652"/>
      <c r="AF292" s="7652"/>
      <c r="AG292" s="7652"/>
      <c r="AH292" s="7652"/>
      <c r="AI292" s="7652"/>
      <c r="AJ292" s="7652"/>
      <c r="AK292" s="603"/>
      <c r="AL292" s="603"/>
    </row>
    <row r="293" spans="1:110" x14ac:dyDescent="0.25">
      <c r="A293" s="7653" t="s">
        <v>0</v>
      </c>
      <c r="B293" s="7656" t="s">
        <v>24</v>
      </c>
      <c r="C293" s="7657"/>
      <c r="D293" s="7645"/>
      <c r="E293" s="7660" t="s">
        <v>30</v>
      </c>
      <c r="F293" s="7660"/>
      <c r="G293" s="7660"/>
      <c r="H293" s="7660"/>
      <c r="I293" s="7660"/>
      <c r="J293" s="7660"/>
      <c r="K293" s="7660"/>
      <c r="L293" s="7660"/>
      <c r="M293" s="7660"/>
      <c r="N293" s="7660"/>
      <c r="O293" s="7660"/>
      <c r="P293" s="7660"/>
      <c r="Q293" s="7660"/>
      <c r="R293" s="7660"/>
      <c r="S293" s="7660"/>
      <c r="T293" s="7660"/>
      <c r="U293" s="7660"/>
      <c r="V293" s="7660"/>
      <c r="W293" s="7660"/>
      <c r="X293" s="7660"/>
      <c r="Y293" s="7660"/>
      <c r="Z293" s="7660"/>
      <c r="AA293" s="7660"/>
      <c r="AB293" s="7660"/>
      <c r="AC293" s="7660"/>
      <c r="AD293" s="7660"/>
      <c r="AE293" s="7660"/>
      <c r="AF293" s="7660"/>
      <c r="AG293" s="7660"/>
      <c r="AH293" s="7660"/>
      <c r="AI293" s="7660"/>
      <c r="AJ293" s="7661"/>
      <c r="AK293" s="7642" t="s">
        <v>2</v>
      </c>
      <c r="AL293" s="7645" t="s">
        <v>3</v>
      </c>
    </row>
    <row r="294" spans="1:110" ht="15" customHeight="1" x14ac:dyDescent="0.25">
      <c r="A294" s="7654"/>
      <c r="B294" s="7658"/>
      <c r="C294" s="7659"/>
      <c r="D294" s="7646"/>
      <c r="E294" s="7648" t="s">
        <v>682</v>
      </c>
      <c r="F294" s="7649"/>
      <c r="G294" s="7650" t="s">
        <v>2757</v>
      </c>
      <c r="H294" s="7651"/>
      <c r="I294" s="7650" t="s">
        <v>553</v>
      </c>
      <c r="J294" s="7651"/>
      <c r="K294" s="7650" t="s">
        <v>554</v>
      </c>
      <c r="L294" s="7651"/>
      <c r="M294" s="7648" t="s">
        <v>4</v>
      </c>
      <c r="N294" s="7649"/>
      <c r="O294" s="7648" t="s">
        <v>5</v>
      </c>
      <c r="P294" s="7649"/>
      <c r="Q294" s="7648" t="s">
        <v>6</v>
      </c>
      <c r="R294" s="7649"/>
      <c r="S294" s="7648" t="s">
        <v>7</v>
      </c>
      <c r="T294" s="7649"/>
      <c r="U294" s="7648" t="s">
        <v>8</v>
      </c>
      <c r="V294" s="7649"/>
      <c r="W294" s="7648" t="s">
        <v>9</v>
      </c>
      <c r="X294" s="7649"/>
      <c r="Y294" s="7648" t="s">
        <v>10</v>
      </c>
      <c r="Z294" s="7649"/>
      <c r="AA294" s="7648" t="s">
        <v>11</v>
      </c>
      <c r="AB294" s="7649"/>
      <c r="AC294" s="7648" t="s">
        <v>555</v>
      </c>
      <c r="AD294" s="7649"/>
      <c r="AE294" s="7648" t="s">
        <v>556</v>
      </c>
      <c r="AF294" s="7649"/>
      <c r="AG294" s="7648" t="s">
        <v>557</v>
      </c>
      <c r="AH294" s="7649"/>
      <c r="AI294" s="7648" t="s">
        <v>1904</v>
      </c>
      <c r="AJ294" s="7662"/>
      <c r="AK294" s="7643"/>
      <c r="AL294" s="7646"/>
    </row>
    <row r="295" spans="1:110" x14ac:dyDescent="0.25">
      <c r="A295" s="7655"/>
      <c r="B295" s="5434" t="s">
        <v>2584</v>
      </c>
      <c r="C295" s="5378" t="s">
        <v>22</v>
      </c>
      <c r="D295" s="5353" t="s">
        <v>27</v>
      </c>
      <c r="E295" s="5324" t="s">
        <v>22</v>
      </c>
      <c r="F295" s="5353" t="s">
        <v>27</v>
      </c>
      <c r="G295" s="5324" t="s">
        <v>22</v>
      </c>
      <c r="H295" s="5353" t="s">
        <v>27</v>
      </c>
      <c r="I295" s="5324" t="s">
        <v>22</v>
      </c>
      <c r="J295" s="5353" t="s">
        <v>27</v>
      </c>
      <c r="K295" s="5324" t="s">
        <v>22</v>
      </c>
      <c r="L295" s="5353" t="s">
        <v>27</v>
      </c>
      <c r="M295" s="5324" t="s">
        <v>22</v>
      </c>
      <c r="N295" s="5353" t="s">
        <v>27</v>
      </c>
      <c r="O295" s="5324" t="s">
        <v>22</v>
      </c>
      <c r="P295" s="5353" t="s">
        <v>27</v>
      </c>
      <c r="Q295" s="5324" t="s">
        <v>22</v>
      </c>
      <c r="R295" s="5353" t="s">
        <v>27</v>
      </c>
      <c r="S295" s="5324" t="s">
        <v>22</v>
      </c>
      <c r="T295" s="5353" t="s">
        <v>27</v>
      </c>
      <c r="U295" s="5324" t="s">
        <v>22</v>
      </c>
      <c r="V295" s="5353" t="s">
        <v>27</v>
      </c>
      <c r="W295" s="5324" t="s">
        <v>22</v>
      </c>
      <c r="X295" s="5353" t="s">
        <v>27</v>
      </c>
      <c r="Y295" s="5324" t="s">
        <v>22</v>
      </c>
      <c r="Z295" s="5353" t="s">
        <v>27</v>
      </c>
      <c r="AA295" s="5324" t="s">
        <v>22</v>
      </c>
      <c r="AB295" s="5353" t="s">
        <v>27</v>
      </c>
      <c r="AC295" s="5324" t="s">
        <v>22</v>
      </c>
      <c r="AD295" s="5353" t="s">
        <v>27</v>
      </c>
      <c r="AE295" s="5324" t="s">
        <v>22</v>
      </c>
      <c r="AF295" s="5353" t="s">
        <v>27</v>
      </c>
      <c r="AG295" s="5324" t="s">
        <v>22</v>
      </c>
      <c r="AH295" s="5353" t="s">
        <v>27</v>
      </c>
      <c r="AI295" s="5324" t="s">
        <v>22</v>
      </c>
      <c r="AJ295" s="5400" t="s">
        <v>27</v>
      </c>
      <c r="AK295" s="7644"/>
      <c r="AL295" s="7647"/>
    </row>
    <row r="296" spans="1:110" ht="22.5" x14ac:dyDescent="0.25">
      <c r="A296" s="5435" t="s">
        <v>2768</v>
      </c>
      <c r="B296" s="5438">
        <f>SUM(C296:D296)</f>
        <v>0</v>
      </c>
      <c r="C296" s="5439">
        <f>+E296+G296+I296+K296+M296+O296+Q296+S296+U296+W296+Y296+AA296+AC296+AE296+AG296+AI296</f>
        <v>0</v>
      </c>
      <c r="D296" s="5436">
        <f t="shared" ref="C296:D298" si="702">+F296+H296+J296+L296+N296+P296+R296+T296+V296+X296+Z296+AB296+AD296+AF296+AH296+AJ296</f>
        <v>0</v>
      </c>
      <c r="E296" s="1089"/>
      <c r="F296" s="1077"/>
      <c r="G296" s="1089"/>
      <c r="H296" s="1077"/>
      <c r="I296" s="1089"/>
      <c r="J296" s="1077"/>
      <c r="K296" s="1089"/>
      <c r="L296" s="1077"/>
      <c r="M296" s="1089"/>
      <c r="N296" s="1077"/>
      <c r="O296" s="1089"/>
      <c r="P296" s="1077"/>
      <c r="Q296" s="1089"/>
      <c r="R296" s="1077"/>
      <c r="S296" s="1089"/>
      <c r="T296" s="1077"/>
      <c r="U296" s="1089"/>
      <c r="V296" s="1077"/>
      <c r="W296" s="1089"/>
      <c r="X296" s="1077"/>
      <c r="Y296" s="1089"/>
      <c r="Z296" s="1077"/>
      <c r="AA296" s="1089"/>
      <c r="AB296" s="1077"/>
      <c r="AC296" s="1089"/>
      <c r="AD296" s="1077"/>
      <c r="AE296" s="1089"/>
      <c r="AF296" s="1077"/>
      <c r="AG296" s="1089"/>
      <c r="AH296" s="1077"/>
      <c r="AI296" s="1089"/>
      <c r="AJ296" s="1078"/>
      <c r="AK296" s="3669"/>
      <c r="AL296" s="5440"/>
      <c r="CA296" s="3581"/>
      <c r="DE296" s="2872"/>
      <c r="DF296" s="2872"/>
    </row>
    <row r="297" spans="1:110" ht="22.5" x14ac:dyDescent="0.25">
      <c r="A297" s="3665" t="s">
        <v>2769</v>
      </c>
      <c r="B297" s="4919">
        <f>SUM(C297:D297)</f>
        <v>0</v>
      </c>
      <c r="C297" s="4917">
        <f t="shared" si="702"/>
        <v>0</v>
      </c>
      <c r="D297" s="3331">
        <f>+F297+H297+J297+L297+N297+P297+R297+T297+V297+X297+Z297+AB297+AD297+AF297+AH297+AJ297</f>
        <v>0</v>
      </c>
      <c r="E297" s="1089"/>
      <c r="F297" s="1077"/>
      <c r="G297" s="1089"/>
      <c r="H297" s="1077"/>
      <c r="I297" s="1089"/>
      <c r="J297" s="1077"/>
      <c r="K297" s="1089"/>
      <c r="L297" s="1077"/>
      <c r="M297" s="1089"/>
      <c r="N297" s="1077"/>
      <c r="O297" s="1089"/>
      <c r="P297" s="1077"/>
      <c r="Q297" s="1089"/>
      <c r="R297" s="1077"/>
      <c r="S297" s="1089"/>
      <c r="T297" s="1077"/>
      <c r="U297" s="1089"/>
      <c r="V297" s="1077"/>
      <c r="W297" s="1089"/>
      <c r="X297" s="1077"/>
      <c r="Y297" s="1089"/>
      <c r="Z297" s="1077"/>
      <c r="AA297" s="1089"/>
      <c r="AB297" s="1077"/>
      <c r="AC297" s="1089"/>
      <c r="AD297" s="1077"/>
      <c r="AE297" s="1089"/>
      <c r="AF297" s="1077"/>
      <c r="AG297" s="1089"/>
      <c r="AH297" s="1077"/>
      <c r="AI297" s="1089"/>
      <c r="AJ297" s="1078"/>
      <c r="AK297" s="3232"/>
      <c r="AL297" s="1077"/>
      <c r="AM297" s="3658" t="str">
        <f>$CA297&amp;$CB297</f>
        <v/>
      </c>
      <c r="CA297" s="3235" t="str">
        <f>IF(AND(B297&gt;0,AK297="")," * No olvide digitar la variable pueblos originarios. Digite Cero si no tiene.",IF(AK297&gt;B297," * La variable Pueblos originarios No puede ser mayor al Total.",""))</f>
        <v/>
      </c>
      <c r="CB297" s="3235" t="str">
        <f>IF(AND(B297&gt;0,AL297="")," * No olvide digitar la variable Migrantes. Digite Cero si no tiene.",IF(AL297&gt;B297," * La variable Migrantes No puede ser mayor al Total.",""))</f>
        <v/>
      </c>
      <c r="CI297" s="2718"/>
      <c r="CJ297" s="2718"/>
      <c r="CK297" s="2718"/>
      <c r="DE297" s="1793">
        <f>IF(AND(B297&gt;0,AK297=""),1,IF(AK297&gt;B297,1,0))</f>
        <v>0</v>
      </c>
      <c r="DF297" s="1793">
        <f>IF(AND(B297&gt;0,AL297=""),1,IF(AL297&gt;B297,1,0))</f>
        <v>0</v>
      </c>
    </row>
    <row r="298" spans="1:110" ht="22.5" x14ac:dyDescent="0.25">
      <c r="A298" s="3670" t="s">
        <v>2770</v>
      </c>
      <c r="B298" s="5441">
        <f>SUM(C298:D298)</f>
        <v>0</v>
      </c>
      <c r="C298" s="5442">
        <f t="shared" si="702"/>
        <v>0</v>
      </c>
      <c r="D298" s="5299">
        <f>+F298+H298+J298+L298+N298+P298+R298+T298+V298+X298+Z298+AB298+AD298+AF298+AH298+AJ298</f>
        <v>0</v>
      </c>
      <c r="E298" s="5281"/>
      <c r="F298" s="4948"/>
      <c r="G298" s="5281"/>
      <c r="H298" s="4948"/>
      <c r="I298" s="5281"/>
      <c r="J298" s="4948"/>
      <c r="K298" s="5281"/>
      <c r="L298" s="4948"/>
      <c r="M298" s="5281"/>
      <c r="N298" s="4948"/>
      <c r="O298" s="5281"/>
      <c r="P298" s="4948"/>
      <c r="Q298" s="5281"/>
      <c r="R298" s="4948"/>
      <c r="S298" s="5281"/>
      <c r="T298" s="4948"/>
      <c r="U298" s="5281"/>
      <c r="V298" s="4948"/>
      <c r="W298" s="5281"/>
      <c r="X298" s="4948"/>
      <c r="Y298" s="5281"/>
      <c r="Z298" s="4948"/>
      <c r="AA298" s="5281"/>
      <c r="AB298" s="4948"/>
      <c r="AC298" s="5281"/>
      <c r="AD298" s="4948"/>
      <c r="AE298" s="5281"/>
      <c r="AF298" s="4948"/>
      <c r="AG298" s="5281"/>
      <c r="AH298" s="4948"/>
      <c r="AI298" s="5281"/>
      <c r="AJ298" s="2500"/>
      <c r="AK298" s="5443"/>
      <c r="AL298" s="4948"/>
      <c r="AM298" s="3658" t="str">
        <f>$CA298&amp;$CB298</f>
        <v/>
      </c>
      <c r="CA298" s="3235" t="str">
        <f>IF(AND(B298&gt;0,AK298="")," * No olvide digitar la variable pueblos originarios. Digite Cero si no tiene.",IF(AK298&gt;B298," * La variable Pueblos originarios No puede ser mayor al Total.",""))</f>
        <v/>
      </c>
      <c r="CB298" s="3235" t="str">
        <f>IF(AND(B298&gt;0,AL298="")," * No olvide digitar la variable Migrantes. Digite Cero si no tiene.",IF(AL298&gt;B298," * La variable Migrantes No puede ser mayor al Total.",""))</f>
        <v/>
      </c>
      <c r="DE298" s="1793">
        <f>IF(AND(B298&gt;0,AK298=""),1,IF(AK298&gt;B298,1,0))</f>
        <v>0</v>
      </c>
      <c r="DF298" s="1793">
        <f>IF(AND(B298&gt;0,AL298=""),1,IF(AL298&gt;B298,1,0))</f>
        <v>0</v>
      </c>
    </row>
    <row r="350" spans="1:2" hidden="1" x14ac:dyDescent="0.25">
      <c r="A350" s="3266">
        <f>SUM(B13:C30,B35:C52,B57:C74,B79:C96,B101:C118,B123:C140,C144:P148,C152:P156,C161:D183,C188:D210,B215:C221,B226:C232,C237:D259,B263:B267,B271:B275,B280:D285,B290:D291,B296:D298)</f>
        <v>0</v>
      </c>
      <c r="B350" s="3266">
        <f>SUM(DE13:EB298)</f>
        <v>0</v>
      </c>
    </row>
  </sheetData>
  <sheetProtection algorithmName="SHA-512" hashValue="hpDvY+eLzVwBRXT71yvkl4wiLY7keDqzNPobJINse//ZTM/gO1EvcNKi1QAFiNkGpERWJuohhQuTGJ0L/0WniA==" saltValue="4FoiI6alfGst0bbCALEGLw==" spinCount="100000" sheet="1" objects="1" scenarios="1"/>
  <mergeCells count="456"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J213:AK213"/>
    <mergeCell ref="X213:Y213"/>
    <mergeCell ref="Z213:AA213"/>
    <mergeCell ref="AB213:AC213"/>
    <mergeCell ref="AD213:AE213"/>
    <mergeCell ref="D213:E213"/>
    <mergeCell ref="F213:G213"/>
    <mergeCell ref="H213:I213"/>
    <mergeCell ref="J213:K213"/>
    <mergeCell ref="L213:M213"/>
    <mergeCell ref="N213:O213"/>
    <mergeCell ref="AL212:AM212"/>
    <mergeCell ref="AN212:AO212"/>
    <mergeCell ref="AP212:AP214"/>
    <mergeCell ref="AQ212:AQ214"/>
    <mergeCell ref="AL213:AL214"/>
    <mergeCell ref="AM213:AM214"/>
    <mergeCell ref="AN213:AN214"/>
    <mergeCell ref="AO213:AO214"/>
    <mergeCell ref="AF213:AG213"/>
    <mergeCell ref="AH213:AI213"/>
    <mergeCell ref="A223:A225"/>
    <mergeCell ref="B223:C224"/>
    <mergeCell ref="D223:AK223"/>
    <mergeCell ref="AL223:AM223"/>
    <mergeCell ref="AN223:AO22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P223:AP225"/>
    <mergeCell ref="AQ223:AQ22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O224:AO225"/>
    <mergeCell ref="AF224:AG224"/>
    <mergeCell ref="AH224:AI224"/>
    <mergeCell ref="AJ224:AK224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M235:AN235"/>
    <mergeCell ref="AO235:AP235"/>
    <mergeCell ref="AQ235:AR235"/>
    <mergeCell ref="AO234:AR234"/>
    <mergeCell ref="S235:T235"/>
    <mergeCell ref="U235:V235"/>
    <mergeCell ref="W235:X235"/>
    <mergeCell ref="Y235:Z235"/>
    <mergeCell ref="A237:A255"/>
    <mergeCell ref="A256:A259"/>
    <mergeCell ref="A260:R260"/>
    <mergeCell ref="AA235:AB235"/>
    <mergeCell ref="AC235:AD235"/>
    <mergeCell ref="AE235:AF235"/>
    <mergeCell ref="AG235:AH235"/>
    <mergeCell ref="AI235:AJ235"/>
    <mergeCell ref="AK235:AL235"/>
    <mergeCell ref="A234:B236"/>
    <mergeCell ref="C234:D235"/>
    <mergeCell ref="E234:AJ234"/>
    <mergeCell ref="AK234:AN234"/>
    <mergeCell ref="A269:A270"/>
    <mergeCell ref="B269:B270"/>
    <mergeCell ref="C269:R269"/>
    <mergeCell ref="S269:S270"/>
    <mergeCell ref="T269:T270"/>
    <mergeCell ref="A276:AJ276"/>
    <mergeCell ref="A261:A262"/>
    <mergeCell ref="B261:B262"/>
    <mergeCell ref="C261:L261"/>
    <mergeCell ref="M261:M262"/>
    <mergeCell ref="N261:N262"/>
    <mergeCell ref="A268:R268"/>
    <mergeCell ref="A277:A279"/>
    <mergeCell ref="B277:D277"/>
    <mergeCell ref="E277:AJ277"/>
    <mergeCell ref="B278:B279"/>
    <mergeCell ref="C278:C279"/>
    <mergeCell ref="D278:D279"/>
    <mergeCell ref="E278:F278"/>
    <mergeCell ref="G278:H278"/>
    <mergeCell ref="I278:J278"/>
    <mergeCell ref="K278:L278"/>
    <mergeCell ref="Y278:Z278"/>
    <mergeCell ref="AA278:AB278"/>
    <mergeCell ref="AC278:AD278"/>
    <mergeCell ref="AE278:AF278"/>
    <mergeCell ref="AG278:AH278"/>
    <mergeCell ref="AI278:AJ278"/>
    <mergeCell ref="M278:N278"/>
    <mergeCell ref="O278:P278"/>
    <mergeCell ref="Q278:R278"/>
    <mergeCell ref="S278:T278"/>
    <mergeCell ref="U278:V278"/>
    <mergeCell ref="W278:X278"/>
    <mergeCell ref="A286:AB286"/>
    <mergeCell ref="A287:A289"/>
    <mergeCell ref="B287:D288"/>
    <mergeCell ref="E287:AB287"/>
    <mergeCell ref="AC287:AC289"/>
    <mergeCell ref="AD287:AD289"/>
    <mergeCell ref="E288:F288"/>
    <mergeCell ref="G288:H288"/>
    <mergeCell ref="I288:J288"/>
    <mergeCell ref="K288:L288"/>
    <mergeCell ref="Y288:Z288"/>
    <mergeCell ref="AA288:AB288"/>
    <mergeCell ref="A292:AJ292"/>
    <mergeCell ref="A293:A295"/>
    <mergeCell ref="B293:D294"/>
    <mergeCell ref="E293:AJ293"/>
    <mergeCell ref="U294:V294"/>
    <mergeCell ref="W294:X294"/>
    <mergeCell ref="Y294:Z294"/>
    <mergeCell ref="AA294:AB294"/>
    <mergeCell ref="M288:N288"/>
    <mergeCell ref="O288:P288"/>
    <mergeCell ref="Q288:R288"/>
    <mergeCell ref="S288:T288"/>
    <mergeCell ref="U288:V288"/>
    <mergeCell ref="W288:X288"/>
    <mergeCell ref="AC294:AD294"/>
    <mergeCell ref="AE294:AF294"/>
    <mergeCell ref="AG294:AH294"/>
    <mergeCell ref="AI294:AJ294"/>
    <mergeCell ref="AK293:AK295"/>
    <mergeCell ref="AL293:AL295"/>
    <mergeCell ref="E294:F294"/>
    <mergeCell ref="G294:H294"/>
    <mergeCell ref="I294:J294"/>
    <mergeCell ref="K294:L294"/>
    <mergeCell ref="M294:N294"/>
    <mergeCell ref="O294:P294"/>
    <mergeCell ref="Q294:R294"/>
    <mergeCell ref="S294:T294"/>
  </mergeCells>
  <dataValidations count="1">
    <dataValidation type="whole" operator="greaterThanOrEqual" allowBlank="1" showInputMessage="1" showErrorMessage="1" sqref="N13:AQ20 N24:O25 D25:M25 AR18:AT18 AR22:AR30 C263:N267 P23:AI27 AJ23:AQ26 D21:I22 J21:AQ21 D28:AQ30 D43:I44 D47:AQ47 J43:AQ43 P49:AI49 D50:AQ52 N35:AQ42 P45:AQ46 P48:AQ48 AR40:AS40 AU13:AW30 D69:M69 D65:I66 P67:AQ70 AR66:AR74 AN57:AQ65 D72:AQ74 P71:AI71 N68:O69 AT35:AW52 AR88:AR96 AS57:AW74 N79:AQ87 D91:M91 D87:M87 D88:I88 N90:O91 D94:AQ96 P89:AQ93 AR110:AR118 AS79:AW96 N101:AQ109 N112:AI112 D116:AQ118 P111:AI111 P114:AI115 D113:AI113 AJ111:AQ114 J109:M109 D109:I110 AR132:AR140 N123:AQ131 AS101:AW118 D138:AQ140 AJ136:AQ136 N134:AQ135 P133:AQ133 D132:I132 D135:M135 D131:M131 P136:AI137 AS123:AW140 C144:P148 E165:N166 M161:N163 E169:N169 E173:N175 E179:N183 O161:AF183 AI173:AJ183 AG170:AH183 AG164:AJ169 AK164:AL183 AM161:AV183 AW161:AX169 AW173:AX183 AW188:AX196 E192:N193 M188:N190 E196:N196 E200:N202 E206:N210 AI200:AJ210 AG191:AL196 AG197:AH210 O188:AF210 AK197:AL210 AM188:AV210 AW200:AX210 H215:I215 D217:I221 J215:Y221 Z216:AL221 AM215:AQ221 Z227:AL232 H226:I226 D228:I232 J226:Y232 AM226:AQ232 E241:L241 E244:L244 E247:L247 AM237:AX239 M251:N255 M249:N249 M244:N247 M241:N242 O237:AD239 E256:N259 O240:AX259 E296:AJ298 C271:T275 E280:AJ285 E290:AD291 AK297:AL298 AS19:AT30 AS13:AT17 AR44:AR52 AS41:AS52 AS35:AS39 N57:AM64 J65:AM65 AR62 AR84 AR106 AR128 C152:P156" xr:uid="{00000000-0002-0000-0A00-000000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CH150"/>
  <sheetViews>
    <sheetView showGridLines="0" workbookViewId="0"/>
  </sheetViews>
  <sheetFormatPr baseColWidth="10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6" width="11.42578125" hidden="1" customWidth="1"/>
    <col min="87" max="87" width="11.42578125" customWidth="1"/>
  </cols>
  <sheetData>
    <row r="1" spans="1:86" x14ac:dyDescent="0.25">
      <c r="A1" s="779" t="s">
        <v>3878</v>
      </c>
    </row>
    <row r="2" spans="1:86" x14ac:dyDescent="0.25">
      <c r="A2" s="779" t="str">
        <f>CONCATENATE("COMUNA: ",NOMBRE!B2," - ","( ",NOMBRE!C2,NOMBRE!D2,NOMBRE!E2,NOMBRE!F2,NOMBRE!G2," )")</f>
        <v>COMUNA:  - (  )</v>
      </c>
    </row>
    <row r="3" spans="1:86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86" x14ac:dyDescent="0.25">
      <c r="A4" s="779" t="str">
        <f>CONCATENATE("MES: ",NOMBRE!B6," - ","( ",NOMBRE!C6,NOMBRE!D6," )")</f>
        <v>MES:  - (  )</v>
      </c>
    </row>
    <row r="5" spans="1:86" x14ac:dyDescent="0.25">
      <c r="A5" s="779" t="str">
        <f>CONCATENATE("AÑO: ",NOMBRE!B7)</f>
        <v>AÑO: 2024</v>
      </c>
    </row>
    <row r="6" spans="1:86" s="632" customFormat="1" ht="18" customHeight="1" x14ac:dyDescent="0.25">
      <c r="A6" s="6447" t="s">
        <v>2771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</row>
    <row r="8" spans="1:86" ht="18" customHeight="1" x14ac:dyDescent="0.25">
      <c r="A8" s="7755" t="s">
        <v>2772</v>
      </c>
      <c r="B8" s="7755"/>
      <c r="C8" s="7755"/>
      <c r="D8" s="7755"/>
      <c r="E8" s="7755"/>
      <c r="F8" s="7755"/>
      <c r="G8" s="7755"/>
      <c r="H8" s="7755"/>
      <c r="I8" s="7755"/>
      <c r="J8" s="7755"/>
      <c r="K8" s="7755"/>
      <c r="L8" s="3671"/>
      <c r="M8" s="3671"/>
    </row>
    <row r="9" spans="1:86" x14ac:dyDescent="0.25">
      <c r="A9" s="7756"/>
      <c r="B9" s="7758" t="s">
        <v>24</v>
      </c>
      <c r="C9" s="7760" t="s">
        <v>558</v>
      </c>
      <c r="D9" s="7761"/>
      <c r="E9" s="7761"/>
      <c r="F9" s="7761"/>
      <c r="G9" s="7761"/>
      <c r="H9" s="7761"/>
      <c r="I9" s="7761"/>
      <c r="J9" s="7761"/>
      <c r="K9" s="7762"/>
      <c r="L9" s="7763" t="s">
        <v>2</v>
      </c>
      <c r="M9" s="7765" t="s">
        <v>3</v>
      </c>
    </row>
    <row r="10" spans="1:86" x14ac:dyDescent="0.25">
      <c r="A10" s="7757"/>
      <c r="B10" s="7759"/>
      <c r="C10" s="3672" t="s">
        <v>38</v>
      </c>
      <c r="D10" s="3673" t="s">
        <v>4</v>
      </c>
      <c r="E10" s="3673" t="s">
        <v>5</v>
      </c>
      <c r="F10" s="3673" t="s">
        <v>6</v>
      </c>
      <c r="G10" s="3673" t="s">
        <v>7</v>
      </c>
      <c r="H10" s="3673" t="s">
        <v>8</v>
      </c>
      <c r="I10" s="3673" t="s">
        <v>9</v>
      </c>
      <c r="J10" s="3673" t="s">
        <v>10</v>
      </c>
      <c r="K10" s="3674" t="s">
        <v>11</v>
      </c>
      <c r="L10" s="7764"/>
      <c r="M10" s="7766"/>
    </row>
    <row r="11" spans="1:86" ht="18" customHeight="1" x14ac:dyDescent="0.25">
      <c r="A11" s="4655" t="s">
        <v>3780</v>
      </c>
      <c r="B11" s="4687"/>
      <c r="C11" s="4688"/>
      <c r="D11" s="4688"/>
      <c r="E11" s="4688"/>
      <c r="F11" s="4688"/>
      <c r="G11" s="4688"/>
      <c r="H11" s="4688"/>
      <c r="I11" s="4688"/>
      <c r="J11" s="4688"/>
      <c r="K11" s="4656"/>
      <c r="L11" s="4689"/>
      <c r="M11" s="4657"/>
    </row>
    <row r="12" spans="1:86" ht="22.5" x14ac:dyDescent="0.25">
      <c r="A12" s="5427" t="s">
        <v>2773</v>
      </c>
      <c r="B12" s="5756">
        <f>SUM(C12:K12)</f>
        <v>0</v>
      </c>
      <c r="C12" s="5358"/>
      <c r="D12" s="5757"/>
      <c r="E12" s="5757"/>
      <c r="F12" s="5757"/>
      <c r="G12" s="5757"/>
      <c r="H12" s="5757"/>
      <c r="I12" s="5757"/>
      <c r="J12" s="5757"/>
      <c r="K12" s="5391"/>
      <c r="L12" s="5390"/>
      <c r="M12" s="5360"/>
      <c r="N12" s="3658" t="str">
        <f>$CA12&amp;CB12</f>
        <v/>
      </c>
      <c r="CA12" s="3235" t="str">
        <f>IF(AND(B12&gt;0,L12="")," * No olvide digitar la variable Pueblos Originarios. Digite cero si no tiene.",IF(L12&gt;B12, " * La variable Pueblos Originarios no puede ser mayor al Total.",""))</f>
        <v/>
      </c>
      <c r="CB12" s="3235" t="str">
        <f>IF(AND(B12&gt;0,M12="")," * No olvide digitar la variable Migrantes. Digite cero si no tiene.",IF(M12&gt;B12, " * La variable Migrantes no puede ser mayor al Total.",""))</f>
        <v/>
      </c>
      <c r="CC12" s="2718"/>
      <c r="CD12" s="2718"/>
      <c r="CG12" s="1793">
        <f>IF(AND(B12&gt;0,L12=""),1,IF(L12&gt;B12,1,0))</f>
        <v>0</v>
      </c>
      <c r="CH12" s="1793">
        <f>IF(AND(B12&gt;0,M12=""),1,IF(M12&gt;B12,1,0))</f>
        <v>0</v>
      </c>
    </row>
    <row r="13" spans="1:86" x14ac:dyDescent="0.25">
      <c r="A13" s="5758" t="s">
        <v>2774</v>
      </c>
      <c r="B13" s="5759">
        <f>SUM(C13:K13)</f>
        <v>0</v>
      </c>
      <c r="C13" s="5760"/>
      <c r="D13" s="5761"/>
      <c r="E13" s="5761"/>
      <c r="F13" s="5761"/>
      <c r="G13" s="5761"/>
      <c r="H13" s="5761"/>
      <c r="I13" s="5761"/>
      <c r="J13" s="5761"/>
      <c r="K13" s="5762"/>
      <c r="L13" s="4668"/>
      <c r="M13" s="5763"/>
      <c r="N13" s="3658" t="str">
        <f t="shared" ref="N13:N19" si="0">$CA13&amp;CB13</f>
        <v/>
      </c>
      <c r="CA13" s="3235" t="str">
        <f>IF(AND(B13&gt;0,L13="")," * No olvide digitar la variable Pueblos Originarios. Digite cero si no tiene.",IF(L13&gt;B13, " * La variable Pueblos Originarios no puede ser mayor al Total.",""))</f>
        <v/>
      </c>
      <c r="CB13" s="3235" t="str">
        <f>IF(AND(B13&gt;0,M13="")," * No olvide digitar la variable Migrantes. Digite cero si no tiene.",IF(M13&gt;B13, " * La variable Migrantes no puede ser mayor al Total.",""))</f>
        <v/>
      </c>
      <c r="CC13" s="632"/>
      <c r="CD13" s="632"/>
      <c r="CE13" s="632"/>
      <c r="CF13" s="632"/>
      <c r="CG13" s="1793">
        <f>IF(AND(B13&gt;0,L13=""),1,IF(L13&gt;B13,1,0))</f>
        <v>0</v>
      </c>
      <c r="CH13" s="1793">
        <f>IF(AND(B13&gt;0,M13=""),1,IF(M13&gt;B13,1,0))</f>
        <v>0</v>
      </c>
    </row>
    <row r="14" spans="1:86" ht="18" customHeight="1" x14ac:dyDescent="0.25">
      <c r="A14" s="5750" t="s">
        <v>3781</v>
      </c>
      <c r="B14" s="5751"/>
      <c r="C14" s="5752"/>
      <c r="D14" s="5752"/>
      <c r="E14" s="5752"/>
      <c r="F14" s="5752"/>
      <c r="G14" s="5752"/>
      <c r="H14" s="5752"/>
      <c r="I14" s="5752"/>
      <c r="J14" s="5752"/>
      <c r="K14" s="5753"/>
      <c r="L14" s="5754"/>
      <c r="M14" s="5755"/>
      <c r="N14" s="3658" t="str">
        <f t="shared" si="0"/>
        <v/>
      </c>
      <c r="CA14" s="603"/>
    </row>
    <row r="15" spans="1:86" ht="22.5" x14ac:dyDescent="0.25">
      <c r="A15" s="5427" t="s">
        <v>2775</v>
      </c>
      <c r="B15" s="5332">
        <f>SUM(C15:K15)</f>
        <v>0</v>
      </c>
      <c r="C15" s="5358"/>
      <c r="D15" s="5757"/>
      <c r="E15" s="5757"/>
      <c r="F15" s="5757"/>
      <c r="G15" s="5757"/>
      <c r="H15" s="5757"/>
      <c r="I15" s="5757"/>
      <c r="J15" s="5757"/>
      <c r="K15" s="5391"/>
      <c r="L15" s="5390"/>
      <c r="M15" s="5360"/>
      <c r="N15" s="3658" t="str">
        <f t="shared" si="0"/>
        <v/>
      </c>
      <c r="CA15" s="3235" t="str">
        <f>IF(AND(B15&gt;0,L15="")," * No olvide digitar la variable Pueblos Originarios. Digite cero si no tiene.",IF(L15&gt;B15, " * La variable Pueblos Originarios no puede ser mayor al Total.",""))</f>
        <v/>
      </c>
      <c r="CB15" s="3235" t="str">
        <f t="shared" ref="CB15:CB16" si="1">IF(AND(B15&gt;0,M15="")," * No olvide digitar la variable Migrantes. Digite cero si no tiene.",IF(M15&gt;B15, " * La variable Migrantes no puede ser mayor al Total.",""))</f>
        <v/>
      </c>
      <c r="CC15" s="632"/>
      <c r="CD15" s="632"/>
      <c r="CE15" s="632"/>
      <c r="CF15" s="632"/>
      <c r="CG15" s="1793">
        <f t="shared" ref="CG15:CG16" si="2">IF(AND(B15&gt;0,L15=""),1,IF(L15&gt;B15,1,0))</f>
        <v>0</v>
      </c>
      <c r="CH15" s="1793">
        <f t="shared" ref="CH15:CH16" si="3">IF(AND(B15&gt;0,M15=""),1,IF(M15&gt;B15,1,0))</f>
        <v>0</v>
      </c>
    </row>
    <row r="16" spans="1:86" x14ac:dyDescent="0.25">
      <c r="A16" s="5758" t="s">
        <v>2776</v>
      </c>
      <c r="B16" s="5759">
        <f>SUM(C16:K16)</f>
        <v>0</v>
      </c>
      <c r="C16" s="5760"/>
      <c r="D16" s="5761"/>
      <c r="E16" s="5761"/>
      <c r="F16" s="5761"/>
      <c r="G16" s="5761"/>
      <c r="H16" s="5761"/>
      <c r="I16" s="5761"/>
      <c r="J16" s="5761"/>
      <c r="K16" s="5762"/>
      <c r="L16" s="4668"/>
      <c r="M16" s="5763"/>
      <c r="N16" s="3658" t="str">
        <f t="shared" si="0"/>
        <v/>
      </c>
      <c r="CA16" s="3235" t="str">
        <f>IF(AND(B16&gt;0,L16="")," * No olvide digitar la variable Pueblos Originarios. Digite cero si no tiene.",IF(L16&gt;B16, " * La variable Pueblos Originarios no puede ser mayor al Total.",""))</f>
        <v/>
      </c>
      <c r="CB16" s="3235" t="str">
        <f t="shared" si="1"/>
        <v/>
      </c>
      <c r="CC16" s="632"/>
      <c r="CD16" s="632"/>
      <c r="CE16" s="632"/>
      <c r="CF16" s="632"/>
      <c r="CG16" s="1793">
        <f t="shared" si="2"/>
        <v>0</v>
      </c>
      <c r="CH16" s="1793">
        <f t="shared" si="3"/>
        <v>0</v>
      </c>
    </row>
    <row r="17" spans="1:86" ht="18" customHeight="1" x14ac:dyDescent="0.25">
      <c r="A17" s="4660" t="s">
        <v>3782</v>
      </c>
      <c r="B17" s="4690"/>
      <c r="C17" s="4691"/>
      <c r="D17" s="4691"/>
      <c r="E17" s="4691"/>
      <c r="F17" s="4691"/>
      <c r="G17" s="4691"/>
      <c r="H17" s="4691"/>
      <c r="I17" s="4691"/>
      <c r="J17" s="4691"/>
      <c r="K17" s="4653"/>
      <c r="L17" s="4692"/>
      <c r="M17" s="4654"/>
      <c r="N17" s="3658" t="str">
        <f t="shared" si="0"/>
        <v/>
      </c>
      <c r="CA17" s="603"/>
    </row>
    <row r="18" spans="1:86" ht="22.5" x14ac:dyDescent="0.25">
      <c r="A18" s="3677" t="s">
        <v>2777</v>
      </c>
      <c r="B18" s="154">
        <f>SUM(C18:K18)</f>
        <v>0</v>
      </c>
      <c r="C18" s="276"/>
      <c r="D18" s="3598"/>
      <c r="E18" s="3598"/>
      <c r="F18" s="3598"/>
      <c r="G18" s="3598"/>
      <c r="H18" s="3598"/>
      <c r="I18" s="3598"/>
      <c r="J18" s="3598"/>
      <c r="K18" s="3608"/>
      <c r="L18" s="3621"/>
      <c r="M18" s="280"/>
      <c r="N18" s="3658" t="str">
        <f t="shared" si="0"/>
        <v/>
      </c>
      <c r="CA18" s="3235" t="str">
        <f>IF(AND(B18&gt;0,L18="")," * No olvide digitar la variable Pueblos Originarios. Digite cero si no tiene.",IF(L18&gt;B18, " * La variable Pueblos Originarios no puede ser mayor al Total.",""))</f>
        <v/>
      </c>
      <c r="CB18" s="3235" t="str">
        <f t="shared" ref="CB18:CB19" si="4">IF(AND(B18&gt;0,M18="")," * No olvide digitar la variable Migrantes. Digite cero si no tiene.",IF(M18&gt;B18, " * La variable Migrantes no puede ser mayor al Total.",""))</f>
        <v/>
      </c>
      <c r="CC18" s="632"/>
      <c r="CD18" s="632"/>
      <c r="CE18" s="632"/>
      <c r="CF18" s="632"/>
      <c r="CG18" s="1793">
        <f t="shared" ref="CG18:CG19" si="5">IF(AND(B18&gt;0,L18=""),1,IF(L18&gt;B18,1,0))</f>
        <v>0</v>
      </c>
      <c r="CH18" s="1793">
        <f t="shared" ref="CH18:CH19" si="6">IF(AND(B18&gt;0,M18=""),1,IF(M18&gt;B18,1,0))</f>
        <v>0</v>
      </c>
    </row>
    <row r="19" spans="1:86" x14ac:dyDescent="0.25">
      <c r="A19" s="3667" t="s">
        <v>2776</v>
      </c>
      <c r="B19" s="3584">
        <f>SUM(C19:K19)</f>
        <v>0</v>
      </c>
      <c r="C19" s="3599"/>
      <c r="D19" s="3600"/>
      <c r="E19" s="3600"/>
      <c r="F19" s="3600"/>
      <c r="G19" s="3600"/>
      <c r="H19" s="3600"/>
      <c r="I19" s="3600"/>
      <c r="J19" s="3600"/>
      <c r="K19" s="3675"/>
      <c r="L19" s="3676"/>
      <c r="M19" s="3601"/>
      <c r="N19" s="3658" t="str">
        <f t="shared" si="0"/>
        <v/>
      </c>
      <c r="CA19" s="3235" t="str">
        <f>IF(AND(B19&gt;0,L19="")," * No olvide digitar la variable Pueblos Originarios. Digite cero si no tiene.",IF(L19&gt;B19, " * La variable Pueblos Originarios no puede ser mayor al Total.",""))</f>
        <v/>
      </c>
      <c r="CB19" s="3235" t="str">
        <f t="shared" si="4"/>
        <v/>
      </c>
      <c r="CC19" s="632"/>
      <c r="CD19" s="632"/>
      <c r="CE19" s="632"/>
      <c r="CF19" s="632"/>
      <c r="CG19" s="1793">
        <f t="shared" si="5"/>
        <v>0</v>
      </c>
      <c r="CH19" s="1793">
        <f t="shared" si="6"/>
        <v>0</v>
      </c>
    </row>
    <row r="20" spans="1:86" ht="18" customHeight="1" x14ac:dyDescent="0.25">
      <c r="A20" s="7767" t="s">
        <v>2778</v>
      </c>
      <c r="B20" s="7767"/>
      <c r="C20" s="7767"/>
      <c r="D20" s="7767"/>
      <c r="CA20" s="603"/>
    </row>
    <row r="21" spans="1:86" ht="21" x14ac:dyDescent="0.25">
      <c r="A21" s="3678"/>
      <c r="B21" s="3679" t="s">
        <v>24</v>
      </c>
      <c r="C21" s="3680" t="s">
        <v>2</v>
      </c>
      <c r="D21" s="3634" t="s">
        <v>3</v>
      </c>
      <c r="CA21" s="603"/>
    </row>
    <row r="22" spans="1:86" ht="33" x14ac:dyDescent="0.25">
      <c r="A22" s="3677" t="s">
        <v>2779</v>
      </c>
      <c r="B22" s="3681"/>
      <c r="C22" s="3619"/>
      <c r="D22" s="3596"/>
      <c r="E22" s="1755" t="str">
        <f>CA22&amp;CB22</f>
        <v/>
      </c>
      <c r="CA22" s="3235" t="str">
        <f>IF(AND(B22&gt;0,C22="")," * No olvide digitar la variable Pueblos Originarios. Digite cero si no tiene.",IF(C22&gt;B22, " * La variable Pueblos Originarios no puede ser mayor al Total.",""))</f>
        <v/>
      </c>
      <c r="CB22" s="3235" t="str">
        <f>IF(AND(B22&gt;0,D22="")," * No olvide digitar la variable Migrantes. Digite cero si no tiene.",IF(D22&gt;B22, " * La variable Migrantes no puede ser mayor al Total.",""))</f>
        <v/>
      </c>
      <c r="CC22" s="632"/>
      <c r="CD22" s="632"/>
      <c r="CE22" s="632"/>
      <c r="CF22" s="632"/>
      <c r="CG22" s="3009">
        <f>IF(AND(B22&gt;0,C22=""),1,IF(C22&gt;B22,1,0))</f>
        <v>0</v>
      </c>
      <c r="CH22" s="3009">
        <f>IF(AND(B22&gt;0,D22=""),1,IF(D22&gt;B22,1,0))</f>
        <v>0</v>
      </c>
    </row>
    <row r="23" spans="1:86" ht="22.5" x14ac:dyDescent="0.25">
      <c r="A23" s="3682" t="s">
        <v>2780</v>
      </c>
      <c r="B23" s="3683"/>
      <c r="C23" s="3676"/>
      <c r="D23" s="3601"/>
      <c r="E23" s="1755" t="str">
        <f>CA23&amp;CB23</f>
        <v/>
      </c>
      <c r="CA23" s="3235" t="str">
        <f>IF(AND(B23&gt;0,C23="")," * No olvide digitar la variable Pueblos Originarios. Digite cero si no tiene.",IF(C23&gt;B23, " * La variable Pueblos Originarios no puede ser mayor al Total.",""))</f>
        <v/>
      </c>
      <c r="CB23" s="3235" t="str">
        <f>IF(AND(B23&gt;0,D23="")," * No olvide digitar la variable Migrantes. Digite cero si no tiene.",IF(D23&gt;B23, " * La variable Migrantes no puede ser mayor al Total.",""))</f>
        <v/>
      </c>
      <c r="CC23" s="632"/>
      <c r="CD23" s="632"/>
      <c r="CE23" s="632"/>
      <c r="CF23" s="632"/>
      <c r="CG23" s="3009">
        <f>IF(AND(B23&gt;0,C23=""),1,IF(C23&gt;B23,1,0))</f>
        <v>0</v>
      </c>
      <c r="CH23" s="3009">
        <f>IF(AND(B23&gt;0,D23=""),1,IF(D23&gt;B23,1,0))</f>
        <v>0</v>
      </c>
    </row>
    <row r="24" spans="1:86" ht="18" customHeight="1" x14ac:dyDescent="0.25">
      <c r="A24" s="7768" t="s">
        <v>2781</v>
      </c>
      <c r="B24" s="7768"/>
      <c r="C24" s="7768"/>
      <c r="D24" s="7768"/>
      <c r="E24" s="7768"/>
      <c r="F24" s="7768"/>
      <c r="G24" s="7768"/>
      <c r="H24" s="7768"/>
      <c r="I24" s="7768"/>
      <c r="J24" s="7768"/>
      <c r="K24" s="7768"/>
      <c r="CA24" s="603"/>
    </row>
    <row r="25" spans="1:86" x14ac:dyDescent="0.25">
      <c r="A25" s="7769"/>
      <c r="B25" s="7756" t="s">
        <v>24</v>
      </c>
      <c r="C25" s="7761" t="s">
        <v>558</v>
      </c>
      <c r="D25" s="7761"/>
      <c r="E25" s="7761"/>
      <c r="F25" s="7761"/>
      <c r="G25" s="7761"/>
      <c r="H25" s="7761"/>
      <c r="I25" s="7761"/>
      <c r="J25" s="7761"/>
      <c r="K25" s="7762"/>
      <c r="L25" s="7765" t="s">
        <v>2</v>
      </c>
      <c r="M25" s="7756" t="s">
        <v>3</v>
      </c>
      <c r="CA25" s="603"/>
    </row>
    <row r="26" spans="1:86" x14ac:dyDescent="0.25">
      <c r="A26" s="7770"/>
      <c r="B26" s="7757"/>
      <c r="C26" s="3690" t="s">
        <v>38</v>
      </c>
      <c r="D26" s="3673" t="s">
        <v>4</v>
      </c>
      <c r="E26" s="3673" t="s">
        <v>5</v>
      </c>
      <c r="F26" s="3673" t="s">
        <v>6</v>
      </c>
      <c r="G26" s="3673" t="s">
        <v>7</v>
      </c>
      <c r="H26" s="3673" t="s">
        <v>8</v>
      </c>
      <c r="I26" s="3673" t="s">
        <v>9</v>
      </c>
      <c r="J26" s="3673" t="s">
        <v>10</v>
      </c>
      <c r="K26" s="3674" t="s">
        <v>11</v>
      </c>
      <c r="L26" s="7766"/>
      <c r="M26" s="7757"/>
      <c r="CA26" s="603"/>
    </row>
    <row r="27" spans="1:86" ht="22.5" x14ac:dyDescent="0.25">
      <c r="A27" s="3677" t="s">
        <v>2782</v>
      </c>
      <c r="B27" s="3305">
        <f t="shared" ref="B27:B32" si="7">SUM(C27:K27)</f>
        <v>0</v>
      </c>
      <c r="C27" s="276"/>
      <c r="D27" s="3598"/>
      <c r="E27" s="3598"/>
      <c r="F27" s="3598"/>
      <c r="G27" s="3598"/>
      <c r="H27" s="3598"/>
      <c r="I27" s="3598"/>
      <c r="J27" s="3598"/>
      <c r="K27" s="3608"/>
      <c r="L27" s="615"/>
      <c r="M27" s="1976"/>
      <c r="N27" s="1755" t="str">
        <f>$CA27&amp;CB27</f>
        <v/>
      </c>
      <c r="CA27" s="3235" t="str">
        <f>IF(AND(B27&gt;0,L27="")," No olvide digitar la variable Pueblos Originarios. Digite cero si no tiene.",IF(L27&gt;B27," * La variable Pueblos Originarios no puede ser mayor al Total.",""))</f>
        <v/>
      </c>
      <c r="CB27" s="3235" t="str">
        <f>IF(AND(B27&gt;0,M27="")," No olvide digitar la variable Migrantes. Digite cero si no tiene.",IF(M27&gt;B27," * La variable Migrantes no puede ser mayor al Total.",""))</f>
        <v/>
      </c>
      <c r="CC27" s="632"/>
      <c r="CD27" s="632"/>
      <c r="CE27" s="632"/>
      <c r="CF27" s="632"/>
      <c r="CG27" s="3009">
        <f>IF(AND(B27&gt;0,L27=""),1,IF(L27&gt;B27,1,0))</f>
        <v>0</v>
      </c>
      <c r="CH27" s="3009">
        <f>IF(AND(B27&gt;0,M27=""),1,IF(M27&gt;B27,1,0))</f>
        <v>0</v>
      </c>
    </row>
    <row r="28" spans="1:86" x14ac:dyDescent="0.25">
      <c r="A28" s="3677" t="s">
        <v>2783</v>
      </c>
      <c r="B28" s="3331">
        <f t="shared" si="7"/>
        <v>0</v>
      </c>
      <c r="C28" s="276"/>
      <c r="D28" s="3598"/>
      <c r="E28" s="3598"/>
      <c r="F28" s="3598"/>
      <c r="G28" s="3598"/>
      <c r="H28" s="3598"/>
      <c r="I28" s="3598"/>
      <c r="J28" s="3598"/>
      <c r="K28" s="3608"/>
      <c r="L28" s="615"/>
      <c r="M28" s="1976"/>
      <c r="N28" s="1755" t="str">
        <f t="shared" ref="N28:N32" si="8">$CA28&amp;CB28</f>
        <v/>
      </c>
      <c r="CA28" s="323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3235" t="str">
        <f t="shared" ref="CB28:CB32" si="10">IF(AND(B28&gt;0,M28="")," No olvide digitar la variable Migrantes. Digite cero si no tiene.",IF(M28&gt;B28," * La variable Migrantes no puede ser mayor al Total.",""))</f>
        <v/>
      </c>
      <c r="CC28" s="632"/>
      <c r="CD28" s="632"/>
      <c r="CE28" s="632"/>
      <c r="CF28" s="632"/>
      <c r="CG28" s="3009">
        <f t="shared" ref="CG28:CG32" si="11">IF(AND(B28&gt;0,L28=""),1,IF(L28&gt;B28,1,0))</f>
        <v>0</v>
      </c>
      <c r="CH28" s="3009">
        <f t="shared" ref="CH28:CH32" si="12">IF(AND(B28&gt;0,M28=""),1,IF(M28&gt;B28,1,0))</f>
        <v>0</v>
      </c>
    </row>
    <row r="29" spans="1:86" ht="22.5" x14ac:dyDescent="0.25">
      <c r="A29" s="3677" t="s">
        <v>2784</v>
      </c>
      <c r="B29" s="3331">
        <f t="shared" si="7"/>
        <v>0</v>
      </c>
      <c r="C29" s="276"/>
      <c r="D29" s="3598"/>
      <c r="E29" s="3598"/>
      <c r="F29" s="3598"/>
      <c r="G29" s="3598"/>
      <c r="H29" s="3598"/>
      <c r="I29" s="3598"/>
      <c r="J29" s="3598"/>
      <c r="K29" s="3608"/>
      <c r="L29" s="615"/>
      <c r="M29" s="1976"/>
      <c r="N29" s="1755" t="str">
        <f t="shared" si="8"/>
        <v/>
      </c>
      <c r="CA29" s="3235" t="str">
        <f t="shared" si="9"/>
        <v/>
      </c>
      <c r="CB29" s="3235" t="str">
        <f t="shared" si="10"/>
        <v/>
      </c>
      <c r="CC29" s="632"/>
      <c r="CD29" s="632"/>
      <c r="CE29" s="632"/>
      <c r="CF29" s="632"/>
      <c r="CG29" s="3009">
        <f t="shared" si="11"/>
        <v>0</v>
      </c>
      <c r="CH29" s="3009">
        <f t="shared" si="12"/>
        <v>0</v>
      </c>
    </row>
    <row r="30" spans="1:86" ht="22.5" x14ac:dyDescent="0.25">
      <c r="A30" s="3677" t="s">
        <v>2785</v>
      </c>
      <c r="B30" s="3331">
        <f t="shared" si="7"/>
        <v>0</v>
      </c>
      <c r="C30" s="276"/>
      <c r="D30" s="3598"/>
      <c r="E30" s="3598"/>
      <c r="F30" s="3598"/>
      <c r="G30" s="3598"/>
      <c r="H30" s="3598"/>
      <c r="I30" s="3598"/>
      <c r="J30" s="3598"/>
      <c r="K30" s="3608"/>
      <c r="L30" s="615"/>
      <c r="M30" s="1976"/>
      <c r="N30" s="1755" t="str">
        <f t="shared" si="8"/>
        <v/>
      </c>
      <c r="CA30" s="3235" t="str">
        <f t="shared" si="9"/>
        <v/>
      </c>
      <c r="CB30" s="3235" t="str">
        <f t="shared" si="10"/>
        <v/>
      </c>
      <c r="CC30" s="632"/>
      <c r="CD30" s="632"/>
      <c r="CE30" s="632"/>
      <c r="CF30" s="632"/>
      <c r="CG30" s="3009">
        <f t="shared" si="11"/>
        <v>0</v>
      </c>
      <c r="CH30" s="3009">
        <f t="shared" si="12"/>
        <v>0</v>
      </c>
    </row>
    <row r="31" spans="1:86" ht="22.5" x14ac:dyDescent="0.25">
      <c r="A31" s="3677" t="s">
        <v>2786</v>
      </c>
      <c r="B31" s="3331">
        <f t="shared" si="7"/>
        <v>0</v>
      </c>
      <c r="C31" s="276"/>
      <c r="D31" s="3598"/>
      <c r="E31" s="3598"/>
      <c r="F31" s="3598"/>
      <c r="G31" s="3598"/>
      <c r="H31" s="3598"/>
      <c r="I31" s="3598"/>
      <c r="J31" s="3598"/>
      <c r="K31" s="3608"/>
      <c r="L31" s="615"/>
      <c r="M31" s="1976"/>
      <c r="N31" s="1755" t="str">
        <f t="shared" si="8"/>
        <v/>
      </c>
      <c r="CA31" s="3235" t="str">
        <f t="shared" si="9"/>
        <v/>
      </c>
      <c r="CB31" s="3235" t="str">
        <f t="shared" si="10"/>
        <v/>
      </c>
      <c r="CC31" s="632"/>
      <c r="CD31" s="632"/>
      <c r="CE31" s="632"/>
      <c r="CF31" s="632"/>
      <c r="CG31" s="3009">
        <f t="shared" si="11"/>
        <v>0</v>
      </c>
      <c r="CH31" s="3009">
        <f t="shared" si="12"/>
        <v>0</v>
      </c>
    </row>
    <row r="32" spans="1:86" x14ac:dyDescent="0.25">
      <c r="A32" s="3667" t="s">
        <v>2787</v>
      </c>
      <c r="B32" s="3584">
        <f t="shared" si="7"/>
        <v>0</v>
      </c>
      <c r="C32" s="3586"/>
      <c r="D32" s="3585"/>
      <c r="E32" s="3585"/>
      <c r="F32" s="3585"/>
      <c r="G32" s="3585"/>
      <c r="H32" s="3585"/>
      <c r="I32" s="3585"/>
      <c r="J32" s="3585"/>
      <c r="K32" s="385"/>
      <c r="L32" s="288"/>
      <c r="M32" s="384"/>
      <c r="N32" s="1755" t="str">
        <f t="shared" si="8"/>
        <v/>
      </c>
      <c r="CA32" s="3235" t="str">
        <f t="shared" si="9"/>
        <v/>
      </c>
      <c r="CB32" s="3235" t="str">
        <f t="shared" si="10"/>
        <v/>
      </c>
      <c r="CC32" s="632"/>
      <c r="CD32" s="632"/>
      <c r="CE32" s="632"/>
      <c r="CF32" s="632"/>
      <c r="CG32" s="3009">
        <f t="shared" si="11"/>
        <v>0</v>
      </c>
      <c r="CH32" s="3009">
        <f t="shared" si="12"/>
        <v>0</v>
      </c>
    </row>
    <row r="33" spans="1:86" ht="18" customHeight="1" x14ac:dyDescent="0.25">
      <c r="A33" s="7767" t="s">
        <v>2788</v>
      </c>
      <c r="B33" s="7767"/>
      <c r="C33" s="7767"/>
      <c r="D33" s="7767"/>
      <c r="CA33" s="603"/>
    </row>
    <row r="34" spans="1:86" ht="21" x14ac:dyDescent="0.25">
      <c r="A34" s="3684"/>
      <c r="B34" s="3679" t="s">
        <v>24</v>
      </c>
      <c r="C34" s="3680" t="s">
        <v>2</v>
      </c>
      <c r="D34" s="3634" t="s">
        <v>3</v>
      </c>
      <c r="CA34" s="603"/>
    </row>
    <row r="35" spans="1:86" ht="22.5" x14ac:dyDescent="0.25">
      <c r="A35" s="3677" t="s">
        <v>2789</v>
      </c>
      <c r="B35" s="3685"/>
      <c r="C35" s="615"/>
      <c r="D35" s="611"/>
      <c r="E35" s="1755" t="str">
        <f>CA35&amp;CB35</f>
        <v/>
      </c>
      <c r="CA35" s="3235" t="str">
        <f>IF(AND(B35&gt;0,C35="")," No olvide digitar la variable Pueblos Originarios. Digite cero si no tiene.",IF(C35&gt;B35," * La variable Pueblos Originarios no puede ser mayor al Total.",""))</f>
        <v/>
      </c>
      <c r="CB35" s="3235" t="str">
        <f>IF(AND(B35&gt;0,D35="")," No olvide digitar la variable Migrantes. Digite cero si no tiene.",IF(D35&gt;B35," * La variable Migrantes no puede ser mayor al Total.",""))</f>
        <v/>
      </c>
      <c r="CC35" s="632"/>
      <c r="CD35" s="632"/>
      <c r="CE35" s="632"/>
      <c r="CF35" s="632"/>
      <c r="CG35" s="3009">
        <f>IF(AND(B35&gt;0,C35=""),1,IF(C35&gt;B35,1,0))</f>
        <v>0</v>
      </c>
      <c r="CH35" s="3009">
        <f>IF(AND(B35&gt;0,D35=""),1,IF(D35&gt;B35,1,0))</f>
        <v>0</v>
      </c>
    </row>
    <row r="36" spans="1:86" x14ac:dyDescent="0.25">
      <c r="A36" s="3682" t="s">
        <v>2790</v>
      </c>
      <c r="B36" s="3686"/>
      <c r="C36" s="288"/>
      <c r="D36" s="3587"/>
      <c r="E36" s="1755" t="str">
        <f>CA36&amp;CB36</f>
        <v/>
      </c>
      <c r="CA36" s="3235" t="str">
        <f>IF(AND(B36&gt;0,C36="")," No olvide digitar la variable Pueblos Originarios. Digite cero si no tiene.",IF(C36&gt;B36," * La variable Pueblos Originarios no puede ser mayor al Total.",""))</f>
        <v/>
      </c>
      <c r="CB36" s="3235" t="str">
        <f>IF(AND(B36&gt;0,D36="")," No olvide digitar la variable Migrantes. Digite cero si no tiene.",IF(D36&gt;B36," * La variable Migrantes no puede ser mayor al Total.",""))</f>
        <v/>
      </c>
      <c r="CC36" s="632"/>
      <c r="CD36" s="632"/>
      <c r="CE36" s="632"/>
      <c r="CF36" s="632"/>
      <c r="CG36" s="3009">
        <f>IF(AND(B36&gt;0,C36=""),1,IF(C36&gt;B36,1,0))</f>
        <v>0</v>
      </c>
      <c r="CH36" s="3009">
        <f>IF(AND(B36&gt;0,D36=""),1,IF(D36&gt;B36,1,0))</f>
        <v>0</v>
      </c>
    </row>
    <row r="37" spans="1:86" ht="18" customHeight="1" x14ac:dyDescent="0.25">
      <c r="A37" s="7768" t="s">
        <v>2791</v>
      </c>
      <c r="B37" s="7768"/>
      <c r="C37" s="7768"/>
      <c r="D37" s="7768"/>
      <c r="E37" s="7768"/>
      <c r="F37" s="7768"/>
      <c r="G37" s="7768"/>
      <c r="H37" s="7768"/>
      <c r="I37" s="7768"/>
      <c r="J37" s="7768"/>
      <c r="K37" s="7768"/>
      <c r="CA37" s="603"/>
      <c r="CB37" s="603"/>
    </row>
    <row r="38" spans="1:86" x14ac:dyDescent="0.25">
      <c r="A38" s="7771"/>
      <c r="B38" s="7773" t="s">
        <v>24</v>
      </c>
      <c r="C38" s="7775" t="s">
        <v>558</v>
      </c>
      <c r="D38" s="7776"/>
      <c r="E38" s="7776"/>
      <c r="F38" s="7776"/>
      <c r="G38" s="7776"/>
      <c r="H38" s="7776"/>
      <c r="I38" s="7776"/>
      <c r="J38" s="7776"/>
      <c r="K38" s="7777"/>
      <c r="L38" s="7778" t="s">
        <v>2</v>
      </c>
      <c r="M38" s="7780" t="s">
        <v>3</v>
      </c>
      <c r="CA38" s="603"/>
    </row>
    <row r="39" spans="1:86" x14ac:dyDescent="0.25">
      <c r="A39" s="7772"/>
      <c r="B39" s="7774"/>
      <c r="C39" s="4663" t="s">
        <v>38</v>
      </c>
      <c r="D39" s="4664" t="s">
        <v>4</v>
      </c>
      <c r="E39" s="4664" t="s">
        <v>5</v>
      </c>
      <c r="F39" s="4664" t="s">
        <v>6</v>
      </c>
      <c r="G39" s="4664" t="s">
        <v>7</v>
      </c>
      <c r="H39" s="4664" t="s">
        <v>8</v>
      </c>
      <c r="I39" s="4664" t="s">
        <v>9</v>
      </c>
      <c r="J39" s="4664" t="s">
        <v>10</v>
      </c>
      <c r="K39" s="4662" t="s">
        <v>11</v>
      </c>
      <c r="L39" s="7779"/>
      <c r="M39" s="7781"/>
      <c r="CA39" s="603"/>
    </row>
    <row r="40" spans="1:86" ht="22.5" x14ac:dyDescent="0.25">
      <c r="A40" s="3677" t="s">
        <v>2792</v>
      </c>
      <c r="B40" s="3687">
        <f>SUM(C40:K40)</f>
        <v>0</v>
      </c>
      <c r="C40" s="3572"/>
      <c r="D40" s="615"/>
      <c r="E40" s="615"/>
      <c r="F40" s="615"/>
      <c r="G40" s="615"/>
      <c r="H40" s="615"/>
      <c r="I40" s="615"/>
      <c r="J40" s="615"/>
      <c r="K40" s="3608"/>
      <c r="L40" s="3621"/>
      <c r="M40" s="4659"/>
      <c r="N40" s="1755" t="str">
        <f>$CA40&amp;CB40</f>
        <v/>
      </c>
      <c r="CA40" s="3235" t="str">
        <f>IF(AND(B40&gt;0,L40="")," No olvide digitar la variable Pueblos Originarios. Digite cero si no tiene.",IF(L40&gt;B40," * La variable Pueblos Originarios no puede ser mayor al Total.",""))</f>
        <v/>
      </c>
      <c r="CB40" s="3235" t="str">
        <f>IF(AND(B40&gt;0,M40="")," No olvide digitar la variable Migrantes. Digite cero si no tiene.",IF(M40&gt;B40," * La variable Migrantes no puede ser mayor al Total.",""))</f>
        <v/>
      </c>
      <c r="CC40" s="632"/>
      <c r="CD40" s="632"/>
      <c r="CE40" s="632"/>
      <c r="CF40" s="632"/>
      <c r="CG40" s="3009">
        <f>IF(AND(B40&gt;0,L40=""),1,IF(L40&gt;B40,1,0))</f>
        <v>0</v>
      </c>
      <c r="CH40" s="3009">
        <f>IF(AND(B40&gt;0,M40=""),1,IF(M40&gt;B40,1,0))</f>
        <v>0</v>
      </c>
    </row>
    <row r="41" spans="1:86" ht="22.5" x14ac:dyDescent="0.25">
      <c r="A41" s="3677" t="s">
        <v>2793</v>
      </c>
      <c r="B41" s="3687">
        <f t="shared" ref="B41:B47" si="13">SUM(C41:K41)</f>
        <v>0</v>
      </c>
      <c r="C41" s="3572"/>
      <c r="D41" s="615"/>
      <c r="E41" s="615"/>
      <c r="F41" s="615"/>
      <c r="G41" s="615"/>
      <c r="H41" s="615"/>
      <c r="I41" s="615"/>
      <c r="J41" s="615"/>
      <c r="K41" s="3608"/>
      <c r="L41" s="3621"/>
      <c r="M41" s="4659"/>
      <c r="N41" s="1755" t="str">
        <f t="shared" ref="N41:N47" si="14">$CA41&amp;CB41</f>
        <v/>
      </c>
      <c r="CA41" s="323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3235" t="str">
        <f t="shared" ref="CB41:CB47" si="16">IF(AND(B41&gt;0,M41="")," No olvide digitar la variable Migrantes. Digite cero si no tiene.",IF(M41&gt;B41," * La variable Migrantes no puede ser mayor al Total.",""))</f>
        <v/>
      </c>
      <c r="CC41" s="632"/>
      <c r="CD41" s="632"/>
      <c r="CE41" s="632"/>
      <c r="CF41" s="632"/>
      <c r="CG41" s="3009">
        <f t="shared" ref="CG41:CG47" si="17">IF(AND(B41&gt;0,L41=""),1,IF(L41&gt;B41,1,0))</f>
        <v>0</v>
      </c>
      <c r="CH41" s="3009">
        <f t="shared" ref="CH41:CH47" si="18">IF(AND(B41&gt;0,M41=""),1,IF(M41&gt;B41,1,0))</f>
        <v>0</v>
      </c>
    </row>
    <row r="42" spans="1:86" ht="22.5" x14ac:dyDescent="0.25">
      <c r="A42" s="3677" t="s">
        <v>2794</v>
      </c>
      <c r="B42" s="3687">
        <f t="shared" si="13"/>
        <v>0</v>
      </c>
      <c r="C42" s="3572"/>
      <c r="D42" s="615"/>
      <c r="E42" s="615"/>
      <c r="F42" s="615"/>
      <c r="G42" s="615"/>
      <c r="H42" s="615"/>
      <c r="I42" s="615"/>
      <c r="J42" s="615"/>
      <c r="K42" s="3608"/>
      <c r="L42" s="3621"/>
      <c r="M42" s="4659"/>
      <c r="N42" s="1755" t="str">
        <f t="shared" si="14"/>
        <v/>
      </c>
      <c r="CA42" s="3235" t="str">
        <f t="shared" si="15"/>
        <v/>
      </c>
      <c r="CB42" s="3235" t="str">
        <f t="shared" si="16"/>
        <v/>
      </c>
      <c r="CC42" s="632"/>
      <c r="CD42" s="632"/>
      <c r="CE42" s="632"/>
      <c r="CF42" s="632"/>
      <c r="CG42" s="3009">
        <f t="shared" si="17"/>
        <v>0</v>
      </c>
      <c r="CH42" s="3009">
        <f t="shared" si="18"/>
        <v>0</v>
      </c>
    </row>
    <row r="43" spans="1:86" x14ac:dyDescent="0.25">
      <c r="A43" s="4665" t="s">
        <v>2795</v>
      </c>
      <c r="B43" s="633">
        <f t="shared" si="13"/>
        <v>0</v>
      </c>
      <c r="C43" s="288"/>
      <c r="D43" s="4666"/>
      <c r="E43" s="4666"/>
      <c r="F43" s="4666"/>
      <c r="G43" s="4666"/>
      <c r="H43" s="4666"/>
      <c r="I43" s="4666"/>
      <c r="J43" s="4666"/>
      <c r="K43" s="4667"/>
      <c r="L43" s="4668"/>
      <c r="M43" s="4669"/>
      <c r="N43" s="1755" t="str">
        <f t="shared" si="14"/>
        <v/>
      </c>
      <c r="CA43" s="3235" t="str">
        <f t="shared" si="15"/>
        <v/>
      </c>
      <c r="CB43" s="3235" t="str">
        <f t="shared" si="16"/>
        <v/>
      </c>
      <c r="CC43" s="632"/>
      <c r="CD43" s="632"/>
      <c r="CE43" s="632"/>
      <c r="CF43" s="632"/>
      <c r="CG43" s="3009">
        <f t="shared" si="17"/>
        <v>0</v>
      </c>
      <c r="CH43" s="3009">
        <f t="shared" si="18"/>
        <v>0</v>
      </c>
    </row>
    <row r="44" spans="1:86" ht="22.5" x14ac:dyDescent="0.25">
      <c r="A44" s="3677" t="s">
        <v>2796</v>
      </c>
      <c r="B44" s="1750">
        <f>SUM(C44:K44)</f>
        <v>0</v>
      </c>
      <c r="C44" s="615"/>
      <c r="D44" s="615"/>
      <c r="E44" s="615"/>
      <c r="F44" s="615"/>
      <c r="G44" s="615"/>
      <c r="H44" s="615"/>
      <c r="I44" s="615"/>
      <c r="J44" s="615"/>
      <c r="K44" s="3608"/>
      <c r="L44" s="3621"/>
      <c r="M44" s="4659"/>
      <c r="N44" s="1755" t="str">
        <f t="shared" si="14"/>
        <v/>
      </c>
      <c r="CA44" s="3235" t="str">
        <f t="shared" si="15"/>
        <v/>
      </c>
      <c r="CB44" s="3235" t="str">
        <f t="shared" si="16"/>
        <v/>
      </c>
      <c r="CC44" s="632"/>
      <c r="CD44" s="632"/>
      <c r="CE44" s="632"/>
      <c r="CF44" s="632"/>
      <c r="CG44" s="3009">
        <f t="shared" si="17"/>
        <v>0</v>
      </c>
      <c r="CH44" s="3009">
        <f t="shared" si="18"/>
        <v>0</v>
      </c>
    </row>
    <row r="45" spans="1:86" ht="22.5" x14ac:dyDescent="0.25">
      <c r="A45" s="3677" t="s">
        <v>2797</v>
      </c>
      <c r="B45" s="3687">
        <f t="shared" si="13"/>
        <v>0</v>
      </c>
      <c r="C45" s="3572"/>
      <c r="D45" s="615"/>
      <c r="E45" s="615"/>
      <c r="F45" s="615"/>
      <c r="G45" s="615"/>
      <c r="H45" s="615"/>
      <c r="I45" s="615"/>
      <c r="J45" s="615"/>
      <c r="K45" s="3608"/>
      <c r="L45" s="3621"/>
      <c r="M45" s="280"/>
      <c r="N45" s="1755" t="str">
        <f t="shared" si="14"/>
        <v/>
      </c>
      <c r="CA45" s="3235" t="str">
        <f t="shared" si="15"/>
        <v/>
      </c>
      <c r="CB45" s="3235" t="str">
        <f t="shared" si="16"/>
        <v/>
      </c>
      <c r="CC45" s="632"/>
      <c r="CD45" s="632"/>
      <c r="CE45" s="632"/>
      <c r="CF45" s="632"/>
      <c r="CG45" s="3009">
        <f t="shared" si="17"/>
        <v>0</v>
      </c>
      <c r="CH45" s="3009">
        <f t="shared" si="18"/>
        <v>0</v>
      </c>
    </row>
    <row r="46" spans="1:86" ht="22.5" x14ac:dyDescent="0.25">
      <c r="A46" s="3677" t="s">
        <v>2798</v>
      </c>
      <c r="B46" s="3687">
        <f>SUM(C46:K46)</f>
        <v>0</v>
      </c>
      <c r="C46" s="3572"/>
      <c r="D46" s="615"/>
      <c r="E46" s="615"/>
      <c r="F46" s="615"/>
      <c r="G46" s="615"/>
      <c r="H46" s="615"/>
      <c r="I46" s="615"/>
      <c r="J46" s="615"/>
      <c r="K46" s="3608"/>
      <c r="L46" s="3621"/>
      <c r="M46" s="280"/>
      <c r="N46" s="1755" t="str">
        <f t="shared" si="14"/>
        <v/>
      </c>
      <c r="CA46" s="3235" t="str">
        <f t="shared" si="15"/>
        <v/>
      </c>
      <c r="CB46" s="3235" t="str">
        <f t="shared" si="16"/>
        <v/>
      </c>
      <c r="CC46" s="632"/>
      <c r="CD46" s="632"/>
      <c r="CE46" s="632"/>
      <c r="CF46" s="632"/>
      <c r="CG46" s="3009">
        <f t="shared" si="17"/>
        <v>0</v>
      </c>
      <c r="CH46" s="3009">
        <f t="shared" si="18"/>
        <v>0</v>
      </c>
    </row>
    <row r="47" spans="1:86" ht="22.5" x14ac:dyDescent="0.25">
      <c r="A47" s="3682" t="s">
        <v>2799</v>
      </c>
      <c r="B47" s="633">
        <f t="shared" si="13"/>
        <v>0</v>
      </c>
      <c r="C47" s="288"/>
      <c r="D47" s="288"/>
      <c r="E47" s="288"/>
      <c r="F47" s="288"/>
      <c r="G47" s="288"/>
      <c r="H47" s="288"/>
      <c r="I47" s="288"/>
      <c r="J47" s="288"/>
      <c r="K47" s="385"/>
      <c r="L47" s="3589"/>
      <c r="M47" s="290"/>
      <c r="N47" s="1755" t="str">
        <f t="shared" si="14"/>
        <v/>
      </c>
      <c r="CA47" s="3235" t="str">
        <f t="shared" si="15"/>
        <v/>
      </c>
      <c r="CB47" s="3235" t="str">
        <f t="shared" si="16"/>
        <v/>
      </c>
      <c r="CC47" s="632"/>
      <c r="CD47" s="632"/>
      <c r="CE47" s="632"/>
      <c r="CF47" s="632"/>
      <c r="CG47" s="3009">
        <f t="shared" si="17"/>
        <v>0</v>
      </c>
      <c r="CH47" s="3009">
        <f t="shared" si="18"/>
        <v>0</v>
      </c>
    </row>
    <row r="48" spans="1:86" ht="18" customHeight="1" x14ac:dyDescent="0.25">
      <c r="A48" s="7782" t="s">
        <v>2800</v>
      </c>
      <c r="B48" s="7782"/>
      <c r="C48" s="7782"/>
      <c r="D48" s="7782"/>
      <c r="E48" s="7782"/>
      <c r="F48" s="7782"/>
      <c r="G48" s="7782"/>
      <c r="H48" s="7782"/>
      <c r="I48" s="7782"/>
      <c r="J48" s="7782"/>
      <c r="K48" s="7782"/>
      <c r="CA48" s="603"/>
    </row>
    <row r="49" spans="1:86" ht="21" x14ac:dyDescent="0.25">
      <c r="A49" s="3688"/>
      <c r="B49" s="3679" t="s">
        <v>24</v>
      </c>
      <c r="C49" s="3680" t="s">
        <v>2</v>
      </c>
      <c r="D49" s="3634" t="s">
        <v>3</v>
      </c>
      <c r="CA49" s="603"/>
    </row>
    <row r="50" spans="1:86" ht="22.5" x14ac:dyDescent="0.25">
      <c r="A50" s="3677" t="s">
        <v>2801</v>
      </c>
      <c r="B50" s="3610"/>
      <c r="C50" s="3572"/>
      <c r="D50" s="3609"/>
      <c r="E50" s="1755" t="str">
        <f>CA50&amp;CB50</f>
        <v/>
      </c>
      <c r="CA50" s="3235" t="str">
        <f>IF(AND(B50&gt;0,C50="")," No olvide digitar la variable Pueblos Originarios. Digite cero si no tiene.",IF(C50&gt;B50," * La variable Pueblos Originarios no puede ser mayor al Total.",""))</f>
        <v/>
      </c>
      <c r="CB50" s="3235" t="str">
        <f>IF(AND(B50&gt;0,D50="")," No olvide digitar la variable Migrantes. Digite cero si no tiene.",IF(D50&gt;B50," * La variable Migrantes no puede ser mayor al Total.",""))</f>
        <v/>
      </c>
      <c r="CC50" s="632"/>
      <c r="CD50" s="632"/>
      <c r="CE50" s="632"/>
      <c r="CF50" s="632"/>
      <c r="CG50" s="3009">
        <f>IF(AND(B50&gt;0,C50=""),1,IF(C50&gt;B50,1,0))</f>
        <v>0</v>
      </c>
      <c r="CH50" s="3009">
        <f>IF(AND(B50&gt;0,D50=""),1,IF(D50&gt;B50,1,0))</f>
        <v>0</v>
      </c>
    </row>
    <row r="51" spans="1:86" x14ac:dyDescent="0.25">
      <c r="A51" s="3677" t="s">
        <v>2802</v>
      </c>
      <c r="B51" s="3610"/>
      <c r="C51" s="3572"/>
      <c r="D51" s="3609"/>
      <c r="E51" s="1755" t="str">
        <f t="shared" ref="E51:E53" si="19">CA51&amp;CB51</f>
        <v/>
      </c>
      <c r="CA51" s="323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3235" t="str">
        <f t="shared" ref="CB51:CB53" si="21">IF(AND(B51&gt;0,D51="")," No olvide digitar la variable Migrantes. Digite cero si no tiene.",IF(D51&gt;B51," * La variable Migrantes no puede ser mayor al Total.",""))</f>
        <v/>
      </c>
      <c r="CC51" s="632"/>
      <c r="CD51" s="632"/>
      <c r="CE51" s="632"/>
      <c r="CF51" s="632"/>
      <c r="CG51" s="3009">
        <f t="shared" ref="CG51:CG53" si="22">IF(AND(B51&gt;0,C51=""),1,IF(C51&gt;B51,1,0))</f>
        <v>0</v>
      </c>
      <c r="CH51" s="3009">
        <f t="shared" ref="CH51:CH53" si="23">IF(AND(B51&gt;0,D51=""),1,IF(D51&gt;B51,1,0))</f>
        <v>0</v>
      </c>
    </row>
    <row r="52" spans="1:86" ht="33" x14ac:dyDescent="0.25">
      <c r="A52" s="3677" t="s">
        <v>2803</v>
      </c>
      <c r="B52" s="3610"/>
      <c r="C52" s="3572"/>
      <c r="D52" s="3609"/>
      <c r="E52" s="1755" t="str">
        <f t="shared" si="19"/>
        <v/>
      </c>
      <c r="CA52" s="3235" t="str">
        <f t="shared" si="20"/>
        <v/>
      </c>
      <c r="CB52" s="3235" t="str">
        <f t="shared" si="21"/>
        <v/>
      </c>
      <c r="CC52" s="632"/>
      <c r="CD52" s="632"/>
      <c r="CE52" s="632"/>
      <c r="CF52" s="632"/>
      <c r="CG52" s="3009">
        <f t="shared" si="22"/>
        <v>0</v>
      </c>
      <c r="CH52" s="3009">
        <f t="shared" si="23"/>
        <v>0</v>
      </c>
    </row>
    <row r="53" spans="1:86" ht="22.5" x14ac:dyDescent="0.25">
      <c r="A53" s="3682" t="s">
        <v>2804</v>
      </c>
      <c r="B53" s="385"/>
      <c r="C53" s="288"/>
      <c r="D53" s="290"/>
      <c r="E53" s="1755" t="str">
        <f t="shared" si="19"/>
        <v/>
      </c>
      <c r="CA53" s="3235" t="str">
        <f t="shared" si="20"/>
        <v/>
      </c>
      <c r="CB53" s="3235" t="str">
        <f t="shared" si="21"/>
        <v/>
      </c>
      <c r="CC53" s="632"/>
      <c r="CD53" s="632"/>
      <c r="CE53" s="632"/>
      <c r="CF53" s="632"/>
      <c r="CG53" s="3009">
        <f t="shared" si="22"/>
        <v>0</v>
      </c>
      <c r="CH53" s="3009">
        <f t="shared" si="23"/>
        <v>0</v>
      </c>
    </row>
    <row r="54" spans="1:86" ht="18" customHeight="1" x14ac:dyDescent="0.25">
      <c r="A54" s="7767" t="s">
        <v>2805</v>
      </c>
      <c r="B54" s="7767"/>
      <c r="C54" s="7767"/>
      <c r="D54" s="7767"/>
      <c r="CA54" s="603"/>
    </row>
    <row r="55" spans="1:86" ht="21" x14ac:dyDescent="0.25">
      <c r="A55" s="3689"/>
      <c r="B55" s="3679" t="s">
        <v>24</v>
      </c>
      <c r="C55" s="3680" t="s">
        <v>2</v>
      </c>
      <c r="D55" s="3634" t="s">
        <v>3</v>
      </c>
      <c r="CA55" s="603"/>
    </row>
    <row r="56" spans="1:86" ht="22.5" x14ac:dyDescent="0.25">
      <c r="A56" s="3677" t="s">
        <v>2806</v>
      </c>
      <c r="B56" s="3610"/>
      <c r="C56" s="3572"/>
      <c r="D56" s="3609"/>
      <c r="E56" s="1755" t="str">
        <f>CA56&amp;CB56</f>
        <v/>
      </c>
      <c r="CA56" s="3235" t="str">
        <f>IF(AND(B56&gt;0,C56="")," No olvide digitar la variable Pueblos Originarios. Digite cero si no tiene.",IF(C56&gt;B56," * La variable Pueblos Originarios no puede ser mayor al Total.",""))</f>
        <v/>
      </c>
      <c r="CB56" s="3235" t="str">
        <f>IF(AND(B56&gt;0,D56="")," No olvide digitar la variable Migrantes. Digite cero si no tiene.",IF(D56&gt;B56," * La variable Migrantes no puede ser mayor al Total.",""))</f>
        <v/>
      </c>
      <c r="CC56" s="632"/>
      <c r="CD56" s="632"/>
      <c r="CE56" s="632"/>
      <c r="CF56" s="632"/>
      <c r="CG56" s="3009">
        <f>IF(AND(B56&gt;0,C56=""),1,IF(C56&gt;B56,1,0))</f>
        <v>0</v>
      </c>
      <c r="CH56" s="3009">
        <f>IF(AND(B56&gt;0,D56=""),1,IF(D56&gt;B56,1,0))</f>
        <v>0</v>
      </c>
    </row>
    <row r="57" spans="1:86" x14ac:dyDescent="0.25">
      <c r="A57" s="3677" t="s">
        <v>2802</v>
      </c>
      <c r="B57" s="3610"/>
      <c r="C57" s="3572"/>
      <c r="D57" s="3609"/>
      <c r="E57" s="1755" t="str">
        <f t="shared" ref="E57:E59" si="24">CA57&amp;CB57</f>
        <v/>
      </c>
      <c r="CA57" s="323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3235" t="str">
        <f t="shared" ref="CB57:CB59" si="26">IF(AND(B57&gt;0,D57="")," No olvide digitar la variable Migrantes. Digite cero si no tiene.",IF(D57&gt;B57," * La variable Migrantes no puede ser mayor al Total.",""))</f>
        <v/>
      </c>
      <c r="CC57" s="632"/>
      <c r="CD57" s="632"/>
      <c r="CE57" s="632"/>
      <c r="CF57" s="632"/>
      <c r="CG57" s="3009">
        <f t="shared" ref="CG57:CG59" si="27">IF(AND(B57&gt;0,C57=""),1,IF(C57&gt;B57,1,0))</f>
        <v>0</v>
      </c>
      <c r="CH57" s="3009">
        <f t="shared" ref="CH57:CH59" si="28">IF(AND(B57&gt;0,D57=""),1,IF(D57&gt;B57,1,0))</f>
        <v>0</v>
      </c>
    </row>
    <row r="58" spans="1:86" ht="33" x14ac:dyDescent="0.25">
      <c r="A58" s="3677" t="s">
        <v>2807</v>
      </c>
      <c r="B58" s="3610"/>
      <c r="C58" s="3572"/>
      <c r="D58" s="3609"/>
      <c r="E58" s="1755" t="str">
        <f t="shared" si="24"/>
        <v/>
      </c>
      <c r="CA58" s="3235" t="str">
        <f t="shared" si="25"/>
        <v/>
      </c>
      <c r="CB58" s="3235" t="str">
        <f t="shared" si="26"/>
        <v/>
      </c>
      <c r="CC58" s="632"/>
      <c r="CD58" s="632"/>
      <c r="CE58" s="632"/>
      <c r="CF58" s="632"/>
      <c r="CG58" s="3009">
        <f t="shared" si="27"/>
        <v>0</v>
      </c>
      <c r="CH58" s="3009">
        <f t="shared" si="28"/>
        <v>0</v>
      </c>
    </row>
    <row r="59" spans="1:86" ht="22.5" x14ac:dyDescent="0.25">
      <c r="A59" s="3667" t="s">
        <v>2808</v>
      </c>
      <c r="B59" s="3686"/>
      <c r="C59" s="3589"/>
      <c r="D59" s="290"/>
      <c r="E59" s="1755" t="str">
        <f t="shared" si="24"/>
        <v/>
      </c>
      <c r="CA59" s="3235" t="str">
        <f t="shared" si="25"/>
        <v/>
      </c>
      <c r="CB59" s="3235" t="str">
        <f t="shared" si="26"/>
        <v/>
      </c>
      <c r="CC59" s="632"/>
      <c r="CD59" s="632"/>
      <c r="CE59" s="632"/>
      <c r="CF59" s="632"/>
      <c r="CG59" s="3009">
        <f t="shared" si="27"/>
        <v>0</v>
      </c>
      <c r="CH59" s="3009">
        <f t="shared" si="28"/>
        <v>0</v>
      </c>
    </row>
    <row r="60" spans="1:86" ht="18" customHeight="1" x14ac:dyDescent="0.25">
      <c r="A60" s="7768" t="s">
        <v>3890</v>
      </c>
      <c r="B60" s="7768"/>
      <c r="C60" s="7768"/>
      <c r="D60" s="7768"/>
      <c r="E60" s="7768"/>
      <c r="F60" s="7768"/>
      <c r="G60" s="7768"/>
      <c r="H60" s="7768"/>
      <c r="I60" s="7768"/>
      <c r="J60" s="7768"/>
      <c r="K60" s="7768"/>
      <c r="L60" s="17"/>
      <c r="M60" s="17"/>
      <c r="CA60" s="603"/>
    </row>
    <row r="61" spans="1:86" x14ac:dyDescent="0.25">
      <c r="A61" s="7756"/>
      <c r="B61" s="7758" t="s">
        <v>24</v>
      </c>
      <c r="C61" s="7761" t="s">
        <v>558</v>
      </c>
      <c r="D61" s="7761"/>
      <c r="E61" s="7761"/>
      <c r="F61" s="7761"/>
      <c r="G61" s="7761"/>
      <c r="H61" s="7761"/>
      <c r="I61" s="7761"/>
      <c r="J61" s="7761"/>
      <c r="K61" s="7762"/>
      <c r="L61" s="7783" t="s">
        <v>2</v>
      </c>
      <c r="M61" s="7765" t="s">
        <v>3</v>
      </c>
      <c r="CA61" s="603"/>
    </row>
    <row r="62" spans="1:86" x14ac:dyDescent="0.25">
      <c r="A62" s="7757"/>
      <c r="B62" s="7759"/>
      <c r="C62" s="3690" t="s">
        <v>38</v>
      </c>
      <c r="D62" s="3673" t="s">
        <v>4</v>
      </c>
      <c r="E62" s="3673" t="s">
        <v>5</v>
      </c>
      <c r="F62" s="3673" t="s">
        <v>6</v>
      </c>
      <c r="G62" s="3673" t="s">
        <v>7</v>
      </c>
      <c r="H62" s="3673" t="s">
        <v>8</v>
      </c>
      <c r="I62" s="3673" t="s">
        <v>9</v>
      </c>
      <c r="J62" s="3673" t="s">
        <v>10</v>
      </c>
      <c r="K62" s="3691" t="s">
        <v>11</v>
      </c>
      <c r="L62" s="7784"/>
      <c r="M62" s="7766"/>
      <c r="CA62" s="603"/>
    </row>
    <row r="63" spans="1:86" ht="21" x14ac:dyDescent="0.25">
      <c r="A63" s="4693" t="s">
        <v>3784</v>
      </c>
      <c r="B63" s="4678"/>
      <c r="C63" s="4677"/>
      <c r="D63" s="4677"/>
      <c r="E63" s="4677"/>
      <c r="F63" s="4677"/>
      <c r="G63" s="4677"/>
      <c r="H63" s="4677"/>
      <c r="I63" s="4677"/>
      <c r="J63" s="4677"/>
      <c r="K63" s="4676"/>
      <c r="L63" s="4680"/>
      <c r="M63" s="4657"/>
      <c r="CA63" s="603"/>
    </row>
    <row r="64" spans="1:86" x14ac:dyDescent="0.25">
      <c r="A64" s="5427" t="s">
        <v>2809</v>
      </c>
      <c r="B64" s="5771">
        <f>SUM(C64:K64)</f>
        <v>0</v>
      </c>
      <c r="C64" s="5392"/>
      <c r="D64" s="5392"/>
      <c r="E64" s="5392"/>
      <c r="F64" s="5392"/>
      <c r="G64" s="5392"/>
      <c r="H64" s="5392"/>
      <c r="I64" s="5392"/>
      <c r="J64" s="5392"/>
      <c r="K64" s="5404"/>
      <c r="L64" s="5392"/>
      <c r="M64" s="5360"/>
      <c r="N64" s="1755" t="str">
        <f t="shared" ref="N64:N73" si="29">$CA64&amp;$CB64</f>
        <v/>
      </c>
      <c r="CA64" s="3235" t="str">
        <f>IF(AND(B64&gt;0,L64="")," No olvide digitar la variable Pueblos Originarios. Digite cero si no tiene.",IF(L64&gt;B64," * La variable Pueblos Originarios no puede ser mayor al Total.",""))</f>
        <v/>
      </c>
      <c r="CB64" s="3235" t="str">
        <f>IF(AND(B64&gt;0,M64="")," No olvide digitar la variable Migrantes. Digite cero si no tiene.",IF(M64&gt;B64," * La variable Migrantes no puede ser mayor al Total.",""))</f>
        <v/>
      </c>
      <c r="CC64" s="632"/>
      <c r="CD64" s="632"/>
      <c r="CE64" s="632"/>
      <c r="CF64" s="632"/>
      <c r="CG64" s="3009">
        <f>IF(AND(B64&gt;0,L64=""),1,IF(L64&gt;B64,1,0))</f>
        <v>0</v>
      </c>
      <c r="CH64" s="3009">
        <f>IF(AND(B64&gt;0,M64=""),1,IF(M64&gt;B64,1,0))</f>
        <v>0</v>
      </c>
    </row>
    <row r="65" spans="1:86" x14ac:dyDescent="0.25">
      <c r="A65" s="3682" t="s">
        <v>2810</v>
      </c>
      <c r="B65" s="5772">
        <f>SUM(C65:K65)</f>
        <v>0</v>
      </c>
      <c r="C65" s="288"/>
      <c r="D65" s="288"/>
      <c r="E65" s="288"/>
      <c r="F65" s="288"/>
      <c r="G65" s="288"/>
      <c r="H65" s="288"/>
      <c r="I65" s="288"/>
      <c r="J65" s="288"/>
      <c r="K65" s="3588"/>
      <c r="L65" s="288"/>
      <c r="M65" s="3839"/>
      <c r="N65" s="1755" t="str">
        <f t="shared" si="29"/>
        <v/>
      </c>
      <c r="CA65" s="3235" t="str">
        <f>IF(AND(B65&gt;0,L65="")," No olvide digitar la variable Pueblos Originarios. Digite cero si no tiene.",IF(L65&gt;B65," * La variable Pueblos Originarios no puede ser mayor al Total.",""))</f>
        <v/>
      </c>
      <c r="CB65" s="3235" t="str">
        <f>IF(AND(B65&gt;0,M65="")," No olvide digitar la variable Migrantes. Digite cero si no tiene.",IF(M65&gt;B65," * La variable Migrantes no puede ser mayor al Total.",""))</f>
        <v/>
      </c>
      <c r="CC65" s="632"/>
      <c r="CD65" s="632"/>
      <c r="CE65" s="632"/>
      <c r="CF65" s="632"/>
      <c r="CG65" s="3009">
        <f>IF(AND(B65&gt;0,L65=""),1,IF(L65&gt;B65,1,0))</f>
        <v>0</v>
      </c>
      <c r="CH65" s="3009">
        <f>IF(AND(B65&gt;0,M65=""),1,IF(M65&gt;B65,1,0))</f>
        <v>0</v>
      </c>
    </row>
    <row r="66" spans="1:86" ht="21" x14ac:dyDescent="0.25">
      <c r="A66" s="5764" t="s">
        <v>3785</v>
      </c>
      <c r="B66" s="5765"/>
      <c r="C66" s="5766"/>
      <c r="D66" s="5767"/>
      <c r="E66" s="5766"/>
      <c r="F66" s="5767"/>
      <c r="G66" s="5766"/>
      <c r="H66" s="5767"/>
      <c r="I66" s="5766"/>
      <c r="J66" s="5767"/>
      <c r="K66" s="5768"/>
      <c r="L66" s="5769"/>
      <c r="M66" s="5770"/>
      <c r="CA66" s="603"/>
    </row>
    <row r="67" spans="1:86" x14ac:dyDescent="0.25">
      <c r="A67" s="5427" t="s">
        <v>2811</v>
      </c>
      <c r="B67" s="5771">
        <f>SUM(C67:K67)</f>
        <v>0</v>
      </c>
      <c r="C67" s="5392"/>
      <c r="D67" s="5392"/>
      <c r="E67" s="5392"/>
      <c r="F67" s="5392"/>
      <c r="G67" s="5392"/>
      <c r="H67" s="5392"/>
      <c r="I67" s="5392"/>
      <c r="J67" s="5392"/>
      <c r="K67" s="5774"/>
      <c r="L67" s="5775"/>
      <c r="M67" s="5776"/>
      <c r="N67" s="1755" t="str">
        <f t="shared" si="29"/>
        <v/>
      </c>
      <c r="CA67" s="3235" t="str">
        <f>IF(AND(B67&gt;0,L67="")," No olvide digitar la variable Pueblos Originarios. Digite cero si no tiene.",IF(L67&gt;B67," * La variable Pueblos Originarios no puede ser mayor al Total.",""))</f>
        <v/>
      </c>
      <c r="CB67" s="3235" t="str">
        <f t="shared" ref="CB67:CB68" si="30">IF(AND(B67&gt;0,M67="")," No olvide digitar la variable Migrantes. Digite cero si no tiene.",IF(M67&gt;B67," * La variable Migrantes no puede ser mayor al Total.",""))</f>
        <v/>
      </c>
      <c r="CC67" s="632"/>
      <c r="CD67" s="632"/>
      <c r="CE67" s="632"/>
      <c r="CF67" s="632"/>
      <c r="CG67" s="3009">
        <f>IF(AND(B67&gt;0,L67=""),1,IF(L67&gt;B67,1,0))</f>
        <v>0</v>
      </c>
      <c r="CH67" s="3009">
        <f>IF(AND(B67&gt;0,M67=""),1,IF(M67&gt;B67,1,0))</f>
        <v>0</v>
      </c>
    </row>
    <row r="68" spans="1:86" x14ac:dyDescent="0.25">
      <c r="A68" s="3682" t="s">
        <v>2812</v>
      </c>
      <c r="B68" s="5772">
        <f>SUM(C68:K68)</f>
        <v>0</v>
      </c>
      <c r="C68" s="288"/>
      <c r="D68" s="288"/>
      <c r="E68" s="288"/>
      <c r="F68" s="288"/>
      <c r="G68" s="288"/>
      <c r="H68" s="288"/>
      <c r="I68" s="288"/>
      <c r="J68" s="288"/>
      <c r="K68" s="3588"/>
      <c r="L68" s="5777"/>
      <c r="M68" s="5763"/>
      <c r="N68" s="1755" t="str">
        <f t="shared" si="29"/>
        <v/>
      </c>
      <c r="CA68" s="3235" t="str">
        <f>IF(AND(B68&gt;0,L68="")," No olvide digitar la variable Pueblos Originarios. Digite cero si no tiene.",IF(L68&gt;B68," * La variable Pueblos Originarios no puede ser mayor al Total.",""))</f>
        <v/>
      </c>
      <c r="CB68" s="3235" t="str">
        <f t="shared" si="30"/>
        <v/>
      </c>
      <c r="CC68" s="632"/>
      <c r="CD68" s="632"/>
      <c r="CE68" s="632"/>
      <c r="CF68" s="632"/>
      <c r="CG68" s="3009">
        <f>IF(AND(B68&gt;0,L68=""),1,IF(L68&gt;B68,1,0))</f>
        <v>0</v>
      </c>
      <c r="CH68" s="3009">
        <f>IF(AND(B68&gt;0,M68=""),1,IF(M68&gt;B68,1,0))</f>
        <v>0</v>
      </c>
    </row>
    <row r="69" spans="1:86" ht="21" x14ac:dyDescent="0.25">
      <c r="A69" s="5764" t="s">
        <v>3786</v>
      </c>
      <c r="B69" s="5765"/>
      <c r="C69" s="5766"/>
      <c r="D69" s="5767"/>
      <c r="E69" s="5766"/>
      <c r="F69" s="5767"/>
      <c r="G69" s="5766"/>
      <c r="H69" s="5767"/>
      <c r="I69" s="5766"/>
      <c r="J69" s="5767"/>
      <c r="K69" s="5768"/>
      <c r="L69" s="5773"/>
      <c r="M69" s="5770"/>
      <c r="CA69" s="603"/>
    </row>
    <row r="70" spans="1:86" x14ac:dyDescent="0.25">
      <c r="A70" s="5778" t="s">
        <v>2813</v>
      </c>
      <c r="B70" s="5779">
        <f>SUM(C70:K70)</f>
        <v>0</v>
      </c>
      <c r="C70" s="5775"/>
      <c r="D70" s="5775"/>
      <c r="E70" s="5775"/>
      <c r="F70" s="5775"/>
      <c r="G70" s="5775"/>
      <c r="H70" s="5775"/>
      <c r="I70" s="5775"/>
      <c r="J70" s="5775"/>
      <c r="K70" s="5774"/>
      <c r="L70" s="5775"/>
      <c r="M70" s="5776"/>
      <c r="N70" s="1755" t="str">
        <f t="shared" si="29"/>
        <v/>
      </c>
      <c r="CA70" s="3235" t="str">
        <f>IF(AND(B70&gt;0,L70="")," No olvide digitar la variable Pueblos Originarios. Digite cero si no tiene.",IF(L70&gt;B70," * La variable Pueblos Originarios no puede ser mayor al Total.",""))</f>
        <v/>
      </c>
      <c r="CB70" s="3235" t="str">
        <f t="shared" ref="CB70:CB71" si="31">IF(AND(B70&gt;0,M70="")," No olvide digitar la variable Migrantes. Digite cero si no tiene.",IF(M70&gt;B70," * La variable Migrantes no puede ser mayor al Total.",""))</f>
        <v/>
      </c>
      <c r="CC70" s="632"/>
      <c r="CD70" s="632"/>
      <c r="CE70" s="632"/>
      <c r="CF70" s="632"/>
      <c r="CG70" s="3009">
        <f t="shared" ref="CG70:CG71" si="32">IF(AND(B70&gt;0,L70=""),1,IF(L70&gt;B70,1,0))</f>
        <v>0</v>
      </c>
      <c r="CH70" s="3009">
        <f t="shared" ref="CH70:CH71" si="33">IF(AND(B70&gt;0,M70=""),1,IF(M70&gt;B70,1,0))</f>
        <v>0</v>
      </c>
    </row>
    <row r="71" spans="1:86" x14ac:dyDescent="0.25">
      <c r="A71" s="3682" t="s">
        <v>2814</v>
      </c>
      <c r="B71" s="5772">
        <f>SUM(C71:K71)</f>
        <v>0</v>
      </c>
      <c r="C71" s="288"/>
      <c r="D71" s="288"/>
      <c r="E71" s="288"/>
      <c r="F71" s="288"/>
      <c r="G71" s="288"/>
      <c r="H71" s="288"/>
      <c r="I71" s="288"/>
      <c r="J71" s="288"/>
      <c r="K71" s="3588"/>
      <c r="L71" s="288"/>
      <c r="M71" s="3839"/>
      <c r="N71" s="1755" t="str">
        <f t="shared" si="29"/>
        <v/>
      </c>
      <c r="CA71" s="3235" t="str">
        <f>IF(AND(B71&gt;0,L71="")," No olvide digitar la variable Pueblos Originarios. Digite cero si no tiene.",IF(L71&gt;B71," * La variable Pueblos Originarios no puede ser mayor al Total.",""))</f>
        <v/>
      </c>
      <c r="CB71" s="3235" t="str">
        <f t="shared" si="31"/>
        <v/>
      </c>
      <c r="CC71" s="632"/>
      <c r="CD71" s="632"/>
      <c r="CE71" s="632"/>
      <c r="CF71" s="632"/>
      <c r="CG71" s="3009">
        <f t="shared" si="32"/>
        <v>0</v>
      </c>
      <c r="CH71" s="3009">
        <f t="shared" si="33"/>
        <v>0</v>
      </c>
    </row>
    <row r="72" spans="1:86" ht="21" x14ac:dyDescent="0.25">
      <c r="A72" s="4670" t="s">
        <v>3787</v>
      </c>
      <c r="B72" s="4682"/>
      <c r="C72" s="4671"/>
      <c r="D72" s="4681"/>
      <c r="E72" s="4671"/>
      <c r="F72" s="4681"/>
      <c r="G72" s="4671"/>
      <c r="H72" s="4681"/>
      <c r="I72" s="4671"/>
      <c r="J72" s="4681"/>
      <c r="K72" s="4679"/>
      <c r="L72" s="4681"/>
      <c r="M72" s="4673"/>
      <c r="CA72" s="603"/>
    </row>
    <row r="73" spans="1:86" x14ac:dyDescent="0.25">
      <c r="A73" s="3667" t="s">
        <v>3892</v>
      </c>
      <c r="B73" s="3693">
        <f>SUM(C73:K73)</f>
        <v>0</v>
      </c>
      <c r="C73" s="3694"/>
      <c r="D73" s="3694"/>
      <c r="E73" s="3694"/>
      <c r="F73" s="3694"/>
      <c r="G73" s="3694"/>
      <c r="H73" s="3694"/>
      <c r="I73" s="3694"/>
      <c r="J73" s="3694"/>
      <c r="K73" s="3695"/>
      <c r="L73" s="3694"/>
      <c r="M73" s="3601"/>
      <c r="N73" s="1755" t="str">
        <f t="shared" si="29"/>
        <v/>
      </c>
      <c r="CA73" s="3235" t="str">
        <f>IF(AND(B73&gt;0,L73="")," No olvide digitar la variable Pueblos Originarios. Digite cero si no tiene.",IF(L73&gt;B73," * La variable Pueblos Originarios no puede ser mayor al Total.",""))</f>
        <v/>
      </c>
      <c r="CB73" s="3235" t="str">
        <f>IF(AND(B73&gt;0,M73="")," No olvide digitar la variable Migrantes. Digite cero si no tiene.",IF(M73&gt;B73," * La variable Migrantes no puede ser mayor al Total.",""))</f>
        <v/>
      </c>
      <c r="CC73" s="632"/>
      <c r="CD73" s="632"/>
      <c r="CE73" s="632"/>
      <c r="CF73" s="632"/>
      <c r="CG73" s="3009">
        <f>IF(AND(B73&gt;0,L73=""),1,IF(L73&gt;B73,1,0))</f>
        <v>0</v>
      </c>
      <c r="CH73" s="3009">
        <f>IF(AND(B73&gt;0,M73=""),1,IF(M73&gt;B73,1,0))</f>
        <v>0</v>
      </c>
    </row>
    <row r="74" spans="1:86" ht="18" customHeight="1" x14ac:dyDescent="0.25">
      <c r="A74" s="7767" t="s">
        <v>3891</v>
      </c>
      <c r="B74" s="7767"/>
      <c r="C74" s="7767"/>
      <c r="D74" s="7767"/>
      <c r="E74" s="7767"/>
      <c r="F74" s="7767"/>
      <c r="G74" s="7767"/>
      <c r="H74" s="7767"/>
      <c r="I74" s="7767"/>
      <c r="J74" s="7767"/>
      <c r="K74" s="7767"/>
      <c r="CA74" s="603"/>
    </row>
    <row r="75" spans="1:86" x14ac:dyDescent="0.25">
      <c r="A75" s="7756"/>
      <c r="B75" s="7785" t="s">
        <v>24</v>
      </c>
      <c r="C75" s="7776" t="s">
        <v>12</v>
      </c>
      <c r="D75" s="7776"/>
      <c r="E75" s="7776"/>
      <c r="F75" s="7776"/>
      <c r="G75" s="7776"/>
      <c r="H75" s="7776"/>
      <c r="I75" s="7776"/>
      <c r="J75" s="7776"/>
      <c r="K75" s="7777"/>
      <c r="L75" s="7783" t="s">
        <v>2</v>
      </c>
      <c r="M75" s="7765" t="s">
        <v>3</v>
      </c>
      <c r="CA75" s="603"/>
    </row>
    <row r="76" spans="1:86" x14ac:dyDescent="0.25">
      <c r="A76" s="7757"/>
      <c r="B76" s="7786"/>
      <c r="C76" s="4685" t="s">
        <v>38</v>
      </c>
      <c r="D76" s="4664" t="s">
        <v>4</v>
      </c>
      <c r="E76" s="4664" t="s">
        <v>5</v>
      </c>
      <c r="F76" s="4664" t="s">
        <v>6</v>
      </c>
      <c r="G76" s="4664" t="s">
        <v>7</v>
      </c>
      <c r="H76" s="4664" t="s">
        <v>8</v>
      </c>
      <c r="I76" s="4664" t="s">
        <v>9</v>
      </c>
      <c r="J76" s="4664" t="s">
        <v>10</v>
      </c>
      <c r="K76" s="4686" t="s">
        <v>11</v>
      </c>
      <c r="L76" s="7784"/>
      <c r="M76" s="7766"/>
      <c r="CA76" s="603"/>
    </row>
    <row r="77" spans="1:86" ht="22.5" customHeight="1" x14ac:dyDescent="0.25">
      <c r="A77" s="4694" t="s">
        <v>3783</v>
      </c>
      <c r="B77" s="4683"/>
      <c r="C77" s="4677"/>
      <c r="D77" s="4677"/>
      <c r="E77" s="4677"/>
      <c r="F77" s="4677"/>
      <c r="G77" s="4677"/>
      <c r="H77" s="4677"/>
      <c r="I77" s="4677"/>
      <c r="J77" s="4677"/>
      <c r="K77" s="4674"/>
      <c r="L77" s="4680"/>
      <c r="M77" s="4657"/>
      <c r="CA77" s="603"/>
    </row>
    <row r="78" spans="1:86" x14ac:dyDescent="0.25">
      <c r="A78" s="3677" t="s">
        <v>2815</v>
      </c>
      <c r="B78" s="1977">
        <f>SUM(C78:K78)</f>
        <v>0</v>
      </c>
      <c r="C78" s="615"/>
      <c r="D78" s="615"/>
      <c r="E78" s="615"/>
      <c r="F78" s="615"/>
      <c r="G78" s="615"/>
      <c r="H78" s="615"/>
      <c r="I78" s="615"/>
      <c r="J78" s="615"/>
      <c r="K78" s="618"/>
      <c r="L78" s="615"/>
      <c r="M78" s="4659"/>
      <c r="N78" s="1755" t="str">
        <f t="shared" ref="N78:N88" si="34">$CA78&amp;$CB78</f>
        <v/>
      </c>
      <c r="CA78" s="3235" t="str">
        <f>IF(AND(B78&gt;0,L78="")," No olvide digitar la variable Pueblos Originarios. Digite cero si no tiene.",IF(L78&gt;B78," * La variable Pueblos Originarios no puede ser mayor al Total.",""))</f>
        <v/>
      </c>
      <c r="CB78" s="3235" t="str">
        <f t="shared" ref="CB78:CB80" si="35">IF(AND(B78&gt;0,M78="")," No olvide digitar la variable Migrantes. Digite cero si no tiene.",IF(M78&gt;B78," * La variable Migrantes no puede ser mayor al Total.",""))</f>
        <v/>
      </c>
      <c r="CC78" s="632"/>
      <c r="CD78" s="632"/>
      <c r="CE78" s="632"/>
      <c r="CF78" s="632"/>
      <c r="CG78" s="3009">
        <f t="shared" ref="CG78:CG80" si="36">IF(AND(B78&gt;0,L78=""),1,IF(L78&gt;B78,1,0))</f>
        <v>0</v>
      </c>
      <c r="CH78" s="3009">
        <f t="shared" ref="CH78:CH80" si="37">IF(AND(B78&gt;0,M78=""),1,IF(M78&gt;B78,1,0))</f>
        <v>0</v>
      </c>
    </row>
    <row r="79" spans="1:86" x14ac:dyDescent="0.25">
      <c r="A79" s="3677" t="s">
        <v>2816</v>
      </c>
      <c r="B79" s="1977">
        <f>SUM(C79:K79)</f>
        <v>0</v>
      </c>
      <c r="C79" s="615"/>
      <c r="D79" s="615"/>
      <c r="E79" s="615"/>
      <c r="F79" s="615"/>
      <c r="G79" s="615"/>
      <c r="H79" s="615"/>
      <c r="I79" s="615"/>
      <c r="J79" s="615"/>
      <c r="K79" s="618"/>
      <c r="L79" s="615"/>
      <c r="M79" s="4659"/>
      <c r="N79" s="1755" t="str">
        <f t="shared" si="34"/>
        <v/>
      </c>
      <c r="CA79" s="323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3235" t="str">
        <f t="shared" si="35"/>
        <v/>
      </c>
      <c r="CC79" s="632"/>
      <c r="CD79" s="632"/>
      <c r="CE79" s="632"/>
      <c r="CF79" s="632"/>
      <c r="CG79" s="3009">
        <f t="shared" si="36"/>
        <v>0</v>
      </c>
      <c r="CH79" s="3009">
        <f t="shared" si="37"/>
        <v>0</v>
      </c>
    </row>
    <row r="80" spans="1:86" ht="21" x14ac:dyDescent="0.25">
      <c r="A80" s="3696" t="s">
        <v>2817</v>
      </c>
      <c r="B80" s="635">
        <f>SUM(C80:K80)</f>
        <v>0</v>
      </c>
      <c r="C80" s="288"/>
      <c r="D80" s="288"/>
      <c r="E80" s="288"/>
      <c r="F80" s="288"/>
      <c r="G80" s="288"/>
      <c r="H80" s="288"/>
      <c r="I80" s="288"/>
      <c r="J80" s="288"/>
      <c r="K80" s="3588"/>
      <c r="L80" s="288"/>
      <c r="M80" s="3839"/>
      <c r="N80" s="1755" t="str">
        <f t="shared" si="34"/>
        <v/>
      </c>
      <c r="CA80" s="3235" t="str">
        <f t="shared" si="38"/>
        <v/>
      </c>
      <c r="CB80" s="3235" t="str">
        <f t="shared" si="35"/>
        <v/>
      </c>
      <c r="CC80" s="632"/>
      <c r="CD80" s="632"/>
      <c r="CE80" s="632"/>
      <c r="CF80" s="632"/>
      <c r="CG80" s="3009">
        <f t="shared" si="36"/>
        <v>0</v>
      </c>
      <c r="CH80" s="3009">
        <f t="shared" si="37"/>
        <v>0</v>
      </c>
    </row>
    <row r="81" spans="1:86" ht="21" customHeight="1" x14ac:dyDescent="0.25">
      <c r="A81" s="5780" t="s">
        <v>3788</v>
      </c>
      <c r="B81" s="5781"/>
      <c r="C81" s="5769"/>
      <c r="D81" s="5769"/>
      <c r="E81" s="5769"/>
      <c r="F81" s="5769"/>
      <c r="G81" s="5769"/>
      <c r="H81" s="5769"/>
      <c r="I81" s="5769"/>
      <c r="J81" s="5769"/>
      <c r="K81" s="5782"/>
      <c r="L81" s="5769"/>
      <c r="M81" s="5770"/>
      <c r="CA81" s="603"/>
    </row>
    <row r="82" spans="1:86" x14ac:dyDescent="0.25">
      <c r="A82" s="3677" t="s">
        <v>2815</v>
      </c>
      <c r="B82" s="1977">
        <f>SUM(C82:K82)</f>
        <v>0</v>
      </c>
      <c r="C82" s="615"/>
      <c r="D82" s="615"/>
      <c r="E82" s="615"/>
      <c r="F82" s="615"/>
      <c r="G82" s="615"/>
      <c r="H82" s="615"/>
      <c r="I82" s="615"/>
      <c r="J82" s="615"/>
      <c r="K82" s="618"/>
      <c r="L82" s="615"/>
      <c r="M82" s="4659"/>
      <c r="N82" s="1755" t="str">
        <f t="shared" si="34"/>
        <v/>
      </c>
      <c r="CA82" s="3235" t="str">
        <f>IF(AND(B82&gt;0,L82="")," No olvide digitar la variable Pueblos Originarios. Digite cero si no tiene.",IF(L82&gt;B82," * La variable Pueblos Originarios no puede ser mayor al Total.",""))</f>
        <v/>
      </c>
      <c r="CB82" s="3235" t="str">
        <f t="shared" ref="CB82:CB84" si="39">IF(AND(B82&gt;0,M82="")," No olvide digitar la variable Migrantes. Digite cero si no tiene.",IF(M82&gt;B82," * La variable Migrantes no puede ser mayor al Total.",""))</f>
        <v/>
      </c>
      <c r="CC82" s="632"/>
      <c r="CD82" s="632"/>
      <c r="CE82" s="632"/>
      <c r="CF82" s="632"/>
      <c r="CG82" s="3009">
        <f t="shared" ref="CG82:CG84" si="40">IF(AND(B82&gt;0,L82=""),1,IF(L82&gt;B82,1,0))</f>
        <v>0</v>
      </c>
      <c r="CH82" s="3009">
        <f t="shared" ref="CH82:CH84" si="41">IF(AND(B82&gt;0,M82=""),1,IF(M82&gt;B82,1,0))</f>
        <v>0</v>
      </c>
    </row>
    <row r="83" spans="1:86" x14ac:dyDescent="0.25">
      <c r="A83" s="3677" t="s">
        <v>2816</v>
      </c>
      <c r="B83" s="1977">
        <f>SUM(C83:K83)</f>
        <v>0</v>
      </c>
      <c r="C83" s="615"/>
      <c r="D83" s="615"/>
      <c r="E83" s="615"/>
      <c r="F83" s="615"/>
      <c r="G83" s="615"/>
      <c r="H83" s="615"/>
      <c r="I83" s="615"/>
      <c r="J83" s="615"/>
      <c r="K83" s="618"/>
      <c r="L83" s="615"/>
      <c r="M83" s="4659"/>
      <c r="N83" s="1755" t="str">
        <f t="shared" si="34"/>
        <v/>
      </c>
      <c r="CA83" s="323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3235" t="str">
        <f t="shared" si="39"/>
        <v/>
      </c>
      <c r="CC83" s="632"/>
      <c r="CD83" s="632"/>
      <c r="CE83" s="632"/>
      <c r="CF83" s="632"/>
      <c r="CG83" s="3009">
        <f t="shared" si="40"/>
        <v>0</v>
      </c>
      <c r="CH83" s="3009">
        <f t="shared" si="41"/>
        <v>0</v>
      </c>
    </row>
    <row r="84" spans="1:86" ht="21" x14ac:dyDescent="0.25">
      <c r="A84" s="3696" t="s">
        <v>2817</v>
      </c>
      <c r="B84" s="635">
        <f>SUM(C84:K84)</f>
        <v>0</v>
      </c>
      <c r="C84" s="288"/>
      <c r="D84" s="288"/>
      <c r="E84" s="288"/>
      <c r="F84" s="288"/>
      <c r="G84" s="288"/>
      <c r="H84" s="288"/>
      <c r="I84" s="288"/>
      <c r="J84" s="288"/>
      <c r="K84" s="3588"/>
      <c r="L84" s="288"/>
      <c r="M84" s="3839"/>
      <c r="N84" s="1755" t="str">
        <f t="shared" si="34"/>
        <v/>
      </c>
      <c r="CA84" s="3235" t="str">
        <f t="shared" si="42"/>
        <v/>
      </c>
      <c r="CB84" s="3235" t="str">
        <f t="shared" si="39"/>
        <v/>
      </c>
      <c r="CC84" s="632"/>
      <c r="CD84" s="632"/>
      <c r="CE84" s="632"/>
      <c r="CF84" s="632"/>
      <c r="CG84" s="3009">
        <f t="shared" si="40"/>
        <v>0</v>
      </c>
      <c r="CH84" s="3009">
        <f t="shared" si="41"/>
        <v>0</v>
      </c>
    </row>
    <row r="85" spans="1:86" ht="21" customHeight="1" x14ac:dyDescent="0.25">
      <c r="A85" s="4695" t="s">
        <v>3789</v>
      </c>
      <c r="B85" s="4684"/>
      <c r="C85" s="4681"/>
      <c r="D85" s="4681"/>
      <c r="E85" s="4681"/>
      <c r="F85" s="4681"/>
      <c r="G85" s="4681"/>
      <c r="H85" s="4681"/>
      <c r="I85" s="4681"/>
      <c r="J85" s="4681"/>
      <c r="K85" s="4672"/>
      <c r="L85" s="4681"/>
      <c r="M85" s="4673"/>
      <c r="CA85" s="603"/>
    </row>
    <row r="86" spans="1:86" x14ac:dyDescent="0.25">
      <c r="A86" s="3677" t="s">
        <v>2815</v>
      </c>
      <c r="B86" s="1977">
        <f>SUM(C86:K86)</f>
        <v>0</v>
      </c>
      <c r="C86" s="615"/>
      <c r="D86" s="615"/>
      <c r="E86" s="615"/>
      <c r="F86" s="615"/>
      <c r="G86" s="615"/>
      <c r="H86" s="615"/>
      <c r="I86" s="615"/>
      <c r="J86" s="615"/>
      <c r="K86" s="618"/>
      <c r="L86" s="615"/>
      <c r="M86" s="280"/>
      <c r="N86" s="1755" t="str">
        <f t="shared" si="34"/>
        <v/>
      </c>
      <c r="CA86" s="3235" t="str">
        <f>IF(AND(B86&gt;0,L86="")," No olvide digitar la variable Pueblos Originarios. Digite cero si no tiene.",IF(L86&gt;B86," * La variable Pueblos Originarios no puede ser mayor al Total.",""))</f>
        <v/>
      </c>
      <c r="CB86" s="3235" t="str">
        <f t="shared" ref="CB86:CB88" si="43">IF(AND(B86&gt;0,M86="")," No olvide digitar la variable Migrantes. Digite cero si no tiene.",IF(M86&gt;B86," * La variable Migrantes no puede ser mayor al Total.",""))</f>
        <v/>
      </c>
      <c r="CC86" s="632"/>
      <c r="CD86" s="632"/>
      <c r="CE86" s="632"/>
      <c r="CF86" s="632"/>
      <c r="CG86" s="3009">
        <f t="shared" ref="CG86:CG88" si="44">IF(AND(B86&gt;0,L86=""),1,IF(L86&gt;B86,1,0))</f>
        <v>0</v>
      </c>
      <c r="CH86" s="3009">
        <f t="shared" ref="CH86:CH88" si="45">IF(AND(B86&gt;0,M86=""),1,IF(M86&gt;B86,1,0))</f>
        <v>0</v>
      </c>
    </row>
    <row r="87" spans="1:86" x14ac:dyDescent="0.25">
      <c r="A87" s="3677" t="s">
        <v>2816</v>
      </c>
      <c r="B87" s="1977">
        <f>SUM(C87:K87)</f>
        <v>0</v>
      </c>
      <c r="C87" s="615"/>
      <c r="D87" s="615"/>
      <c r="E87" s="615"/>
      <c r="F87" s="615"/>
      <c r="G87" s="615"/>
      <c r="H87" s="615"/>
      <c r="I87" s="615"/>
      <c r="J87" s="615"/>
      <c r="K87" s="618"/>
      <c r="L87" s="615"/>
      <c r="M87" s="280"/>
      <c r="N87" s="1755" t="str">
        <f t="shared" si="34"/>
        <v/>
      </c>
      <c r="CA87" s="323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3235" t="str">
        <f t="shared" si="43"/>
        <v/>
      </c>
      <c r="CC87" s="632"/>
      <c r="CD87" s="632"/>
      <c r="CE87" s="632"/>
      <c r="CF87" s="632"/>
      <c r="CG87" s="3009">
        <f t="shared" si="44"/>
        <v>0</v>
      </c>
      <c r="CH87" s="3009">
        <f t="shared" si="45"/>
        <v>0</v>
      </c>
    </row>
    <row r="88" spans="1:86" ht="21" x14ac:dyDescent="0.25">
      <c r="A88" s="3696" t="s">
        <v>2818</v>
      </c>
      <c r="B88" s="635">
        <f>SUM(C88:K88)</f>
        <v>0</v>
      </c>
      <c r="C88" s="288"/>
      <c r="D88" s="288"/>
      <c r="E88" s="288"/>
      <c r="F88" s="288"/>
      <c r="G88" s="288"/>
      <c r="H88" s="288"/>
      <c r="I88" s="288"/>
      <c r="J88" s="288"/>
      <c r="K88" s="3588"/>
      <c r="L88" s="3694"/>
      <c r="M88" s="3601"/>
      <c r="N88" s="1755" t="str">
        <f t="shared" si="34"/>
        <v/>
      </c>
      <c r="CA88" s="3235" t="str">
        <f t="shared" si="46"/>
        <v/>
      </c>
      <c r="CB88" s="3235" t="str">
        <f t="shared" si="43"/>
        <v/>
      </c>
      <c r="CC88" s="632"/>
      <c r="CD88" s="632"/>
      <c r="CE88" s="632"/>
      <c r="CF88" s="632"/>
      <c r="CG88" s="3009">
        <f t="shared" si="44"/>
        <v>0</v>
      </c>
      <c r="CH88" s="3009">
        <f t="shared" si="45"/>
        <v>0</v>
      </c>
    </row>
    <row r="89" spans="1:86" ht="18" customHeight="1" x14ac:dyDescent="0.25">
      <c r="A89" s="7782" t="s">
        <v>2819</v>
      </c>
      <c r="B89" s="7782"/>
      <c r="C89" s="7782"/>
      <c r="D89" s="7782"/>
      <c r="E89" s="7782"/>
      <c r="F89" s="7782"/>
      <c r="G89" s="7782"/>
      <c r="H89" s="7782"/>
      <c r="I89" s="7782"/>
      <c r="J89" s="7782"/>
      <c r="K89" s="7782"/>
      <c r="CA89" s="603"/>
    </row>
    <row r="90" spans="1:86" ht="21" x14ac:dyDescent="0.25">
      <c r="A90" s="3688"/>
      <c r="B90" s="3679" t="s">
        <v>24</v>
      </c>
      <c r="C90" s="3698" t="s">
        <v>2</v>
      </c>
      <c r="D90" s="3634" t="s">
        <v>3</v>
      </c>
      <c r="CA90" s="603"/>
    </row>
    <row r="91" spans="1:86" ht="22.5" x14ac:dyDescent="0.25">
      <c r="A91" s="3668" t="s">
        <v>2820</v>
      </c>
      <c r="B91" s="3685"/>
      <c r="C91" s="615"/>
      <c r="D91" s="280"/>
      <c r="E91" s="1755" t="str">
        <f>CA91&amp;CB91</f>
        <v/>
      </c>
      <c r="CA91" s="3235" t="str">
        <f>IF(AND(B91&gt;0,C91="")," No olvide digitar la variable Pueblos Originarios. Digite cero si no tiene.",IF(C91&gt;B91," * La variable Pueblos Originarios no puede ser mayor al Total.",""))</f>
        <v/>
      </c>
      <c r="CB91" s="3235" t="str">
        <f>IF(AND(B91&gt;0,D91="")," No olvide digitar la variable Migrantes. Digite cero si no tiene.",IF(D91&gt;B91," * La variable Migrantes no puede ser mayor al Total.",""))</f>
        <v/>
      </c>
      <c r="CC91" s="632"/>
      <c r="CD91" s="632"/>
      <c r="CE91" s="632"/>
      <c r="CF91" s="632"/>
      <c r="CG91" s="3009">
        <f>IF(AND(B91&gt;0,C91=""),1,IF(C91&gt;B91,1,0))</f>
        <v>0</v>
      </c>
      <c r="CH91" s="3009">
        <f>IF(AND(B91&gt;0,D91=""),1,IF(D91&gt;B91,1,0))</f>
        <v>0</v>
      </c>
    </row>
    <row r="92" spans="1:86" ht="21" x14ac:dyDescent="0.25">
      <c r="A92" s="3696" t="s">
        <v>2821</v>
      </c>
      <c r="B92" s="3686"/>
      <c r="C92" s="288"/>
      <c r="D92" s="290"/>
      <c r="E92" s="1755" t="str">
        <f>CA92&amp;CB92</f>
        <v/>
      </c>
      <c r="CA92" s="3235" t="str">
        <f>IF(AND(B92&gt;0,C92="")," No olvide digitar la variable Pueblos Originarios. Digite cero si no tiene.",IF(C92&gt;B92," * La variable Pueblos Originarios no puede ser mayor al Total.",""))</f>
        <v/>
      </c>
      <c r="CB92" s="3235" t="str">
        <f>IF(AND(B92&gt;0,D92="")," No olvide digitar la variable Migrantes. Digite cero si no tiene.",IF(D92&gt;B92," * La variable Migrantes no puede ser mayor al Total.",""))</f>
        <v/>
      </c>
      <c r="CC92" s="632"/>
      <c r="CD92" s="632"/>
      <c r="CE92" s="632"/>
      <c r="CF92" s="632"/>
      <c r="CG92" s="3009">
        <f>IF(AND(B92&gt;0,C92=""),1,IF(C92&gt;B92,1,0))</f>
        <v>0</v>
      </c>
      <c r="CH92" s="3009">
        <f>IF(AND(B92&gt;0,D92=""),1,IF(D92&gt;B92,1,0))</f>
        <v>0</v>
      </c>
    </row>
    <row r="93" spans="1:86" ht="18" customHeight="1" x14ac:dyDescent="0.25">
      <c r="A93" s="7767" t="s">
        <v>2822</v>
      </c>
      <c r="B93" s="7767"/>
      <c r="C93" s="7767"/>
      <c r="D93" s="7767"/>
      <c r="CA93" s="603"/>
    </row>
    <row r="94" spans="1:86" ht="21" x14ac:dyDescent="0.25">
      <c r="A94" s="3688"/>
      <c r="B94" s="3679" t="s">
        <v>24</v>
      </c>
      <c r="C94" s="3698" t="s">
        <v>2</v>
      </c>
      <c r="D94" s="3634" t="s">
        <v>3</v>
      </c>
      <c r="CA94" s="603"/>
    </row>
    <row r="95" spans="1:86" ht="17.25" customHeight="1" x14ac:dyDescent="0.25">
      <c r="A95" s="3677" t="s">
        <v>2823</v>
      </c>
      <c r="B95" s="3685"/>
      <c r="C95" s="615"/>
      <c r="D95" s="280"/>
      <c r="E95" s="1755" t="str">
        <f>CA95&amp;CB95</f>
        <v/>
      </c>
      <c r="CA95" s="3235" t="str">
        <f>IF(AND(B95&gt;0,C95="")," No olvide digitar la variable Pueblos Originarios. Digite cero si no tiene.",IF(C95&gt;B95," * La variable Pueblos Originarios no puede ser mayor al Total.",""))</f>
        <v/>
      </c>
      <c r="CB95" s="3235" t="str">
        <f t="shared" ref="CB95:CB96" si="47">IF(AND(B95&gt;0,D95="")," No olvide digitar la variable Migrantes. Digite cero si no tiene.",IF(D95&gt;B95," * La variable Migrantes no puede ser mayor al Total.",""))</f>
        <v/>
      </c>
      <c r="CC95" s="632"/>
      <c r="CD95" s="632"/>
      <c r="CE95" s="632"/>
      <c r="CF95" s="632"/>
      <c r="CG95" s="3009">
        <f t="shared" ref="CG95:CG96" si="48">IF(AND(B95&gt;0,C95=""),1,IF(C95&gt;B95,1,0))</f>
        <v>0</v>
      </c>
      <c r="CH95" s="3009">
        <f t="shared" ref="CH95:CH96" si="49">IF(AND(B95&gt;0,D95=""),1,IF(D95&gt;B95,1,0))</f>
        <v>0</v>
      </c>
    </row>
    <row r="96" spans="1:86" ht="22.5" x14ac:dyDescent="0.25">
      <c r="A96" s="3682" t="s">
        <v>2824</v>
      </c>
      <c r="B96" s="3683"/>
      <c r="C96" s="3694"/>
      <c r="D96" s="3601"/>
      <c r="E96" s="1755" t="str">
        <f>CA96&amp;CB96</f>
        <v/>
      </c>
      <c r="CA96" s="3235" t="str">
        <f>IF(AND(B96&gt;0,C96="")," No olvide digitar la variable Pueblos Originarios. Digite cero si no tiene.",IF(C96&gt;B96," * La variable Pueblos Originarios no puede ser mayor al Total.",""))</f>
        <v/>
      </c>
      <c r="CB96" s="3235" t="str">
        <f t="shared" si="47"/>
        <v/>
      </c>
      <c r="CC96" s="632"/>
      <c r="CD96" s="632"/>
      <c r="CE96" s="632"/>
      <c r="CF96" s="632"/>
      <c r="CG96" s="3009">
        <f t="shared" si="48"/>
        <v>0</v>
      </c>
      <c r="CH96" s="3009">
        <f t="shared" si="49"/>
        <v>0</v>
      </c>
    </row>
    <row r="150" spans="1:2" hidden="1" x14ac:dyDescent="0.25">
      <c r="A150" s="3699">
        <f>SUM(B12:B13,B15:B16,B18:B19,B22:B23,B27:B32,B35:B36,B40:B47,B50:B53,B56:B59,B64:B65,B67:B68,B70:B71,B73,B78:B80,B82:B84,B86:B88,B91:B92,B95:B96)</f>
        <v>0</v>
      </c>
      <c r="B150" s="3700">
        <f>SUM(CG12:CI96)</f>
        <v>0</v>
      </c>
    </row>
  </sheetData>
  <sheetProtection algorithmName="SHA-512" hashValue="pgMpKMDE4SzvcCDqxcN+QKxI/GM7Dkg8aXsw+dUJeTuqlt7gQXVIgnHMApxDH8Q+ClgitqPQ5vmYu3x/bvoA5g==" saltValue="XsJYtFz6w732jia1YM0+UQ==" spinCount="100000" sheet="1" objects="1" scenarios="1"/>
  <mergeCells count="37">
    <mergeCell ref="A89:K89"/>
    <mergeCell ref="A93:D93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1">
    <dataValidation type="whole" operator="greaterThanOrEqual" allowBlank="1" showInputMessage="1" showErrorMessage="1" sqref="C12:M13 C15:M16 C18:M19 B22:D23 C27:M32 B35:D36 C40:M47 B50:D53 B56:D59 C73:M73 C64:M65 C70:M71 C67:M68 B91:D92 B95:D96" xr:uid="{00000000-0002-0000-0B00-000000000000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DG207"/>
  <sheetViews>
    <sheetView showGridLines="0" workbookViewId="0"/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20.28515625" customWidth="1"/>
    <col min="4" max="4" width="18" customWidth="1"/>
    <col min="5" max="5" width="16" customWidth="1"/>
    <col min="6" max="6" width="14.85546875" customWidth="1"/>
    <col min="7" max="7" width="16" customWidth="1"/>
    <col min="8" max="8" width="16.42578125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5" width="11.42578125" hidden="1" customWidth="1"/>
    <col min="96" max="105" width="11.42578125" customWidth="1"/>
  </cols>
  <sheetData>
    <row r="1" spans="1:104" x14ac:dyDescent="0.25">
      <c r="A1" s="779" t="s">
        <v>3878</v>
      </c>
    </row>
    <row r="2" spans="1:104" x14ac:dyDescent="0.25">
      <c r="A2" s="779" t="str">
        <f>CONCATENATE("COMUNA: ",NOMBRE!B2," - ","( ",NOMBRE!C2,NOMBRE!D2,NOMBRE!E2,NOMBRE!F2,NOMBRE!G2," )")</f>
        <v>COMUNA:  - (  )</v>
      </c>
    </row>
    <row r="3" spans="1:104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04" x14ac:dyDescent="0.25">
      <c r="A4" s="779" t="str">
        <f>CONCATENATE("MES: ",NOMBRE!B6," - ","( ",NOMBRE!C6,NOMBRE!D6," )")</f>
        <v>MES:  - (  )</v>
      </c>
    </row>
    <row r="5" spans="1:104" x14ac:dyDescent="0.25">
      <c r="A5" s="779" t="str">
        <f>CONCATENATE("AÑO: ",NOMBRE!B7)</f>
        <v>AÑO: 2024</v>
      </c>
    </row>
    <row r="6" spans="1:104" s="602" customFormat="1" ht="18" customHeight="1" x14ac:dyDescent="0.25">
      <c r="A6" s="6447" t="s">
        <v>2825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  <c r="O6" s="6447"/>
      <c r="P6" s="6447"/>
      <c r="Q6" s="6447"/>
      <c r="R6" s="6447"/>
      <c r="S6" s="6447"/>
      <c r="T6" s="6447"/>
      <c r="BX6" s="636"/>
      <c r="BY6" s="636"/>
      <c r="BZ6" s="636"/>
      <c r="CA6" s="3290"/>
      <c r="CB6" s="3290"/>
      <c r="CC6" s="3290"/>
      <c r="CD6" s="3290"/>
      <c r="CE6" s="3290"/>
      <c r="CF6" s="3290"/>
      <c r="CG6" s="3290"/>
      <c r="CH6" s="3290"/>
      <c r="CI6" s="3290"/>
      <c r="CJ6" s="3290"/>
      <c r="CK6" s="3290"/>
      <c r="CL6" s="3290"/>
      <c r="CM6" s="3290"/>
      <c r="CN6" s="3290"/>
      <c r="CO6" s="3290"/>
      <c r="CP6" s="3290"/>
      <c r="CQ6" s="3290"/>
      <c r="CR6" s="3290"/>
      <c r="CS6" s="3290"/>
      <c r="CT6" s="3290"/>
      <c r="CU6" s="3290"/>
      <c r="CV6" s="3290"/>
      <c r="CW6" s="3290"/>
      <c r="CX6" s="3290"/>
      <c r="CY6" s="3290"/>
      <c r="CZ6" s="3290"/>
    </row>
    <row r="8" spans="1:104" ht="18" customHeight="1" x14ac:dyDescent="0.25">
      <c r="A8" s="6586" t="s">
        <v>2826</v>
      </c>
      <c r="B8" s="6586"/>
      <c r="C8" s="6586"/>
      <c r="D8" s="6586"/>
      <c r="E8" s="6586"/>
      <c r="F8" s="6586"/>
      <c r="G8" s="6586"/>
      <c r="H8" s="6586"/>
      <c r="I8" s="6586"/>
      <c r="J8" s="6586"/>
      <c r="K8" s="6586"/>
      <c r="L8" s="6586"/>
      <c r="M8" s="6586"/>
      <c r="N8" s="6586"/>
      <c r="O8" s="6586"/>
      <c r="P8" s="6586"/>
      <c r="Q8" s="6586"/>
      <c r="R8" s="6586"/>
      <c r="S8" s="6586"/>
      <c r="T8" s="6586"/>
      <c r="U8" s="6586"/>
      <c r="V8" s="6586"/>
      <c r="W8" s="6586"/>
      <c r="X8" s="6586"/>
      <c r="Y8" s="6586"/>
      <c r="Z8" s="6586"/>
      <c r="AA8" s="6586"/>
      <c r="AB8" s="6586"/>
      <c r="AC8" s="6586"/>
      <c r="AD8" s="6586"/>
      <c r="AE8" s="6586"/>
      <c r="AF8" s="6586"/>
      <c r="AG8" s="6586"/>
      <c r="AH8" s="6586"/>
      <c r="AI8" s="6586"/>
      <c r="AJ8" s="6586"/>
      <c r="AK8" s="6586"/>
      <c r="AL8" s="6586"/>
      <c r="AM8" s="6586"/>
    </row>
    <row r="9" spans="1:104" ht="18" customHeight="1" x14ac:dyDescent="0.25">
      <c r="A9" s="7788" t="s">
        <v>2827</v>
      </c>
      <c r="B9" s="7788"/>
      <c r="C9" s="7788"/>
      <c r="D9" s="7788"/>
      <c r="E9" s="7788"/>
      <c r="F9" s="7788"/>
      <c r="G9" s="7788"/>
      <c r="H9" s="7788"/>
      <c r="I9" s="7788"/>
      <c r="J9" s="7788"/>
      <c r="K9" s="7788"/>
      <c r="L9" s="7788"/>
      <c r="M9" s="7788"/>
      <c r="N9" s="7788"/>
      <c r="O9" s="7788"/>
      <c r="P9" s="7788"/>
      <c r="Q9" s="7788"/>
      <c r="R9" s="7788"/>
      <c r="S9" s="7788"/>
      <c r="T9" s="7788"/>
      <c r="U9" s="7788"/>
      <c r="V9" s="7788"/>
      <c r="W9" s="7788"/>
      <c r="X9" s="7788"/>
      <c r="Y9" s="7788"/>
      <c r="Z9" s="7788"/>
      <c r="AA9" s="7788"/>
      <c r="AB9" s="7788"/>
      <c r="AC9" s="7788"/>
      <c r="AD9" s="7788"/>
      <c r="AE9" s="7788"/>
      <c r="AF9" s="7788"/>
      <c r="AG9" s="7788"/>
      <c r="AH9" s="7788"/>
      <c r="AI9" s="7788"/>
      <c r="AJ9" s="7788"/>
      <c r="AK9" s="7788"/>
      <c r="AL9" s="7788"/>
      <c r="AM9" s="7788"/>
    </row>
    <row r="10" spans="1:104" x14ac:dyDescent="0.25">
      <c r="A10" s="7360" t="s">
        <v>2828</v>
      </c>
      <c r="B10" s="6492" t="s">
        <v>61</v>
      </c>
      <c r="C10" s="6493" t="s">
        <v>2525</v>
      </c>
      <c r="D10" s="6468"/>
      <c r="E10" s="6469"/>
      <c r="F10" s="6587" t="s">
        <v>30</v>
      </c>
      <c r="G10" s="6603"/>
      <c r="H10" s="6603"/>
      <c r="I10" s="6603"/>
      <c r="J10" s="6603"/>
      <c r="K10" s="6603"/>
      <c r="L10" s="6603"/>
      <c r="M10" s="6603"/>
      <c r="N10" s="6603"/>
      <c r="O10" s="6603"/>
      <c r="P10" s="6603"/>
      <c r="Q10" s="6603"/>
      <c r="R10" s="6603"/>
      <c r="S10" s="6603"/>
      <c r="T10" s="6603"/>
      <c r="U10" s="6603"/>
      <c r="V10" s="6603"/>
      <c r="W10" s="6603"/>
      <c r="X10" s="6603"/>
      <c r="Y10" s="6603"/>
      <c r="Z10" s="6603"/>
      <c r="AA10" s="6603"/>
      <c r="AB10" s="6603"/>
      <c r="AC10" s="6603"/>
      <c r="AD10" s="6603"/>
      <c r="AE10" s="6603"/>
      <c r="AF10" s="6603"/>
      <c r="AG10" s="6603"/>
      <c r="AH10" s="6603"/>
      <c r="AI10" s="6603"/>
      <c r="AJ10" s="6603"/>
      <c r="AK10" s="6603"/>
      <c r="AL10" s="6603"/>
      <c r="AM10" s="7789"/>
      <c r="AN10" s="6526" t="s">
        <v>2829</v>
      </c>
      <c r="AO10" s="6468" t="s">
        <v>48</v>
      </c>
      <c r="AP10" s="6469"/>
      <c r="AQ10" s="6484" t="s">
        <v>2</v>
      </c>
      <c r="AR10" s="6484" t="s">
        <v>3</v>
      </c>
      <c r="AS10" s="6484" t="s">
        <v>2696</v>
      </c>
      <c r="AT10" s="6484" t="s">
        <v>49</v>
      </c>
      <c r="AU10" s="6484" t="s">
        <v>45</v>
      </c>
    </row>
    <row r="11" spans="1:104" ht="22.5" customHeight="1" x14ac:dyDescent="0.25">
      <c r="A11" s="7360"/>
      <c r="B11" s="6466"/>
      <c r="C11" s="6601"/>
      <c r="D11" s="6476"/>
      <c r="E11" s="6602"/>
      <c r="F11" s="6550" t="s">
        <v>36</v>
      </c>
      <c r="G11" s="6550"/>
      <c r="H11" s="6494" t="s">
        <v>37</v>
      </c>
      <c r="I11" s="6535"/>
      <c r="J11" s="6494" t="s">
        <v>38</v>
      </c>
      <c r="K11" s="6535"/>
      <c r="L11" s="6494" t="s">
        <v>2830</v>
      </c>
      <c r="M11" s="6535"/>
      <c r="N11" s="6494" t="s">
        <v>559</v>
      </c>
      <c r="O11" s="6535"/>
      <c r="P11" s="6494" t="s">
        <v>560</v>
      </c>
      <c r="Q11" s="6535"/>
      <c r="R11" s="6494" t="s">
        <v>561</v>
      </c>
      <c r="S11" s="6535"/>
      <c r="T11" s="6494" t="s">
        <v>562</v>
      </c>
      <c r="U11" s="6535"/>
      <c r="V11" s="6494" t="s">
        <v>563</v>
      </c>
      <c r="W11" s="6535"/>
      <c r="X11" s="6494" t="s">
        <v>564</v>
      </c>
      <c r="Y11" s="6535"/>
      <c r="Z11" s="6494" t="s">
        <v>565</v>
      </c>
      <c r="AA11" s="6535"/>
      <c r="AB11" s="6494" t="s">
        <v>555</v>
      </c>
      <c r="AC11" s="6535"/>
      <c r="AD11" s="6494" t="s">
        <v>556</v>
      </c>
      <c r="AE11" s="6535"/>
      <c r="AF11" s="6494" t="s">
        <v>557</v>
      </c>
      <c r="AG11" s="6535"/>
      <c r="AH11" s="6494" t="s">
        <v>2831</v>
      </c>
      <c r="AI11" s="6535"/>
      <c r="AJ11" s="6494" t="s">
        <v>2832</v>
      </c>
      <c r="AK11" s="6535"/>
      <c r="AL11" s="6519" t="s">
        <v>32</v>
      </c>
      <c r="AM11" s="6522"/>
      <c r="AN11" s="6539"/>
      <c r="AO11" s="6476"/>
      <c r="AP11" s="6602"/>
      <c r="AQ11" s="6485"/>
      <c r="AR11" s="6485"/>
      <c r="AS11" s="6485"/>
      <c r="AT11" s="6485"/>
      <c r="AU11" s="6485"/>
    </row>
    <row r="12" spans="1:104" x14ac:dyDescent="0.25">
      <c r="A12" s="7360"/>
      <c r="B12" s="6449"/>
      <c r="C12" s="4698" t="s">
        <v>26</v>
      </c>
      <c r="D12" s="4696" t="s">
        <v>22</v>
      </c>
      <c r="E12" s="3315" t="s">
        <v>27</v>
      </c>
      <c r="F12" s="3242" t="s">
        <v>22</v>
      </c>
      <c r="G12" s="3315" t="s">
        <v>27</v>
      </c>
      <c r="H12" s="3242" t="s">
        <v>22</v>
      </c>
      <c r="I12" s="3315" t="s">
        <v>27</v>
      </c>
      <c r="J12" s="3242" t="s">
        <v>22</v>
      </c>
      <c r="K12" s="3315" t="s">
        <v>27</v>
      </c>
      <c r="L12" s="3242" t="s">
        <v>22</v>
      </c>
      <c r="M12" s="3315" t="s">
        <v>27</v>
      </c>
      <c r="N12" s="3242" t="s">
        <v>22</v>
      </c>
      <c r="O12" s="3315" t="s">
        <v>27</v>
      </c>
      <c r="P12" s="3242" t="s">
        <v>22</v>
      </c>
      <c r="Q12" s="3315" t="s">
        <v>27</v>
      </c>
      <c r="R12" s="3242" t="s">
        <v>22</v>
      </c>
      <c r="S12" s="3315" t="s">
        <v>27</v>
      </c>
      <c r="T12" s="3242" t="s">
        <v>22</v>
      </c>
      <c r="U12" s="3315" t="s">
        <v>27</v>
      </c>
      <c r="V12" s="3242" t="s">
        <v>22</v>
      </c>
      <c r="W12" s="3315" t="s">
        <v>27</v>
      </c>
      <c r="X12" s="3242" t="s">
        <v>22</v>
      </c>
      <c r="Y12" s="3315" t="s">
        <v>27</v>
      </c>
      <c r="Z12" s="3242" t="s">
        <v>22</v>
      </c>
      <c r="AA12" s="3315" t="s">
        <v>27</v>
      </c>
      <c r="AB12" s="3242" t="s">
        <v>22</v>
      </c>
      <c r="AC12" s="3315" t="s">
        <v>27</v>
      </c>
      <c r="AD12" s="3242" t="s">
        <v>22</v>
      </c>
      <c r="AE12" s="3315" t="s">
        <v>27</v>
      </c>
      <c r="AF12" s="3242" t="s">
        <v>22</v>
      </c>
      <c r="AG12" s="3315" t="s">
        <v>27</v>
      </c>
      <c r="AH12" s="3242" t="s">
        <v>22</v>
      </c>
      <c r="AI12" s="3315" t="s">
        <v>27</v>
      </c>
      <c r="AJ12" s="3242" t="s">
        <v>22</v>
      </c>
      <c r="AK12" s="3315" t="s">
        <v>27</v>
      </c>
      <c r="AL12" s="3242" t="s">
        <v>22</v>
      </c>
      <c r="AM12" s="3315" t="s">
        <v>27</v>
      </c>
      <c r="AN12" s="6527"/>
      <c r="AO12" s="3552" t="s">
        <v>41</v>
      </c>
      <c r="AP12" s="2644" t="s">
        <v>42</v>
      </c>
      <c r="AQ12" s="6451"/>
      <c r="AR12" s="6451"/>
      <c r="AS12" s="6451"/>
      <c r="AT12" s="6451"/>
      <c r="AU12" s="6451"/>
    </row>
    <row r="13" spans="1:104" x14ac:dyDescent="0.25">
      <c r="A13" s="6488" t="s">
        <v>2833</v>
      </c>
      <c r="B13" s="3467" t="s">
        <v>74</v>
      </c>
      <c r="C13" s="4699">
        <f t="shared" ref="C13:C64" si="0">SUM(D13+E13)</f>
        <v>0</v>
      </c>
      <c r="D13" s="4697">
        <f>+F13+H13+J13+L13+N13+P13+R13+T13+V13+X13+Z13+AB13+AD13+AF13+AH13+AJ13+AL13</f>
        <v>0</v>
      </c>
      <c r="E13" s="3701">
        <f>+G13+I13+K13+M13+O13+Q13+S13+U13+W13+Y13+AA13+AC13+AE13+AG13+AI13+AK13+AM13</f>
        <v>0</v>
      </c>
      <c r="F13" s="3590"/>
      <c r="G13" s="3702"/>
      <c r="H13" s="3590"/>
      <c r="I13" s="3702"/>
      <c r="J13" s="3590"/>
      <c r="K13" s="3593"/>
      <c r="L13" s="3590"/>
      <c r="M13" s="3593"/>
      <c r="N13" s="3590"/>
      <c r="O13" s="3593"/>
      <c r="P13" s="3590"/>
      <c r="Q13" s="3593"/>
      <c r="R13" s="3590"/>
      <c r="S13" s="3593"/>
      <c r="T13" s="3590"/>
      <c r="U13" s="3593"/>
      <c r="V13" s="3590"/>
      <c r="W13" s="3593"/>
      <c r="X13" s="3590"/>
      <c r="Y13" s="3593"/>
      <c r="Z13" s="3590"/>
      <c r="AA13" s="3593"/>
      <c r="AB13" s="3590"/>
      <c r="AC13" s="3593"/>
      <c r="AD13" s="3590"/>
      <c r="AE13" s="3593"/>
      <c r="AF13" s="3590"/>
      <c r="AG13" s="3593"/>
      <c r="AH13" s="3590"/>
      <c r="AI13" s="3593"/>
      <c r="AJ13" s="3590"/>
      <c r="AK13" s="3593"/>
      <c r="AL13" s="3703"/>
      <c r="AM13" s="3704"/>
      <c r="AN13" s="3705"/>
      <c r="AO13" s="3706"/>
      <c r="AP13" s="3596"/>
      <c r="AQ13" s="3707"/>
      <c r="AR13" s="3707"/>
      <c r="AS13" s="3708"/>
      <c r="AT13" s="3637"/>
      <c r="AU13" s="3637"/>
      <c r="AV13" s="1755" t="str">
        <f>$CA13&amp;$CB13&amp;CC13&amp;CD13&amp;CE13&amp;CG13&amp;CH13</f>
        <v/>
      </c>
      <c r="CA13" s="2873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873" t="str">
        <f>IF(AND(E13&gt;0,OR(AO13="")),"No olvide digitar los campos *TRANS Masculino (Digite CERO si no tiene).",IF(AO13&gt;E13,"* El Número de TRANS Masculino no puede superar el Total Mujeres. ",""))</f>
        <v/>
      </c>
      <c r="CC13" s="2873" t="str">
        <f>IF(AND(D13&gt;0,OR(AP13="")),"No olvide digitar los campos *TRANS Femenino (Digite CERO si no tiene).",IF(AP13&gt;$D13,"* El Número de TRANS Femenino no puede superar el Total Hombres. ",""))</f>
        <v/>
      </c>
      <c r="CD13" s="2873" t="str">
        <f>IF(AND($C13&lt;&gt;0,AQ13=""),"* No olvide ingresar la columna Pueblos Originarios (Digite CERO si no tiene).  ",IF(AQ13&gt;$C13,"* El Número de Pueblos Originarios no puede superar el Total. ",""))</f>
        <v/>
      </c>
      <c r="CE13" s="2873" t="str">
        <f>IF(AND($C13&lt;&gt;0,AR13=""),"* No olvide ingresar la columna Migrantes (Digite CERO si no tiene).  ",IF(AR13&gt;$C13,"* El Número de Migrantes no puede superar el Total. ",""))</f>
        <v/>
      </c>
      <c r="CF13" s="3107"/>
      <c r="CG13" s="2873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873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718"/>
      <c r="CJ13" s="1793">
        <f>IF(AND($C13&lt;&gt;0,AN13=""),1,IF(AN13&gt;$C13,1,0))</f>
        <v>0</v>
      </c>
      <c r="CK13" s="1793">
        <f>IF(AND(E13&gt;0,OR(AO13="")),1,IF(AO13&gt;E13,1,0))</f>
        <v>0</v>
      </c>
      <c r="CL13" s="1793">
        <f>IF(AND(D13&gt;0,OR(AP13="")),1,IF(AP13&gt;D13,1,0))</f>
        <v>0</v>
      </c>
      <c r="CM13" s="1793">
        <f>IF(AND($C13&lt;&gt;0,AQ13=""),1,IF(AQ13&gt;$C13,1,0))</f>
        <v>0</v>
      </c>
      <c r="CN13" s="1793">
        <f>IF(AND($C13&lt;&gt;0,AR13=""),1,IF(AR13&gt;$C13,1,0))</f>
        <v>0</v>
      </c>
      <c r="CO13" s="2872"/>
      <c r="CP13" s="1793">
        <f>IF(AND($C13&lt;&gt;0,AT13=""),1,IF(AT13&gt;$C13,1,0))</f>
        <v>0</v>
      </c>
      <c r="CQ13" s="1793">
        <f>IF(AND($C13&lt;&gt;0,AU13=""),1,IF(AU13&gt;$C13,1,0))</f>
        <v>0</v>
      </c>
      <c r="CR13" s="2718"/>
      <c r="CS13" s="2718"/>
      <c r="CT13" s="2718"/>
      <c r="CU13" s="2718"/>
    </row>
    <row r="14" spans="1:104" x14ac:dyDescent="0.25">
      <c r="A14" s="6455"/>
      <c r="B14" s="3470" t="s">
        <v>275</v>
      </c>
      <c r="C14" s="3687">
        <f t="shared" si="0"/>
        <v>0</v>
      </c>
      <c r="D14" s="3644">
        <f t="shared" ref="D14:E23" si="1">+F14+H14+J14+L14+N14+P14+R14+T14+V14+X14+Z14+AB14+AD14+AF14+AH14+AJ14+AL14</f>
        <v>0</v>
      </c>
      <c r="E14" s="3709">
        <f>+G14+I14+K14+M14+O14+Q14+S14+U14+W14+Y14+AA14+AC14+AE14+AG14+AI14+AK14+AM14</f>
        <v>0</v>
      </c>
      <c r="F14" s="3574"/>
      <c r="G14" s="3609"/>
      <c r="H14" s="3574"/>
      <c r="I14" s="3609"/>
      <c r="J14" s="3574"/>
      <c r="K14" s="3577"/>
      <c r="L14" s="3574"/>
      <c r="M14" s="3577"/>
      <c r="N14" s="3574"/>
      <c r="O14" s="3577"/>
      <c r="P14" s="3574"/>
      <c r="Q14" s="3577"/>
      <c r="R14" s="3574"/>
      <c r="S14" s="3577"/>
      <c r="T14" s="3574"/>
      <c r="U14" s="3577"/>
      <c r="V14" s="3574"/>
      <c r="W14" s="3577"/>
      <c r="X14" s="3574"/>
      <c r="Y14" s="3577"/>
      <c r="Z14" s="3574"/>
      <c r="AA14" s="3577"/>
      <c r="AB14" s="3574"/>
      <c r="AC14" s="3577"/>
      <c r="AD14" s="3574"/>
      <c r="AE14" s="3577"/>
      <c r="AF14" s="3574"/>
      <c r="AG14" s="3577"/>
      <c r="AH14" s="3574"/>
      <c r="AI14" s="3577"/>
      <c r="AJ14" s="3574"/>
      <c r="AK14" s="3577"/>
      <c r="AL14" s="3710"/>
      <c r="AM14" s="3575"/>
      <c r="AN14" s="3711"/>
      <c r="AO14" s="3572"/>
      <c r="AP14" s="3609"/>
      <c r="AQ14" s="3637"/>
      <c r="AR14" s="3637"/>
      <c r="AS14" s="3712"/>
      <c r="AT14" s="3637"/>
      <c r="AU14" s="3637"/>
      <c r="AV14" s="1755" t="str">
        <f t="shared" ref="AV14:AV45" si="2">$CA14&amp;$CB14&amp;CC14&amp;CD14&amp;CE14&amp;CG14&amp;CH14</f>
        <v/>
      </c>
      <c r="CA14" s="2873" t="str">
        <f t="shared" ref="CA14:CA76" si="3">IF(AND($C14&lt;&gt;0,AN14=""),"* No olvide ingresar la columna Espacios Amigables /adolescentes (Digite CERO si no tiene). ",IF(AN14&gt;$C14,"* El Número de Espacios Amigables no puede superar el Total. ",""))</f>
        <v/>
      </c>
      <c r="CB14" s="2873" t="str">
        <f t="shared" ref="CB14:CB76" si="4">IF(AND(E14&gt;0,OR(AO14="")),"No olvide digitar los campos *TRANS Masculino (Digite CERO si no tiene).",IF(AO14&gt;E14,"* El Número de TRANS Masculino no puede superar el Total Mujeres. ",""))</f>
        <v/>
      </c>
      <c r="CC14" s="2873" t="str">
        <f t="shared" ref="CC14:CC76" si="5">IF(AND(D14&gt;0,OR(AP14="")),"No olvide digitar los campos *TRANS Femenino (Digite CERO si no tiene).",IF(AP14&gt;$D14,"* El Número de TRANS Femenino no puede superar el Total Hombres. ",""))</f>
        <v/>
      </c>
      <c r="CD14" s="2873" t="str">
        <f t="shared" ref="CD14:CD76" si="6">IF(AND($C14&lt;&gt;0,AQ14=""),"* No olvide ingresar la columna Pueblos Originarios (Digite CERO si no tiene).  ",IF(AQ14&gt;$C14,"* El Número de Pueblos Originarios no puede superar el Total. ",""))</f>
        <v/>
      </c>
      <c r="CE14" s="2873" t="str">
        <f t="shared" ref="CE14:CE76" si="7">IF(AND($C14&lt;&gt;0,AR14=""),"* No olvide ingresar la columna Migrantes (Digite CERO si no tiene).  ",IF(AR14&gt;$C14,"* El Número de Migrantes no puede superar el Total. ",""))</f>
        <v/>
      </c>
      <c r="CF14" s="3107"/>
      <c r="CG14" s="2873" t="str">
        <f t="shared" ref="CG14:CG76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873" t="str">
        <f t="shared" ref="CH14:CH76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718"/>
      <c r="CJ14" s="1793">
        <f t="shared" ref="CJ14:CJ76" si="10">IF(AND($C14&lt;&gt;0,AN14=""),1,IF(AN14&gt;$C14,1,0))</f>
        <v>0</v>
      </c>
      <c r="CK14" s="1793">
        <f t="shared" ref="CK14:CK76" si="11">IF(AND(E14&gt;0,OR(AO14="")),1,IF(AO14&gt;E14,1,0))</f>
        <v>0</v>
      </c>
      <c r="CL14" s="1793">
        <f t="shared" ref="CL14:CL76" si="12">IF(AND(D14&gt;0,OR(AP14="")),1,IF(AP14&gt;D14,1,0))</f>
        <v>0</v>
      </c>
      <c r="CM14" s="1793">
        <f t="shared" ref="CM14:CM76" si="13">IF(AND($C14&lt;&gt;0,AQ14=""),1,IF(AQ14&gt;$C14,1,0))</f>
        <v>0</v>
      </c>
      <c r="CN14" s="1793">
        <f t="shared" ref="CN14:CN76" si="14">IF(AND($C14&lt;&gt;0,AR14=""),1,IF(AR14&gt;$C14,1,0))</f>
        <v>0</v>
      </c>
      <c r="CO14" s="2872"/>
      <c r="CP14" s="1793">
        <f t="shared" ref="CP14:CP76" si="15">IF(AND($C14&lt;&gt;0,AT14=""),1,IF(AT14&gt;$C14,1,0))</f>
        <v>0</v>
      </c>
      <c r="CQ14" s="1793">
        <f t="shared" ref="CQ14:CQ76" si="16">IF(AND($C14&lt;&gt;0,AU14=""),1,IF(AU14&gt;$C14,1,0))</f>
        <v>0</v>
      </c>
    </row>
    <row r="15" spans="1:104" x14ac:dyDescent="0.25">
      <c r="A15" s="6455"/>
      <c r="B15" s="3470" t="s">
        <v>77</v>
      </c>
      <c r="C15" s="3687">
        <f t="shared" si="0"/>
        <v>0</v>
      </c>
      <c r="D15" s="3644">
        <f t="shared" si="1"/>
        <v>0</v>
      </c>
      <c r="E15" s="3709">
        <f t="shared" si="1"/>
        <v>0</v>
      </c>
      <c r="F15" s="3574"/>
      <c r="G15" s="3609"/>
      <c r="H15" s="3574"/>
      <c r="I15" s="3609"/>
      <c r="J15" s="3574"/>
      <c r="K15" s="3577"/>
      <c r="L15" s="3574"/>
      <c r="M15" s="3577"/>
      <c r="N15" s="3574"/>
      <c r="O15" s="3577"/>
      <c r="P15" s="3574"/>
      <c r="Q15" s="3577"/>
      <c r="R15" s="3574"/>
      <c r="S15" s="3577"/>
      <c r="T15" s="3574"/>
      <c r="U15" s="3577"/>
      <c r="V15" s="3574"/>
      <c r="W15" s="3577"/>
      <c r="X15" s="3574"/>
      <c r="Y15" s="3577"/>
      <c r="Z15" s="3574"/>
      <c r="AA15" s="3577"/>
      <c r="AB15" s="3574"/>
      <c r="AC15" s="3577"/>
      <c r="AD15" s="3574"/>
      <c r="AE15" s="3577"/>
      <c r="AF15" s="3574"/>
      <c r="AG15" s="3577"/>
      <c r="AH15" s="3574"/>
      <c r="AI15" s="3577"/>
      <c r="AJ15" s="3574"/>
      <c r="AK15" s="3577"/>
      <c r="AL15" s="3710"/>
      <c r="AM15" s="3575"/>
      <c r="AN15" s="3711"/>
      <c r="AO15" s="3572"/>
      <c r="AP15" s="3609"/>
      <c r="AQ15" s="3637"/>
      <c r="AR15" s="3637"/>
      <c r="AS15" s="3712"/>
      <c r="AT15" s="3637"/>
      <c r="AU15" s="3637"/>
      <c r="AV15" s="1755" t="str">
        <f t="shared" si="2"/>
        <v/>
      </c>
      <c r="CA15" s="2873" t="str">
        <f t="shared" si="3"/>
        <v/>
      </c>
      <c r="CB15" s="2873" t="str">
        <f t="shared" si="4"/>
        <v/>
      </c>
      <c r="CC15" s="2873" t="str">
        <f t="shared" si="5"/>
        <v/>
      </c>
      <c r="CD15" s="2873" t="str">
        <f t="shared" si="6"/>
        <v/>
      </c>
      <c r="CE15" s="2873" t="str">
        <f t="shared" si="7"/>
        <v/>
      </c>
      <c r="CF15" s="3107"/>
      <c r="CG15" s="2873" t="str">
        <f t="shared" si="8"/>
        <v/>
      </c>
      <c r="CH15" s="2873" t="str">
        <f t="shared" si="9"/>
        <v/>
      </c>
      <c r="CI15" s="2718"/>
      <c r="CJ15" s="1793">
        <f t="shared" si="10"/>
        <v>0</v>
      </c>
      <c r="CK15" s="1793">
        <f t="shared" si="11"/>
        <v>0</v>
      </c>
      <c r="CL15" s="1793">
        <f t="shared" si="12"/>
        <v>0</v>
      </c>
      <c r="CM15" s="1793">
        <f t="shared" si="13"/>
        <v>0</v>
      </c>
      <c r="CN15" s="1793">
        <f t="shared" si="14"/>
        <v>0</v>
      </c>
      <c r="CO15" s="2872"/>
      <c r="CP15" s="1793">
        <f t="shared" si="15"/>
        <v>0</v>
      </c>
      <c r="CQ15" s="1793">
        <f t="shared" si="16"/>
        <v>0</v>
      </c>
    </row>
    <row r="16" spans="1:104" x14ac:dyDescent="0.25">
      <c r="A16" s="6455"/>
      <c r="B16" s="3470" t="s">
        <v>247</v>
      </c>
      <c r="C16" s="3687">
        <f t="shared" si="0"/>
        <v>0</v>
      </c>
      <c r="D16" s="3644">
        <f t="shared" si="1"/>
        <v>0</v>
      </c>
      <c r="E16" s="3709">
        <f t="shared" si="1"/>
        <v>0</v>
      </c>
      <c r="F16" s="3574"/>
      <c r="G16" s="3609"/>
      <c r="H16" s="3574"/>
      <c r="I16" s="3609"/>
      <c r="J16" s="3574"/>
      <c r="K16" s="3577"/>
      <c r="L16" s="3574"/>
      <c r="M16" s="3577"/>
      <c r="N16" s="3574"/>
      <c r="O16" s="3577"/>
      <c r="P16" s="3574"/>
      <c r="Q16" s="3577"/>
      <c r="R16" s="3574"/>
      <c r="S16" s="3577"/>
      <c r="T16" s="3574"/>
      <c r="U16" s="3577"/>
      <c r="V16" s="3574"/>
      <c r="W16" s="3577"/>
      <c r="X16" s="3574"/>
      <c r="Y16" s="3577"/>
      <c r="Z16" s="3574"/>
      <c r="AA16" s="3577"/>
      <c r="AB16" s="3574"/>
      <c r="AC16" s="3577"/>
      <c r="AD16" s="3574"/>
      <c r="AE16" s="3577"/>
      <c r="AF16" s="3574"/>
      <c r="AG16" s="3577"/>
      <c r="AH16" s="3574"/>
      <c r="AI16" s="3577"/>
      <c r="AJ16" s="3574"/>
      <c r="AK16" s="3577"/>
      <c r="AL16" s="3710"/>
      <c r="AM16" s="3575"/>
      <c r="AN16" s="3711"/>
      <c r="AO16" s="3572"/>
      <c r="AP16" s="3609"/>
      <c r="AQ16" s="3637"/>
      <c r="AR16" s="3637"/>
      <c r="AS16" s="3712"/>
      <c r="AT16" s="3637"/>
      <c r="AU16" s="3637"/>
      <c r="AV16" s="1755" t="str">
        <f t="shared" si="2"/>
        <v/>
      </c>
      <c r="CA16" s="2873" t="str">
        <f t="shared" si="3"/>
        <v/>
      </c>
      <c r="CB16" s="2873" t="str">
        <f t="shared" si="4"/>
        <v/>
      </c>
      <c r="CC16" s="2873" t="str">
        <f t="shared" si="5"/>
        <v/>
      </c>
      <c r="CD16" s="2873" t="str">
        <f t="shared" si="6"/>
        <v/>
      </c>
      <c r="CE16" s="2873" t="str">
        <f t="shared" si="7"/>
        <v/>
      </c>
      <c r="CF16" s="3107"/>
      <c r="CG16" s="2873" t="str">
        <f t="shared" si="8"/>
        <v/>
      </c>
      <c r="CH16" s="2873" t="str">
        <f t="shared" si="9"/>
        <v/>
      </c>
      <c r="CI16" s="2718"/>
      <c r="CJ16" s="1793">
        <f t="shared" si="10"/>
        <v>0</v>
      </c>
      <c r="CK16" s="1793">
        <f t="shared" si="11"/>
        <v>0</v>
      </c>
      <c r="CL16" s="1793">
        <f t="shared" si="12"/>
        <v>0</v>
      </c>
      <c r="CM16" s="1793">
        <f t="shared" si="13"/>
        <v>0</v>
      </c>
      <c r="CN16" s="1793">
        <f t="shared" si="14"/>
        <v>0</v>
      </c>
      <c r="CO16" s="2872"/>
      <c r="CP16" s="1793">
        <f t="shared" si="15"/>
        <v>0</v>
      </c>
      <c r="CQ16" s="1793">
        <f t="shared" si="16"/>
        <v>0</v>
      </c>
    </row>
    <row r="17" spans="1:95" x14ac:dyDescent="0.25">
      <c r="A17" s="6455"/>
      <c r="B17" s="3470" t="s">
        <v>62</v>
      </c>
      <c r="C17" s="3687">
        <f t="shared" si="0"/>
        <v>0</v>
      </c>
      <c r="D17" s="3644">
        <f t="shared" si="1"/>
        <v>0</v>
      </c>
      <c r="E17" s="3709">
        <f t="shared" si="1"/>
        <v>0</v>
      </c>
      <c r="F17" s="3574"/>
      <c r="G17" s="3609"/>
      <c r="H17" s="3574"/>
      <c r="I17" s="3609"/>
      <c r="J17" s="3574"/>
      <c r="K17" s="3577"/>
      <c r="L17" s="3574"/>
      <c r="M17" s="3577"/>
      <c r="N17" s="3574"/>
      <c r="O17" s="3577"/>
      <c r="P17" s="3574"/>
      <c r="Q17" s="3577"/>
      <c r="R17" s="3574"/>
      <c r="S17" s="3577"/>
      <c r="T17" s="3574"/>
      <c r="U17" s="3577"/>
      <c r="V17" s="3574"/>
      <c r="W17" s="3577"/>
      <c r="X17" s="3574"/>
      <c r="Y17" s="3577"/>
      <c r="Z17" s="3574"/>
      <c r="AA17" s="3577"/>
      <c r="AB17" s="3574"/>
      <c r="AC17" s="3577"/>
      <c r="AD17" s="3574"/>
      <c r="AE17" s="3577"/>
      <c r="AF17" s="3574"/>
      <c r="AG17" s="3577"/>
      <c r="AH17" s="3574"/>
      <c r="AI17" s="3577"/>
      <c r="AJ17" s="3574"/>
      <c r="AK17" s="3577"/>
      <c r="AL17" s="3710"/>
      <c r="AM17" s="3575"/>
      <c r="AN17" s="3711"/>
      <c r="AO17" s="3572"/>
      <c r="AP17" s="3609"/>
      <c r="AQ17" s="3637"/>
      <c r="AR17" s="3637"/>
      <c r="AS17" s="3712"/>
      <c r="AT17" s="3637"/>
      <c r="AU17" s="3637"/>
      <c r="AV17" s="1755" t="str">
        <f t="shared" si="2"/>
        <v/>
      </c>
      <c r="CA17" s="2873" t="str">
        <f t="shared" si="3"/>
        <v/>
      </c>
      <c r="CB17" s="2873" t="str">
        <f t="shared" si="4"/>
        <v/>
      </c>
      <c r="CC17" s="2873" t="str">
        <f t="shared" si="5"/>
        <v/>
      </c>
      <c r="CD17" s="2873" t="str">
        <f t="shared" si="6"/>
        <v/>
      </c>
      <c r="CE17" s="2873" t="str">
        <f t="shared" si="7"/>
        <v/>
      </c>
      <c r="CF17" s="3107"/>
      <c r="CG17" s="2873" t="str">
        <f t="shared" si="8"/>
        <v/>
      </c>
      <c r="CH17" s="2873" t="str">
        <f t="shared" si="9"/>
        <v/>
      </c>
      <c r="CI17" s="2718"/>
      <c r="CJ17" s="1793">
        <f t="shared" si="10"/>
        <v>0</v>
      </c>
      <c r="CK17" s="1793">
        <f t="shared" si="11"/>
        <v>0</v>
      </c>
      <c r="CL17" s="1793">
        <f t="shared" si="12"/>
        <v>0</v>
      </c>
      <c r="CM17" s="1793">
        <f t="shared" si="13"/>
        <v>0</v>
      </c>
      <c r="CN17" s="1793">
        <f t="shared" si="14"/>
        <v>0</v>
      </c>
      <c r="CO17" s="2872"/>
      <c r="CP17" s="1793">
        <f t="shared" si="15"/>
        <v>0</v>
      </c>
      <c r="CQ17" s="1793">
        <f t="shared" si="16"/>
        <v>0</v>
      </c>
    </row>
    <row r="18" spans="1:95" x14ac:dyDescent="0.25">
      <c r="A18" s="6455"/>
      <c r="B18" s="3470" t="s">
        <v>2834</v>
      </c>
      <c r="C18" s="3687">
        <f t="shared" si="0"/>
        <v>0</v>
      </c>
      <c r="D18" s="3644">
        <f t="shared" si="1"/>
        <v>0</v>
      </c>
      <c r="E18" s="3709">
        <f t="shared" si="1"/>
        <v>0</v>
      </c>
      <c r="F18" s="3574"/>
      <c r="G18" s="3609"/>
      <c r="H18" s="3574"/>
      <c r="I18" s="3609"/>
      <c r="J18" s="3574"/>
      <c r="K18" s="3577"/>
      <c r="L18" s="3574"/>
      <c r="M18" s="3577"/>
      <c r="N18" s="3574"/>
      <c r="O18" s="3577"/>
      <c r="P18" s="3574"/>
      <c r="Q18" s="3577"/>
      <c r="R18" s="3574"/>
      <c r="S18" s="3577"/>
      <c r="T18" s="3574"/>
      <c r="U18" s="3577"/>
      <c r="V18" s="3574"/>
      <c r="W18" s="3577"/>
      <c r="X18" s="3574"/>
      <c r="Y18" s="3577"/>
      <c r="Z18" s="3574"/>
      <c r="AA18" s="3577"/>
      <c r="AB18" s="3574"/>
      <c r="AC18" s="3577"/>
      <c r="AD18" s="3574"/>
      <c r="AE18" s="3577"/>
      <c r="AF18" s="3574"/>
      <c r="AG18" s="3577"/>
      <c r="AH18" s="3574"/>
      <c r="AI18" s="3577"/>
      <c r="AJ18" s="3574"/>
      <c r="AK18" s="3577"/>
      <c r="AL18" s="3710"/>
      <c r="AM18" s="3575"/>
      <c r="AN18" s="3711"/>
      <c r="AO18" s="3572"/>
      <c r="AP18" s="3609"/>
      <c r="AQ18" s="3637"/>
      <c r="AR18" s="3637"/>
      <c r="AS18" s="3712"/>
      <c r="AT18" s="3637"/>
      <c r="AU18" s="3637"/>
      <c r="AV18" s="1755" t="str">
        <f t="shared" si="2"/>
        <v/>
      </c>
      <c r="CA18" s="2873" t="str">
        <f t="shared" si="3"/>
        <v/>
      </c>
      <c r="CB18" s="2873" t="str">
        <f t="shared" si="4"/>
        <v/>
      </c>
      <c r="CC18" s="2873" t="str">
        <f t="shared" si="5"/>
        <v/>
      </c>
      <c r="CD18" s="2873" t="str">
        <f t="shared" si="6"/>
        <v/>
      </c>
      <c r="CE18" s="2873" t="str">
        <f t="shared" si="7"/>
        <v/>
      </c>
      <c r="CF18" s="3107"/>
      <c r="CG18" s="2873" t="str">
        <f t="shared" si="8"/>
        <v/>
      </c>
      <c r="CH18" s="2873" t="str">
        <f t="shared" si="9"/>
        <v/>
      </c>
      <c r="CI18" s="2718"/>
      <c r="CJ18" s="1793">
        <f t="shared" si="10"/>
        <v>0</v>
      </c>
      <c r="CK18" s="1793">
        <f t="shared" si="11"/>
        <v>0</v>
      </c>
      <c r="CL18" s="1793">
        <f t="shared" si="12"/>
        <v>0</v>
      </c>
      <c r="CM18" s="1793">
        <f t="shared" si="13"/>
        <v>0</v>
      </c>
      <c r="CN18" s="1793">
        <f t="shared" si="14"/>
        <v>0</v>
      </c>
      <c r="CO18" s="2872"/>
      <c r="CP18" s="1793">
        <f t="shared" si="15"/>
        <v>0</v>
      </c>
      <c r="CQ18" s="1793">
        <f t="shared" si="16"/>
        <v>0</v>
      </c>
    </row>
    <row r="19" spans="1:95" x14ac:dyDescent="0.25">
      <c r="A19" s="6455"/>
      <c r="B19" s="3470" t="s">
        <v>277</v>
      </c>
      <c r="C19" s="3687">
        <f t="shared" si="0"/>
        <v>0</v>
      </c>
      <c r="D19" s="3644">
        <f t="shared" si="1"/>
        <v>0</v>
      </c>
      <c r="E19" s="3709">
        <f t="shared" si="1"/>
        <v>0</v>
      </c>
      <c r="F19" s="3574"/>
      <c r="G19" s="3609"/>
      <c r="H19" s="3574"/>
      <c r="I19" s="3609"/>
      <c r="J19" s="3574"/>
      <c r="K19" s="3577"/>
      <c r="L19" s="3574"/>
      <c r="M19" s="3577"/>
      <c r="N19" s="3574"/>
      <c r="O19" s="3577"/>
      <c r="P19" s="3574"/>
      <c r="Q19" s="3577"/>
      <c r="R19" s="3574"/>
      <c r="S19" s="3577"/>
      <c r="T19" s="3574"/>
      <c r="U19" s="3577"/>
      <c r="V19" s="3574"/>
      <c r="W19" s="3577"/>
      <c r="X19" s="3574"/>
      <c r="Y19" s="3577"/>
      <c r="Z19" s="3574"/>
      <c r="AA19" s="3577"/>
      <c r="AB19" s="3574"/>
      <c r="AC19" s="3577"/>
      <c r="AD19" s="3574"/>
      <c r="AE19" s="3577"/>
      <c r="AF19" s="3574"/>
      <c r="AG19" s="3577"/>
      <c r="AH19" s="3574"/>
      <c r="AI19" s="3577"/>
      <c r="AJ19" s="3574"/>
      <c r="AK19" s="3577"/>
      <c r="AL19" s="3710"/>
      <c r="AM19" s="3575"/>
      <c r="AN19" s="3711"/>
      <c r="AO19" s="3572"/>
      <c r="AP19" s="3609"/>
      <c r="AQ19" s="3637"/>
      <c r="AR19" s="3637"/>
      <c r="AS19" s="3712"/>
      <c r="AT19" s="3637"/>
      <c r="AU19" s="3637"/>
      <c r="AV19" s="1755" t="str">
        <f t="shared" si="2"/>
        <v/>
      </c>
      <c r="CA19" s="2873" t="str">
        <f t="shared" si="3"/>
        <v/>
      </c>
      <c r="CB19" s="2873" t="str">
        <f t="shared" si="4"/>
        <v/>
      </c>
      <c r="CC19" s="2873" t="str">
        <f t="shared" si="5"/>
        <v/>
      </c>
      <c r="CD19" s="2873" t="str">
        <f t="shared" si="6"/>
        <v/>
      </c>
      <c r="CE19" s="2873" t="str">
        <f t="shared" si="7"/>
        <v/>
      </c>
      <c r="CF19" s="3107"/>
      <c r="CG19" s="2873" t="str">
        <f t="shared" si="8"/>
        <v/>
      </c>
      <c r="CH19" s="2873" t="str">
        <f t="shared" si="9"/>
        <v/>
      </c>
      <c r="CI19" s="2718"/>
      <c r="CJ19" s="1793">
        <f t="shared" si="10"/>
        <v>0</v>
      </c>
      <c r="CK19" s="1793">
        <f t="shared" si="11"/>
        <v>0</v>
      </c>
      <c r="CL19" s="1793">
        <f t="shared" si="12"/>
        <v>0</v>
      </c>
      <c r="CM19" s="1793">
        <f t="shared" si="13"/>
        <v>0</v>
      </c>
      <c r="CN19" s="1793">
        <f t="shared" si="14"/>
        <v>0</v>
      </c>
      <c r="CO19" s="2872"/>
      <c r="CP19" s="1793">
        <f t="shared" si="15"/>
        <v>0</v>
      </c>
      <c r="CQ19" s="1793">
        <f t="shared" si="16"/>
        <v>0</v>
      </c>
    </row>
    <row r="20" spans="1:95" x14ac:dyDescent="0.25">
      <c r="A20" s="6455"/>
      <c r="B20" s="3713" t="s">
        <v>2835</v>
      </c>
      <c r="C20" s="3358">
        <f t="shared" si="0"/>
        <v>0</v>
      </c>
      <c r="D20" s="3359">
        <f t="shared" si="1"/>
        <v>0</v>
      </c>
      <c r="E20" s="3714">
        <f t="shared" si="1"/>
        <v>0</v>
      </c>
      <c r="F20" s="410"/>
      <c r="G20" s="411"/>
      <c r="H20" s="410"/>
      <c r="I20" s="411"/>
      <c r="J20" s="410"/>
      <c r="K20" s="412"/>
      <c r="L20" s="410"/>
      <c r="M20" s="412"/>
      <c r="N20" s="410"/>
      <c r="O20" s="412"/>
      <c r="P20" s="410"/>
      <c r="Q20" s="412"/>
      <c r="R20" s="410"/>
      <c r="S20" s="412"/>
      <c r="T20" s="410"/>
      <c r="U20" s="412"/>
      <c r="V20" s="410"/>
      <c r="W20" s="412"/>
      <c r="X20" s="410"/>
      <c r="Y20" s="412"/>
      <c r="Z20" s="410"/>
      <c r="AA20" s="412"/>
      <c r="AB20" s="410"/>
      <c r="AC20" s="412"/>
      <c r="AD20" s="410"/>
      <c r="AE20" s="412"/>
      <c r="AF20" s="410"/>
      <c r="AG20" s="412"/>
      <c r="AH20" s="410"/>
      <c r="AI20" s="412"/>
      <c r="AJ20" s="410"/>
      <c r="AK20" s="412"/>
      <c r="AL20" s="3715"/>
      <c r="AM20" s="634"/>
      <c r="AN20" s="3711"/>
      <c r="AO20" s="414"/>
      <c r="AP20" s="3609"/>
      <c r="AQ20" s="3637"/>
      <c r="AR20" s="3637"/>
      <c r="AS20" s="3712"/>
      <c r="AT20" s="3637"/>
      <c r="AU20" s="3637"/>
      <c r="AV20" s="1755" t="str">
        <f t="shared" si="2"/>
        <v/>
      </c>
      <c r="CA20" s="2873" t="str">
        <f t="shared" si="3"/>
        <v/>
      </c>
      <c r="CB20" s="2873" t="str">
        <f t="shared" si="4"/>
        <v/>
      </c>
      <c r="CC20" s="2873" t="str">
        <f t="shared" si="5"/>
        <v/>
      </c>
      <c r="CD20" s="2873" t="str">
        <f t="shared" si="6"/>
        <v/>
      </c>
      <c r="CE20" s="2873" t="str">
        <f t="shared" si="7"/>
        <v/>
      </c>
      <c r="CF20" s="3107"/>
      <c r="CG20" s="2873" t="str">
        <f t="shared" si="8"/>
        <v/>
      </c>
      <c r="CH20" s="2873" t="str">
        <f t="shared" si="9"/>
        <v/>
      </c>
      <c r="CI20" s="2718"/>
      <c r="CJ20" s="1793">
        <f t="shared" si="10"/>
        <v>0</v>
      </c>
      <c r="CK20" s="1793">
        <f t="shared" si="11"/>
        <v>0</v>
      </c>
      <c r="CL20" s="1793">
        <f t="shared" si="12"/>
        <v>0</v>
      </c>
      <c r="CM20" s="1793">
        <f t="shared" si="13"/>
        <v>0</v>
      </c>
      <c r="CN20" s="1793">
        <f t="shared" si="14"/>
        <v>0</v>
      </c>
      <c r="CO20" s="2872"/>
      <c r="CP20" s="1793">
        <f t="shared" si="15"/>
        <v>0</v>
      </c>
      <c r="CQ20" s="1793">
        <f t="shared" si="16"/>
        <v>0</v>
      </c>
    </row>
    <row r="21" spans="1:95" x14ac:dyDescent="0.25">
      <c r="A21" s="6455"/>
      <c r="B21" s="3470" t="s">
        <v>2642</v>
      </c>
      <c r="C21" s="3687">
        <f t="shared" si="0"/>
        <v>0</v>
      </c>
      <c r="D21" s="3644">
        <f t="shared" si="1"/>
        <v>0</v>
      </c>
      <c r="E21" s="3709">
        <f t="shared" si="1"/>
        <v>0</v>
      </c>
      <c r="F21" s="3574"/>
      <c r="G21" s="3609"/>
      <c r="H21" s="3574"/>
      <c r="I21" s="3609"/>
      <c r="J21" s="3574"/>
      <c r="K21" s="3577"/>
      <c r="L21" s="3574"/>
      <c r="M21" s="3577"/>
      <c r="N21" s="3574"/>
      <c r="O21" s="3577"/>
      <c r="P21" s="3574"/>
      <c r="Q21" s="3577"/>
      <c r="R21" s="3574"/>
      <c r="S21" s="3577"/>
      <c r="T21" s="3574"/>
      <c r="U21" s="3577"/>
      <c r="V21" s="3574"/>
      <c r="W21" s="3577"/>
      <c r="X21" s="3574"/>
      <c r="Y21" s="3577"/>
      <c r="Z21" s="3574"/>
      <c r="AA21" s="3577"/>
      <c r="AB21" s="3574"/>
      <c r="AC21" s="3577"/>
      <c r="AD21" s="3574"/>
      <c r="AE21" s="3577"/>
      <c r="AF21" s="3574"/>
      <c r="AG21" s="3577"/>
      <c r="AH21" s="3574"/>
      <c r="AI21" s="3577"/>
      <c r="AJ21" s="3574"/>
      <c r="AK21" s="3577"/>
      <c r="AL21" s="3710"/>
      <c r="AM21" s="3575"/>
      <c r="AN21" s="3711"/>
      <c r="AO21" s="3572"/>
      <c r="AP21" s="3609"/>
      <c r="AQ21" s="3637"/>
      <c r="AR21" s="3637"/>
      <c r="AS21" s="3712"/>
      <c r="AT21" s="3637"/>
      <c r="AU21" s="3637"/>
      <c r="AV21" s="1755" t="str">
        <f t="shared" si="2"/>
        <v/>
      </c>
      <c r="CA21" s="2873" t="str">
        <f t="shared" si="3"/>
        <v/>
      </c>
      <c r="CB21" s="2873" t="str">
        <f t="shared" si="4"/>
        <v/>
      </c>
      <c r="CC21" s="2873" t="str">
        <f t="shared" si="5"/>
        <v/>
      </c>
      <c r="CD21" s="2873" t="str">
        <f t="shared" si="6"/>
        <v/>
      </c>
      <c r="CE21" s="2873" t="str">
        <f t="shared" si="7"/>
        <v/>
      </c>
      <c r="CF21" s="3107"/>
      <c r="CG21" s="2873" t="str">
        <f t="shared" si="8"/>
        <v/>
      </c>
      <c r="CH21" s="2873" t="str">
        <f t="shared" si="9"/>
        <v/>
      </c>
      <c r="CI21" s="2718"/>
      <c r="CJ21" s="1793">
        <f t="shared" si="10"/>
        <v>0</v>
      </c>
      <c r="CK21" s="1793">
        <f t="shared" si="11"/>
        <v>0</v>
      </c>
      <c r="CL21" s="1793">
        <f t="shared" si="12"/>
        <v>0</v>
      </c>
      <c r="CM21" s="1793">
        <f t="shared" si="13"/>
        <v>0</v>
      </c>
      <c r="CN21" s="1793">
        <f t="shared" si="14"/>
        <v>0</v>
      </c>
      <c r="CO21" s="2872"/>
      <c r="CP21" s="1793">
        <f t="shared" si="15"/>
        <v>0</v>
      </c>
      <c r="CQ21" s="1793">
        <f t="shared" si="16"/>
        <v>0</v>
      </c>
    </row>
    <row r="22" spans="1:95" x14ac:dyDescent="0.25">
      <c r="A22" s="6455"/>
      <c r="B22" s="112" t="s">
        <v>2836</v>
      </c>
      <c r="C22" s="3687">
        <f t="shared" si="0"/>
        <v>0</v>
      </c>
      <c r="D22" s="4700">
        <f t="shared" si="1"/>
        <v>0</v>
      </c>
      <c r="E22" s="3716">
        <f t="shared" si="1"/>
        <v>0</v>
      </c>
      <c r="F22" s="3574"/>
      <c r="G22" s="3609"/>
      <c r="H22" s="3574"/>
      <c r="I22" s="3609"/>
      <c r="J22" s="3574"/>
      <c r="K22" s="3577"/>
      <c r="L22" s="3574"/>
      <c r="M22" s="3577"/>
      <c r="N22" s="3574"/>
      <c r="O22" s="3577"/>
      <c r="P22" s="3574"/>
      <c r="Q22" s="3577"/>
      <c r="R22" s="3574"/>
      <c r="S22" s="3577"/>
      <c r="T22" s="3574"/>
      <c r="U22" s="3577"/>
      <c r="V22" s="3574"/>
      <c r="W22" s="3577"/>
      <c r="X22" s="3574"/>
      <c r="Y22" s="3577"/>
      <c r="Z22" s="3574"/>
      <c r="AA22" s="3577"/>
      <c r="AB22" s="3574"/>
      <c r="AC22" s="3577"/>
      <c r="AD22" s="3574"/>
      <c r="AE22" s="3577"/>
      <c r="AF22" s="3574"/>
      <c r="AG22" s="3577"/>
      <c r="AH22" s="3574"/>
      <c r="AI22" s="3577"/>
      <c r="AJ22" s="3574"/>
      <c r="AK22" s="3577"/>
      <c r="AL22" s="3717"/>
      <c r="AM22" s="3575"/>
      <c r="AN22" s="3711"/>
      <c r="AO22" s="3572"/>
      <c r="AP22" s="3609"/>
      <c r="AQ22" s="3637"/>
      <c r="AR22" s="3637"/>
      <c r="AS22" s="3712"/>
      <c r="AT22" s="3637"/>
      <c r="AU22" s="3637"/>
      <c r="AV22" s="1755" t="str">
        <f t="shared" si="2"/>
        <v/>
      </c>
      <c r="CA22" s="2873" t="str">
        <f t="shared" si="3"/>
        <v/>
      </c>
      <c r="CB22" s="2873" t="str">
        <f t="shared" si="4"/>
        <v/>
      </c>
      <c r="CC22" s="2873" t="str">
        <f t="shared" si="5"/>
        <v/>
      </c>
      <c r="CD22" s="2873" t="str">
        <f t="shared" si="6"/>
        <v/>
      </c>
      <c r="CE22" s="2873" t="str">
        <f t="shared" si="7"/>
        <v/>
      </c>
      <c r="CF22" s="3107"/>
      <c r="CG22" s="2873" t="str">
        <f t="shared" si="8"/>
        <v/>
      </c>
      <c r="CH22" s="2873" t="str">
        <f t="shared" si="9"/>
        <v/>
      </c>
      <c r="CI22" s="2718"/>
      <c r="CJ22" s="1793">
        <f t="shared" si="10"/>
        <v>0</v>
      </c>
      <c r="CK22" s="1793">
        <f t="shared" si="11"/>
        <v>0</v>
      </c>
      <c r="CL22" s="1793">
        <f t="shared" si="12"/>
        <v>0</v>
      </c>
      <c r="CM22" s="1793">
        <f t="shared" si="13"/>
        <v>0</v>
      </c>
      <c r="CN22" s="1793">
        <f t="shared" si="14"/>
        <v>0</v>
      </c>
      <c r="CO22" s="2872"/>
      <c r="CP22" s="1793">
        <f t="shared" si="15"/>
        <v>0</v>
      </c>
      <c r="CQ22" s="1793">
        <f t="shared" si="16"/>
        <v>0</v>
      </c>
    </row>
    <row r="23" spans="1:95" x14ac:dyDescent="0.25">
      <c r="A23" s="6457"/>
      <c r="B23" s="119" t="s">
        <v>192</v>
      </c>
      <c r="C23" s="633">
        <f t="shared" si="0"/>
        <v>0</v>
      </c>
      <c r="D23" s="617">
        <f t="shared" si="1"/>
        <v>0</v>
      </c>
      <c r="E23" s="3718">
        <f t="shared" si="1"/>
        <v>0</v>
      </c>
      <c r="F23" s="3599"/>
      <c r="G23" s="3601"/>
      <c r="H23" s="3599"/>
      <c r="I23" s="3601"/>
      <c r="J23" s="3599"/>
      <c r="K23" s="3602"/>
      <c r="L23" s="3599"/>
      <c r="M23" s="3602"/>
      <c r="N23" s="3599"/>
      <c r="O23" s="3602"/>
      <c r="P23" s="3599"/>
      <c r="Q23" s="3602"/>
      <c r="R23" s="3599"/>
      <c r="S23" s="3602"/>
      <c r="T23" s="3599"/>
      <c r="U23" s="3602"/>
      <c r="V23" s="3599"/>
      <c r="W23" s="3602"/>
      <c r="X23" s="3599"/>
      <c r="Y23" s="3602"/>
      <c r="Z23" s="3599"/>
      <c r="AA23" s="3602"/>
      <c r="AB23" s="3599"/>
      <c r="AC23" s="3602"/>
      <c r="AD23" s="3599"/>
      <c r="AE23" s="3602"/>
      <c r="AF23" s="3599"/>
      <c r="AG23" s="3602"/>
      <c r="AH23" s="3599"/>
      <c r="AI23" s="3602"/>
      <c r="AJ23" s="3599"/>
      <c r="AK23" s="3602"/>
      <c r="AL23" s="3586"/>
      <c r="AM23" s="3695"/>
      <c r="AN23" s="3719"/>
      <c r="AO23" s="3694"/>
      <c r="AP23" s="290"/>
      <c r="AQ23" s="384"/>
      <c r="AR23" s="384"/>
      <c r="AS23" s="390"/>
      <c r="AT23" s="384"/>
      <c r="AU23" s="384"/>
      <c r="AV23" s="1755" t="str">
        <f t="shared" si="2"/>
        <v/>
      </c>
      <c r="CA23" s="2873" t="str">
        <f t="shared" si="3"/>
        <v/>
      </c>
      <c r="CB23" s="2873" t="str">
        <f t="shared" si="4"/>
        <v/>
      </c>
      <c r="CC23" s="2873" t="str">
        <f t="shared" si="5"/>
        <v/>
      </c>
      <c r="CD23" s="2873" t="str">
        <f t="shared" si="6"/>
        <v/>
      </c>
      <c r="CE23" s="2873" t="str">
        <f t="shared" si="7"/>
        <v/>
      </c>
      <c r="CF23" s="3107"/>
      <c r="CG23" s="2873" t="str">
        <f t="shared" si="8"/>
        <v/>
      </c>
      <c r="CH23" s="2873" t="str">
        <f t="shared" si="9"/>
        <v/>
      </c>
      <c r="CI23" s="2718"/>
      <c r="CJ23" s="1793">
        <f t="shared" si="10"/>
        <v>0</v>
      </c>
      <c r="CK23" s="1793">
        <f t="shared" si="11"/>
        <v>0</v>
      </c>
      <c r="CL23" s="1793">
        <f t="shared" si="12"/>
        <v>0</v>
      </c>
      <c r="CM23" s="1793">
        <f t="shared" si="13"/>
        <v>0</v>
      </c>
      <c r="CN23" s="1793">
        <f t="shared" si="14"/>
        <v>0</v>
      </c>
      <c r="CO23" s="2872"/>
      <c r="CP23" s="1793">
        <f t="shared" si="15"/>
        <v>0</v>
      </c>
      <c r="CQ23" s="1793">
        <f t="shared" si="16"/>
        <v>0</v>
      </c>
    </row>
    <row r="24" spans="1:95" x14ac:dyDescent="0.25">
      <c r="A24" s="6488" t="s">
        <v>33</v>
      </c>
      <c r="B24" s="3467" t="s">
        <v>74</v>
      </c>
      <c r="C24" s="4699">
        <f t="shared" si="0"/>
        <v>0</v>
      </c>
      <c r="D24" s="4697">
        <f>SUM(H24+J24+L24+N24+P24+R24+T24+V24+X24+Z24+AB24+AD24+AF24+AH24+AJ24+AL24)</f>
        <v>0</v>
      </c>
      <c r="E24" s="3701">
        <f>SUM(I24+K24+M24+O24+Q24+S24+U24+W24+Y24+AA24+AC24+AE24+AG24+AI24+AK24+AM24)</f>
        <v>0</v>
      </c>
      <c r="F24" s="3618"/>
      <c r="G24" s="3720"/>
      <c r="H24" s="3590"/>
      <c r="I24" s="3702"/>
      <c r="J24" s="3590"/>
      <c r="K24" s="3593"/>
      <c r="L24" s="3590"/>
      <c r="M24" s="3593"/>
      <c r="N24" s="3590"/>
      <c r="O24" s="3593"/>
      <c r="P24" s="3590"/>
      <c r="Q24" s="3593"/>
      <c r="R24" s="3590"/>
      <c r="S24" s="3593"/>
      <c r="T24" s="3590"/>
      <c r="U24" s="3593"/>
      <c r="V24" s="3590"/>
      <c r="W24" s="3593"/>
      <c r="X24" s="3590"/>
      <c r="Y24" s="3593"/>
      <c r="Z24" s="3590"/>
      <c r="AA24" s="3593"/>
      <c r="AB24" s="3590"/>
      <c r="AC24" s="3593"/>
      <c r="AD24" s="3590"/>
      <c r="AE24" s="3593"/>
      <c r="AF24" s="3590"/>
      <c r="AG24" s="3593"/>
      <c r="AH24" s="3590"/>
      <c r="AI24" s="3593"/>
      <c r="AJ24" s="3590"/>
      <c r="AK24" s="3593"/>
      <c r="AL24" s="3703"/>
      <c r="AM24" s="3704"/>
      <c r="AN24" s="640"/>
      <c r="AO24" s="3706"/>
      <c r="AP24" s="3596"/>
      <c r="AQ24" s="3707"/>
      <c r="AR24" s="3707"/>
      <c r="AS24" s="3708"/>
      <c r="AT24" s="1976"/>
      <c r="AU24" s="1976"/>
      <c r="AV24" s="1755" t="str">
        <f t="shared" si="2"/>
        <v/>
      </c>
      <c r="CA24" s="2873" t="str">
        <f t="shared" si="3"/>
        <v/>
      </c>
      <c r="CB24" s="2873" t="str">
        <f t="shared" si="4"/>
        <v/>
      </c>
      <c r="CC24" s="2873" t="str">
        <f t="shared" si="5"/>
        <v/>
      </c>
      <c r="CD24" s="2873" t="str">
        <f t="shared" si="6"/>
        <v/>
      </c>
      <c r="CE24" s="2873" t="str">
        <f t="shared" si="7"/>
        <v/>
      </c>
      <c r="CF24" s="3107"/>
      <c r="CG24" s="2873" t="str">
        <f t="shared" si="8"/>
        <v/>
      </c>
      <c r="CH24" s="2873" t="str">
        <f t="shared" si="9"/>
        <v/>
      </c>
      <c r="CI24" s="2718"/>
      <c r="CJ24" s="1793">
        <f t="shared" si="10"/>
        <v>0</v>
      </c>
      <c r="CK24" s="1793">
        <f t="shared" si="11"/>
        <v>0</v>
      </c>
      <c r="CL24" s="1793">
        <f t="shared" si="12"/>
        <v>0</v>
      </c>
      <c r="CM24" s="1793">
        <f t="shared" si="13"/>
        <v>0</v>
      </c>
      <c r="CN24" s="1793">
        <f t="shared" si="14"/>
        <v>0</v>
      </c>
      <c r="CO24" s="2872"/>
      <c r="CP24" s="1793">
        <f t="shared" si="15"/>
        <v>0</v>
      </c>
      <c r="CQ24" s="1793">
        <f t="shared" si="16"/>
        <v>0</v>
      </c>
    </row>
    <row r="25" spans="1:95" x14ac:dyDescent="0.25">
      <c r="A25" s="6455"/>
      <c r="B25" s="3470" t="s">
        <v>275</v>
      </c>
      <c r="C25" s="3687">
        <f t="shared" si="0"/>
        <v>0</v>
      </c>
      <c r="D25" s="3644">
        <f t="shared" ref="D25:E40" si="17">SUM(H25+J25+L25+N25+P25+R25+T25+V25+X25+Z25+AB25+AD25+AF25+AH25+AJ25+AL25)</f>
        <v>0</v>
      </c>
      <c r="E25" s="3709">
        <f t="shared" si="17"/>
        <v>0</v>
      </c>
      <c r="F25" s="3721"/>
      <c r="G25" s="3722"/>
      <c r="H25" s="3574"/>
      <c r="I25" s="3609"/>
      <c r="J25" s="3574"/>
      <c r="K25" s="3577"/>
      <c r="L25" s="3574"/>
      <c r="M25" s="3577"/>
      <c r="N25" s="3574"/>
      <c r="O25" s="3577"/>
      <c r="P25" s="3574"/>
      <c r="Q25" s="3577"/>
      <c r="R25" s="3574"/>
      <c r="S25" s="3577"/>
      <c r="T25" s="3574"/>
      <c r="U25" s="3577"/>
      <c r="V25" s="3574"/>
      <c r="W25" s="3577"/>
      <c r="X25" s="3574"/>
      <c r="Y25" s="3577"/>
      <c r="Z25" s="3574"/>
      <c r="AA25" s="3577"/>
      <c r="AB25" s="3574"/>
      <c r="AC25" s="3577"/>
      <c r="AD25" s="3574"/>
      <c r="AE25" s="3577"/>
      <c r="AF25" s="3574"/>
      <c r="AG25" s="3577"/>
      <c r="AH25" s="3574"/>
      <c r="AI25" s="3577"/>
      <c r="AJ25" s="3574"/>
      <c r="AK25" s="3577"/>
      <c r="AL25" s="3710"/>
      <c r="AM25" s="3575"/>
      <c r="AN25" s="3711"/>
      <c r="AO25" s="3572"/>
      <c r="AP25" s="3609"/>
      <c r="AQ25" s="3637"/>
      <c r="AR25" s="3637"/>
      <c r="AS25" s="3712"/>
      <c r="AT25" s="3637"/>
      <c r="AU25" s="3637"/>
      <c r="AV25" s="1755" t="str">
        <f t="shared" si="2"/>
        <v/>
      </c>
      <c r="CA25" s="2873" t="str">
        <f t="shared" si="3"/>
        <v/>
      </c>
      <c r="CB25" s="2873" t="str">
        <f t="shared" si="4"/>
        <v/>
      </c>
      <c r="CC25" s="2873" t="str">
        <f t="shared" si="5"/>
        <v/>
      </c>
      <c r="CD25" s="2873" t="str">
        <f t="shared" si="6"/>
        <v/>
      </c>
      <c r="CE25" s="2873" t="str">
        <f t="shared" si="7"/>
        <v/>
      </c>
      <c r="CF25" s="3107"/>
      <c r="CG25" s="2873" t="str">
        <f t="shared" si="8"/>
        <v/>
      </c>
      <c r="CH25" s="2873" t="str">
        <f t="shared" si="9"/>
        <v/>
      </c>
      <c r="CI25" s="2718"/>
      <c r="CJ25" s="1793">
        <f t="shared" si="10"/>
        <v>0</v>
      </c>
      <c r="CK25" s="1793">
        <f t="shared" si="11"/>
        <v>0</v>
      </c>
      <c r="CL25" s="1793">
        <f t="shared" si="12"/>
        <v>0</v>
      </c>
      <c r="CM25" s="1793">
        <f t="shared" si="13"/>
        <v>0</v>
      </c>
      <c r="CN25" s="1793">
        <f t="shared" si="14"/>
        <v>0</v>
      </c>
      <c r="CO25" s="2872"/>
      <c r="CP25" s="1793">
        <f t="shared" si="15"/>
        <v>0</v>
      </c>
      <c r="CQ25" s="1793">
        <f t="shared" si="16"/>
        <v>0</v>
      </c>
    </row>
    <row r="26" spans="1:95" x14ac:dyDescent="0.25">
      <c r="A26" s="6455"/>
      <c r="B26" s="3470" t="s">
        <v>77</v>
      </c>
      <c r="C26" s="3687">
        <f t="shared" si="0"/>
        <v>0</v>
      </c>
      <c r="D26" s="3644">
        <f t="shared" si="17"/>
        <v>0</v>
      </c>
      <c r="E26" s="3709">
        <f t="shared" si="17"/>
        <v>0</v>
      </c>
      <c r="F26" s="3721"/>
      <c r="G26" s="3722"/>
      <c r="H26" s="3574"/>
      <c r="I26" s="3609"/>
      <c r="J26" s="3574"/>
      <c r="K26" s="3577"/>
      <c r="L26" s="3574"/>
      <c r="M26" s="3577"/>
      <c r="N26" s="3574"/>
      <c r="O26" s="3577"/>
      <c r="P26" s="3574"/>
      <c r="Q26" s="3577"/>
      <c r="R26" s="3574"/>
      <c r="S26" s="3577"/>
      <c r="T26" s="3574"/>
      <c r="U26" s="3577"/>
      <c r="V26" s="3574"/>
      <c r="W26" s="3577"/>
      <c r="X26" s="3574"/>
      <c r="Y26" s="3577"/>
      <c r="Z26" s="3574"/>
      <c r="AA26" s="3577"/>
      <c r="AB26" s="3574"/>
      <c r="AC26" s="3577"/>
      <c r="AD26" s="3574"/>
      <c r="AE26" s="3577"/>
      <c r="AF26" s="3574"/>
      <c r="AG26" s="3577"/>
      <c r="AH26" s="3574"/>
      <c r="AI26" s="3577"/>
      <c r="AJ26" s="3574"/>
      <c r="AK26" s="3577"/>
      <c r="AL26" s="3710"/>
      <c r="AM26" s="3575"/>
      <c r="AN26" s="3711"/>
      <c r="AO26" s="3572"/>
      <c r="AP26" s="3609"/>
      <c r="AQ26" s="3637"/>
      <c r="AR26" s="3637"/>
      <c r="AS26" s="3712"/>
      <c r="AT26" s="3637"/>
      <c r="AU26" s="3637"/>
      <c r="AV26" s="1755" t="str">
        <f t="shared" si="2"/>
        <v/>
      </c>
      <c r="CA26" s="2873" t="str">
        <f t="shared" si="3"/>
        <v/>
      </c>
      <c r="CB26" s="2873" t="str">
        <f t="shared" si="4"/>
        <v/>
      </c>
      <c r="CC26" s="2873" t="str">
        <f t="shared" si="5"/>
        <v/>
      </c>
      <c r="CD26" s="2873" t="str">
        <f t="shared" si="6"/>
        <v/>
      </c>
      <c r="CE26" s="2873" t="str">
        <f t="shared" si="7"/>
        <v/>
      </c>
      <c r="CF26" s="3107"/>
      <c r="CG26" s="2873" t="str">
        <f t="shared" si="8"/>
        <v/>
      </c>
      <c r="CH26" s="2873" t="str">
        <f t="shared" si="9"/>
        <v/>
      </c>
      <c r="CI26" s="2718"/>
      <c r="CJ26" s="1793">
        <f t="shared" si="10"/>
        <v>0</v>
      </c>
      <c r="CK26" s="1793">
        <f t="shared" si="11"/>
        <v>0</v>
      </c>
      <c r="CL26" s="1793">
        <f t="shared" si="12"/>
        <v>0</v>
      </c>
      <c r="CM26" s="1793">
        <f t="shared" si="13"/>
        <v>0</v>
      </c>
      <c r="CN26" s="1793">
        <f t="shared" si="14"/>
        <v>0</v>
      </c>
      <c r="CO26" s="2872"/>
      <c r="CP26" s="1793">
        <f t="shared" si="15"/>
        <v>0</v>
      </c>
      <c r="CQ26" s="1793">
        <f t="shared" si="16"/>
        <v>0</v>
      </c>
    </row>
    <row r="27" spans="1:95" x14ac:dyDescent="0.25">
      <c r="A27" s="6455"/>
      <c r="B27" s="3470" t="s">
        <v>247</v>
      </c>
      <c r="C27" s="3687">
        <f t="shared" si="0"/>
        <v>0</v>
      </c>
      <c r="D27" s="3644">
        <f t="shared" si="17"/>
        <v>0</v>
      </c>
      <c r="E27" s="3709">
        <f t="shared" si="17"/>
        <v>0</v>
      </c>
      <c r="F27" s="3721"/>
      <c r="G27" s="3722"/>
      <c r="H27" s="3574"/>
      <c r="I27" s="3609"/>
      <c r="J27" s="3574"/>
      <c r="K27" s="3577"/>
      <c r="L27" s="3574"/>
      <c r="M27" s="3577"/>
      <c r="N27" s="3574"/>
      <c r="O27" s="3577"/>
      <c r="P27" s="3574"/>
      <c r="Q27" s="3577"/>
      <c r="R27" s="3574"/>
      <c r="S27" s="3577"/>
      <c r="T27" s="3574"/>
      <c r="U27" s="3577"/>
      <c r="V27" s="3574"/>
      <c r="W27" s="3577"/>
      <c r="X27" s="3574"/>
      <c r="Y27" s="3577"/>
      <c r="Z27" s="3574"/>
      <c r="AA27" s="3577"/>
      <c r="AB27" s="3574"/>
      <c r="AC27" s="3577"/>
      <c r="AD27" s="3574"/>
      <c r="AE27" s="3577"/>
      <c r="AF27" s="3574"/>
      <c r="AG27" s="3577"/>
      <c r="AH27" s="3574"/>
      <c r="AI27" s="3577"/>
      <c r="AJ27" s="3574"/>
      <c r="AK27" s="3577"/>
      <c r="AL27" s="3710"/>
      <c r="AM27" s="3575"/>
      <c r="AN27" s="3711"/>
      <c r="AO27" s="3572"/>
      <c r="AP27" s="3609"/>
      <c r="AQ27" s="3637"/>
      <c r="AR27" s="3637"/>
      <c r="AS27" s="3712"/>
      <c r="AT27" s="3637"/>
      <c r="AU27" s="3637"/>
      <c r="AV27" s="1755" t="str">
        <f t="shared" si="2"/>
        <v/>
      </c>
      <c r="CA27" s="2873" t="str">
        <f t="shared" si="3"/>
        <v/>
      </c>
      <c r="CB27" s="2873" t="str">
        <f t="shared" si="4"/>
        <v/>
      </c>
      <c r="CC27" s="2873" t="str">
        <f t="shared" si="5"/>
        <v/>
      </c>
      <c r="CD27" s="2873" t="str">
        <f t="shared" si="6"/>
        <v/>
      </c>
      <c r="CE27" s="2873" t="str">
        <f t="shared" si="7"/>
        <v/>
      </c>
      <c r="CF27" s="3107"/>
      <c r="CG27" s="2873" t="str">
        <f t="shared" si="8"/>
        <v/>
      </c>
      <c r="CH27" s="2873" t="str">
        <f t="shared" si="9"/>
        <v/>
      </c>
      <c r="CI27" s="2718"/>
      <c r="CJ27" s="1793">
        <f t="shared" si="10"/>
        <v>0</v>
      </c>
      <c r="CK27" s="1793">
        <f t="shared" si="11"/>
        <v>0</v>
      </c>
      <c r="CL27" s="1793">
        <f t="shared" si="12"/>
        <v>0</v>
      </c>
      <c r="CM27" s="1793">
        <f t="shared" si="13"/>
        <v>0</v>
      </c>
      <c r="CN27" s="1793">
        <f t="shared" si="14"/>
        <v>0</v>
      </c>
      <c r="CO27" s="2872"/>
      <c r="CP27" s="1793">
        <f t="shared" si="15"/>
        <v>0</v>
      </c>
      <c r="CQ27" s="1793">
        <f t="shared" si="16"/>
        <v>0</v>
      </c>
    </row>
    <row r="28" spans="1:95" x14ac:dyDescent="0.25">
      <c r="A28" s="6455"/>
      <c r="B28" s="3470" t="s">
        <v>566</v>
      </c>
      <c r="C28" s="3687">
        <f t="shared" si="0"/>
        <v>0</v>
      </c>
      <c r="D28" s="3644">
        <f t="shared" si="17"/>
        <v>0</v>
      </c>
      <c r="E28" s="3709">
        <f t="shared" si="17"/>
        <v>0</v>
      </c>
      <c r="F28" s="3721"/>
      <c r="G28" s="3722"/>
      <c r="H28" s="3574"/>
      <c r="I28" s="3609"/>
      <c r="J28" s="3574"/>
      <c r="K28" s="3577"/>
      <c r="L28" s="3574"/>
      <c r="M28" s="3577"/>
      <c r="N28" s="3574"/>
      <c r="O28" s="3577"/>
      <c r="P28" s="3574"/>
      <c r="Q28" s="3577"/>
      <c r="R28" s="3574"/>
      <c r="S28" s="3577"/>
      <c r="T28" s="3574"/>
      <c r="U28" s="3577"/>
      <c r="V28" s="3574"/>
      <c r="W28" s="3577"/>
      <c r="X28" s="3574"/>
      <c r="Y28" s="3577"/>
      <c r="Z28" s="3574"/>
      <c r="AA28" s="3577"/>
      <c r="AB28" s="3574"/>
      <c r="AC28" s="3577"/>
      <c r="AD28" s="3574"/>
      <c r="AE28" s="3577"/>
      <c r="AF28" s="3574"/>
      <c r="AG28" s="3577"/>
      <c r="AH28" s="3574"/>
      <c r="AI28" s="3577"/>
      <c r="AJ28" s="3574"/>
      <c r="AK28" s="3577"/>
      <c r="AL28" s="3710"/>
      <c r="AM28" s="3575"/>
      <c r="AN28" s="3711"/>
      <c r="AO28" s="3572"/>
      <c r="AP28" s="3609"/>
      <c r="AQ28" s="3637"/>
      <c r="AR28" s="3637"/>
      <c r="AS28" s="3712"/>
      <c r="AT28" s="3637"/>
      <c r="AU28" s="3637"/>
      <c r="AV28" s="1755" t="str">
        <f t="shared" si="2"/>
        <v/>
      </c>
      <c r="CA28" s="2873" t="str">
        <f t="shared" si="3"/>
        <v/>
      </c>
      <c r="CB28" s="2873" t="str">
        <f t="shared" si="4"/>
        <v/>
      </c>
      <c r="CC28" s="2873" t="str">
        <f t="shared" si="5"/>
        <v/>
      </c>
      <c r="CD28" s="2873" t="str">
        <f t="shared" si="6"/>
        <v/>
      </c>
      <c r="CE28" s="2873" t="str">
        <f t="shared" si="7"/>
        <v/>
      </c>
      <c r="CF28" s="3107"/>
      <c r="CG28" s="2873" t="str">
        <f t="shared" si="8"/>
        <v/>
      </c>
      <c r="CH28" s="2873" t="str">
        <f t="shared" si="9"/>
        <v/>
      </c>
      <c r="CI28" s="2718"/>
      <c r="CJ28" s="1793">
        <f t="shared" si="10"/>
        <v>0</v>
      </c>
      <c r="CK28" s="1793">
        <f t="shared" si="11"/>
        <v>0</v>
      </c>
      <c r="CL28" s="1793">
        <f t="shared" si="12"/>
        <v>0</v>
      </c>
      <c r="CM28" s="1793">
        <f t="shared" si="13"/>
        <v>0</v>
      </c>
      <c r="CN28" s="1793">
        <f t="shared" si="14"/>
        <v>0</v>
      </c>
      <c r="CO28" s="2872"/>
      <c r="CP28" s="1793">
        <f t="shared" si="15"/>
        <v>0</v>
      </c>
      <c r="CQ28" s="1793">
        <f t="shared" si="16"/>
        <v>0</v>
      </c>
    </row>
    <row r="29" spans="1:95" x14ac:dyDescent="0.25">
      <c r="A29" s="6455"/>
      <c r="B29" s="3470" t="s">
        <v>2834</v>
      </c>
      <c r="C29" s="3687">
        <f t="shared" si="0"/>
        <v>0</v>
      </c>
      <c r="D29" s="3644">
        <f t="shared" si="17"/>
        <v>0</v>
      </c>
      <c r="E29" s="3709">
        <f t="shared" si="17"/>
        <v>0</v>
      </c>
      <c r="F29" s="3721"/>
      <c r="G29" s="3722"/>
      <c r="H29" s="3574"/>
      <c r="I29" s="3609"/>
      <c r="J29" s="3574"/>
      <c r="K29" s="3577"/>
      <c r="L29" s="3574"/>
      <c r="M29" s="3577"/>
      <c r="N29" s="3574"/>
      <c r="O29" s="3577"/>
      <c r="P29" s="3574"/>
      <c r="Q29" s="3577"/>
      <c r="R29" s="3574"/>
      <c r="S29" s="3577"/>
      <c r="T29" s="3574"/>
      <c r="U29" s="3577"/>
      <c r="V29" s="3574"/>
      <c r="W29" s="3577"/>
      <c r="X29" s="3574"/>
      <c r="Y29" s="3577"/>
      <c r="Z29" s="3574"/>
      <c r="AA29" s="3577"/>
      <c r="AB29" s="3574"/>
      <c r="AC29" s="3577"/>
      <c r="AD29" s="3574"/>
      <c r="AE29" s="3577"/>
      <c r="AF29" s="3574"/>
      <c r="AG29" s="3577"/>
      <c r="AH29" s="3574"/>
      <c r="AI29" s="3577"/>
      <c r="AJ29" s="3574"/>
      <c r="AK29" s="3577"/>
      <c r="AL29" s="3710"/>
      <c r="AM29" s="3575"/>
      <c r="AN29" s="3711"/>
      <c r="AO29" s="3572"/>
      <c r="AP29" s="3609"/>
      <c r="AQ29" s="3637"/>
      <c r="AR29" s="3637"/>
      <c r="AS29" s="3712"/>
      <c r="AT29" s="3637"/>
      <c r="AU29" s="3637"/>
      <c r="AV29" s="1755" t="str">
        <f t="shared" si="2"/>
        <v/>
      </c>
      <c r="CA29" s="2873" t="str">
        <f t="shared" si="3"/>
        <v/>
      </c>
      <c r="CB29" s="2873" t="str">
        <f t="shared" si="4"/>
        <v/>
      </c>
      <c r="CC29" s="2873" t="str">
        <f t="shared" si="5"/>
        <v/>
      </c>
      <c r="CD29" s="2873" t="str">
        <f t="shared" si="6"/>
        <v/>
      </c>
      <c r="CE29" s="2873" t="str">
        <f t="shared" si="7"/>
        <v/>
      </c>
      <c r="CF29" s="3107"/>
      <c r="CG29" s="2873" t="str">
        <f t="shared" si="8"/>
        <v/>
      </c>
      <c r="CH29" s="2873" t="str">
        <f t="shared" si="9"/>
        <v/>
      </c>
      <c r="CI29" s="2718"/>
      <c r="CJ29" s="1793">
        <f t="shared" si="10"/>
        <v>0</v>
      </c>
      <c r="CK29" s="1793">
        <f t="shared" si="11"/>
        <v>0</v>
      </c>
      <c r="CL29" s="1793">
        <f t="shared" si="12"/>
        <v>0</v>
      </c>
      <c r="CM29" s="1793">
        <f t="shared" si="13"/>
        <v>0</v>
      </c>
      <c r="CN29" s="1793">
        <f t="shared" si="14"/>
        <v>0</v>
      </c>
      <c r="CO29" s="2872"/>
      <c r="CP29" s="1793">
        <f t="shared" si="15"/>
        <v>0</v>
      </c>
      <c r="CQ29" s="1793">
        <f t="shared" si="16"/>
        <v>0</v>
      </c>
    </row>
    <row r="30" spans="1:95" x14ac:dyDescent="0.25">
      <c r="A30" s="6455"/>
      <c r="B30" s="3470" t="s">
        <v>277</v>
      </c>
      <c r="C30" s="3687">
        <f t="shared" si="0"/>
        <v>0</v>
      </c>
      <c r="D30" s="3644">
        <f t="shared" si="17"/>
        <v>0</v>
      </c>
      <c r="E30" s="3709">
        <f t="shared" si="17"/>
        <v>0</v>
      </c>
      <c r="F30" s="3721"/>
      <c r="G30" s="3722"/>
      <c r="H30" s="3574"/>
      <c r="I30" s="3609"/>
      <c r="J30" s="3574"/>
      <c r="K30" s="3577"/>
      <c r="L30" s="3574"/>
      <c r="M30" s="3577"/>
      <c r="N30" s="3574"/>
      <c r="O30" s="3577"/>
      <c r="P30" s="3574"/>
      <c r="Q30" s="3577"/>
      <c r="R30" s="3574"/>
      <c r="S30" s="3577"/>
      <c r="T30" s="3574"/>
      <c r="U30" s="3577"/>
      <c r="V30" s="3574"/>
      <c r="W30" s="3577"/>
      <c r="X30" s="3574"/>
      <c r="Y30" s="3577"/>
      <c r="Z30" s="3574"/>
      <c r="AA30" s="3577"/>
      <c r="AB30" s="3574"/>
      <c r="AC30" s="3577"/>
      <c r="AD30" s="3574"/>
      <c r="AE30" s="3577"/>
      <c r="AF30" s="3574"/>
      <c r="AG30" s="3577"/>
      <c r="AH30" s="3574"/>
      <c r="AI30" s="3577"/>
      <c r="AJ30" s="3574"/>
      <c r="AK30" s="3577"/>
      <c r="AL30" s="3710"/>
      <c r="AM30" s="3575"/>
      <c r="AN30" s="3711"/>
      <c r="AO30" s="3572"/>
      <c r="AP30" s="3609"/>
      <c r="AQ30" s="3637"/>
      <c r="AR30" s="3637"/>
      <c r="AS30" s="3712"/>
      <c r="AT30" s="3637"/>
      <c r="AU30" s="3637"/>
      <c r="AV30" s="1755" t="str">
        <f t="shared" si="2"/>
        <v/>
      </c>
      <c r="CA30" s="2873" t="str">
        <f t="shared" si="3"/>
        <v/>
      </c>
      <c r="CB30" s="2873" t="str">
        <f t="shared" si="4"/>
        <v/>
      </c>
      <c r="CC30" s="2873" t="str">
        <f t="shared" si="5"/>
        <v/>
      </c>
      <c r="CD30" s="2873" t="str">
        <f t="shared" si="6"/>
        <v/>
      </c>
      <c r="CE30" s="2873" t="str">
        <f t="shared" si="7"/>
        <v/>
      </c>
      <c r="CF30" s="3107"/>
      <c r="CG30" s="2873" t="str">
        <f t="shared" si="8"/>
        <v/>
      </c>
      <c r="CH30" s="2873" t="str">
        <f t="shared" si="9"/>
        <v/>
      </c>
      <c r="CI30" s="2718"/>
      <c r="CJ30" s="1793">
        <f t="shared" si="10"/>
        <v>0</v>
      </c>
      <c r="CK30" s="1793">
        <f t="shared" si="11"/>
        <v>0</v>
      </c>
      <c r="CL30" s="1793">
        <f t="shared" si="12"/>
        <v>0</v>
      </c>
      <c r="CM30" s="1793">
        <f t="shared" si="13"/>
        <v>0</v>
      </c>
      <c r="CN30" s="1793">
        <f t="shared" si="14"/>
        <v>0</v>
      </c>
      <c r="CO30" s="2872"/>
      <c r="CP30" s="1793">
        <f t="shared" si="15"/>
        <v>0</v>
      </c>
      <c r="CQ30" s="1793">
        <f t="shared" si="16"/>
        <v>0</v>
      </c>
    </row>
    <row r="31" spans="1:95" x14ac:dyDescent="0.25">
      <c r="A31" s="6455"/>
      <c r="B31" s="3713" t="s">
        <v>2835</v>
      </c>
      <c r="C31" s="3358">
        <f t="shared" si="0"/>
        <v>0</v>
      </c>
      <c r="D31" s="3359">
        <f t="shared" si="17"/>
        <v>0</v>
      </c>
      <c r="E31" s="3714">
        <f t="shared" si="17"/>
        <v>0</v>
      </c>
      <c r="F31" s="3721"/>
      <c r="G31" s="3722"/>
      <c r="H31" s="410"/>
      <c r="I31" s="411"/>
      <c r="J31" s="410"/>
      <c r="K31" s="412"/>
      <c r="L31" s="410"/>
      <c r="M31" s="412"/>
      <c r="N31" s="410"/>
      <c r="O31" s="412"/>
      <c r="P31" s="410"/>
      <c r="Q31" s="412"/>
      <c r="R31" s="410"/>
      <c r="S31" s="412"/>
      <c r="T31" s="410"/>
      <c r="U31" s="412"/>
      <c r="V31" s="410"/>
      <c r="W31" s="412"/>
      <c r="X31" s="410"/>
      <c r="Y31" s="412"/>
      <c r="Z31" s="410"/>
      <c r="AA31" s="412"/>
      <c r="AB31" s="410"/>
      <c r="AC31" s="412"/>
      <c r="AD31" s="410"/>
      <c r="AE31" s="412"/>
      <c r="AF31" s="410"/>
      <c r="AG31" s="412"/>
      <c r="AH31" s="410"/>
      <c r="AI31" s="412"/>
      <c r="AJ31" s="410"/>
      <c r="AK31" s="412"/>
      <c r="AL31" s="3715"/>
      <c r="AM31" s="634"/>
      <c r="AN31" s="3711"/>
      <c r="AO31" s="414"/>
      <c r="AP31" s="3609"/>
      <c r="AQ31" s="3637"/>
      <c r="AR31" s="3637"/>
      <c r="AS31" s="3712"/>
      <c r="AT31" s="3637"/>
      <c r="AU31" s="3637"/>
      <c r="AV31" s="1755" t="str">
        <f t="shared" si="2"/>
        <v/>
      </c>
      <c r="CA31" s="2873" t="str">
        <f t="shared" si="3"/>
        <v/>
      </c>
      <c r="CB31" s="2873" t="str">
        <f t="shared" si="4"/>
        <v/>
      </c>
      <c r="CC31" s="2873" t="str">
        <f t="shared" si="5"/>
        <v/>
      </c>
      <c r="CD31" s="2873" t="str">
        <f t="shared" si="6"/>
        <v/>
      </c>
      <c r="CE31" s="2873" t="str">
        <f t="shared" si="7"/>
        <v/>
      </c>
      <c r="CF31" s="3107"/>
      <c r="CG31" s="2873" t="str">
        <f t="shared" si="8"/>
        <v/>
      </c>
      <c r="CH31" s="2873" t="str">
        <f t="shared" si="9"/>
        <v/>
      </c>
      <c r="CI31" s="2718"/>
      <c r="CJ31" s="1793">
        <f t="shared" si="10"/>
        <v>0</v>
      </c>
      <c r="CK31" s="1793">
        <f t="shared" si="11"/>
        <v>0</v>
      </c>
      <c r="CL31" s="1793">
        <f t="shared" si="12"/>
        <v>0</v>
      </c>
      <c r="CM31" s="1793">
        <f t="shared" si="13"/>
        <v>0</v>
      </c>
      <c r="CN31" s="1793">
        <f t="shared" si="14"/>
        <v>0</v>
      </c>
      <c r="CO31" s="2872"/>
      <c r="CP31" s="1793">
        <f t="shared" si="15"/>
        <v>0</v>
      </c>
      <c r="CQ31" s="1793">
        <f t="shared" si="16"/>
        <v>0</v>
      </c>
    </row>
    <row r="32" spans="1:95" x14ac:dyDescent="0.25">
      <c r="A32" s="6455"/>
      <c r="B32" s="3470" t="s">
        <v>2642</v>
      </c>
      <c r="C32" s="3687">
        <f t="shared" si="0"/>
        <v>0</v>
      </c>
      <c r="D32" s="3644">
        <f t="shared" si="17"/>
        <v>0</v>
      </c>
      <c r="E32" s="3709">
        <f t="shared" si="17"/>
        <v>0</v>
      </c>
      <c r="F32" s="3721"/>
      <c r="G32" s="3571"/>
      <c r="H32" s="3574"/>
      <c r="I32" s="3609"/>
      <c r="J32" s="3574"/>
      <c r="K32" s="3577"/>
      <c r="L32" s="3574"/>
      <c r="M32" s="3577"/>
      <c r="N32" s="3574"/>
      <c r="O32" s="3577"/>
      <c r="P32" s="3574"/>
      <c r="Q32" s="3577"/>
      <c r="R32" s="3574"/>
      <c r="S32" s="3577"/>
      <c r="T32" s="3574"/>
      <c r="U32" s="3577"/>
      <c r="V32" s="3574"/>
      <c r="W32" s="3577"/>
      <c r="X32" s="3574"/>
      <c r="Y32" s="3577"/>
      <c r="Z32" s="3574"/>
      <c r="AA32" s="3577"/>
      <c r="AB32" s="3574"/>
      <c r="AC32" s="3577"/>
      <c r="AD32" s="3574"/>
      <c r="AE32" s="3577"/>
      <c r="AF32" s="3574"/>
      <c r="AG32" s="3577"/>
      <c r="AH32" s="3574"/>
      <c r="AI32" s="3577"/>
      <c r="AJ32" s="3574"/>
      <c r="AK32" s="3577"/>
      <c r="AL32" s="3710"/>
      <c r="AM32" s="3575"/>
      <c r="AN32" s="3711"/>
      <c r="AO32" s="3572"/>
      <c r="AP32" s="3609"/>
      <c r="AQ32" s="3637"/>
      <c r="AR32" s="3637"/>
      <c r="AS32" s="3712"/>
      <c r="AT32" s="3637"/>
      <c r="AU32" s="3637"/>
      <c r="AV32" s="1755" t="str">
        <f t="shared" si="2"/>
        <v/>
      </c>
      <c r="CA32" s="2873" t="str">
        <f t="shared" si="3"/>
        <v/>
      </c>
      <c r="CB32" s="2873" t="str">
        <f t="shared" si="4"/>
        <v/>
      </c>
      <c r="CC32" s="2873" t="str">
        <f t="shared" si="5"/>
        <v/>
      </c>
      <c r="CD32" s="2873" t="str">
        <f t="shared" si="6"/>
        <v/>
      </c>
      <c r="CE32" s="2873" t="str">
        <f t="shared" si="7"/>
        <v/>
      </c>
      <c r="CF32" s="3107"/>
      <c r="CG32" s="2873" t="str">
        <f t="shared" si="8"/>
        <v/>
      </c>
      <c r="CH32" s="2873" t="str">
        <f t="shared" si="9"/>
        <v/>
      </c>
      <c r="CI32" s="2718"/>
      <c r="CJ32" s="1793">
        <f t="shared" si="10"/>
        <v>0</v>
      </c>
      <c r="CK32" s="1793">
        <f t="shared" si="11"/>
        <v>0</v>
      </c>
      <c r="CL32" s="1793">
        <f t="shared" si="12"/>
        <v>0</v>
      </c>
      <c r="CM32" s="1793">
        <f t="shared" si="13"/>
        <v>0</v>
      </c>
      <c r="CN32" s="1793">
        <f t="shared" si="14"/>
        <v>0</v>
      </c>
      <c r="CO32" s="2872"/>
      <c r="CP32" s="1793">
        <f t="shared" si="15"/>
        <v>0</v>
      </c>
      <c r="CQ32" s="1793">
        <f t="shared" si="16"/>
        <v>0</v>
      </c>
    </row>
    <row r="33" spans="1:95" x14ac:dyDescent="0.25">
      <c r="A33" s="6455"/>
      <c r="B33" s="112" t="s">
        <v>2836</v>
      </c>
      <c r="C33" s="3687">
        <f t="shared" si="0"/>
        <v>0</v>
      </c>
      <c r="D33" s="3644">
        <f t="shared" si="17"/>
        <v>0</v>
      </c>
      <c r="E33" s="3716">
        <f t="shared" si="17"/>
        <v>0</v>
      </c>
      <c r="F33" s="3721"/>
      <c r="G33" s="3723"/>
      <c r="H33" s="276"/>
      <c r="I33" s="280"/>
      <c r="J33" s="276"/>
      <c r="K33" s="611"/>
      <c r="L33" s="276"/>
      <c r="M33" s="611"/>
      <c r="N33" s="276"/>
      <c r="O33" s="611"/>
      <c r="P33" s="276"/>
      <c r="Q33" s="611"/>
      <c r="R33" s="3574"/>
      <c r="S33" s="3577"/>
      <c r="T33" s="3574"/>
      <c r="U33" s="3577"/>
      <c r="V33" s="3574"/>
      <c r="W33" s="3577"/>
      <c r="X33" s="3574"/>
      <c r="Y33" s="3577"/>
      <c r="Z33" s="3574"/>
      <c r="AA33" s="3577"/>
      <c r="AB33" s="3574"/>
      <c r="AC33" s="3577"/>
      <c r="AD33" s="3574"/>
      <c r="AE33" s="3577"/>
      <c r="AF33" s="3574"/>
      <c r="AG33" s="3577"/>
      <c r="AH33" s="3574"/>
      <c r="AI33" s="3577"/>
      <c r="AJ33" s="3574"/>
      <c r="AK33" s="3577"/>
      <c r="AL33" s="3710"/>
      <c r="AM33" s="3575"/>
      <c r="AN33" s="3711"/>
      <c r="AO33" s="3572"/>
      <c r="AP33" s="3609"/>
      <c r="AQ33" s="3637"/>
      <c r="AR33" s="3637"/>
      <c r="AS33" s="3712"/>
      <c r="AT33" s="3637"/>
      <c r="AU33" s="3637"/>
      <c r="AV33" s="1755" t="str">
        <f t="shared" si="2"/>
        <v/>
      </c>
      <c r="CA33" s="2873" t="str">
        <f t="shared" si="3"/>
        <v/>
      </c>
      <c r="CB33" s="2873" t="str">
        <f t="shared" si="4"/>
        <v/>
      </c>
      <c r="CC33" s="2873" t="str">
        <f t="shared" si="5"/>
        <v/>
      </c>
      <c r="CD33" s="2873" t="str">
        <f t="shared" si="6"/>
        <v/>
      </c>
      <c r="CE33" s="2873" t="str">
        <f t="shared" si="7"/>
        <v/>
      </c>
      <c r="CF33" s="3107"/>
      <c r="CG33" s="2873" t="str">
        <f t="shared" si="8"/>
        <v/>
      </c>
      <c r="CH33" s="2873" t="str">
        <f t="shared" si="9"/>
        <v/>
      </c>
      <c r="CI33" s="2718"/>
      <c r="CJ33" s="1793">
        <f t="shared" si="10"/>
        <v>0</v>
      </c>
      <c r="CK33" s="1793">
        <f t="shared" si="11"/>
        <v>0</v>
      </c>
      <c r="CL33" s="1793">
        <f t="shared" si="12"/>
        <v>0</v>
      </c>
      <c r="CM33" s="1793">
        <f t="shared" si="13"/>
        <v>0</v>
      </c>
      <c r="CN33" s="1793">
        <f t="shared" si="14"/>
        <v>0</v>
      </c>
      <c r="CO33" s="2872"/>
      <c r="CP33" s="1793">
        <f t="shared" si="15"/>
        <v>0</v>
      </c>
      <c r="CQ33" s="1793">
        <f t="shared" si="16"/>
        <v>0</v>
      </c>
    </row>
    <row r="34" spans="1:95" x14ac:dyDescent="0.25">
      <c r="A34" s="6457"/>
      <c r="B34" s="119" t="s">
        <v>192</v>
      </c>
      <c r="C34" s="633">
        <f t="shared" si="0"/>
        <v>0</v>
      </c>
      <c r="D34" s="617">
        <f t="shared" si="17"/>
        <v>0</v>
      </c>
      <c r="E34" s="3718">
        <f t="shared" si="17"/>
        <v>0</v>
      </c>
      <c r="F34" s="3623"/>
      <c r="G34" s="3724"/>
      <c r="H34" s="3599"/>
      <c r="I34" s="3601"/>
      <c r="J34" s="3599"/>
      <c r="K34" s="3602"/>
      <c r="L34" s="3599"/>
      <c r="M34" s="3602"/>
      <c r="N34" s="3599"/>
      <c r="O34" s="3602"/>
      <c r="P34" s="3599"/>
      <c r="Q34" s="3602"/>
      <c r="R34" s="3599"/>
      <c r="S34" s="3602"/>
      <c r="T34" s="3599"/>
      <c r="U34" s="3602"/>
      <c r="V34" s="3599"/>
      <c r="W34" s="3602"/>
      <c r="X34" s="3599"/>
      <c r="Y34" s="3602"/>
      <c r="Z34" s="3599"/>
      <c r="AA34" s="3602"/>
      <c r="AB34" s="3599"/>
      <c r="AC34" s="3602"/>
      <c r="AD34" s="3599"/>
      <c r="AE34" s="3602"/>
      <c r="AF34" s="3599"/>
      <c r="AG34" s="3602"/>
      <c r="AH34" s="3599"/>
      <c r="AI34" s="3602"/>
      <c r="AJ34" s="3599"/>
      <c r="AK34" s="3602"/>
      <c r="AL34" s="3725"/>
      <c r="AM34" s="3695"/>
      <c r="AN34" s="3719"/>
      <c r="AO34" s="3694"/>
      <c r="AP34" s="290"/>
      <c r="AQ34" s="384"/>
      <c r="AR34" s="384"/>
      <c r="AS34" s="390"/>
      <c r="AT34" s="384"/>
      <c r="AU34" s="384"/>
      <c r="AV34" s="1755" t="str">
        <f t="shared" si="2"/>
        <v/>
      </c>
      <c r="CA34" s="2873" t="str">
        <f t="shared" si="3"/>
        <v/>
      </c>
      <c r="CB34" s="2873" t="str">
        <f t="shared" si="4"/>
        <v/>
      </c>
      <c r="CC34" s="2873" t="str">
        <f t="shared" si="5"/>
        <v/>
      </c>
      <c r="CD34" s="2873" t="str">
        <f t="shared" si="6"/>
        <v/>
      </c>
      <c r="CE34" s="2873" t="str">
        <f t="shared" si="7"/>
        <v/>
      </c>
      <c r="CF34" s="3107"/>
      <c r="CG34" s="2873" t="str">
        <f t="shared" si="8"/>
        <v/>
      </c>
      <c r="CH34" s="2873" t="str">
        <f t="shared" si="9"/>
        <v/>
      </c>
      <c r="CI34" s="2718"/>
      <c r="CJ34" s="1793">
        <f t="shared" si="10"/>
        <v>0</v>
      </c>
      <c r="CK34" s="1793">
        <f t="shared" si="11"/>
        <v>0</v>
      </c>
      <c r="CL34" s="1793">
        <f t="shared" si="12"/>
        <v>0</v>
      </c>
      <c r="CM34" s="1793">
        <f t="shared" si="13"/>
        <v>0</v>
      </c>
      <c r="CN34" s="1793">
        <f t="shared" si="14"/>
        <v>0</v>
      </c>
      <c r="CO34" s="2872"/>
      <c r="CP34" s="1793">
        <f t="shared" si="15"/>
        <v>0</v>
      </c>
      <c r="CQ34" s="1793">
        <f t="shared" si="16"/>
        <v>0</v>
      </c>
    </row>
    <row r="35" spans="1:95" x14ac:dyDescent="0.25">
      <c r="A35" s="6488" t="s">
        <v>2837</v>
      </c>
      <c r="B35" s="3467" t="s">
        <v>74</v>
      </c>
      <c r="C35" s="4699">
        <f t="shared" si="0"/>
        <v>0</v>
      </c>
      <c r="D35" s="4697">
        <f t="shared" si="17"/>
        <v>0</v>
      </c>
      <c r="E35" s="3701">
        <f t="shared" si="17"/>
        <v>0</v>
      </c>
      <c r="F35" s="3618"/>
      <c r="G35" s="3720"/>
      <c r="H35" s="3590"/>
      <c r="I35" s="3702"/>
      <c r="J35" s="3590"/>
      <c r="K35" s="3593"/>
      <c r="L35" s="3590"/>
      <c r="M35" s="3593"/>
      <c r="N35" s="3590"/>
      <c r="O35" s="3593"/>
      <c r="P35" s="3590"/>
      <c r="Q35" s="3593"/>
      <c r="R35" s="3590"/>
      <c r="S35" s="3593"/>
      <c r="T35" s="3590"/>
      <c r="U35" s="3593"/>
      <c r="V35" s="3590"/>
      <c r="W35" s="3593"/>
      <c r="X35" s="3590"/>
      <c r="Y35" s="3593"/>
      <c r="Z35" s="3590"/>
      <c r="AA35" s="3593"/>
      <c r="AB35" s="3590"/>
      <c r="AC35" s="3593"/>
      <c r="AD35" s="3590"/>
      <c r="AE35" s="3593"/>
      <c r="AF35" s="3590"/>
      <c r="AG35" s="3593"/>
      <c r="AH35" s="3590"/>
      <c r="AI35" s="3593"/>
      <c r="AJ35" s="3590"/>
      <c r="AK35" s="3593"/>
      <c r="AL35" s="3703"/>
      <c r="AM35" s="3704"/>
      <c r="AN35" s="640"/>
      <c r="AO35" s="3706"/>
      <c r="AP35" s="3596"/>
      <c r="AQ35" s="1976"/>
      <c r="AR35" s="1976"/>
      <c r="AS35" s="3726"/>
      <c r="AT35" s="1976"/>
      <c r="AU35" s="1976"/>
      <c r="AV35" s="1755" t="str">
        <f t="shared" si="2"/>
        <v/>
      </c>
      <c r="CA35" s="2873" t="str">
        <f t="shared" si="3"/>
        <v/>
      </c>
      <c r="CB35" s="2873" t="str">
        <f t="shared" si="4"/>
        <v/>
      </c>
      <c r="CC35" s="2873" t="str">
        <f t="shared" si="5"/>
        <v/>
      </c>
      <c r="CD35" s="2873" t="str">
        <f t="shared" si="6"/>
        <v/>
      </c>
      <c r="CE35" s="2873" t="str">
        <f t="shared" si="7"/>
        <v/>
      </c>
      <c r="CF35" s="3107"/>
      <c r="CG35" s="2873" t="str">
        <f t="shared" si="8"/>
        <v/>
      </c>
      <c r="CH35" s="2873" t="str">
        <f t="shared" si="9"/>
        <v/>
      </c>
      <c r="CI35" s="2718"/>
      <c r="CJ35" s="1793">
        <f t="shared" si="10"/>
        <v>0</v>
      </c>
      <c r="CK35" s="1793">
        <f t="shared" si="11"/>
        <v>0</v>
      </c>
      <c r="CL35" s="1793">
        <f t="shared" si="12"/>
        <v>0</v>
      </c>
      <c r="CM35" s="1793">
        <f t="shared" si="13"/>
        <v>0</v>
      </c>
      <c r="CN35" s="1793">
        <f t="shared" si="14"/>
        <v>0</v>
      </c>
      <c r="CO35" s="2872"/>
      <c r="CP35" s="1793">
        <f t="shared" si="15"/>
        <v>0</v>
      </c>
      <c r="CQ35" s="1793">
        <f t="shared" si="16"/>
        <v>0</v>
      </c>
    </row>
    <row r="36" spans="1:95" x14ac:dyDescent="0.25">
      <c r="A36" s="6455"/>
      <c r="B36" s="3470" t="s">
        <v>275</v>
      </c>
      <c r="C36" s="3687">
        <f t="shared" si="0"/>
        <v>0</v>
      </c>
      <c r="D36" s="3644">
        <f>SUM(H36+J36+L36+N36+P36+R36+T36+V36+X36+Z36+AB36+AD36+AF36+AH36+AJ36+AL36)</f>
        <v>0</v>
      </c>
      <c r="E36" s="3709">
        <f t="shared" si="17"/>
        <v>0</v>
      </c>
      <c r="F36" s="3721"/>
      <c r="G36" s="3722"/>
      <c r="H36" s="3574"/>
      <c r="I36" s="3609"/>
      <c r="J36" s="3574"/>
      <c r="K36" s="3577"/>
      <c r="L36" s="3574"/>
      <c r="M36" s="3577"/>
      <c r="N36" s="3574"/>
      <c r="O36" s="3577"/>
      <c r="P36" s="3574"/>
      <c r="Q36" s="3577"/>
      <c r="R36" s="3574"/>
      <c r="S36" s="3577"/>
      <c r="T36" s="3574"/>
      <c r="U36" s="3577"/>
      <c r="V36" s="3574"/>
      <c r="W36" s="3577"/>
      <c r="X36" s="3574"/>
      <c r="Y36" s="3577"/>
      <c r="Z36" s="3574"/>
      <c r="AA36" s="3577"/>
      <c r="AB36" s="3574"/>
      <c r="AC36" s="3577"/>
      <c r="AD36" s="3574"/>
      <c r="AE36" s="3577"/>
      <c r="AF36" s="3574"/>
      <c r="AG36" s="3577"/>
      <c r="AH36" s="3574"/>
      <c r="AI36" s="3577"/>
      <c r="AJ36" s="3574"/>
      <c r="AK36" s="3577"/>
      <c r="AL36" s="3710"/>
      <c r="AM36" s="3575"/>
      <c r="AN36" s="3711"/>
      <c r="AO36" s="3572"/>
      <c r="AP36" s="3609"/>
      <c r="AQ36" s="3637"/>
      <c r="AR36" s="3637"/>
      <c r="AS36" s="3712"/>
      <c r="AT36" s="3637"/>
      <c r="AU36" s="3637"/>
      <c r="AV36" s="1755" t="str">
        <f t="shared" si="2"/>
        <v/>
      </c>
      <c r="CA36" s="2873" t="str">
        <f t="shared" si="3"/>
        <v/>
      </c>
      <c r="CB36" s="2873" t="str">
        <f t="shared" si="4"/>
        <v/>
      </c>
      <c r="CC36" s="2873" t="str">
        <f t="shared" si="5"/>
        <v/>
      </c>
      <c r="CD36" s="2873" t="str">
        <f t="shared" si="6"/>
        <v/>
      </c>
      <c r="CE36" s="2873" t="str">
        <f t="shared" si="7"/>
        <v/>
      </c>
      <c r="CF36" s="3107"/>
      <c r="CG36" s="2873" t="str">
        <f t="shared" si="8"/>
        <v/>
      </c>
      <c r="CH36" s="2873" t="str">
        <f t="shared" si="9"/>
        <v/>
      </c>
      <c r="CI36" s="2718"/>
      <c r="CJ36" s="1793">
        <f t="shared" si="10"/>
        <v>0</v>
      </c>
      <c r="CK36" s="1793">
        <f t="shared" si="11"/>
        <v>0</v>
      </c>
      <c r="CL36" s="1793">
        <f t="shared" si="12"/>
        <v>0</v>
      </c>
      <c r="CM36" s="1793">
        <f t="shared" si="13"/>
        <v>0</v>
      </c>
      <c r="CN36" s="1793">
        <f t="shared" si="14"/>
        <v>0</v>
      </c>
      <c r="CO36" s="2872"/>
      <c r="CP36" s="1793">
        <f t="shared" si="15"/>
        <v>0</v>
      </c>
      <c r="CQ36" s="1793">
        <f t="shared" si="16"/>
        <v>0</v>
      </c>
    </row>
    <row r="37" spans="1:95" x14ac:dyDescent="0.25">
      <c r="A37" s="6455"/>
      <c r="B37" s="3470" t="s">
        <v>77</v>
      </c>
      <c r="C37" s="3687">
        <f t="shared" si="0"/>
        <v>0</v>
      </c>
      <c r="D37" s="3644">
        <f t="shared" si="17"/>
        <v>0</v>
      </c>
      <c r="E37" s="3709">
        <f t="shared" si="17"/>
        <v>0</v>
      </c>
      <c r="F37" s="3721"/>
      <c r="G37" s="3722"/>
      <c r="H37" s="3574"/>
      <c r="I37" s="3609"/>
      <c r="J37" s="3574"/>
      <c r="K37" s="3577"/>
      <c r="L37" s="3574"/>
      <c r="M37" s="3577"/>
      <c r="N37" s="3574"/>
      <c r="O37" s="3577"/>
      <c r="P37" s="3574"/>
      <c r="Q37" s="3577"/>
      <c r="R37" s="3574"/>
      <c r="S37" s="3577"/>
      <c r="T37" s="3574"/>
      <c r="U37" s="3577"/>
      <c r="V37" s="3574"/>
      <c r="W37" s="3577"/>
      <c r="X37" s="3574"/>
      <c r="Y37" s="3577"/>
      <c r="Z37" s="3574"/>
      <c r="AA37" s="3577"/>
      <c r="AB37" s="3574"/>
      <c r="AC37" s="3577"/>
      <c r="AD37" s="3574"/>
      <c r="AE37" s="3577"/>
      <c r="AF37" s="3574"/>
      <c r="AG37" s="3577"/>
      <c r="AH37" s="3574"/>
      <c r="AI37" s="3577"/>
      <c r="AJ37" s="3574"/>
      <c r="AK37" s="3577"/>
      <c r="AL37" s="3710"/>
      <c r="AM37" s="3575"/>
      <c r="AN37" s="3711"/>
      <c r="AO37" s="3572"/>
      <c r="AP37" s="3609"/>
      <c r="AQ37" s="3637"/>
      <c r="AR37" s="3637"/>
      <c r="AS37" s="3712"/>
      <c r="AT37" s="3637"/>
      <c r="AU37" s="3637"/>
      <c r="AV37" s="1755" t="str">
        <f t="shared" si="2"/>
        <v/>
      </c>
      <c r="CA37" s="2873" t="str">
        <f t="shared" si="3"/>
        <v/>
      </c>
      <c r="CB37" s="2873" t="str">
        <f t="shared" si="4"/>
        <v/>
      </c>
      <c r="CC37" s="2873" t="str">
        <f t="shared" si="5"/>
        <v/>
      </c>
      <c r="CD37" s="2873" t="str">
        <f t="shared" si="6"/>
        <v/>
      </c>
      <c r="CE37" s="2873" t="str">
        <f t="shared" si="7"/>
        <v/>
      </c>
      <c r="CF37" s="3107"/>
      <c r="CG37" s="2873" t="str">
        <f t="shared" si="8"/>
        <v/>
      </c>
      <c r="CH37" s="2873" t="str">
        <f t="shared" si="9"/>
        <v/>
      </c>
      <c r="CI37" s="2718"/>
      <c r="CJ37" s="1793">
        <f t="shared" si="10"/>
        <v>0</v>
      </c>
      <c r="CK37" s="1793">
        <f t="shared" si="11"/>
        <v>0</v>
      </c>
      <c r="CL37" s="1793">
        <f t="shared" si="12"/>
        <v>0</v>
      </c>
      <c r="CM37" s="1793">
        <f t="shared" si="13"/>
        <v>0</v>
      </c>
      <c r="CN37" s="1793">
        <f t="shared" si="14"/>
        <v>0</v>
      </c>
      <c r="CO37" s="2872"/>
      <c r="CP37" s="1793">
        <f t="shared" si="15"/>
        <v>0</v>
      </c>
      <c r="CQ37" s="1793">
        <f t="shared" si="16"/>
        <v>0</v>
      </c>
    </row>
    <row r="38" spans="1:95" x14ac:dyDescent="0.25">
      <c r="A38" s="6455"/>
      <c r="B38" s="3470" t="s">
        <v>247</v>
      </c>
      <c r="C38" s="3687">
        <f t="shared" si="0"/>
        <v>0</v>
      </c>
      <c r="D38" s="3644">
        <f t="shared" si="17"/>
        <v>0</v>
      </c>
      <c r="E38" s="3709">
        <f t="shared" si="17"/>
        <v>0</v>
      </c>
      <c r="F38" s="3721"/>
      <c r="G38" s="3722"/>
      <c r="H38" s="3574"/>
      <c r="I38" s="3609"/>
      <c r="J38" s="3574"/>
      <c r="K38" s="3577"/>
      <c r="L38" s="3574"/>
      <c r="M38" s="3577"/>
      <c r="N38" s="3574"/>
      <c r="O38" s="3577"/>
      <c r="P38" s="3574"/>
      <c r="Q38" s="3577"/>
      <c r="R38" s="3574"/>
      <c r="S38" s="3577"/>
      <c r="T38" s="3574"/>
      <c r="U38" s="3577"/>
      <c r="V38" s="3574"/>
      <c r="W38" s="3577"/>
      <c r="X38" s="3574"/>
      <c r="Y38" s="3577"/>
      <c r="Z38" s="3574"/>
      <c r="AA38" s="3577"/>
      <c r="AB38" s="3574"/>
      <c r="AC38" s="3577"/>
      <c r="AD38" s="3574"/>
      <c r="AE38" s="3577"/>
      <c r="AF38" s="3574"/>
      <c r="AG38" s="3577"/>
      <c r="AH38" s="3574"/>
      <c r="AI38" s="3577"/>
      <c r="AJ38" s="3574"/>
      <c r="AK38" s="3577"/>
      <c r="AL38" s="3710"/>
      <c r="AM38" s="3575"/>
      <c r="AN38" s="3711"/>
      <c r="AO38" s="3572"/>
      <c r="AP38" s="3609"/>
      <c r="AQ38" s="3637"/>
      <c r="AR38" s="3637"/>
      <c r="AS38" s="3712"/>
      <c r="AT38" s="3637"/>
      <c r="AU38" s="3637"/>
      <c r="AV38" s="1755" t="str">
        <f t="shared" si="2"/>
        <v/>
      </c>
      <c r="CA38" s="2873" t="str">
        <f t="shared" si="3"/>
        <v/>
      </c>
      <c r="CB38" s="2873" t="str">
        <f t="shared" si="4"/>
        <v/>
      </c>
      <c r="CC38" s="2873" t="str">
        <f t="shared" si="5"/>
        <v/>
      </c>
      <c r="CD38" s="2873" t="str">
        <f t="shared" si="6"/>
        <v/>
      </c>
      <c r="CE38" s="2873" t="str">
        <f t="shared" si="7"/>
        <v/>
      </c>
      <c r="CF38" s="3107"/>
      <c r="CG38" s="2873" t="str">
        <f t="shared" si="8"/>
        <v/>
      </c>
      <c r="CH38" s="2873" t="str">
        <f t="shared" si="9"/>
        <v/>
      </c>
      <c r="CI38" s="2718"/>
      <c r="CJ38" s="1793">
        <f t="shared" si="10"/>
        <v>0</v>
      </c>
      <c r="CK38" s="1793">
        <f t="shared" si="11"/>
        <v>0</v>
      </c>
      <c r="CL38" s="1793">
        <f t="shared" si="12"/>
        <v>0</v>
      </c>
      <c r="CM38" s="1793">
        <f t="shared" si="13"/>
        <v>0</v>
      </c>
      <c r="CN38" s="1793">
        <f t="shared" si="14"/>
        <v>0</v>
      </c>
      <c r="CO38" s="2872"/>
      <c r="CP38" s="1793">
        <f t="shared" si="15"/>
        <v>0</v>
      </c>
      <c r="CQ38" s="1793">
        <f t="shared" si="16"/>
        <v>0</v>
      </c>
    </row>
    <row r="39" spans="1:95" x14ac:dyDescent="0.25">
      <c r="A39" s="6455"/>
      <c r="B39" s="3470" t="s">
        <v>566</v>
      </c>
      <c r="C39" s="3687">
        <f t="shared" si="0"/>
        <v>0</v>
      </c>
      <c r="D39" s="3644">
        <f>SUM(H39+J39+L39+N39+P39+R39+T39+V39+X39+Z39+AB39+AD39+AF39+AH39+AJ39+AL39)</f>
        <v>0</v>
      </c>
      <c r="E39" s="3709">
        <f t="shared" si="17"/>
        <v>0</v>
      </c>
      <c r="F39" s="3721"/>
      <c r="G39" s="3722"/>
      <c r="H39" s="3574"/>
      <c r="I39" s="3609"/>
      <c r="J39" s="3574"/>
      <c r="K39" s="3577"/>
      <c r="L39" s="3574"/>
      <c r="M39" s="3577"/>
      <c r="N39" s="3574"/>
      <c r="O39" s="3577"/>
      <c r="P39" s="3574"/>
      <c r="Q39" s="3577"/>
      <c r="R39" s="3574"/>
      <c r="S39" s="3577"/>
      <c r="T39" s="3574"/>
      <c r="U39" s="3577"/>
      <c r="V39" s="3574"/>
      <c r="W39" s="3577"/>
      <c r="X39" s="3574"/>
      <c r="Y39" s="3577"/>
      <c r="Z39" s="3574"/>
      <c r="AA39" s="3577"/>
      <c r="AB39" s="3574"/>
      <c r="AC39" s="3577"/>
      <c r="AD39" s="3574"/>
      <c r="AE39" s="3577"/>
      <c r="AF39" s="3574"/>
      <c r="AG39" s="3577"/>
      <c r="AH39" s="3574"/>
      <c r="AI39" s="3577"/>
      <c r="AJ39" s="3574"/>
      <c r="AK39" s="3577"/>
      <c r="AL39" s="3710"/>
      <c r="AM39" s="3575"/>
      <c r="AN39" s="3711"/>
      <c r="AO39" s="3572"/>
      <c r="AP39" s="3609"/>
      <c r="AQ39" s="3637"/>
      <c r="AR39" s="3637"/>
      <c r="AS39" s="3712"/>
      <c r="AT39" s="3637"/>
      <c r="AU39" s="3637"/>
      <c r="AV39" s="1755" t="str">
        <f t="shared" si="2"/>
        <v/>
      </c>
      <c r="CA39" s="2873" t="str">
        <f t="shared" si="3"/>
        <v/>
      </c>
      <c r="CB39" s="2873" t="str">
        <f t="shared" si="4"/>
        <v/>
      </c>
      <c r="CC39" s="2873" t="str">
        <f t="shared" si="5"/>
        <v/>
      </c>
      <c r="CD39" s="2873" t="str">
        <f t="shared" si="6"/>
        <v/>
      </c>
      <c r="CE39" s="2873" t="str">
        <f t="shared" si="7"/>
        <v/>
      </c>
      <c r="CF39" s="3107"/>
      <c r="CG39" s="2873" t="str">
        <f t="shared" si="8"/>
        <v/>
      </c>
      <c r="CH39" s="2873" t="str">
        <f t="shared" si="9"/>
        <v/>
      </c>
      <c r="CI39" s="2718"/>
      <c r="CJ39" s="1793">
        <f t="shared" si="10"/>
        <v>0</v>
      </c>
      <c r="CK39" s="1793">
        <f t="shared" si="11"/>
        <v>0</v>
      </c>
      <c r="CL39" s="1793">
        <f t="shared" si="12"/>
        <v>0</v>
      </c>
      <c r="CM39" s="1793">
        <f t="shared" si="13"/>
        <v>0</v>
      </c>
      <c r="CN39" s="1793">
        <f t="shared" si="14"/>
        <v>0</v>
      </c>
      <c r="CO39" s="2872"/>
      <c r="CP39" s="1793">
        <f t="shared" si="15"/>
        <v>0</v>
      </c>
      <c r="CQ39" s="1793">
        <f t="shared" si="16"/>
        <v>0</v>
      </c>
    </row>
    <row r="40" spans="1:95" x14ac:dyDescent="0.25">
      <c r="A40" s="6455"/>
      <c r="B40" s="3470" t="s">
        <v>2834</v>
      </c>
      <c r="C40" s="3687">
        <f t="shared" si="0"/>
        <v>0</v>
      </c>
      <c r="D40" s="3644">
        <f t="shared" si="17"/>
        <v>0</v>
      </c>
      <c r="E40" s="3709">
        <f t="shared" si="17"/>
        <v>0</v>
      </c>
      <c r="F40" s="3721"/>
      <c r="G40" s="3722"/>
      <c r="H40" s="3574"/>
      <c r="I40" s="3609"/>
      <c r="J40" s="3574"/>
      <c r="K40" s="3577"/>
      <c r="L40" s="3574"/>
      <c r="M40" s="3577"/>
      <c r="N40" s="3574"/>
      <c r="O40" s="3577"/>
      <c r="P40" s="3574"/>
      <c r="Q40" s="3577"/>
      <c r="R40" s="3574"/>
      <c r="S40" s="3577"/>
      <c r="T40" s="3574"/>
      <c r="U40" s="3577"/>
      <c r="V40" s="3574"/>
      <c r="W40" s="3577"/>
      <c r="X40" s="3574"/>
      <c r="Y40" s="3577"/>
      <c r="Z40" s="3574"/>
      <c r="AA40" s="3577"/>
      <c r="AB40" s="3574"/>
      <c r="AC40" s="3577"/>
      <c r="AD40" s="3574"/>
      <c r="AE40" s="3577"/>
      <c r="AF40" s="3574"/>
      <c r="AG40" s="3577"/>
      <c r="AH40" s="3574"/>
      <c r="AI40" s="3577"/>
      <c r="AJ40" s="3574"/>
      <c r="AK40" s="3577"/>
      <c r="AL40" s="3710"/>
      <c r="AM40" s="3575"/>
      <c r="AN40" s="3711"/>
      <c r="AO40" s="3572"/>
      <c r="AP40" s="3609"/>
      <c r="AQ40" s="3637"/>
      <c r="AR40" s="3637"/>
      <c r="AS40" s="3712"/>
      <c r="AT40" s="3637"/>
      <c r="AU40" s="3637"/>
      <c r="AV40" s="1755" t="str">
        <f t="shared" si="2"/>
        <v/>
      </c>
      <c r="CA40" s="2873" t="str">
        <f t="shared" si="3"/>
        <v/>
      </c>
      <c r="CB40" s="2873" t="str">
        <f t="shared" si="4"/>
        <v/>
      </c>
      <c r="CC40" s="2873" t="str">
        <f t="shared" si="5"/>
        <v/>
      </c>
      <c r="CD40" s="2873" t="str">
        <f t="shared" si="6"/>
        <v/>
      </c>
      <c r="CE40" s="2873" t="str">
        <f t="shared" si="7"/>
        <v/>
      </c>
      <c r="CF40" s="3107"/>
      <c r="CG40" s="2873" t="str">
        <f t="shared" si="8"/>
        <v/>
      </c>
      <c r="CH40" s="2873" t="str">
        <f t="shared" si="9"/>
        <v/>
      </c>
      <c r="CI40" s="2718"/>
      <c r="CJ40" s="1793">
        <f t="shared" si="10"/>
        <v>0</v>
      </c>
      <c r="CK40" s="1793">
        <f t="shared" si="11"/>
        <v>0</v>
      </c>
      <c r="CL40" s="1793">
        <f t="shared" si="12"/>
        <v>0</v>
      </c>
      <c r="CM40" s="1793">
        <f t="shared" si="13"/>
        <v>0</v>
      </c>
      <c r="CN40" s="1793">
        <f t="shared" si="14"/>
        <v>0</v>
      </c>
      <c r="CO40" s="2872"/>
      <c r="CP40" s="1793">
        <f t="shared" si="15"/>
        <v>0</v>
      </c>
      <c r="CQ40" s="1793">
        <f t="shared" si="16"/>
        <v>0</v>
      </c>
    </row>
    <row r="41" spans="1:95" x14ac:dyDescent="0.25">
      <c r="A41" s="6455"/>
      <c r="B41" s="3470" t="s">
        <v>277</v>
      </c>
      <c r="C41" s="3687">
        <f t="shared" si="0"/>
        <v>0</v>
      </c>
      <c r="D41" s="3644">
        <f t="shared" ref="D41:E45" si="18">SUM(H41+J41+L41+N41+P41+R41+T41+V41+X41+Z41+AB41+AD41+AF41+AH41+AJ41+AL41)</f>
        <v>0</v>
      </c>
      <c r="E41" s="3709">
        <f t="shared" si="18"/>
        <v>0</v>
      </c>
      <c r="F41" s="3721"/>
      <c r="G41" s="3722"/>
      <c r="H41" s="3574"/>
      <c r="I41" s="3609"/>
      <c r="J41" s="3574"/>
      <c r="K41" s="3577"/>
      <c r="L41" s="3574"/>
      <c r="M41" s="3577"/>
      <c r="N41" s="3574"/>
      <c r="O41" s="3577"/>
      <c r="P41" s="3574"/>
      <c r="Q41" s="3577"/>
      <c r="R41" s="3574"/>
      <c r="S41" s="3577"/>
      <c r="T41" s="3574"/>
      <c r="U41" s="3577"/>
      <c r="V41" s="3574"/>
      <c r="W41" s="3577"/>
      <c r="X41" s="3574"/>
      <c r="Y41" s="3577"/>
      <c r="Z41" s="3574"/>
      <c r="AA41" s="3577"/>
      <c r="AB41" s="3574"/>
      <c r="AC41" s="3577"/>
      <c r="AD41" s="3574"/>
      <c r="AE41" s="3577"/>
      <c r="AF41" s="3574"/>
      <c r="AG41" s="3577"/>
      <c r="AH41" s="3574"/>
      <c r="AI41" s="3577"/>
      <c r="AJ41" s="3574"/>
      <c r="AK41" s="3577"/>
      <c r="AL41" s="3710"/>
      <c r="AM41" s="3575"/>
      <c r="AN41" s="3711"/>
      <c r="AO41" s="3572"/>
      <c r="AP41" s="3609"/>
      <c r="AQ41" s="3637"/>
      <c r="AR41" s="3637"/>
      <c r="AS41" s="3712"/>
      <c r="AT41" s="3637"/>
      <c r="AU41" s="3637"/>
      <c r="AV41" s="1755" t="str">
        <f t="shared" si="2"/>
        <v/>
      </c>
      <c r="CA41" s="2873" t="str">
        <f t="shared" si="3"/>
        <v/>
      </c>
      <c r="CB41" s="2873" t="str">
        <f t="shared" si="4"/>
        <v/>
      </c>
      <c r="CC41" s="2873" t="str">
        <f t="shared" si="5"/>
        <v/>
      </c>
      <c r="CD41" s="2873" t="str">
        <f t="shared" si="6"/>
        <v/>
      </c>
      <c r="CE41" s="2873" t="str">
        <f t="shared" si="7"/>
        <v/>
      </c>
      <c r="CF41" s="3107"/>
      <c r="CG41" s="2873" t="str">
        <f t="shared" si="8"/>
        <v/>
      </c>
      <c r="CH41" s="2873" t="str">
        <f t="shared" si="9"/>
        <v/>
      </c>
      <c r="CI41" s="2718"/>
      <c r="CJ41" s="1793">
        <f t="shared" si="10"/>
        <v>0</v>
      </c>
      <c r="CK41" s="1793">
        <f t="shared" si="11"/>
        <v>0</v>
      </c>
      <c r="CL41" s="1793">
        <f t="shared" si="12"/>
        <v>0</v>
      </c>
      <c r="CM41" s="1793">
        <f t="shared" si="13"/>
        <v>0</v>
      </c>
      <c r="CN41" s="1793">
        <f t="shared" si="14"/>
        <v>0</v>
      </c>
      <c r="CO41" s="2872"/>
      <c r="CP41" s="1793">
        <f t="shared" si="15"/>
        <v>0</v>
      </c>
      <c r="CQ41" s="1793">
        <f t="shared" si="16"/>
        <v>0</v>
      </c>
    </row>
    <row r="42" spans="1:95" x14ac:dyDescent="0.25">
      <c r="A42" s="6455"/>
      <c r="B42" s="3713" t="s">
        <v>2835</v>
      </c>
      <c r="C42" s="3358">
        <f t="shared" si="0"/>
        <v>0</v>
      </c>
      <c r="D42" s="3359">
        <f t="shared" si="18"/>
        <v>0</v>
      </c>
      <c r="E42" s="3714">
        <f t="shared" si="18"/>
        <v>0</v>
      </c>
      <c r="F42" s="3721"/>
      <c r="G42" s="3722"/>
      <c r="H42" s="410"/>
      <c r="I42" s="411"/>
      <c r="J42" s="410"/>
      <c r="K42" s="412"/>
      <c r="L42" s="410"/>
      <c r="M42" s="412"/>
      <c r="N42" s="410"/>
      <c r="O42" s="412"/>
      <c r="P42" s="410"/>
      <c r="Q42" s="412"/>
      <c r="R42" s="410"/>
      <c r="S42" s="412"/>
      <c r="T42" s="410"/>
      <c r="U42" s="412"/>
      <c r="V42" s="410"/>
      <c r="W42" s="412"/>
      <c r="X42" s="410"/>
      <c r="Y42" s="412"/>
      <c r="Z42" s="410"/>
      <c r="AA42" s="412"/>
      <c r="AB42" s="410"/>
      <c r="AC42" s="412"/>
      <c r="AD42" s="410"/>
      <c r="AE42" s="412"/>
      <c r="AF42" s="410"/>
      <c r="AG42" s="412"/>
      <c r="AH42" s="410"/>
      <c r="AI42" s="412"/>
      <c r="AJ42" s="410"/>
      <c r="AK42" s="412"/>
      <c r="AL42" s="3715"/>
      <c r="AM42" s="634"/>
      <c r="AN42" s="3711"/>
      <c r="AO42" s="414"/>
      <c r="AP42" s="3609"/>
      <c r="AQ42" s="3637"/>
      <c r="AR42" s="3637"/>
      <c r="AS42" s="3712"/>
      <c r="AT42" s="3637"/>
      <c r="AU42" s="3637"/>
      <c r="AV42" s="1755" t="str">
        <f t="shared" si="2"/>
        <v/>
      </c>
      <c r="CA42" s="2873" t="str">
        <f t="shared" si="3"/>
        <v/>
      </c>
      <c r="CB42" s="2873" t="str">
        <f t="shared" si="4"/>
        <v/>
      </c>
      <c r="CC42" s="2873" t="str">
        <f t="shared" si="5"/>
        <v/>
      </c>
      <c r="CD42" s="2873" t="str">
        <f t="shared" si="6"/>
        <v/>
      </c>
      <c r="CE42" s="2873" t="str">
        <f t="shared" si="7"/>
        <v/>
      </c>
      <c r="CF42" s="3107"/>
      <c r="CG42" s="2873" t="str">
        <f t="shared" si="8"/>
        <v/>
      </c>
      <c r="CH42" s="2873" t="str">
        <f t="shared" si="9"/>
        <v/>
      </c>
      <c r="CI42" s="2718"/>
      <c r="CJ42" s="1793">
        <f t="shared" si="10"/>
        <v>0</v>
      </c>
      <c r="CK42" s="1793">
        <f t="shared" si="11"/>
        <v>0</v>
      </c>
      <c r="CL42" s="1793">
        <f t="shared" si="12"/>
        <v>0</v>
      </c>
      <c r="CM42" s="1793">
        <f t="shared" si="13"/>
        <v>0</v>
      </c>
      <c r="CN42" s="1793">
        <f t="shared" si="14"/>
        <v>0</v>
      </c>
      <c r="CO42" s="2872"/>
      <c r="CP42" s="1793">
        <f t="shared" si="15"/>
        <v>0</v>
      </c>
      <c r="CQ42" s="1793">
        <f t="shared" si="16"/>
        <v>0</v>
      </c>
    </row>
    <row r="43" spans="1:95" x14ac:dyDescent="0.25">
      <c r="A43" s="6455"/>
      <c r="B43" s="3470" t="s">
        <v>2642</v>
      </c>
      <c r="C43" s="3687">
        <f t="shared" si="0"/>
        <v>0</v>
      </c>
      <c r="D43" s="3644">
        <f t="shared" si="18"/>
        <v>0</v>
      </c>
      <c r="E43" s="3709">
        <f t="shared" si="18"/>
        <v>0</v>
      </c>
      <c r="F43" s="3721"/>
      <c r="G43" s="3571"/>
      <c r="H43" s="3574"/>
      <c r="I43" s="3609"/>
      <c r="J43" s="3574"/>
      <c r="K43" s="3577"/>
      <c r="L43" s="3574"/>
      <c r="M43" s="3577"/>
      <c r="N43" s="3574"/>
      <c r="O43" s="3577"/>
      <c r="P43" s="3574"/>
      <c r="Q43" s="3577"/>
      <c r="R43" s="3574"/>
      <c r="S43" s="3577"/>
      <c r="T43" s="3574"/>
      <c r="U43" s="3577"/>
      <c r="V43" s="3574"/>
      <c r="W43" s="3577"/>
      <c r="X43" s="3574"/>
      <c r="Y43" s="3577"/>
      <c r="Z43" s="3574"/>
      <c r="AA43" s="3577"/>
      <c r="AB43" s="3574"/>
      <c r="AC43" s="3577"/>
      <c r="AD43" s="3574"/>
      <c r="AE43" s="3577"/>
      <c r="AF43" s="3574"/>
      <c r="AG43" s="3577"/>
      <c r="AH43" s="3574"/>
      <c r="AI43" s="3577"/>
      <c r="AJ43" s="3574"/>
      <c r="AK43" s="3577"/>
      <c r="AL43" s="3710"/>
      <c r="AM43" s="3575"/>
      <c r="AN43" s="3711"/>
      <c r="AO43" s="3572"/>
      <c r="AP43" s="3609"/>
      <c r="AQ43" s="3637"/>
      <c r="AR43" s="3637"/>
      <c r="AS43" s="3712"/>
      <c r="AT43" s="3637"/>
      <c r="AU43" s="3637"/>
      <c r="AV43" s="1755" t="str">
        <f t="shared" si="2"/>
        <v/>
      </c>
      <c r="CA43" s="2873" t="str">
        <f t="shared" si="3"/>
        <v/>
      </c>
      <c r="CB43" s="2873" t="str">
        <f t="shared" si="4"/>
        <v/>
      </c>
      <c r="CC43" s="2873" t="str">
        <f t="shared" si="5"/>
        <v/>
      </c>
      <c r="CD43" s="2873" t="str">
        <f t="shared" si="6"/>
        <v/>
      </c>
      <c r="CE43" s="2873" t="str">
        <f t="shared" si="7"/>
        <v/>
      </c>
      <c r="CF43" s="3107"/>
      <c r="CG43" s="2873" t="str">
        <f t="shared" si="8"/>
        <v/>
      </c>
      <c r="CH43" s="2873" t="str">
        <f t="shared" si="9"/>
        <v/>
      </c>
      <c r="CI43" s="2718"/>
      <c r="CJ43" s="1793">
        <f t="shared" si="10"/>
        <v>0</v>
      </c>
      <c r="CK43" s="1793">
        <f t="shared" si="11"/>
        <v>0</v>
      </c>
      <c r="CL43" s="1793">
        <f t="shared" si="12"/>
        <v>0</v>
      </c>
      <c r="CM43" s="1793">
        <f t="shared" si="13"/>
        <v>0</v>
      </c>
      <c r="CN43" s="1793">
        <f t="shared" si="14"/>
        <v>0</v>
      </c>
      <c r="CO43" s="2872"/>
      <c r="CP43" s="1793">
        <f t="shared" si="15"/>
        <v>0</v>
      </c>
      <c r="CQ43" s="1793">
        <f t="shared" si="16"/>
        <v>0</v>
      </c>
    </row>
    <row r="44" spans="1:95" x14ac:dyDescent="0.25">
      <c r="A44" s="6455"/>
      <c r="B44" s="112" t="s">
        <v>2836</v>
      </c>
      <c r="C44" s="3687">
        <f t="shared" si="0"/>
        <v>0</v>
      </c>
      <c r="D44" s="3644">
        <f t="shared" si="18"/>
        <v>0</v>
      </c>
      <c r="E44" s="3716">
        <f t="shared" si="18"/>
        <v>0</v>
      </c>
      <c r="F44" s="3721"/>
      <c r="G44" s="3723"/>
      <c r="H44" s="3574"/>
      <c r="I44" s="3609"/>
      <c r="J44" s="3574"/>
      <c r="K44" s="3577"/>
      <c r="L44" s="3574"/>
      <c r="M44" s="3577"/>
      <c r="N44" s="3574"/>
      <c r="O44" s="3577"/>
      <c r="P44" s="3574"/>
      <c r="Q44" s="3577"/>
      <c r="R44" s="3574"/>
      <c r="S44" s="3577"/>
      <c r="T44" s="3574"/>
      <c r="U44" s="3577"/>
      <c r="V44" s="3574"/>
      <c r="W44" s="3577"/>
      <c r="X44" s="3574"/>
      <c r="Y44" s="3577"/>
      <c r="Z44" s="3574"/>
      <c r="AA44" s="3577"/>
      <c r="AB44" s="3574"/>
      <c r="AC44" s="3577"/>
      <c r="AD44" s="3574"/>
      <c r="AE44" s="3577"/>
      <c r="AF44" s="3574"/>
      <c r="AG44" s="3727"/>
      <c r="AH44" s="3574"/>
      <c r="AI44" s="3577"/>
      <c r="AJ44" s="3574"/>
      <c r="AK44" s="3577"/>
      <c r="AL44" s="3710"/>
      <c r="AM44" s="3575"/>
      <c r="AN44" s="3711"/>
      <c r="AO44" s="3572"/>
      <c r="AP44" s="3609"/>
      <c r="AQ44" s="3637"/>
      <c r="AR44" s="3637"/>
      <c r="AS44" s="3712"/>
      <c r="AT44" s="3637"/>
      <c r="AU44" s="3637"/>
      <c r="AV44" s="1755" t="str">
        <f t="shared" si="2"/>
        <v/>
      </c>
      <c r="CA44" s="2873" t="str">
        <f t="shared" si="3"/>
        <v/>
      </c>
      <c r="CB44" s="2873" t="str">
        <f t="shared" si="4"/>
        <v/>
      </c>
      <c r="CC44" s="2873" t="str">
        <f t="shared" si="5"/>
        <v/>
      </c>
      <c r="CD44" s="2873" t="str">
        <f t="shared" si="6"/>
        <v/>
      </c>
      <c r="CE44" s="2873" t="str">
        <f t="shared" si="7"/>
        <v/>
      </c>
      <c r="CF44" s="3107"/>
      <c r="CG44" s="2873" t="str">
        <f t="shared" si="8"/>
        <v/>
      </c>
      <c r="CH44" s="2873" t="str">
        <f t="shared" si="9"/>
        <v/>
      </c>
      <c r="CI44" s="2718"/>
      <c r="CJ44" s="1793">
        <f t="shared" si="10"/>
        <v>0</v>
      </c>
      <c r="CK44" s="1793">
        <f t="shared" si="11"/>
        <v>0</v>
      </c>
      <c r="CL44" s="1793">
        <f t="shared" si="12"/>
        <v>0</v>
      </c>
      <c r="CM44" s="1793">
        <f t="shared" si="13"/>
        <v>0</v>
      </c>
      <c r="CN44" s="1793">
        <f t="shared" si="14"/>
        <v>0</v>
      </c>
      <c r="CO44" s="2872"/>
      <c r="CP44" s="1793">
        <f t="shared" si="15"/>
        <v>0</v>
      </c>
      <c r="CQ44" s="1793">
        <f t="shared" si="16"/>
        <v>0</v>
      </c>
    </row>
    <row r="45" spans="1:95" x14ac:dyDescent="0.25">
      <c r="A45" s="6457"/>
      <c r="B45" s="119" t="s">
        <v>192</v>
      </c>
      <c r="C45" s="633">
        <f t="shared" si="0"/>
        <v>0</v>
      </c>
      <c r="D45" s="617">
        <f t="shared" si="18"/>
        <v>0</v>
      </c>
      <c r="E45" s="3718">
        <f t="shared" si="18"/>
        <v>0</v>
      </c>
      <c r="F45" s="3623"/>
      <c r="G45" s="3724"/>
      <c r="H45" s="3599"/>
      <c r="I45" s="3601"/>
      <c r="J45" s="3599"/>
      <c r="K45" s="3602"/>
      <c r="L45" s="3599"/>
      <c r="M45" s="3602"/>
      <c r="N45" s="3599"/>
      <c r="O45" s="3602"/>
      <c r="P45" s="3599"/>
      <c r="Q45" s="3602"/>
      <c r="R45" s="3599"/>
      <c r="S45" s="3602"/>
      <c r="T45" s="3599"/>
      <c r="U45" s="3602"/>
      <c r="V45" s="3599"/>
      <c r="W45" s="3602"/>
      <c r="X45" s="3599"/>
      <c r="Y45" s="3602"/>
      <c r="Z45" s="3599"/>
      <c r="AA45" s="3602"/>
      <c r="AB45" s="3599"/>
      <c r="AC45" s="3602"/>
      <c r="AD45" s="3599"/>
      <c r="AE45" s="3602"/>
      <c r="AF45" s="3599"/>
      <c r="AG45" s="3602"/>
      <c r="AH45" s="3599"/>
      <c r="AI45" s="3602"/>
      <c r="AJ45" s="3599"/>
      <c r="AK45" s="3602"/>
      <c r="AL45" s="3725"/>
      <c r="AM45" s="3695"/>
      <c r="AN45" s="3719"/>
      <c r="AO45" s="3694"/>
      <c r="AP45" s="290"/>
      <c r="AQ45" s="384"/>
      <c r="AR45" s="384"/>
      <c r="AS45" s="3712"/>
      <c r="AT45" s="3637"/>
      <c r="AU45" s="3637"/>
      <c r="AV45" s="1755" t="str">
        <f t="shared" si="2"/>
        <v/>
      </c>
      <c r="CA45" s="2873" t="str">
        <f t="shared" si="3"/>
        <v/>
      </c>
      <c r="CB45" s="2873" t="str">
        <f t="shared" si="4"/>
        <v/>
      </c>
      <c r="CC45" s="2873" t="str">
        <f t="shared" si="5"/>
        <v/>
      </c>
      <c r="CD45" s="2873" t="str">
        <f t="shared" si="6"/>
        <v/>
      </c>
      <c r="CE45" s="2873" t="str">
        <f t="shared" si="7"/>
        <v/>
      </c>
      <c r="CF45" s="3107"/>
      <c r="CG45" s="2873" t="str">
        <f t="shared" si="8"/>
        <v/>
      </c>
      <c r="CH45" s="2873" t="str">
        <f t="shared" si="9"/>
        <v/>
      </c>
      <c r="CI45" s="2718"/>
      <c r="CJ45" s="1793">
        <f t="shared" si="10"/>
        <v>0</v>
      </c>
      <c r="CK45" s="1793">
        <f t="shared" si="11"/>
        <v>0</v>
      </c>
      <c r="CL45" s="1793">
        <f t="shared" si="12"/>
        <v>0</v>
      </c>
      <c r="CM45" s="1793">
        <f t="shared" si="13"/>
        <v>0</v>
      </c>
      <c r="CN45" s="1793">
        <f t="shared" si="14"/>
        <v>0</v>
      </c>
      <c r="CO45" s="2872"/>
      <c r="CP45" s="1793">
        <f t="shared" si="15"/>
        <v>0</v>
      </c>
      <c r="CQ45" s="1793">
        <f t="shared" si="16"/>
        <v>0</v>
      </c>
    </row>
    <row r="46" spans="1:95" x14ac:dyDescent="0.25">
      <c r="A46" s="6488" t="s">
        <v>2838</v>
      </c>
      <c r="B46" s="3467" t="s">
        <v>74</v>
      </c>
      <c r="C46" s="4699">
        <f t="shared" si="0"/>
        <v>0</v>
      </c>
      <c r="D46" s="4697">
        <f>SUM(J46+L46+N46+P46+R46+T46+V46+X46+Z46+AB46+AD46+AF46+AH46+AJ46+AL46)</f>
        <v>0</v>
      </c>
      <c r="E46" s="3701">
        <f>SUM(K46+M46+O46+Q46+S46+U46+W46+Y46+AA46+AC46+AE46+AG46+AI46+AK46+AM46)</f>
        <v>0</v>
      </c>
      <c r="F46" s="3618"/>
      <c r="G46" s="3720"/>
      <c r="H46" s="3618"/>
      <c r="I46" s="3720"/>
      <c r="J46" s="3590"/>
      <c r="K46" s="3593"/>
      <c r="L46" s="3590"/>
      <c r="M46" s="3593"/>
      <c r="N46" s="3590"/>
      <c r="O46" s="3593"/>
      <c r="P46" s="3590"/>
      <c r="Q46" s="3593"/>
      <c r="R46" s="3590"/>
      <c r="S46" s="3593"/>
      <c r="T46" s="3590"/>
      <c r="U46" s="3593"/>
      <c r="V46" s="3590"/>
      <c r="W46" s="3593"/>
      <c r="X46" s="3590"/>
      <c r="Y46" s="3593"/>
      <c r="Z46" s="3590"/>
      <c r="AA46" s="3593"/>
      <c r="AB46" s="3590"/>
      <c r="AC46" s="3593"/>
      <c r="AD46" s="3590"/>
      <c r="AE46" s="3593"/>
      <c r="AF46" s="3590"/>
      <c r="AG46" s="3593"/>
      <c r="AH46" s="3590"/>
      <c r="AI46" s="3593"/>
      <c r="AJ46" s="3590"/>
      <c r="AK46" s="3593"/>
      <c r="AL46" s="3703"/>
      <c r="AM46" s="3704"/>
      <c r="AN46" s="640"/>
      <c r="AO46" s="3706"/>
      <c r="AP46" s="3702"/>
      <c r="AQ46" s="3728"/>
      <c r="AR46" s="3728"/>
      <c r="AS46" s="3728"/>
      <c r="AT46" s="3728"/>
      <c r="AU46" s="3728"/>
      <c r="AV46" s="1755" t="str">
        <f>$CA46&amp;$CB46&amp;CC46&amp;CD46&amp;CE46&amp;CF46&amp;CG46&amp;CH46</f>
        <v/>
      </c>
      <c r="CA46" s="2873" t="str">
        <f t="shared" si="3"/>
        <v/>
      </c>
      <c r="CB46" s="2873" t="str">
        <f t="shared" si="4"/>
        <v/>
      </c>
      <c r="CC46" s="2873" t="str">
        <f t="shared" si="5"/>
        <v/>
      </c>
      <c r="CD46" s="2873" t="str">
        <f t="shared" si="6"/>
        <v/>
      </c>
      <c r="CE46" s="2873" t="str">
        <f>IF(AND($C46&lt;&gt;0,AR46=""),"* No olvide ingresar la columna Migrantes (Digite CERO si no tiene).  ",IF(AR46&gt;$C46,"* El Número de Migrantes no puede superar el Total. ",""))</f>
        <v/>
      </c>
      <c r="CF46" s="3008" t="str">
        <f>IF(AND(SUM(J46:M46)&gt;0,AS46=""),"* No olvide digitar la variable 14-18 años. Si no tiene digite Cero.",IF(AS46&gt;SUM(J46:M46),"* La variable 14-18 años no puede ser mayor al total por grupo edad de 10 a 19 años. ",""))</f>
        <v/>
      </c>
      <c r="CG46" s="2873" t="str">
        <f t="shared" si="8"/>
        <v/>
      </c>
      <c r="CH46" s="2873" t="str">
        <f t="shared" si="9"/>
        <v/>
      </c>
      <c r="CI46" s="2718"/>
      <c r="CJ46" s="1793">
        <f t="shared" si="10"/>
        <v>0</v>
      </c>
      <c r="CK46" s="1793">
        <f t="shared" si="11"/>
        <v>0</v>
      </c>
      <c r="CL46" s="1793">
        <f t="shared" si="12"/>
        <v>0</v>
      </c>
      <c r="CM46" s="1793">
        <f t="shared" si="13"/>
        <v>0</v>
      </c>
      <c r="CN46" s="1793">
        <f t="shared" si="14"/>
        <v>0</v>
      </c>
      <c r="CO46" s="3009">
        <f>IF(AND(SUM(J46:M46)&gt;0,AS46=""),1,IF(AS46&gt;SUM(J46:M46),1,0))</f>
        <v>0</v>
      </c>
      <c r="CP46" s="1793">
        <f t="shared" si="15"/>
        <v>0</v>
      </c>
      <c r="CQ46" s="1793">
        <f t="shared" si="16"/>
        <v>0</v>
      </c>
    </row>
    <row r="47" spans="1:95" x14ac:dyDescent="0.25">
      <c r="A47" s="6455"/>
      <c r="B47" s="3470" t="s">
        <v>275</v>
      </c>
      <c r="C47" s="3687">
        <f t="shared" si="0"/>
        <v>0</v>
      </c>
      <c r="D47" s="3644">
        <f t="shared" ref="D47:E51" si="19">SUM(J47+L47+N47+P47+R47+T47+V47+X47+Z47+AB47+AD47+AF47+AH47+AJ47+AL47)</f>
        <v>0</v>
      </c>
      <c r="E47" s="3709">
        <f>SUM(K47+M47+O47+Q47+S47+U47+W47+Y47+AA47+AC47+AE47+AG47+AI47+AK47+AM47)</f>
        <v>0</v>
      </c>
      <c r="F47" s="3721"/>
      <c r="G47" s="3722"/>
      <c r="H47" s="3721"/>
      <c r="I47" s="3722"/>
      <c r="J47" s="3574"/>
      <c r="K47" s="3577"/>
      <c r="L47" s="3574"/>
      <c r="M47" s="3577"/>
      <c r="N47" s="3574"/>
      <c r="O47" s="3577"/>
      <c r="P47" s="3574"/>
      <c r="Q47" s="3577"/>
      <c r="R47" s="3574"/>
      <c r="S47" s="3577"/>
      <c r="T47" s="3574"/>
      <c r="U47" s="3577"/>
      <c r="V47" s="3574"/>
      <c r="W47" s="3577"/>
      <c r="X47" s="3574"/>
      <c r="Y47" s="3577"/>
      <c r="Z47" s="3574"/>
      <c r="AA47" s="3577"/>
      <c r="AB47" s="3574"/>
      <c r="AC47" s="3577"/>
      <c r="AD47" s="3574"/>
      <c r="AE47" s="3577"/>
      <c r="AF47" s="3574"/>
      <c r="AG47" s="3577"/>
      <c r="AH47" s="3574"/>
      <c r="AI47" s="3577"/>
      <c r="AJ47" s="3574"/>
      <c r="AK47" s="3577"/>
      <c r="AL47" s="3710"/>
      <c r="AM47" s="3575"/>
      <c r="AN47" s="3711"/>
      <c r="AO47" s="3572"/>
      <c r="AP47" s="3609"/>
      <c r="AQ47" s="3637"/>
      <c r="AR47" s="3637"/>
      <c r="AS47" s="3637"/>
      <c r="AT47" s="3637"/>
      <c r="AU47" s="3637"/>
      <c r="AV47" s="1755" t="str">
        <f t="shared" ref="AV47:AV76" si="20">$CA47&amp;$CB47&amp;CC47&amp;CD47&amp;CE47&amp;CF47&amp;CG47&amp;CH47</f>
        <v/>
      </c>
      <c r="CA47" s="2873" t="str">
        <f t="shared" si="3"/>
        <v/>
      </c>
      <c r="CB47" s="2873" t="str">
        <f t="shared" si="4"/>
        <v/>
      </c>
      <c r="CC47" s="2873" t="str">
        <f t="shared" si="5"/>
        <v/>
      </c>
      <c r="CD47" s="2873" t="str">
        <f t="shared" si="6"/>
        <v/>
      </c>
      <c r="CE47" s="2873" t="str">
        <f t="shared" si="7"/>
        <v/>
      </c>
      <c r="CF47" s="3008" t="str">
        <f t="shared" ref="CF47:CF76" si="21">IF(AND(SUM(J47:M47)&gt;0,AS47=""),"* No olvide digitar la variable 14-18 años. Si no tiene digite Cero.",IF(AS47&gt;SUM(J47:M47),"* La variable 14-18 años no puede ser mayor al total por grupo edad de 10 a 19 años. ",""))</f>
        <v/>
      </c>
      <c r="CG47" s="2873" t="str">
        <f t="shared" si="8"/>
        <v/>
      </c>
      <c r="CH47" s="2873" t="str">
        <f t="shared" si="9"/>
        <v/>
      </c>
      <c r="CI47" s="2718"/>
      <c r="CJ47" s="1793">
        <f t="shared" si="10"/>
        <v>0</v>
      </c>
      <c r="CK47" s="1793">
        <f t="shared" si="11"/>
        <v>0</v>
      </c>
      <c r="CL47" s="1793">
        <f t="shared" si="12"/>
        <v>0</v>
      </c>
      <c r="CM47" s="1793">
        <f t="shared" si="13"/>
        <v>0</v>
      </c>
      <c r="CN47" s="1793">
        <f t="shared" si="14"/>
        <v>0</v>
      </c>
      <c r="CO47" s="3009">
        <f t="shared" ref="CO47:CO76" si="22">IF(AND(SUM(J47:M47)&gt;0,AS47=""),1,IF(AS47&gt;SUM(J47:M47),1,0))</f>
        <v>0</v>
      </c>
      <c r="CP47" s="1793">
        <f t="shared" si="15"/>
        <v>0</v>
      </c>
      <c r="CQ47" s="1793">
        <f t="shared" si="16"/>
        <v>0</v>
      </c>
    </row>
    <row r="48" spans="1:95" x14ac:dyDescent="0.25">
      <c r="A48" s="6455"/>
      <c r="B48" s="3470" t="s">
        <v>77</v>
      </c>
      <c r="C48" s="3687">
        <f t="shared" si="0"/>
        <v>0</v>
      </c>
      <c r="D48" s="3644">
        <f>SUM(J48+L48+N48+P48+R48+T48+V48+X48+Z48+AB48+AD48+AF48+AH48+AJ48+AL48)</f>
        <v>0</v>
      </c>
      <c r="E48" s="3709">
        <f>SUM(K48+M48+O48+Q48+S48+U48+W48+Y48+AA48+AC48+AE48+AG48+AI48+AK48+AM48)</f>
        <v>0</v>
      </c>
      <c r="F48" s="3721"/>
      <c r="G48" s="3722"/>
      <c r="H48" s="3721"/>
      <c r="I48" s="3722"/>
      <c r="J48" s="3574"/>
      <c r="K48" s="3577"/>
      <c r="L48" s="3574"/>
      <c r="M48" s="3577"/>
      <c r="N48" s="3574"/>
      <c r="O48" s="3577"/>
      <c r="P48" s="3574"/>
      <c r="Q48" s="3577"/>
      <c r="R48" s="3574"/>
      <c r="S48" s="3577"/>
      <c r="T48" s="3574"/>
      <c r="U48" s="3577"/>
      <c r="V48" s="3574"/>
      <c r="W48" s="3577"/>
      <c r="X48" s="3574"/>
      <c r="Y48" s="3577"/>
      <c r="Z48" s="3574"/>
      <c r="AA48" s="3577"/>
      <c r="AB48" s="3574"/>
      <c r="AC48" s="3577"/>
      <c r="AD48" s="3574"/>
      <c r="AE48" s="3577"/>
      <c r="AF48" s="3574"/>
      <c r="AG48" s="3577"/>
      <c r="AH48" s="3574"/>
      <c r="AI48" s="3577"/>
      <c r="AJ48" s="3574"/>
      <c r="AK48" s="3577"/>
      <c r="AL48" s="3710"/>
      <c r="AM48" s="3575"/>
      <c r="AN48" s="3711"/>
      <c r="AO48" s="3572"/>
      <c r="AP48" s="3609"/>
      <c r="AQ48" s="3637"/>
      <c r="AR48" s="3637"/>
      <c r="AS48" s="3637"/>
      <c r="AT48" s="3637"/>
      <c r="AU48" s="3637"/>
      <c r="AV48" s="1755" t="str">
        <f t="shared" si="20"/>
        <v/>
      </c>
      <c r="CA48" s="2873" t="str">
        <f t="shared" si="3"/>
        <v/>
      </c>
      <c r="CB48" s="2873" t="str">
        <f t="shared" si="4"/>
        <v/>
      </c>
      <c r="CC48" s="2873" t="str">
        <f t="shared" si="5"/>
        <v/>
      </c>
      <c r="CD48" s="2873" t="str">
        <f t="shared" si="6"/>
        <v/>
      </c>
      <c r="CE48" s="2873" t="str">
        <f t="shared" si="7"/>
        <v/>
      </c>
      <c r="CF48" s="3008" t="str">
        <f t="shared" si="21"/>
        <v/>
      </c>
      <c r="CG48" s="2873" t="str">
        <f t="shared" si="8"/>
        <v/>
      </c>
      <c r="CH48" s="2873" t="str">
        <f t="shared" si="9"/>
        <v/>
      </c>
      <c r="CI48" s="2718"/>
      <c r="CJ48" s="1793">
        <f t="shared" si="10"/>
        <v>0</v>
      </c>
      <c r="CK48" s="1793">
        <f t="shared" si="11"/>
        <v>0</v>
      </c>
      <c r="CL48" s="1793">
        <f t="shared" si="12"/>
        <v>0</v>
      </c>
      <c r="CM48" s="1793">
        <f t="shared" si="13"/>
        <v>0</v>
      </c>
      <c r="CN48" s="1793">
        <f t="shared" si="14"/>
        <v>0</v>
      </c>
      <c r="CO48" s="3009">
        <f t="shared" si="22"/>
        <v>0</v>
      </c>
      <c r="CP48" s="1793">
        <f t="shared" si="15"/>
        <v>0</v>
      </c>
      <c r="CQ48" s="1793">
        <f t="shared" si="16"/>
        <v>0</v>
      </c>
    </row>
    <row r="49" spans="1:95" x14ac:dyDescent="0.25">
      <c r="A49" s="6455"/>
      <c r="B49" s="3470" t="s">
        <v>2834</v>
      </c>
      <c r="C49" s="3687">
        <f t="shared" si="0"/>
        <v>0</v>
      </c>
      <c r="D49" s="3644">
        <f t="shared" si="19"/>
        <v>0</v>
      </c>
      <c r="E49" s="3709">
        <f t="shared" si="19"/>
        <v>0</v>
      </c>
      <c r="F49" s="3721"/>
      <c r="G49" s="3722"/>
      <c r="H49" s="3721"/>
      <c r="I49" s="3722"/>
      <c r="J49" s="3574"/>
      <c r="K49" s="3577"/>
      <c r="L49" s="3574"/>
      <c r="M49" s="3577"/>
      <c r="N49" s="3574"/>
      <c r="O49" s="3577"/>
      <c r="P49" s="3574"/>
      <c r="Q49" s="3577"/>
      <c r="R49" s="3574"/>
      <c r="S49" s="3577"/>
      <c r="T49" s="3574"/>
      <c r="U49" s="3577"/>
      <c r="V49" s="3574"/>
      <c r="W49" s="3577"/>
      <c r="X49" s="3574"/>
      <c r="Y49" s="3577"/>
      <c r="Z49" s="3574"/>
      <c r="AA49" s="3577"/>
      <c r="AB49" s="3574"/>
      <c r="AC49" s="3577"/>
      <c r="AD49" s="3574"/>
      <c r="AE49" s="3577"/>
      <c r="AF49" s="3574"/>
      <c r="AG49" s="3577"/>
      <c r="AH49" s="3574"/>
      <c r="AI49" s="3577"/>
      <c r="AJ49" s="3574"/>
      <c r="AK49" s="3577"/>
      <c r="AL49" s="3710"/>
      <c r="AM49" s="3575"/>
      <c r="AN49" s="3711"/>
      <c r="AO49" s="3572"/>
      <c r="AP49" s="3609"/>
      <c r="AQ49" s="3637"/>
      <c r="AR49" s="3637"/>
      <c r="AS49" s="3637"/>
      <c r="AT49" s="3637"/>
      <c r="AU49" s="3637"/>
      <c r="AV49" s="1755" t="str">
        <f t="shared" si="20"/>
        <v/>
      </c>
      <c r="CA49" s="2873" t="str">
        <f t="shared" si="3"/>
        <v/>
      </c>
      <c r="CB49" s="2873" t="str">
        <f t="shared" si="4"/>
        <v/>
      </c>
      <c r="CC49" s="2873" t="str">
        <f t="shared" si="5"/>
        <v/>
      </c>
      <c r="CD49" s="2873" t="str">
        <f t="shared" si="6"/>
        <v/>
      </c>
      <c r="CE49" s="2873" t="str">
        <f t="shared" si="7"/>
        <v/>
      </c>
      <c r="CF49" s="3008" t="str">
        <f t="shared" si="21"/>
        <v/>
      </c>
      <c r="CG49" s="2873" t="str">
        <f t="shared" si="8"/>
        <v/>
      </c>
      <c r="CH49" s="2873" t="str">
        <f t="shared" si="9"/>
        <v/>
      </c>
      <c r="CI49" s="2718"/>
      <c r="CJ49" s="1793">
        <f t="shared" si="10"/>
        <v>0</v>
      </c>
      <c r="CK49" s="1793">
        <f t="shared" si="11"/>
        <v>0</v>
      </c>
      <c r="CL49" s="1793">
        <f t="shared" si="12"/>
        <v>0</v>
      </c>
      <c r="CM49" s="1793">
        <f t="shared" si="13"/>
        <v>0</v>
      </c>
      <c r="CN49" s="1793">
        <f t="shared" si="14"/>
        <v>0</v>
      </c>
      <c r="CO49" s="3009">
        <f t="shared" si="22"/>
        <v>0</v>
      </c>
      <c r="CP49" s="1793">
        <f t="shared" si="15"/>
        <v>0</v>
      </c>
      <c r="CQ49" s="1793">
        <f t="shared" si="16"/>
        <v>0</v>
      </c>
    </row>
    <row r="50" spans="1:95" x14ac:dyDescent="0.25">
      <c r="A50" s="6455"/>
      <c r="B50" s="3135" t="s">
        <v>2836</v>
      </c>
      <c r="C50" s="4703">
        <f t="shared" si="0"/>
        <v>0</v>
      </c>
      <c r="D50" s="3644">
        <f>SUM(J50+L50+N50+P50+R50+T50+V50+X50+Z50+AB50+AD50+AF50+AH50+AJ50+AL50)</f>
        <v>0</v>
      </c>
      <c r="E50" s="3716">
        <f>SUM(K50+M50+O50+Q50+S50+U50+W50+Y50+AA50+AC50+AE50+AG50+AI50+AK50+AM50)</f>
        <v>0</v>
      </c>
      <c r="F50" s="3721"/>
      <c r="G50" s="3722"/>
      <c r="H50" s="3721"/>
      <c r="I50" s="3722"/>
      <c r="J50" s="410"/>
      <c r="K50" s="412"/>
      <c r="L50" s="410"/>
      <c r="M50" s="412"/>
      <c r="N50" s="410"/>
      <c r="O50" s="412"/>
      <c r="P50" s="410"/>
      <c r="Q50" s="412"/>
      <c r="R50" s="410"/>
      <c r="S50" s="412"/>
      <c r="T50" s="410"/>
      <c r="U50" s="412"/>
      <c r="V50" s="410"/>
      <c r="W50" s="412"/>
      <c r="X50" s="410"/>
      <c r="Y50" s="412"/>
      <c r="Z50" s="410"/>
      <c r="AA50" s="412"/>
      <c r="AB50" s="410"/>
      <c r="AC50" s="412"/>
      <c r="AD50" s="410"/>
      <c r="AE50" s="412"/>
      <c r="AF50" s="410"/>
      <c r="AG50" s="412"/>
      <c r="AH50" s="410"/>
      <c r="AI50" s="412"/>
      <c r="AJ50" s="410"/>
      <c r="AK50" s="412"/>
      <c r="AL50" s="3715"/>
      <c r="AM50" s="634"/>
      <c r="AN50" s="3711"/>
      <c r="AO50" s="414"/>
      <c r="AP50" s="411"/>
      <c r="AQ50" s="641"/>
      <c r="AR50" s="641"/>
      <c r="AS50" s="641"/>
      <c r="AT50" s="641"/>
      <c r="AU50" s="641"/>
      <c r="AV50" s="1755" t="str">
        <f t="shared" si="20"/>
        <v/>
      </c>
      <c r="CA50" s="2873" t="str">
        <f t="shared" si="3"/>
        <v/>
      </c>
      <c r="CB50" s="2873" t="str">
        <f t="shared" si="4"/>
        <v/>
      </c>
      <c r="CC50" s="2873" t="str">
        <f t="shared" si="5"/>
        <v/>
      </c>
      <c r="CD50" s="2873" t="str">
        <f t="shared" si="6"/>
        <v/>
      </c>
      <c r="CE50" s="2873" t="str">
        <f t="shared" si="7"/>
        <v/>
      </c>
      <c r="CF50" s="3008" t="str">
        <f t="shared" si="21"/>
        <v/>
      </c>
      <c r="CG50" s="2873" t="str">
        <f t="shared" si="8"/>
        <v/>
      </c>
      <c r="CH50" s="2873" t="str">
        <f t="shared" si="9"/>
        <v/>
      </c>
      <c r="CI50" s="2718"/>
      <c r="CJ50" s="1793">
        <f t="shared" si="10"/>
        <v>0</v>
      </c>
      <c r="CK50" s="1793">
        <f t="shared" si="11"/>
        <v>0</v>
      </c>
      <c r="CL50" s="1793">
        <f t="shared" si="12"/>
        <v>0</v>
      </c>
      <c r="CM50" s="1793">
        <f t="shared" si="13"/>
        <v>0</v>
      </c>
      <c r="CN50" s="1793">
        <f t="shared" si="14"/>
        <v>0</v>
      </c>
      <c r="CO50" s="3009">
        <f t="shared" si="22"/>
        <v>0</v>
      </c>
      <c r="CP50" s="1793">
        <f t="shared" si="15"/>
        <v>0</v>
      </c>
      <c r="CQ50" s="1793">
        <f t="shared" si="16"/>
        <v>0</v>
      </c>
    </row>
    <row r="51" spans="1:95" x14ac:dyDescent="0.25">
      <c r="A51" s="6457"/>
      <c r="B51" s="119" t="s">
        <v>2642</v>
      </c>
      <c r="C51" s="633">
        <f t="shared" si="0"/>
        <v>0</v>
      </c>
      <c r="D51" s="617">
        <f t="shared" si="19"/>
        <v>0</v>
      </c>
      <c r="E51" s="3718">
        <f t="shared" si="19"/>
        <v>0</v>
      </c>
      <c r="F51" s="3623"/>
      <c r="G51" s="3729"/>
      <c r="H51" s="3623"/>
      <c r="I51" s="3729"/>
      <c r="J51" s="3586"/>
      <c r="K51" s="3587"/>
      <c r="L51" s="3586"/>
      <c r="M51" s="3587"/>
      <c r="N51" s="3586"/>
      <c r="O51" s="3587"/>
      <c r="P51" s="3586"/>
      <c r="Q51" s="3587"/>
      <c r="R51" s="3586"/>
      <c r="S51" s="3587"/>
      <c r="T51" s="3586"/>
      <c r="U51" s="3587"/>
      <c r="V51" s="3586"/>
      <c r="W51" s="3587"/>
      <c r="X51" s="3586"/>
      <c r="Y51" s="3587"/>
      <c r="Z51" s="3586"/>
      <c r="AA51" s="3587"/>
      <c r="AB51" s="3586"/>
      <c r="AC51" s="3587"/>
      <c r="AD51" s="3586"/>
      <c r="AE51" s="3587"/>
      <c r="AF51" s="3586"/>
      <c r="AG51" s="3587"/>
      <c r="AH51" s="3586"/>
      <c r="AI51" s="3587"/>
      <c r="AJ51" s="3586"/>
      <c r="AK51" s="3587"/>
      <c r="AL51" s="3730"/>
      <c r="AM51" s="3588"/>
      <c r="AN51" s="3719"/>
      <c r="AO51" s="288"/>
      <c r="AP51" s="290"/>
      <c r="AQ51" s="384"/>
      <c r="AR51" s="384"/>
      <c r="AS51" s="384"/>
      <c r="AT51" s="384"/>
      <c r="AU51" s="384"/>
      <c r="AV51" s="1755" t="str">
        <f t="shared" si="20"/>
        <v/>
      </c>
      <c r="CA51" s="2873" t="str">
        <f t="shared" si="3"/>
        <v/>
      </c>
      <c r="CB51" s="2873" t="str">
        <f t="shared" si="4"/>
        <v/>
      </c>
      <c r="CC51" s="2873" t="str">
        <f t="shared" si="5"/>
        <v/>
      </c>
      <c r="CD51" s="2873" t="str">
        <f t="shared" si="6"/>
        <v/>
      </c>
      <c r="CE51" s="2873" t="str">
        <f t="shared" si="7"/>
        <v/>
      </c>
      <c r="CF51" s="3008" t="str">
        <f t="shared" si="21"/>
        <v/>
      </c>
      <c r="CG51" s="2873" t="str">
        <f t="shared" si="8"/>
        <v/>
      </c>
      <c r="CH51" s="2873" t="str">
        <f t="shared" si="9"/>
        <v/>
      </c>
      <c r="CI51" s="2718"/>
      <c r="CJ51" s="1793">
        <f t="shared" si="10"/>
        <v>0</v>
      </c>
      <c r="CK51" s="1793">
        <f t="shared" si="11"/>
        <v>0</v>
      </c>
      <c r="CL51" s="1793">
        <f t="shared" si="12"/>
        <v>0</v>
      </c>
      <c r="CM51" s="1793">
        <f t="shared" si="13"/>
        <v>0</v>
      </c>
      <c r="CN51" s="1793">
        <f t="shared" si="14"/>
        <v>0</v>
      </c>
      <c r="CO51" s="3009">
        <f t="shared" si="22"/>
        <v>0</v>
      </c>
      <c r="CP51" s="1793">
        <f t="shared" si="15"/>
        <v>0</v>
      </c>
      <c r="CQ51" s="1793">
        <f t="shared" si="16"/>
        <v>0</v>
      </c>
    </row>
    <row r="52" spans="1:95" x14ac:dyDescent="0.25">
      <c r="A52" s="6488" t="s">
        <v>2839</v>
      </c>
      <c r="B52" s="3467" t="s">
        <v>74</v>
      </c>
      <c r="C52" s="4699">
        <f t="shared" si="0"/>
        <v>0</v>
      </c>
      <c r="D52" s="4697">
        <f t="shared" ref="D52:E55" si="23">SUM(J52+L52+N52+P52+R52+T52+V52+X52+Z52+AB52)</f>
        <v>0</v>
      </c>
      <c r="E52" s="3701">
        <f t="shared" si="23"/>
        <v>0</v>
      </c>
      <c r="F52" s="3618"/>
      <c r="G52" s="3720"/>
      <c r="H52" s="3618"/>
      <c r="I52" s="3720"/>
      <c r="J52" s="3590"/>
      <c r="K52" s="3593"/>
      <c r="L52" s="3590"/>
      <c r="M52" s="3593"/>
      <c r="N52" s="3590"/>
      <c r="O52" s="3593"/>
      <c r="P52" s="3590"/>
      <c r="Q52" s="3593"/>
      <c r="R52" s="3590"/>
      <c r="S52" s="3593"/>
      <c r="T52" s="3590"/>
      <c r="U52" s="3593"/>
      <c r="V52" s="3590"/>
      <c r="W52" s="3593"/>
      <c r="X52" s="3590"/>
      <c r="Y52" s="3593"/>
      <c r="Z52" s="3590"/>
      <c r="AA52" s="3593"/>
      <c r="AB52" s="3574"/>
      <c r="AC52" s="3577"/>
      <c r="AD52" s="3580"/>
      <c r="AE52" s="3582"/>
      <c r="AF52" s="3604"/>
      <c r="AG52" s="3605"/>
      <c r="AH52" s="3604"/>
      <c r="AI52" s="3605"/>
      <c r="AJ52" s="3604"/>
      <c r="AK52" s="3605"/>
      <c r="AL52" s="3731"/>
      <c r="AM52" s="3606"/>
      <c r="AN52" s="640"/>
      <c r="AO52" s="3620"/>
      <c r="AP52" s="3596"/>
      <c r="AQ52" s="3707"/>
      <c r="AR52" s="3707"/>
      <c r="AS52" s="3707"/>
      <c r="AT52" s="3707"/>
      <c r="AU52" s="3707"/>
      <c r="AV52" s="1755" t="str">
        <f t="shared" si="20"/>
        <v/>
      </c>
      <c r="CA52" s="2873" t="str">
        <f t="shared" si="3"/>
        <v/>
      </c>
      <c r="CB52" s="2873" t="str">
        <f t="shared" si="4"/>
        <v/>
      </c>
      <c r="CC52" s="2873" t="str">
        <f t="shared" si="5"/>
        <v/>
      </c>
      <c r="CD52" s="2873" t="str">
        <f t="shared" si="6"/>
        <v/>
      </c>
      <c r="CE52" s="2873" t="str">
        <f t="shared" si="7"/>
        <v/>
      </c>
      <c r="CF52" s="3008" t="str">
        <f t="shared" si="21"/>
        <v/>
      </c>
      <c r="CG52" s="2873" t="str">
        <f t="shared" si="8"/>
        <v/>
      </c>
      <c r="CH52" s="2873" t="str">
        <f t="shared" si="9"/>
        <v/>
      </c>
      <c r="CI52" s="2718"/>
      <c r="CJ52" s="1793">
        <f t="shared" si="10"/>
        <v>0</v>
      </c>
      <c r="CK52" s="1793">
        <f t="shared" si="11"/>
        <v>0</v>
      </c>
      <c r="CL52" s="1793">
        <f t="shared" si="12"/>
        <v>0</v>
      </c>
      <c r="CM52" s="1793">
        <f t="shared" si="13"/>
        <v>0</v>
      </c>
      <c r="CN52" s="1793">
        <f t="shared" si="14"/>
        <v>0</v>
      </c>
      <c r="CO52" s="3009">
        <f t="shared" si="22"/>
        <v>0</v>
      </c>
      <c r="CP52" s="1793">
        <f t="shared" si="15"/>
        <v>0</v>
      </c>
      <c r="CQ52" s="1793">
        <f t="shared" si="16"/>
        <v>0</v>
      </c>
    </row>
    <row r="53" spans="1:95" x14ac:dyDescent="0.25">
      <c r="A53" s="6455"/>
      <c r="B53" s="3470" t="s">
        <v>77</v>
      </c>
      <c r="C53" s="3687">
        <f t="shared" si="0"/>
        <v>0</v>
      </c>
      <c r="D53" s="3644">
        <f t="shared" si="23"/>
        <v>0</v>
      </c>
      <c r="E53" s="3709">
        <f t="shared" si="23"/>
        <v>0</v>
      </c>
      <c r="F53" s="3721"/>
      <c r="G53" s="3722"/>
      <c r="H53" s="3721"/>
      <c r="I53" s="3722"/>
      <c r="J53" s="3574"/>
      <c r="K53" s="3577"/>
      <c r="L53" s="3574"/>
      <c r="M53" s="3577"/>
      <c r="N53" s="3574"/>
      <c r="O53" s="3577"/>
      <c r="P53" s="3574"/>
      <c r="Q53" s="3577"/>
      <c r="R53" s="3574"/>
      <c r="S53" s="3577"/>
      <c r="T53" s="3574"/>
      <c r="U53" s="3577"/>
      <c r="V53" s="3574"/>
      <c r="W53" s="3577"/>
      <c r="X53" s="3574"/>
      <c r="Y53" s="3577"/>
      <c r="Z53" s="3574"/>
      <c r="AA53" s="3577"/>
      <c r="AB53" s="3574"/>
      <c r="AC53" s="3577"/>
      <c r="AD53" s="3580"/>
      <c r="AE53" s="3582"/>
      <c r="AF53" s="3570"/>
      <c r="AG53" s="3571"/>
      <c r="AH53" s="3570"/>
      <c r="AI53" s="3571"/>
      <c r="AJ53" s="3570"/>
      <c r="AK53" s="3571"/>
      <c r="AL53" s="3732"/>
      <c r="AM53" s="3583"/>
      <c r="AN53" s="3711"/>
      <c r="AO53" s="3572"/>
      <c r="AP53" s="3609"/>
      <c r="AQ53" s="3637"/>
      <c r="AR53" s="3637"/>
      <c r="AS53" s="3637"/>
      <c r="AT53" s="3637"/>
      <c r="AU53" s="3637"/>
      <c r="AV53" s="1755" t="str">
        <f t="shared" si="20"/>
        <v/>
      </c>
      <c r="CA53" s="2873" t="str">
        <f t="shared" si="3"/>
        <v/>
      </c>
      <c r="CB53" s="2873" t="str">
        <f t="shared" si="4"/>
        <v/>
      </c>
      <c r="CC53" s="2873" t="str">
        <f t="shared" si="5"/>
        <v/>
      </c>
      <c r="CD53" s="2873" t="str">
        <f t="shared" si="6"/>
        <v/>
      </c>
      <c r="CE53" s="2873" t="str">
        <f t="shared" si="7"/>
        <v/>
      </c>
      <c r="CF53" s="3008" t="str">
        <f t="shared" si="21"/>
        <v/>
      </c>
      <c r="CG53" s="2873" t="str">
        <f t="shared" si="8"/>
        <v/>
      </c>
      <c r="CH53" s="2873" t="str">
        <f t="shared" si="9"/>
        <v/>
      </c>
      <c r="CI53" s="2718"/>
      <c r="CJ53" s="1793">
        <f t="shared" si="10"/>
        <v>0</v>
      </c>
      <c r="CK53" s="1793">
        <f t="shared" si="11"/>
        <v>0</v>
      </c>
      <c r="CL53" s="1793">
        <f t="shared" si="12"/>
        <v>0</v>
      </c>
      <c r="CM53" s="1793">
        <f t="shared" si="13"/>
        <v>0</v>
      </c>
      <c r="CN53" s="1793">
        <f t="shared" si="14"/>
        <v>0</v>
      </c>
      <c r="CO53" s="3009">
        <f t="shared" si="22"/>
        <v>0</v>
      </c>
      <c r="CP53" s="1793">
        <f t="shared" si="15"/>
        <v>0</v>
      </c>
      <c r="CQ53" s="1793">
        <f t="shared" si="16"/>
        <v>0</v>
      </c>
    </row>
    <row r="54" spans="1:95" x14ac:dyDescent="0.25">
      <c r="A54" s="6455"/>
      <c r="B54" s="112" t="s">
        <v>2836</v>
      </c>
      <c r="C54" s="3687">
        <f t="shared" si="0"/>
        <v>0</v>
      </c>
      <c r="D54" s="3644">
        <f t="shared" si="23"/>
        <v>0</v>
      </c>
      <c r="E54" s="3716">
        <f t="shared" si="23"/>
        <v>0</v>
      </c>
      <c r="F54" s="3721"/>
      <c r="G54" s="3722"/>
      <c r="H54" s="3721"/>
      <c r="I54" s="3722"/>
      <c r="J54" s="410"/>
      <c r="K54" s="412"/>
      <c r="L54" s="410"/>
      <c r="M54" s="412"/>
      <c r="N54" s="410"/>
      <c r="O54" s="412"/>
      <c r="P54" s="410"/>
      <c r="Q54" s="412"/>
      <c r="R54" s="410"/>
      <c r="S54" s="412"/>
      <c r="T54" s="410"/>
      <c r="U54" s="412"/>
      <c r="V54" s="410"/>
      <c r="W54" s="412"/>
      <c r="X54" s="410"/>
      <c r="Y54" s="412"/>
      <c r="Z54" s="410"/>
      <c r="AA54" s="412"/>
      <c r="AB54" s="3574"/>
      <c r="AC54" s="3577"/>
      <c r="AD54" s="3580"/>
      <c r="AE54" s="3582"/>
      <c r="AF54" s="3721"/>
      <c r="AG54" s="3733"/>
      <c r="AH54" s="3721"/>
      <c r="AI54" s="3733"/>
      <c r="AJ54" s="3721"/>
      <c r="AK54" s="3733"/>
      <c r="AL54" s="3734"/>
      <c r="AM54" s="3735"/>
      <c r="AN54" s="3711"/>
      <c r="AO54" s="414"/>
      <c r="AP54" s="411"/>
      <c r="AQ54" s="641"/>
      <c r="AR54" s="641"/>
      <c r="AS54" s="641"/>
      <c r="AT54" s="641"/>
      <c r="AU54" s="641"/>
      <c r="AV54" s="1755" t="str">
        <f t="shared" si="20"/>
        <v/>
      </c>
      <c r="CA54" s="2873" t="str">
        <f t="shared" si="3"/>
        <v/>
      </c>
      <c r="CB54" s="2873" t="str">
        <f t="shared" si="4"/>
        <v/>
      </c>
      <c r="CC54" s="2873" t="str">
        <f t="shared" si="5"/>
        <v/>
      </c>
      <c r="CD54" s="2873" t="str">
        <f t="shared" si="6"/>
        <v/>
      </c>
      <c r="CE54" s="2873" t="str">
        <f t="shared" si="7"/>
        <v/>
      </c>
      <c r="CF54" s="3008" t="str">
        <f t="shared" si="21"/>
        <v/>
      </c>
      <c r="CG54" s="2873" t="str">
        <f t="shared" si="8"/>
        <v/>
      </c>
      <c r="CH54" s="2873" t="str">
        <f t="shared" si="9"/>
        <v/>
      </c>
      <c r="CI54" s="2718"/>
      <c r="CJ54" s="1793">
        <f t="shared" si="10"/>
        <v>0</v>
      </c>
      <c r="CK54" s="1793">
        <f t="shared" si="11"/>
        <v>0</v>
      </c>
      <c r="CL54" s="1793">
        <f t="shared" si="12"/>
        <v>0</v>
      </c>
      <c r="CM54" s="1793">
        <f t="shared" si="13"/>
        <v>0</v>
      </c>
      <c r="CN54" s="1793">
        <f t="shared" si="14"/>
        <v>0</v>
      </c>
      <c r="CO54" s="3009">
        <f t="shared" si="22"/>
        <v>0</v>
      </c>
      <c r="CP54" s="1793">
        <f t="shared" si="15"/>
        <v>0</v>
      </c>
      <c r="CQ54" s="1793">
        <f t="shared" si="16"/>
        <v>0</v>
      </c>
    </row>
    <row r="55" spans="1:95" x14ac:dyDescent="0.25">
      <c r="A55" s="6457"/>
      <c r="B55" s="119" t="s">
        <v>2642</v>
      </c>
      <c r="C55" s="633">
        <f t="shared" si="0"/>
        <v>0</v>
      </c>
      <c r="D55" s="617">
        <f t="shared" si="23"/>
        <v>0</v>
      </c>
      <c r="E55" s="3718">
        <f t="shared" si="23"/>
        <v>0</v>
      </c>
      <c r="F55" s="3623"/>
      <c r="G55" s="3729"/>
      <c r="H55" s="3623"/>
      <c r="I55" s="3729"/>
      <c r="J55" s="3586"/>
      <c r="K55" s="3587"/>
      <c r="L55" s="3586"/>
      <c r="M55" s="3587"/>
      <c r="N55" s="3586"/>
      <c r="O55" s="3587"/>
      <c r="P55" s="3586"/>
      <c r="Q55" s="3587"/>
      <c r="R55" s="3586"/>
      <c r="S55" s="3587"/>
      <c r="T55" s="3586"/>
      <c r="U55" s="3587"/>
      <c r="V55" s="3586"/>
      <c r="W55" s="3587"/>
      <c r="X55" s="3586"/>
      <c r="Y55" s="3587"/>
      <c r="Z55" s="3586"/>
      <c r="AA55" s="3587"/>
      <c r="AB55" s="3574"/>
      <c r="AC55" s="3577"/>
      <c r="AD55" s="3580"/>
      <c r="AE55" s="3582"/>
      <c r="AF55" s="3623"/>
      <c r="AG55" s="3736"/>
      <c r="AH55" s="3623"/>
      <c r="AI55" s="3736"/>
      <c r="AJ55" s="3623"/>
      <c r="AK55" s="3736"/>
      <c r="AL55" s="3737"/>
      <c r="AM55" s="3625"/>
      <c r="AN55" s="3719"/>
      <c r="AO55" s="288"/>
      <c r="AP55" s="290"/>
      <c r="AQ55" s="384"/>
      <c r="AR55" s="384"/>
      <c r="AS55" s="384"/>
      <c r="AT55" s="384"/>
      <c r="AU55" s="384"/>
      <c r="AV55" s="1755" t="str">
        <f t="shared" si="20"/>
        <v/>
      </c>
      <c r="CA55" s="2873" t="str">
        <f t="shared" si="3"/>
        <v/>
      </c>
      <c r="CB55" s="2873" t="str">
        <f t="shared" si="4"/>
        <v/>
      </c>
      <c r="CC55" s="2873" t="str">
        <f t="shared" si="5"/>
        <v/>
      </c>
      <c r="CD55" s="2873" t="str">
        <f t="shared" si="6"/>
        <v/>
      </c>
      <c r="CE55" s="2873" t="str">
        <f t="shared" si="7"/>
        <v/>
      </c>
      <c r="CF55" s="3008" t="str">
        <f t="shared" si="21"/>
        <v/>
      </c>
      <c r="CG55" s="2873" t="str">
        <f t="shared" si="8"/>
        <v/>
      </c>
      <c r="CH55" s="2873" t="str">
        <f t="shared" si="9"/>
        <v/>
      </c>
      <c r="CI55" s="2718"/>
      <c r="CJ55" s="1793">
        <f t="shared" si="10"/>
        <v>0</v>
      </c>
      <c r="CK55" s="1793">
        <f t="shared" si="11"/>
        <v>0</v>
      </c>
      <c r="CL55" s="1793">
        <f t="shared" si="12"/>
        <v>0</v>
      </c>
      <c r="CM55" s="1793">
        <f t="shared" si="13"/>
        <v>0</v>
      </c>
      <c r="CN55" s="1793">
        <f t="shared" si="14"/>
        <v>0</v>
      </c>
      <c r="CO55" s="3009">
        <f t="shared" si="22"/>
        <v>0</v>
      </c>
      <c r="CP55" s="1793">
        <f t="shared" si="15"/>
        <v>0</v>
      </c>
      <c r="CQ55" s="1793">
        <f t="shared" si="16"/>
        <v>0</v>
      </c>
    </row>
    <row r="56" spans="1:95" x14ac:dyDescent="0.25">
      <c r="A56" s="6488" t="s">
        <v>2840</v>
      </c>
      <c r="B56" s="3467" t="s">
        <v>74</v>
      </c>
      <c r="C56" s="4699">
        <f t="shared" si="0"/>
        <v>0</v>
      </c>
      <c r="D56" s="4697">
        <f>SUM(J56+L56+N56+P56+R56+T56+V56+X56+Z56+AB56+AD56+AF56+AH56+AJ56+AL56)</f>
        <v>0</v>
      </c>
      <c r="E56" s="3701">
        <f>SUM(K56+M56+O56+Q56+S56+U56+W56+Y56+AA56+AC56+AE56+AG56+AI56+AK56+AM56)</f>
        <v>0</v>
      </c>
      <c r="F56" s="3618"/>
      <c r="G56" s="3720"/>
      <c r="H56" s="3618"/>
      <c r="I56" s="3720"/>
      <c r="J56" s="3590"/>
      <c r="K56" s="3593"/>
      <c r="L56" s="3590"/>
      <c r="M56" s="3593"/>
      <c r="N56" s="3590"/>
      <c r="O56" s="3593"/>
      <c r="P56" s="3590"/>
      <c r="Q56" s="3593"/>
      <c r="R56" s="3590"/>
      <c r="S56" s="3593"/>
      <c r="T56" s="3590"/>
      <c r="U56" s="3593"/>
      <c r="V56" s="3590"/>
      <c r="W56" s="3593"/>
      <c r="X56" s="3590"/>
      <c r="Y56" s="3593"/>
      <c r="Z56" s="3590"/>
      <c r="AA56" s="3593"/>
      <c r="AB56" s="3590"/>
      <c r="AC56" s="3593"/>
      <c r="AD56" s="3590"/>
      <c r="AE56" s="3593"/>
      <c r="AF56" s="3590"/>
      <c r="AG56" s="3593"/>
      <c r="AH56" s="3590"/>
      <c r="AI56" s="3593"/>
      <c r="AJ56" s="3590"/>
      <c r="AK56" s="3593"/>
      <c r="AL56" s="3703"/>
      <c r="AM56" s="3704"/>
      <c r="AN56" s="640"/>
      <c r="AO56" s="3620"/>
      <c r="AP56" s="3596"/>
      <c r="AQ56" s="3707"/>
      <c r="AR56" s="3707"/>
      <c r="AS56" s="3707"/>
      <c r="AT56" s="3707"/>
      <c r="AU56" s="3707"/>
      <c r="AV56" s="1755" t="str">
        <f t="shared" si="20"/>
        <v/>
      </c>
      <c r="CA56" s="2873" t="str">
        <f t="shared" si="3"/>
        <v/>
      </c>
      <c r="CB56" s="2873" t="str">
        <f t="shared" si="4"/>
        <v/>
      </c>
      <c r="CC56" s="2873" t="str">
        <f t="shared" si="5"/>
        <v/>
      </c>
      <c r="CD56" s="2873" t="str">
        <f t="shared" si="6"/>
        <v/>
      </c>
      <c r="CE56" s="2873" t="str">
        <f t="shared" si="7"/>
        <v/>
      </c>
      <c r="CF56" s="3008" t="str">
        <f t="shared" si="21"/>
        <v/>
      </c>
      <c r="CG56" s="2873" t="str">
        <f t="shared" si="8"/>
        <v/>
      </c>
      <c r="CH56" s="2873" t="str">
        <f t="shared" si="9"/>
        <v/>
      </c>
      <c r="CI56" s="2718"/>
      <c r="CJ56" s="1793">
        <f t="shared" si="10"/>
        <v>0</v>
      </c>
      <c r="CK56" s="1793">
        <f t="shared" si="11"/>
        <v>0</v>
      </c>
      <c r="CL56" s="1793">
        <f t="shared" si="12"/>
        <v>0</v>
      </c>
      <c r="CM56" s="1793">
        <f t="shared" si="13"/>
        <v>0</v>
      </c>
      <c r="CN56" s="1793">
        <f t="shared" si="14"/>
        <v>0</v>
      </c>
      <c r="CO56" s="3009">
        <f t="shared" si="22"/>
        <v>0</v>
      </c>
      <c r="CP56" s="1793">
        <f t="shared" si="15"/>
        <v>0</v>
      </c>
      <c r="CQ56" s="1793">
        <f t="shared" si="16"/>
        <v>0</v>
      </c>
    </row>
    <row r="57" spans="1:95" x14ac:dyDescent="0.25">
      <c r="A57" s="6455"/>
      <c r="B57" s="3470" t="s">
        <v>275</v>
      </c>
      <c r="C57" s="3687">
        <f t="shared" si="0"/>
        <v>0</v>
      </c>
      <c r="D57" s="3644">
        <f t="shared" ref="D57:E62" si="24">SUM(J57+L57+N57+P57+R57+T57+V57+X57+Z57+AB57+AD57+AF57+AH57+AJ57+AL57)</f>
        <v>0</v>
      </c>
      <c r="E57" s="3709">
        <f t="shared" si="24"/>
        <v>0</v>
      </c>
      <c r="F57" s="3721"/>
      <c r="G57" s="3722"/>
      <c r="H57" s="3721"/>
      <c r="I57" s="3722"/>
      <c r="J57" s="3574"/>
      <c r="K57" s="3577"/>
      <c r="L57" s="3574"/>
      <c r="M57" s="3577"/>
      <c r="N57" s="3574"/>
      <c r="O57" s="3577"/>
      <c r="P57" s="3574"/>
      <c r="Q57" s="3577"/>
      <c r="R57" s="3574"/>
      <c r="S57" s="3577"/>
      <c r="T57" s="3574"/>
      <c r="U57" s="3577"/>
      <c r="V57" s="3574"/>
      <c r="W57" s="3577"/>
      <c r="X57" s="3574"/>
      <c r="Y57" s="3577"/>
      <c r="Z57" s="3574"/>
      <c r="AA57" s="3577"/>
      <c r="AB57" s="3574"/>
      <c r="AC57" s="3577"/>
      <c r="AD57" s="3574"/>
      <c r="AE57" s="3577"/>
      <c r="AF57" s="3574"/>
      <c r="AG57" s="3577"/>
      <c r="AH57" s="3574"/>
      <c r="AI57" s="3577"/>
      <c r="AJ57" s="3574"/>
      <c r="AK57" s="3577"/>
      <c r="AL57" s="3710"/>
      <c r="AM57" s="3575"/>
      <c r="AN57" s="3711"/>
      <c r="AO57" s="3692"/>
      <c r="AP57" s="3592"/>
      <c r="AQ57" s="3738"/>
      <c r="AR57" s="3738"/>
      <c r="AS57" s="3738"/>
      <c r="AT57" s="3738"/>
      <c r="AU57" s="3738"/>
      <c r="AV57" s="1755" t="str">
        <f t="shared" si="20"/>
        <v/>
      </c>
      <c r="CA57" s="2873" t="str">
        <f t="shared" si="3"/>
        <v/>
      </c>
      <c r="CB57" s="2873" t="str">
        <f t="shared" si="4"/>
        <v/>
      </c>
      <c r="CC57" s="2873" t="str">
        <f t="shared" si="5"/>
        <v/>
      </c>
      <c r="CD57" s="2873" t="str">
        <f t="shared" si="6"/>
        <v/>
      </c>
      <c r="CE57" s="2873" t="str">
        <f t="shared" si="7"/>
        <v/>
      </c>
      <c r="CF57" s="3008" t="str">
        <f t="shared" si="21"/>
        <v/>
      </c>
      <c r="CG57" s="2873" t="str">
        <f t="shared" si="8"/>
        <v/>
      </c>
      <c r="CH57" s="2873" t="str">
        <f t="shared" si="9"/>
        <v/>
      </c>
      <c r="CI57" s="2718"/>
      <c r="CJ57" s="1793">
        <f t="shared" si="10"/>
        <v>0</v>
      </c>
      <c r="CK57" s="1793">
        <f t="shared" si="11"/>
        <v>0</v>
      </c>
      <c r="CL57" s="1793">
        <f t="shared" si="12"/>
        <v>0</v>
      </c>
      <c r="CM57" s="1793">
        <f t="shared" si="13"/>
        <v>0</v>
      </c>
      <c r="CN57" s="1793">
        <f t="shared" si="14"/>
        <v>0</v>
      </c>
      <c r="CO57" s="3009">
        <f t="shared" si="22"/>
        <v>0</v>
      </c>
      <c r="CP57" s="1793">
        <f t="shared" si="15"/>
        <v>0</v>
      </c>
      <c r="CQ57" s="1793">
        <f t="shared" si="16"/>
        <v>0</v>
      </c>
    </row>
    <row r="58" spans="1:95" x14ac:dyDescent="0.25">
      <c r="A58" s="6455"/>
      <c r="B58" s="3470" t="s">
        <v>77</v>
      </c>
      <c r="C58" s="3687">
        <f t="shared" si="0"/>
        <v>0</v>
      </c>
      <c r="D58" s="3644">
        <f t="shared" si="24"/>
        <v>0</v>
      </c>
      <c r="E58" s="3709">
        <f t="shared" si="24"/>
        <v>0</v>
      </c>
      <c r="F58" s="3721"/>
      <c r="G58" s="3722"/>
      <c r="H58" s="3721"/>
      <c r="I58" s="3722"/>
      <c r="J58" s="3574"/>
      <c r="K58" s="3577"/>
      <c r="L58" s="3574"/>
      <c r="M58" s="3577"/>
      <c r="N58" s="3574"/>
      <c r="O58" s="3577"/>
      <c r="P58" s="3574"/>
      <c r="Q58" s="3577"/>
      <c r="R58" s="3574"/>
      <c r="S58" s="3577"/>
      <c r="T58" s="3574"/>
      <c r="U58" s="3577"/>
      <c r="V58" s="3574"/>
      <c r="W58" s="3577"/>
      <c r="X58" s="3574"/>
      <c r="Y58" s="3577"/>
      <c r="Z58" s="3574"/>
      <c r="AA58" s="3577"/>
      <c r="AB58" s="3574"/>
      <c r="AC58" s="3577"/>
      <c r="AD58" s="3574"/>
      <c r="AE58" s="3577"/>
      <c r="AF58" s="3574"/>
      <c r="AG58" s="3577"/>
      <c r="AH58" s="3574"/>
      <c r="AI58" s="3577"/>
      <c r="AJ58" s="3574"/>
      <c r="AK58" s="3577"/>
      <c r="AL58" s="3710"/>
      <c r="AM58" s="3575"/>
      <c r="AN58" s="3711"/>
      <c r="AO58" s="3572"/>
      <c r="AP58" s="3609"/>
      <c r="AQ58" s="3637"/>
      <c r="AR58" s="3637"/>
      <c r="AS58" s="3637"/>
      <c r="AT58" s="3637"/>
      <c r="AU58" s="3637"/>
      <c r="AV58" s="1755" t="str">
        <f t="shared" si="20"/>
        <v/>
      </c>
      <c r="CA58" s="2873" t="str">
        <f t="shared" si="3"/>
        <v/>
      </c>
      <c r="CB58" s="2873" t="str">
        <f t="shared" si="4"/>
        <v/>
      </c>
      <c r="CC58" s="2873" t="str">
        <f t="shared" si="5"/>
        <v/>
      </c>
      <c r="CD58" s="2873" t="str">
        <f t="shared" si="6"/>
        <v/>
      </c>
      <c r="CE58" s="2873" t="str">
        <f t="shared" si="7"/>
        <v/>
      </c>
      <c r="CF58" s="3008" t="str">
        <f t="shared" si="21"/>
        <v/>
      </c>
      <c r="CG58" s="2873" t="str">
        <f t="shared" si="8"/>
        <v/>
      </c>
      <c r="CH58" s="2873" t="str">
        <f t="shared" si="9"/>
        <v/>
      </c>
      <c r="CI58" s="2718"/>
      <c r="CJ58" s="1793">
        <f t="shared" si="10"/>
        <v>0</v>
      </c>
      <c r="CK58" s="1793">
        <f t="shared" si="11"/>
        <v>0</v>
      </c>
      <c r="CL58" s="1793">
        <f t="shared" si="12"/>
        <v>0</v>
      </c>
      <c r="CM58" s="1793">
        <f t="shared" si="13"/>
        <v>0</v>
      </c>
      <c r="CN58" s="1793">
        <f t="shared" si="14"/>
        <v>0</v>
      </c>
      <c r="CO58" s="3009">
        <f t="shared" si="22"/>
        <v>0</v>
      </c>
      <c r="CP58" s="1793">
        <f t="shared" si="15"/>
        <v>0</v>
      </c>
      <c r="CQ58" s="1793">
        <f t="shared" si="16"/>
        <v>0</v>
      </c>
    </row>
    <row r="59" spans="1:95" x14ac:dyDescent="0.25">
      <c r="A59" s="6455"/>
      <c r="B59" s="3470" t="s">
        <v>566</v>
      </c>
      <c r="C59" s="3687">
        <f t="shared" si="0"/>
        <v>0</v>
      </c>
      <c r="D59" s="3644">
        <f t="shared" si="24"/>
        <v>0</v>
      </c>
      <c r="E59" s="3709">
        <f t="shared" si="24"/>
        <v>0</v>
      </c>
      <c r="F59" s="3721"/>
      <c r="G59" s="3722"/>
      <c r="H59" s="3721"/>
      <c r="I59" s="3722"/>
      <c r="J59" s="3574"/>
      <c r="K59" s="3577"/>
      <c r="L59" s="3574"/>
      <c r="M59" s="3577"/>
      <c r="N59" s="3574"/>
      <c r="O59" s="3577"/>
      <c r="P59" s="3574"/>
      <c r="Q59" s="3577"/>
      <c r="R59" s="3574"/>
      <c r="S59" s="3577"/>
      <c r="T59" s="3574"/>
      <c r="U59" s="3577"/>
      <c r="V59" s="3574"/>
      <c r="W59" s="3577"/>
      <c r="X59" s="3574"/>
      <c r="Y59" s="3577"/>
      <c r="Z59" s="3574"/>
      <c r="AA59" s="3577"/>
      <c r="AB59" s="3574"/>
      <c r="AC59" s="3577"/>
      <c r="AD59" s="3574"/>
      <c r="AE59" s="3577"/>
      <c r="AF59" s="3574"/>
      <c r="AG59" s="3577"/>
      <c r="AH59" s="3574"/>
      <c r="AI59" s="3577"/>
      <c r="AJ59" s="3574"/>
      <c r="AK59" s="3577"/>
      <c r="AL59" s="3710"/>
      <c r="AM59" s="3575"/>
      <c r="AN59" s="3711"/>
      <c r="AO59" s="3572"/>
      <c r="AP59" s="3609"/>
      <c r="AQ59" s="3637"/>
      <c r="AR59" s="3637"/>
      <c r="AS59" s="3637"/>
      <c r="AT59" s="3637"/>
      <c r="AU59" s="3637"/>
      <c r="AV59" s="1755" t="str">
        <f t="shared" si="20"/>
        <v/>
      </c>
      <c r="CA59" s="2873" t="str">
        <f t="shared" si="3"/>
        <v/>
      </c>
      <c r="CB59" s="2873" t="str">
        <f t="shared" si="4"/>
        <v/>
      </c>
      <c r="CC59" s="2873" t="str">
        <f t="shared" si="5"/>
        <v/>
      </c>
      <c r="CD59" s="2873" t="str">
        <f t="shared" si="6"/>
        <v/>
      </c>
      <c r="CE59" s="2873" t="str">
        <f t="shared" si="7"/>
        <v/>
      </c>
      <c r="CF59" s="3008" t="str">
        <f t="shared" si="21"/>
        <v/>
      </c>
      <c r="CG59" s="2873" t="str">
        <f t="shared" si="8"/>
        <v/>
      </c>
      <c r="CH59" s="2873" t="str">
        <f t="shared" si="9"/>
        <v/>
      </c>
      <c r="CI59" s="2718"/>
      <c r="CJ59" s="1793">
        <f t="shared" si="10"/>
        <v>0</v>
      </c>
      <c r="CK59" s="1793">
        <f t="shared" si="11"/>
        <v>0</v>
      </c>
      <c r="CL59" s="1793">
        <f t="shared" si="12"/>
        <v>0</v>
      </c>
      <c r="CM59" s="1793">
        <f t="shared" si="13"/>
        <v>0</v>
      </c>
      <c r="CN59" s="1793">
        <f t="shared" si="14"/>
        <v>0</v>
      </c>
      <c r="CO59" s="3009">
        <f t="shared" si="22"/>
        <v>0</v>
      </c>
      <c r="CP59" s="1793">
        <f t="shared" si="15"/>
        <v>0</v>
      </c>
      <c r="CQ59" s="1793">
        <f t="shared" si="16"/>
        <v>0</v>
      </c>
    </row>
    <row r="60" spans="1:95" x14ac:dyDescent="0.25">
      <c r="A60" s="6455"/>
      <c r="B60" s="3470" t="s">
        <v>2841</v>
      </c>
      <c r="C60" s="3687">
        <f t="shared" si="0"/>
        <v>0</v>
      </c>
      <c r="D60" s="3644">
        <f t="shared" si="24"/>
        <v>0</v>
      </c>
      <c r="E60" s="3709">
        <f t="shared" si="24"/>
        <v>0</v>
      </c>
      <c r="F60" s="3721"/>
      <c r="G60" s="3722"/>
      <c r="H60" s="3721"/>
      <c r="I60" s="3722"/>
      <c r="J60" s="3574"/>
      <c r="K60" s="3577"/>
      <c r="L60" s="3574"/>
      <c r="M60" s="3577"/>
      <c r="N60" s="3574"/>
      <c r="O60" s="3577"/>
      <c r="P60" s="3574"/>
      <c r="Q60" s="3577"/>
      <c r="R60" s="3574"/>
      <c r="S60" s="3577"/>
      <c r="T60" s="3574"/>
      <c r="U60" s="3577"/>
      <c r="V60" s="3574"/>
      <c r="W60" s="3577"/>
      <c r="X60" s="3574"/>
      <c r="Y60" s="3577"/>
      <c r="Z60" s="3574"/>
      <c r="AA60" s="3577"/>
      <c r="AB60" s="3574"/>
      <c r="AC60" s="3577"/>
      <c r="AD60" s="3574"/>
      <c r="AE60" s="3577"/>
      <c r="AF60" s="3574"/>
      <c r="AG60" s="3577"/>
      <c r="AH60" s="3574"/>
      <c r="AI60" s="3577"/>
      <c r="AJ60" s="3574"/>
      <c r="AK60" s="3577"/>
      <c r="AL60" s="3710"/>
      <c r="AM60" s="3575"/>
      <c r="AN60" s="3711"/>
      <c r="AO60" s="3572"/>
      <c r="AP60" s="3609"/>
      <c r="AQ60" s="3637"/>
      <c r="AR60" s="3637"/>
      <c r="AS60" s="3637"/>
      <c r="AT60" s="3637"/>
      <c r="AU60" s="3637"/>
      <c r="AV60" s="1755" t="str">
        <f t="shared" si="20"/>
        <v/>
      </c>
      <c r="CA60" s="2873" t="str">
        <f t="shared" si="3"/>
        <v/>
      </c>
      <c r="CB60" s="2873" t="str">
        <f t="shared" si="4"/>
        <v/>
      </c>
      <c r="CC60" s="2873" t="str">
        <f t="shared" si="5"/>
        <v/>
      </c>
      <c r="CD60" s="2873" t="str">
        <f t="shared" si="6"/>
        <v/>
      </c>
      <c r="CE60" s="2873" t="str">
        <f t="shared" si="7"/>
        <v/>
      </c>
      <c r="CF60" s="3008" t="str">
        <f t="shared" si="21"/>
        <v/>
      </c>
      <c r="CG60" s="2873" t="str">
        <f t="shared" si="8"/>
        <v/>
      </c>
      <c r="CH60" s="2873" t="str">
        <f t="shared" si="9"/>
        <v/>
      </c>
      <c r="CI60" s="2718"/>
      <c r="CJ60" s="1793">
        <f t="shared" si="10"/>
        <v>0</v>
      </c>
      <c r="CK60" s="1793">
        <f t="shared" si="11"/>
        <v>0</v>
      </c>
      <c r="CL60" s="1793">
        <f t="shared" si="12"/>
        <v>0</v>
      </c>
      <c r="CM60" s="1793">
        <f t="shared" si="13"/>
        <v>0</v>
      </c>
      <c r="CN60" s="1793">
        <f t="shared" si="14"/>
        <v>0</v>
      </c>
      <c r="CO60" s="3009">
        <f t="shared" si="22"/>
        <v>0</v>
      </c>
      <c r="CP60" s="1793">
        <f t="shared" si="15"/>
        <v>0</v>
      </c>
      <c r="CQ60" s="1793">
        <f t="shared" si="16"/>
        <v>0</v>
      </c>
    </row>
    <row r="61" spans="1:95" x14ac:dyDescent="0.25">
      <c r="A61" s="6455"/>
      <c r="B61" s="3135" t="s">
        <v>2836</v>
      </c>
      <c r="C61" s="4703">
        <f t="shared" si="0"/>
        <v>0</v>
      </c>
      <c r="D61" s="3644">
        <f t="shared" si="24"/>
        <v>0</v>
      </c>
      <c r="E61" s="3716">
        <f t="shared" si="24"/>
        <v>0</v>
      </c>
      <c r="F61" s="3721"/>
      <c r="G61" s="3722"/>
      <c r="H61" s="3721"/>
      <c r="I61" s="3722"/>
      <c r="J61" s="410"/>
      <c r="K61" s="412"/>
      <c r="L61" s="410"/>
      <c r="M61" s="412"/>
      <c r="N61" s="410"/>
      <c r="O61" s="412"/>
      <c r="P61" s="410"/>
      <c r="Q61" s="412"/>
      <c r="R61" s="410"/>
      <c r="S61" s="412"/>
      <c r="T61" s="410"/>
      <c r="U61" s="412"/>
      <c r="V61" s="410"/>
      <c r="W61" s="412"/>
      <c r="X61" s="410"/>
      <c r="Y61" s="412"/>
      <c r="Z61" s="410"/>
      <c r="AA61" s="412"/>
      <c r="AB61" s="410"/>
      <c r="AC61" s="412"/>
      <c r="AD61" s="410"/>
      <c r="AE61" s="412"/>
      <c r="AF61" s="410"/>
      <c r="AG61" s="412"/>
      <c r="AH61" s="410"/>
      <c r="AI61" s="412"/>
      <c r="AJ61" s="410"/>
      <c r="AK61" s="412"/>
      <c r="AL61" s="3715"/>
      <c r="AM61" s="634"/>
      <c r="AN61" s="3711"/>
      <c r="AO61" s="414"/>
      <c r="AP61" s="411"/>
      <c r="AQ61" s="641"/>
      <c r="AR61" s="641"/>
      <c r="AS61" s="641"/>
      <c r="AT61" s="641"/>
      <c r="AU61" s="641"/>
      <c r="AV61" s="1755" t="str">
        <f t="shared" si="20"/>
        <v/>
      </c>
      <c r="CA61" s="2873" t="str">
        <f t="shared" si="3"/>
        <v/>
      </c>
      <c r="CB61" s="2873" t="str">
        <f t="shared" si="4"/>
        <v/>
      </c>
      <c r="CC61" s="2873" t="str">
        <f t="shared" si="5"/>
        <v/>
      </c>
      <c r="CD61" s="2873" t="str">
        <f t="shared" si="6"/>
        <v/>
      </c>
      <c r="CE61" s="2873" t="str">
        <f t="shared" si="7"/>
        <v/>
      </c>
      <c r="CF61" s="3008" t="str">
        <f t="shared" si="21"/>
        <v/>
      </c>
      <c r="CG61" s="2873" t="str">
        <f t="shared" si="8"/>
        <v/>
      </c>
      <c r="CH61" s="2873" t="str">
        <f t="shared" si="9"/>
        <v/>
      </c>
      <c r="CI61" s="2718"/>
      <c r="CJ61" s="1793">
        <f t="shared" si="10"/>
        <v>0</v>
      </c>
      <c r="CK61" s="1793">
        <f t="shared" si="11"/>
        <v>0</v>
      </c>
      <c r="CL61" s="1793">
        <f t="shared" si="12"/>
        <v>0</v>
      </c>
      <c r="CM61" s="1793">
        <f t="shared" si="13"/>
        <v>0</v>
      </c>
      <c r="CN61" s="1793">
        <f t="shared" si="14"/>
        <v>0</v>
      </c>
      <c r="CO61" s="3009">
        <f t="shared" si="22"/>
        <v>0</v>
      </c>
      <c r="CP61" s="1793">
        <f t="shared" si="15"/>
        <v>0</v>
      </c>
      <c r="CQ61" s="1793">
        <f t="shared" si="16"/>
        <v>0</v>
      </c>
    </row>
    <row r="62" spans="1:95" x14ac:dyDescent="0.25">
      <c r="A62" s="6457"/>
      <c r="B62" s="119" t="s">
        <v>2642</v>
      </c>
      <c r="C62" s="633">
        <f t="shared" si="0"/>
        <v>0</v>
      </c>
      <c r="D62" s="617">
        <f t="shared" si="24"/>
        <v>0</v>
      </c>
      <c r="E62" s="3718">
        <f t="shared" si="24"/>
        <v>0</v>
      </c>
      <c r="F62" s="3623"/>
      <c r="G62" s="3729"/>
      <c r="H62" s="3623"/>
      <c r="I62" s="3729"/>
      <c r="J62" s="3586"/>
      <c r="K62" s="3587"/>
      <c r="L62" s="3586"/>
      <c r="M62" s="3587"/>
      <c r="N62" s="3586"/>
      <c r="O62" s="3587"/>
      <c r="P62" s="3586"/>
      <c r="Q62" s="3587"/>
      <c r="R62" s="3586"/>
      <c r="S62" s="3587"/>
      <c r="T62" s="3586"/>
      <c r="U62" s="3587"/>
      <c r="V62" s="3586"/>
      <c r="W62" s="3587"/>
      <c r="X62" s="3586"/>
      <c r="Y62" s="3587"/>
      <c r="Z62" s="3586"/>
      <c r="AA62" s="3587"/>
      <c r="AB62" s="3586"/>
      <c r="AC62" s="3587"/>
      <c r="AD62" s="3586"/>
      <c r="AE62" s="3587"/>
      <c r="AF62" s="3586"/>
      <c r="AG62" s="3587"/>
      <c r="AH62" s="3586"/>
      <c r="AI62" s="3587"/>
      <c r="AJ62" s="3586"/>
      <c r="AK62" s="3587"/>
      <c r="AL62" s="3730"/>
      <c r="AM62" s="3588"/>
      <c r="AN62" s="3719"/>
      <c r="AO62" s="288"/>
      <c r="AP62" s="290"/>
      <c r="AQ62" s="384"/>
      <c r="AR62" s="384"/>
      <c r="AS62" s="384"/>
      <c r="AT62" s="384"/>
      <c r="AU62" s="384"/>
      <c r="AV62" s="1755" t="str">
        <f t="shared" si="20"/>
        <v/>
      </c>
      <c r="CA62" s="2873" t="str">
        <f t="shared" si="3"/>
        <v/>
      </c>
      <c r="CB62" s="2873" t="str">
        <f t="shared" si="4"/>
        <v/>
      </c>
      <c r="CC62" s="2873" t="str">
        <f t="shared" si="5"/>
        <v/>
      </c>
      <c r="CD62" s="2873" t="str">
        <f t="shared" si="6"/>
        <v/>
      </c>
      <c r="CE62" s="2873" t="str">
        <f t="shared" si="7"/>
        <v/>
      </c>
      <c r="CF62" s="3008" t="str">
        <f t="shared" si="21"/>
        <v/>
      </c>
      <c r="CG62" s="2873" t="str">
        <f t="shared" si="8"/>
        <v/>
      </c>
      <c r="CH62" s="2873" t="str">
        <f t="shared" si="9"/>
        <v/>
      </c>
      <c r="CI62" s="2718"/>
      <c r="CJ62" s="1793">
        <f t="shared" si="10"/>
        <v>0</v>
      </c>
      <c r="CK62" s="1793">
        <f t="shared" si="11"/>
        <v>0</v>
      </c>
      <c r="CL62" s="1793">
        <f t="shared" si="12"/>
        <v>0</v>
      </c>
      <c r="CM62" s="1793">
        <f t="shared" si="13"/>
        <v>0</v>
      </c>
      <c r="CN62" s="1793">
        <f t="shared" si="14"/>
        <v>0</v>
      </c>
      <c r="CO62" s="3009">
        <f t="shared" si="22"/>
        <v>0</v>
      </c>
      <c r="CP62" s="1793">
        <f t="shared" si="15"/>
        <v>0</v>
      </c>
      <c r="CQ62" s="1793">
        <f t="shared" si="16"/>
        <v>0</v>
      </c>
    </row>
    <row r="63" spans="1:95" x14ac:dyDescent="0.25">
      <c r="A63" s="6488" t="s">
        <v>2842</v>
      </c>
      <c r="B63" s="3467" t="s">
        <v>2843</v>
      </c>
      <c r="C63" s="4699">
        <f>SUM(D63+E63)</f>
        <v>0</v>
      </c>
      <c r="D63" s="4701"/>
      <c r="E63" s="3701">
        <f>SUM(K63+M63+O63+Q63+S63+U63+W63+Y63+AA63+AC63)</f>
        <v>0</v>
      </c>
      <c r="F63" s="3618"/>
      <c r="G63" s="3720"/>
      <c r="H63" s="3618"/>
      <c r="I63" s="3720"/>
      <c r="J63" s="3618"/>
      <c r="K63" s="3593"/>
      <c r="L63" s="3618"/>
      <c r="M63" s="3593"/>
      <c r="N63" s="3618"/>
      <c r="O63" s="3593"/>
      <c r="P63" s="3618"/>
      <c r="Q63" s="3593"/>
      <c r="R63" s="3618"/>
      <c r="S63" s="3593"/>
      <c r="T63" s="3618"/>
      <c r="U63" s="3593"/>
      <c r="V63" s="3618"/>
      <c r="W63" s="3593"/>
      <c r="X63" s="3618"/>
      <c r="Y63" s="3593"/>
      <c r="Z63" s="3618"/>
      <c r="AA63" s="3593"/>
      <c r="AB63" s="3618"/>
      <c r="AC63" s="412"/>
      <c r="AD63" s="3739"/>
      <c r="AE63" s="3740"/>
      <c r="AF63" s="3604"/>
      <c r="AG63" s="3605"/>
      <c r="AH63" s="3604"/>
      <c r="AI63" s="3605"/>
      <c r="AJ63" s="3604"/>
      <c r="AK63" s="3605"/>
      <c r="AL63" s="3731"/>
      <c r="AM63" s="3606"/>
      <c r="AN63" s="640"/>
      <c r="AO63" s="3620"/>
      <c r="AP63" s="3596"/>
      <c r="AQ63" s="3707"/>
      <c r="AR63" s="3707"/>
      <c r="AS63" s="3707"/>
      <c r="AT63" s="3707"/>
      <c r="AU63" s="3707"/>
      <c r="AV63" s="1755" t="str">
        <f t="shared" si="20"/>
        <v/>
      </c>
      <c r="CA63" s="2873" t="str">
        <f t="shared" si="3"/>
        <v/>
      </c>
      <c r="CB63" s="2873" t="str">
        <f t="shared" si="4"/>
        <v/>
      </c>
      <c r="CC63" s="2873" t="str">
        <f t="shared" si="5"/>
        <v/>
      </c>
      <c r="CD63" s="2873" t="str">
        <f t="shared" si="6"/>
        <v/>
      </c>
      <c r="CE63" s="2873" t="str">
        <f t="shared" si="7"/>
        <v/>
      </c>
      <c r="CF63" s="3008" t="str">
        <f t="shared" si="21"/>
        <v/>
      </c>
      <c r="CG63" s="2873" t="str">
        <f t="shared" si="8"/>
        <v/>
      </c>
      <c r="CH63" s="2873" t="str">
        <f t="shared" si="9"/>
        <v/>
      </c>
      <c r="CI63" s="2718"/>
      <c r="CJ63" s="1793">
        <f t="shared" si="10"/>
        <v>0</v>
      </c>
      <c r="CK63" s="1793">
        <f t="shared" si="11"/>
        <v>0</v>
      </c>
      <c r="CL63" s="1793">
        <f t="shared" si="12"/>
        <v>0</v>
      </c>
      <c r="CM63" s="1793">
        <f t="shared" si="13"/>
        <v>0</v>
      </c>
      <c r="CN63" s="1793">
        <f t="shared" si="14"/>
        <v>0</v>
      </c>
      <c r="CO63" s="3009">
        <f t="shared" si="22"/>
        <v>0</v>
      </c>
      <c r="CP63" s="1793">
        <f t="shared" si="15"/>
        <v>0</v>
      </c>
      <c r="CQ63" s="1793">
        <f t="shared" si="16"/>
        <v>0</v>
      </c>
    </row>
    <row r="64" spans="1:95" x14ac:dyDescent="0.25">
      <c r="A64" s="6455"/>
      <c r="B64" s="3470" t="s">
        <v>3944</v>
      </c>
      <c r="C64" s="646">
        <f t="shared" si="0"/>
        <v>0</v>
      </c>
      <c r="D64" s="642"/>
      <c r="E64" s="3716">
        <f>SUM(K64+M64+O64+Q64+S64+U64+W64+Y64+AA64+AC64)</f>
        <v>0</v>
      </c>
      <c r="F64" s="3721"/>
      <c r="G64" s="3722"/>
      <c r="H64" s="3721"/>
      <c r="I64" s="3722"/>
      <c r="J64" s="3721"/>
      <c r="K64" s="3577"/>
      <c r="L64" s="3721"/>
      <c r="M64" s="3577"/>
      <c r="N64" s="3721"/>
      <c r="O64" s="3577"/>
      <c r="P64" s="3721"/>
      <c r="Q64" s="3577"/>
      <c r="R64" s="3721"/>
      <c r="S64" s="3577"/>
      <c r="T64" s="3721"/>
      <c r="U64" s="3577"/>
      <c r="V64" s="3721"/>
      <c r="W64" s="3577"/>
      <c r="X64" s="3721"/>
      <c r="Y64" s="3577"/>
      <c r="Z64" s="3721"/>
      <c r="AA64" s="3577"/>
      <c r="AB64" s="3721"/>
      <c r="AC64" s="412"/>
      <c r="AD64" s="3739"/>
      <c r="AE64" s="3740"/>
      <c r="AF64" s="3570"/>
      <c r="AG64" s="3571"/>
      <c r="AH64" s="3570"/>
      <c r="AI64" s="3571"/>
      <c r="AJ64" s="3570"/>
      <c r="AK64" s="3571"/>
      <c r="AL64" s="3732"/>
      <c r="AM64" s="3583"/>
      <c r="AN64" s="3711"/>
      <c r="AO64" s="3572"/>
      <c r="AP64" s="3609"/>
      <c r="AQ64" s="3637"/>
      <c r="AR64" s="3637"/>
      <c r="AS64" s="3637"/>
      <c r="AT64" s="3637"/>
      <c r="AU64" s="3637"/>
      <c r="AV64" s="1755" t="str">
        <f t="shared" si="20"/>
        <v/>
      </c>
      <c r="CA64" s="2873" t="str">
        <f t="shared" si="3"/>
        <v/>
      </c>
      <c r="CB64" s="2873" t="str">
        <f t="shared" si="4"/>
        <v/>
      </c>
      <c r="CC64" s="2873" t="str">
        <f t="shared" si="5"/>
        <v/>
      </c>
      <c r="CD64" s="2873" t="str">
        <f t="shared" si="6"/>
        <v/>
      </c>
      <c r="CE64" s="2873" t="str">
        <f t="shared" si="7"/>
        <v/>
      </c>
      <c r="CF64" s="3008" t="str">
        <f t="shared" si="21"/>
        <v/>
      </c>
      <c r="CG64" s="2873" t="str">
        <f t="shared" si="8"/>
        <v/>
      </c>
      <c r="CH64" s="2873" t="str">
        <f t="shared" si="9"/>
        <v/>
      </c>
      <c r="CI64" s="2718"/>
      <c r="CJ64" s="1793">
        <f t="shared" si="10"/>
        <v>0</v>
      </c>
      <c r="CK64" s="1793">
        <f t="shared" si="11"/>
        <v>0</v>
      </c>
      <c r="CL64" s="1793">
        <f t="shared" si="12"/>
        <v>0</v>
      </c>
      <c r="CM64" s="1793">
        <f t="shared" si="13"/>
        <v>0</v>
      </c>
      <c r="CN64" s="1793">
        <f t="shared" si="14"/>
        <v>0</v>
      </c>
      <c r="CO64" s="3009">
        <f t="shared" si="22"/>
        <v>0</v>
      </c>
      <c r="CP64" s="1793">
        <f t="shared" si="15"/>
        <v>0</v>
      </c>
      <c r="CQ64" s="1793">
        <f t="shared" si="16"/>
        <v>0</v>
      </c>
    </row>
    <row r="65" spans="1:95" x14ac:dyDescent="0.25">
      <c r="A65" s="6455"/>
      <c r="B65" s="3741" t="s">
        <v>2844</v>
      </c>
      <c r="C65" s="646">
        <f>SUM(D65+E65)</f>
        <v>0</v>
      </c>
      <c r="D65" s="3568"/>
      <c r="E65" s="3716">
        <f>SUM(K65+M65+O65+Q65+S65+U65+W65+Y65+AA65+AC65)</f>
        <v>0</v>
      </c>
      <c r="F65" s="3570"/>
      <c r="G65" s="3742"/>
      <c r="H65" s="3570"/>
      <c r="I65" s="3742"/>
      <c r="J65" s="3570"/>
      <c r="K65" s="3577"/>
      <c r="L65" s="3570"/>
      <c r="M65" s="3577"/>
      <c r="N65" s="3570"/>
      <c r="O65" s="3577"/>
      <c r="P65" s="3570"/>
      <c r="Q65" s="3577"/>
      <c r="R65" s="3570"/>
      <c r="S65" s="3577"/>
      <c r="T65" s="3570"/>
      <c r="U65" s="3577"/>
      <c r="V65" s="3570"/>
      <c r="W65" s="3577"/>
      <c r="X65" s="3570"/>
      <c r="Y65" s="3577"/>
      <c r="Z65" s="3570"/>
      <c r="AA65" s="3577"/>
      <c r="AB65" s="3570"/>
      <c r="AC65" s="412"/>
      <c r="AD65" s="3739"/>
      <c r="AE65" s="3740"/>
      <c r="AF65" s="3570"/>
      <c r="AG65" s="3571"/>
      <c r="AH65" s="3570"/>
      <c r="AI65" s="3571"/>
      <c r="AJ65" s="3570"/>
      <c r="AK65" s="3571"/>
      <c r="AL65" s="3732"/>
      <c r="AM65" s="3583"/>
      <c r="AN65" s="3711"/>
      <c r="AO65" s="414"/>
      <c r="AP65" s="411"/>
      <c r="AQ65" s="641"/>
      <c r="AR65" s="641"/>
      <c r="AS65" s="641"/>
      <c r="AT65" s="641"/>
      <c r="AU65" s="641"/>
      <c r="AV65" s="1755" t="str">
        <f t="shared" si="20"/>
        <v/>
      </c>
      <c r="CA65" s="2873" t="str">
        <f t="shared" si="3"/>
        <v/>
      </c>
      <c r="CB65" s="2873" t="str">
        <f t="shared" si="4"/>
        <v/>
      </c>
      <c r="CC65" s="2873" t="str">
        <f t="shared" si="5"/>
        <v/>
      </c>
      <c r="CD65" s="2873" t="str">
        <f t="shared" si="6"/>
        <v/>
      </c>
      <c r="CE65" s="2873" t="str">
        <f t="shared" si="7"/>
        <v/>
      </c>
      <c r="CF65" s="3008" t="str">
        <f t="shared" si="21"/>
        <v/>
      </c>
      <c r="CG65" s="2873" t="str">
        <f t="shared" si="8"/>
        <v/>
      </c>
      <c r="CH65" s="2873" t="str">
        <f t="shared" si="9"/>
        <v/>
      </c>
      <c r="CI65" s="2718"/>
      <c r="CJ65" s="1793">
        <f t="shared" si="10"/>
        <v>0</v>
      </c>
      <c r="CK65" s="1793">
        <f t="shared" si="11"/>
        <v>0</v>
      </c>
      <c r="CL65" s="1793">
        <f t="shared" si="12"/>
        <v>0</v>
      </c>
      <c r="CM65" s="1793">
        <f t="shared" si="13"/>
        <v>0</v>
      </c>
      <c r="CN65" s="1793">
        <f t="shared" si="14"/>
        <v>0</v>
      </c>
      <c r="CO65" s="3009">
        <f t="shared" si="22"/>
        <v>0</v>
      </c>
      <c r="CP65" s="1793">
        <f t="shared" si="15"/>
        <v>0</v>
      </c>
      <c r="CQ65" s="1793">
        <f t="shared" si="16"/>
        <v>0</v>
      </c>
    </row>
    <row r="66" spans="1:95" x14ac:dyDescent="0.25">
      <c r="A66" s="6455"/>
      <c r="B66" s="3135" t="s">
        <v>2845</v>
      </c>
      <c r="C66" s="3687">
        <f>SUM(D66+E66)</f>
        <v>0</v>
      </c>
      <c r="D66" s="642"/>
      <c r="E66" s="3716">
        <f>SUM(K66+M66+O66+Q66+S66+U66+W66+Y66+AA66+AC66)</f>
        <v>0</v>
      </c>
      <c r="F66" s="3721"/>
      <c r="G66" s="3722"/>
      <c r="H66" s="3721"/>
      <c r="I66" s="3722"/>
      <c r="J66" s="3721"/>
      <c r="K66" s="412"/>
      <c r="L66" s="3721"/>
      <c r="M66" s="412"/>
      <c r="N66" s="3721"/>
      <c r="O66" s="412"/>
      <c r="P66" s="3721"/>
      <c r="Q66" s="412"/>
      <c r="R66" s="3721"/>
      <c r="S66" s="412"/>
      <c r="T66" s="3721"/>
      <c r="U66" s="412"/>
      <c r="V66" s="3721"/>
      <c r="W66" s="412"/>
      <c r="X66" s="3721"/>
      <c r="Y66" s="412"/>
      <c r="Z66" s="3721"/>
      <c r="AA66" s="412"/>
      <c r="AB66" s="3721"/>
      <c r="AC66" s="412"/>
      <c r="AD66" s="3739"/>
      <c r="AE66" s="3740"/>
      <c r="AF66" s="3570"/>
      <c r="AG66" s="3571"/>
      <c r="AH66" s="3570"/>
      <c r="AI66" s="3571"/>
      <c r="AJ66" s="3570"/>
      <c r="AK66" s="3571"/>
      <c r="AL66" s="3732"/>
      <c r="AM66" s="3583"/>
      <c r="AN66" s="3711"/>
      <c r="AO66" s="414"/>
      <c r="AP66" s="411"/>
      <c r="AQ66" s="641"/>
      <c r="AR66" s="641"/>
      <c r="AS66" s="641"/>
      <c r="AT66" s="641"/>
      <c r="AU66" s="641"/>
      <c r="AV66" s="1755" t="str">
        <f t="shared" si="20"/>
        <v/>
      </c>
      <c r="CA66" s="2873" t="str">
        <f t="shared" si="3"/>
        <v/>
      </c>
      <c r="CB66" s="2873" t="str">
        <f t="shared" si="4"/>
        <v/>
      </c>
      <c r="CC66" s="2873" t="str">
        <f t="shared" si="5"/>
        <v/>
      </c>
      <c r="CD66" s="2873" t="str">
        <f t="shared" si="6"/>
        <v/>
      </c>
      <c r="CE66" s="2873" t="str">
        <f t="shared" si="7"/>
        <v/>
      </c>
      <c r="CF66" s="3008" t="str">
        <f t="shared" si="21"/>
        <v/>
      </c>
      <c r="CG66" s="2873" t="str">
        <f t="shared" si="8"/>
        <v/>
      </c>
      <c r="CH66" s="2873" t="str">
        <f t="shared" si="9"/>
        <v/>
      </c>
      <c r="CI66" s="2718"/>
      <c r="CJ66" s="1793">
        <f t="shared" si="10"/>
        <v>0</v>
      </c>
      <c r="CK66" s="1793">
        <f t="shared" si="11"/>
        <v>0</v>
      </c>
      <c r="CL66" s="1793">
        <f t="shared" si="12"/>
        <v>0</v>
      </c>
      <c r="CM66" s="1793">
        <f t="shared" si="13"/>
        <v>0</v>
      </c>
      <c r="CN66" s="1793">
        <f t="shared" si="14"/>
        <v>0</v>
      </c>
      <c r="CO66" s="3009">
        <f t="shared" si="22"/>
        <v>0</v>
      </c>
      <c r="CP66" s="1793">
        <f t="shared" si="15"/>
        <v>0</v>
      </c>
      <c r="CQ66" s="1793">
        <f t="shared" si="16"/>
        <v>0</v>
      </c>
    </row>
    <row r="67" spans="1:95" x14ac:dyDescent="0.25">
      <c r="A67" s="6457"/>
      <c r="B67" s="2813" t="s">
        <v>2836</v>
      </c>
      <c r="C67" s="4704">
        <f>SUM(D67+E67)</f>
        <v>0</v>
      </c>
      <c r="D67" s="3743"/>
      <c r="E67" s="3718">
        <f>SUM(K67+M67+O67+Q67+S67+U67+W67+Y67+AA67+AC67)</f>
        <v>0</v>
      </c>
      <c r="F67" s="3623"/>
      <c r="G67" s="3729"/>
      <c r="H67" s="3623"/>
      <c r="I67" s="3729"/>
      <c r="J67" s="3623"/>
      <c r="K67" s="3587"/>
      <c r="L67" s="3623"/>
      <c r="M67" s="3587"/>
      <c r="N67" s="3623"/>
      <c r="O67" s="3587"/>
      <c r="P67" s="3623"/>
      <c r="Q67" s="3587"/>
      <c r="R67" s="3623"/>
      <c r="S67" s="3587"/>
      <c r="T67" s="3623"/>
      <c r="U67" s="3587"/>
      <c r="V67" s="3623"/>
      <c r="W67" s="3587"/>
      <c r="X67" s="3623"/>
      <c r="Y67" s="3587"/>
      <c r="Z67" s="3623"/>
      <c r="AA67" s="3587"/>
      <c r="AB67" s="3623"/>
      <c r="AC67" s="3587"/>
      <c r="AD67" s="3744"/>
      <c r="AE67" s="3745"/>
      <c r="AF67" s="3623"/>
      <c r="AG67" s="3736"/>
      <c r="AH67" s="3623"/>
      <c r="AI67" s="3736"/>
      <c r="AJ67" s="3623"/>
      <c r="AK67" s="3736"/>
      <c r="AL67" s="3737"/>
      <c r="AM67" s="3625"/>
      <c r="AN67" s="3719"/>
      <c r="AO67" s="288"/>
      <c r="AP67" s="290"/>
      <c r="AQ67" s="384"/>
      <c r="AR67" s="384"/>
      <c r="AS67" s="384"/>
      <c r="AT67" s="384"/>
      <c r="AU67" s="384"/>
      <c r="AV67" s="1755" t="str">
        <f t="shared" si="20"/>
        <v/>
      </c>
      <c r="CA67" s="2873" t="str">
        <f t="shared" si="3"/>
        <v/>
      </c>
      <c r="CB67" s="2873" t="str">
        <f t="shared" si="4"/>
        <v/>
      </c>
      <c r="CC67" s="2873" t="str">
        <f t="shared" si="5"/>
        <v/>
      </c>
      <c r="CD67" s="2873" t="str">
        <f t="shared" si="6"/>
        <v/>
      </c>
      <c r="CE67" s="2873" t="str">
        <f t="shared" si="7"/>
        <v/>
      </c>
      <c r="CF67" s="3008" t="str">
        <f t="shared" si="21"/>
        <v/>
      </c>
      <c r="CG67" s="2873" t="str">
        <f t="shared" si="8"/>
        <v/>
      </c>
      <c r="CH67" s="2873" t="str">
        <f t="shared" si="9"/>
        <v/>
      </c>
      <c r="CI67" s="2718"/>
      <c r="CJ67" s="1793">
        <f t="shared" si="10"/>
        <v>0</v>
      </c>
      <c r="CK67" s="1793">
        <f t="shared" si="11"/>
        <v>0</v>
      </c>
      <c r="CL67" s="1793">
        <f t="shared" si="12"/>
        <v>0</v>
      </c>
      <c r="CM67" s="1793">
        <f t="shared" si="13"/>
        <v>0</v>
      </c>
      <c r="CN67" s="1793">
        <f t="shared" si="14"/>
        <v>0</v>
      </c>
      <c r="CO67" s="3009">
        <f t="shared" si="22"/>
        <v>0</v>
      </c>
      <c r="CP67" s="1793">
        <f t="shared" si="15"/>
        <v>0</v>
      </c>
      <c r="CQ67" s="1793">
        <f t="shared" si="16"/>
        <v>0</v>
      </c>
    </row>
    <row r="68" spans="1:95" x14ac:dyDescent="0.25">
      <c r="A68" s="4770" t="s">
        <v>2846</v>
      </c>
      <c r="B68" s="4385" t="s">
        <v>275</v>
      </c>
      <c r="C68" s="4771">
        <f>SUM(D68+E68)</f>
        <v>0</v>
      </c>
      <c r="D68" s="4702">
        <f>SUM(F68+H68+J68)</f>
        <v>0</v>
      </c>
      <c r="E68" s="4766">
        <f>SUM(G68+I68+K68)</f>
        <v>0</v>
      </c>
      <c r="F68" s="4772"/>
      <c r="G68" s="4773"/>
      <c r="H68" s="4772"/>
      <c r="I68" s="4773"/>
      <c r="J68" s="4772"/>
      <c r="K68" s="4774"/>
      <c r="L68" s="4775"/>
      <c r="M68" s="4776"/>
      <c r="N68" s="4775"/>
      <c r="O68" s="4776"/>
      <c r="P68" s="4775"/>
      <c r="Q68" s="4776"/>
      <c r="R68" s="4775"/>
      <c r="S68" s="4776"/>
      <c r="T68" s="4775"/>
      <c r="U68" s="4776"/>
      <c r="V68" s="4775"/>
      <c r="W68" s="4776"/>
      <c r="X68" s="4775"/>
      <c r="Y68" s="4776"/>
      <c r="Z68" s="4775"/>
      <c r="AA68" s="4776"/>
      <c r="AB68" s="4775"/>
      <c r="AC68" s="4776"/>
      <c r="AD68" s="4777"/>
      <c r="AE68" s="4778"/>
      <c r="AF68" s="4775"/>
      <c r="AG68" s="4776"/>
      <c r="AH68" s="4775"/>
      <c r="AI68" s="4776"/>
      <c r="AJ68" s="4775"/>
      <c r="AK68" s="4776"/>
      <c r="AL68" s="4779"/>
      <c r="AM68" s="4780"/>
      <c r="AN68" s="4781"/>
      <c r="AO68" s="4782"/>
      <c r="AP68" s="4773"/>
      <c r="AQ68" s="4783"/>
      <c r="AR68" s="4783"/>
      <c r="AS68" s="4783"/>
      <c r="AT68" s="4783"/>
      <c r="AU68" s="4783"/>
      <c r="AV68" s="1755" t="str">
        <f t="shared" si="20"/>
        <v/>
      </c>
      <c r="CA68" s="2873" t="str">
        <f t="shared" si="3"/>
        <v/>
      </c>
      <c r="CB68" s="2873" t="str">
        <f t="shared" si="4"/>
        <v/>
      </c>
      <c r="CC68" s="2873" t="str">
        <f t="shared" si="5"/>
        <v/>
      </c>
      <c r="CD68" s="2873" t="str">
        <f t="shared" si="6"/>
        <v/>
      </c>
      <c r="CE68" s="2873" t="str">
        <f t="shared" si="7"/>
        <v/>
      </c>
      <c r="CF68" s="3008" t="str">
        <f t="shared" si="21"/>
        <v/>
      </c>
      <c r="CG68" s="2873" t="str">
        <f t="shared" si="8"/>
        <v/>
      </c>
      <c r="CH68" s="2873" t="str">
        <f t="shared" si="9"/>
        <v/>
      </c>
      <c r="CI68" s="2718"/>
      <c r="CJ68" s="1793">
        <f t="shared" si="10"/>
        <v>0</v>
      </c>
      <c r="CK68" s="1793">
        <f t="shared" si="11"/>
        <v>0</v>
      </c>
      <c r="CL68" s="1793">
        <f t="shared" si="12"/>
        <v>0</v>
      </c>
      <c r="CM68" s="1793">
        <f t="shared" si="13"/>
        <v>0</v>
      </c>
      <c r="CN68" s="1793">
        <f t="shared" si="14"/>
        <v>0</v>
      </c>
      <c r="CO68" s="3009">
        <f t="shared" si="22"/>
        <v>0</v>
      </c>
      <c r="CP68" s="1793">
        <f t="shared" si="15"/>
        <v>0</v>
      </c>
      <c r="CQ68" s="1793">
        <f t="shared" si="16"/>
        <v>0</v>
      </c>
    </row>
    <row r="69" spans="1:95" x14ac:dyDescent="0.25">
      <c r="A69" s="6579" t="s">
        <v>3861</v>
      </c>
      <c r="B69" s="3467" t="s">
        <v>74</v>
      </c>
      <c r="C69" s="4784">
        <f t="shared" ref="C69:C76" si="25">SUM(D69+E69)</f>
        <v>0</v>
      </c>
      <c r="D69" s="3396">
        <f>+F69+H69+J69+L69+N69+P69+R69+T69+V69+X69+Z69+AB69+AD69+AF69+AH69+AJ69+AL69</f>
        <v>0</v>
      </c>
      <c r="E69" s="4769">
        <f>+G69+I69+K69+M69+O69+Q69+S69+U69+W69+Y69+AA69+AC69+AE69+AG69+AI69+AK69+AM69</f>
        <v>0</v>
      </c>
      <c r="F69" s="106"/>
      <c r="G69" s="4561"/>
      <c r="H69" s="106"/>
      <c r="I69" s="4561"/>
      <c r="J69" s="106"/>
      <c r="K69" s="4561"/>
      <c r="L69" s="106"/>
      <c r="M69" s="4561"/>
      <c r="N69" s="106"/>
      <c r="O69" s="4561"/>
      <c r="P69" s="106"/>
      <c r="Q69" s="4561"/>
      <c r="R69" s="106"/>
      <c r="S69" s="4561"/>
      <c r="T69" s="106"/>
      <c r="U69" s="4561"/>
      <c r="V69" s="106"/>
      <c r="W69" s="4561"/>
      <c r="X69" s="106"/>
      <c r="Y69" s="4561"/>
      <c r="Z69" s="106"/>
      <c r="AA69" s="4561"/>
      <c r="AB69" s="106"/>
      <c r="AC69" s="4561"/>
      <c r="AD69" s="106"/>
      <c r="AE69" s="4561"/>
      <c r="AF69" s="106"/>
      <c r="AG69" s="4561"/>
      <c r="AH69" s="106"/>
      <c r="AI69" s="4561"/>
      <c r="AJ69" s="106"/>
      <c r="AK69" s="4561"/>
      <c r="AL69" s="106"/>
      <c r="AM69" s="4561"/>
      <c r="AN69" s="3711"/>
      <c r="AO69" s="414"/>
      <c r="AP69" s="411"/>
      <c r="AQ69" s="641"/>
      <c r="AR69" s="641"/>
      <c r="AS69" s="641"/>
      <c r="AT69" s="641"/>
      <c r="AU69" s="641"/>
      <c r="AV69" s="1755" t="str">
        <f t="shared" si="20"/>
        <v/>
      </c>
      <c r="CA69" s="2873" t="str">
        <f t="shared" si="3"/>
        <v/>
      </c>
      <c r="CB69" s="2873" t="str">
        <f t="shared" si="4"/>
        <v/>
      </c>
      <c r="CC69" s="2873" t="str">
        <f t="shared" si="5"/>
        <v/>
      </c>
      <c r="CD69" s="2873" t="str">
        <f t="shared" si="6"/>
        <v/>
      </c>
      <c r="CE69" s="2873" t="str">
        <f t="shared" si="7"/>
        <v/>
      </c>
      <c r="CF69" s="3008" t="str">
        <f t="shared" si="21"/>
        <v/>
      </c>
      <c r="CG69" s="2873" t="str">
        <f t="shared" si="8"/>
        <v/>
      </c>
      <c r="CH69" s="2873" t="str">
        <f t="shared" si="9"/>
        <v/>
      </c>
      <c r="CI69" s="2718"/>
      <c r="CJ69" s="1793">
        <f t="shared" si="10"/>
        <v>0</v>
      </c>
      <c r="CK69" s="1793">
        <f t="shared" si="11"/>
        <v>0</v>
      </c>
      <c r="CL69" s="1793">
        <f t="shared" si="12"/>
        <v>0</v>
      </c>
      <c r="CM69" s="1793">
        <f t="shared" si="13"/>
        <v>0</v>
      </c>
      <c r="CN69" s="1793">
        <f t="shared" si="14"/>
        <v>0</v>
      </c>
      <c r="CO69" s="3009">
        <f t="shared" si="22"/>
        <v>0</v>
      </c>
      <c r="CP69" s="1793">
        <f t="shared" si="15"/>
        <v>0</v>
      </c>
      <c r="CQ69" s="1793">
        <f t="shared" si="16"/>
        <v>0</v>
      </c>
    </row>
    <row r="70" spans="1:95" x14ac:dyDescent="0.25">
      <c r="A70" s="6579"/>
      <c r="B70" s="3470" t="s">
        <v>275</v>
      </c>
      <c r="C70" s="3135">
        <f t="shared" si="25"/>
        <v>0</v>
      </c>
      <c r="D70" s="4289">
        <f t="shared" ref="D70:E76" si="26">+F70+H70+J70+L70+N70+P70+R70+T70+V70+X70+Z70+AB70+AD70+AF70+AH70+AJ70+AL70</f>
        <v>0</v>
      </c>
      <c r="E70" s="4767">
        <f t="shared" si="26"/>
        <v>0</v>
      </c>
      <c r="F70" s="1089"/>
      <c r="G70" s="3166"/>
      <c r="H70" s="1089"/>
      <c r="I70" s="3166"/>
      <c r="J70" s="1089"/>
      <c r="K70" s="3166"/>
      <c r="L70" s="1089"/>
      <c r="M70" s="3166"/>
      <c r="N70" s="1089"/>
      <c r="O70" s="3166"/>
      <c r="P70" s="1089"/>
      <c r="Q70" s="3166"/>
      <c r="R70" s="1089"/>
      <c r="S70" s="3166"/>
      <c r="T70" s="1089"/>
      <c r="U70" s="3166"/>
      <c r="V70" s="1089"/>
      <c r="W70" s="3166"/>
      <c r="X70" s="1089"/>
      <c r="Y70" s="3166"/>
      <c r="Z70" s="1089"/>
      <c r="AA70" s="3166"/>
      <c r="AB70" s="1089"/>
      <c r="AC70" s="3166"/>
      <c r="AD70" s="1089"/>
      <c r="AE70" s="3166"/>
      <c r="AF70" s="1089"/>
      <c r="AG70" s="3166"/>
      <c r="AH70" s="1089"/>
      <c r="AI70" s="3166"/>
      <c r="AJ70" s="1089"/>
      <c r="AK70" s="3166"/>
      <c r="AL70" s="1089"/>
      <c r="AM70" s="3166"/>
      <c r="AN70" s="3711"/>
      <c r="AO70" s="414"/>
      <c r="AP70" s="411"/>
      <c r="AQ70" s="641"/>
      <c r="AR70" s="641"/>
      <c r="AS70" s="641"/>
      <c r="AT70" s="641"/>
      <c r="AU70" s="641"/>
      <c r="AV70" s="1755" t="str">
        <f t="shared" si="20"/>
        <v/>
      </c>
      <c r="CA70" s="2873" t="str">
        <f t="shared" si="3"/>
        <v/>
      </c>
      <c r="CB70" s="2873" t="str">
        <f t="shared" si="4"/>
        <v/>
      </c>
      <c r="CC70" s="2873" t="str">
        <f t="shared" si="5"/>
        <v/>
      </c>
      <c r="CD70" s="2873" t="str">
        <f t="shared" si="6"/>
        <v/>
      </c>
      <c r="CE70" s="2873" t="str">
        <f t="shared" si="7"/>
        <v/>
      </c>
      <c r="CF70" s="3008" t="str">
        <f t="shared" si="21"/>
        <v/>
      </c>
      <c r="CG70" s="2873" t="str">
        <f t="shared" si="8"/>
        <v/>
      </c>
      <c r="CH70" s="2873" t="str">
        <f t="shared" si="9"/>
        <v/>
      </c>
      <c r="CI70" s="2718"/>
      <c r="CJ70" s="1793">
        <f t="shared" si="10"/>
        <v>0</v>
      </c>
      <c r="CK70" s="1793">
        <f t="shared" si="11"/>
        <v>0</v>
      </c>
      <c r="CL70" s="1793">
        <f t="shared" si="12"/>
        <v>0</v>
      </c>
      <c r="CM70" s="1793">
        <f t="shared" si="13"/>
        <v>0</v>
      </c>
      <c r="CN70" s="1793">
        <f t="shared" si="14"/>
        <v>0</v>
      </c>
      <c r="CO70" s="3009">
        <f t="shared" si="22"/>
        <v>0</v>
      </c>
      <c r="CP70" s="1793">
        <f t="shared" si="15"/>
        <v>0</v>
      </c>
      <c r="CQ70" s="1793">
        <f t="shared" si="16"/>
        <v>0</v>
      </c>
    </row>
    <row r="71" spans="1:95" x14ac:dyDescent="0.25">
      <c r="A71" s="6579"/>
      <c r="B71" s="3470" t="s">
        <v>77</v>
      </c>
      <c r="C71" s="3135">
        <f t="shared" si="25"/>
        <v>0</v>
      </c>
      <c r="D71" s="4289">
        <f t="shared" si="26"/>
        <v>0</v>
      </c>
      <c r="E71" s="4767">
        <f t="shared" si="26"/>
        <v>0</v>
      </c>
      <c r="F71" s="1089"/>
      <c r="G71" s="3166"/>
      <c r="H71" s="1089"/>
      <c r="I71" s="3166"/>
      <c r="J71" s="1089"/>
      <c r="K71" s="3166"/>
      <c r="L71" s="1089"/>
      <c r="M71" s="3166"/>
      <c r="N71" s="1089"/>
      <c r="O71" s="3166"/>
      <c r="P71" s="1089"/>
      <c r="Q71" s="3166"/>
      <c r="R71" s="1089"/>
      <c r="S71" s="3166"/>
      <c r="T71" s="1089"/>
      <c r="U71" s="3166"/>
      <c r="V71" s="1089"/>
      <c r="W71" s="3166"/>
      <c r="X71" s="1089"/>
      <c r="Y71" s="3166"/>
      <c r="Z71" s="1089"/>
      <c r="AA71" s="3166"/>
      <c r="AB71" s="1089"/>
      <c r="AC71" s="3166"/>
      <c r="AD71" s="1089"/>
      <c r="AE71" s="3166"/>
      <c r="AF71" s="1089"/>
      <c r="AG71" s="3166"/>
      <c r="AH71" s="1089"/>
      <c r="AI71" s="3166"/>
      <c r="AJ71" s="1089"/>
      <c r="AK71" s="3166"/>
      <c r="AL71" s="1089"/>
      <c r="AM71" s="3166"/>
      <c r="AN71" s="3711"/>
      <c r="AO71" s="414"/>
      <c r="AP71" s="411"/>
      <c r="AQ71" s="641"/>
      <c r="AR71" s="641"/>
      <c r="AS71" s="641"/>
      <c r="AT71" s="641"/>
      <c r="AU71" s="641"/>
      <c r="AV71" s="1755" t="str">
        <f t="shared" si="20"/>
        <v/>
      </c>
      <c r="CA71" s="2873" t="str">
        <f t="shared" si="3"/>
        <v/>
      </c>
      <c r="CB71" s="2873" t="str">
        <f t="shared" si="4"/>
        <v/>
      </c>
      <c r="CC71" s="2873" t="str">
        <f t="shared" si="5"/>
        <v/>
      </c>
      <c r="CD71" s="2873" t="str">
        <f t="shared" si="6"/>
        <v/>
      </c>
      <c r="CE71" s="2873" t="str">
        <f t="shared" si="7"/>
        <v/>
      </c>
      <c r="CF71" s="3008" t="str">
        <f t="shared" si="21"/>
        <v/>
      </c>
      <c r="CG71" s="2873" t="str">
        <f t="shared" si="8"/>
        <v/>
      </c>
      <c r="CH71" s="2873" t="str">
        <f t="shared" si="9"/>
        <v/>
      </c>
      <c r="CI71" s="2718"/>
      <c r="CJ71" s="1793">
        <f t="shared" si="10"/>
        <v>0</v>
      </c>
      <c r="CK71" s="1793">
        <f t="shared" si="11"/>
        <v>0</v>
      </c>
      <c r="CL71" s="1793">
        <f t="shared" si="12"/>
        <v>0</v>
      </c>
      <c r="CM71" s="1793">
        <f t="shared" si="13"/>
        <v>0</v>
      </c>
      <c r="CN71" s="1793">
        <f t="shared" si="14"/>
        <v>0</v>
      </c>
      <c r="CO71" s="3009">
        <f t="shared" si="22"/>
        <v>0</v>
      </c>
      <c r="CP71" s="1793">
        <f t="shared" si="15"/>
        <v>0</v>
      </c>
      <c r="CQ71" s="1793">
        <f t="shared" si="16"/>
        <v>0</v>
      </c>
    </row>
    <row r="72" spans="1:95" x14ac:dyDescent="0.25">
      <c r="A72" s="6579"/>
      <c r="B72" s="3470" t="s">
        <v>566</v>
      </c>
      <c r="C72" s="3135">
        <f t="shared" si="25"/>
        <v>0</v>
      </c>
      <c r="D72" s="4289">
        <f t="shared" si="26"/>
        <v>0</v>
      </c>
      <c r="E72" s="4767">
        <f t="shared" si="26"/>
        <v>0</v>
      </c>
      <c r="F72" s="1089"/>
      <c r="G72" s="3166"/>
      <c r="H72" s="1089"/>
      <c r="I72" s="3166"/>
      <c r="J72" s="1089"/>
      <c r="K72" s="3166"/>
      <c r="L72" s="1089"/>
      <c r="M72" s="3166"/>
      <c r="N72" s="1089"/>
      <c r="O72" s="3166"/>
      <c r="P72" s="1089"/>
      <c r="Q72" s="3166"/>
      <c r="R72" s="1089"/>
      <c r="S72" s="3166"/>
      <c r="T72" s="1089"/>
      <c r="U72" s="3166"/>
      <c r="V72" s="1089"/>
      <c r="W72" s="3166"/>
      <c r="X72" s="1089"/>
      <c r="Y72" s="3166"/>
      <c r="Z72" s="1089"/>
      <c r="AA72" s="3166"/>
      <c r="AB72" s="1089"/>
      <c r="AC72" s="3166"/>
      <c r="AD72" s="1089"/>
      <c r="AE72" s="3166"/>
      <c r="AF72" s="1089"/>
      <c r="AG72" s="3166"/>
      <c r="AH72" s="1089"/>
      <c r="AI72" s="3166"/>
      <c r="AJ72" s="1089"/>
      <c r="AK72" s="3166"/>
      <c r="AL72" s="1089"/>
      <c r="AM72" s="3166"/>
      <c r="AN72" s="3711"/>
      <c r="AO72" s="414"/>
      <c r="AP72" s="411"/>
      <c r="AQ72" s="641"/>
      <c r="AR72" s="641"/>
      <c r="AS72" s="641"/>
      <c r="AT72" s="641"/>
      <c r="AU72" s="641"/>
      <c r="AV72" s="1755" t="str">
        <f t="shared" si="20"/>
        <v/>
      </c>
      <c r="CA72" s="2873" t="str">
        <f t="shared" si="3"/>
        <v/>
      </c>
      <c r="CB72" s="2873" t="str">
        <f t="shared" si="4"/>
        <v/>
      </c>
      <c r="CC72" s="2873" t="str">
        <f t="shared" si="5"/>
        <v/>
      </c>
      <c r="CD72" s="2873" t="str">
        <f t="shared" si="6"/>
        <v/>
      </c>
      <c r="CE72" s="2873" t="str">
        <f t="shared" si="7"/>
        <v/>
      </c>
      <c r="CF72" s="3008" t="str">
        <f t="shared" si="21"/>
        <v/>
      </c>
      <c r="CG72" s="2873" t="str">
        <f t="shared" si="8"/>
        <v/>
      </c>
      <c r="CH72" s="2873" t="str">
        <f t="shared" si="9"/>
        <v/>
      </c>
      <c r="CI72" s="2718"/>
      <c r="CJ72" s="1793">
        <f t="shared" si="10"/>
        <v>0</v>
      </c>
      <c r="CK72" s="1793">
        <f t="shared" si="11"/>
        <v>0</v>
      </c>
      <c r="CL72" s="1793">
        <f t="shared" si="12"/>
        <v>0</v>
      </c>
      <c r="CM72" s="1793">
        <f t="shared" si="13"/>
        <v>0</v>
      </c>
      <c r="CN72" s="1793">
        <f t="shared" si="14"/>
        <v>0</v>
      </c>
      <c r="CO72" s="3009">
        <f t="shared" si="22"/>
        <v>0</v>
      </c>
      <c r="CP72" s="1793">
        <f t="shared" si="15"/>
        <v>0</v>
      </c>
      <c r="CQ72" s="1793">
        <f t="shared" si="16"/>
        <v>0</v>
      </c>
    </row>
    <row r="73" spans="1:95" x14ac:dyDescent="0.25">
      <c r="A73" s="6579"/>
      <c r="B73" s="3470" t="s">
        <v>2841</v>
      </c>
      <c r="C73" s="3135">
        <f t="shared" si="25"/>
        <v>0</v>
      </c>
      <c r="D73" s="4289">
        <f t="shared" si="26"/>
        <v>0</v>
      </c>
      <c r="E73" s="4767">
        <f t="shared" si="26"/>
        <v>0</v>
      </c>
      <c r="F73" s="1089"/>
      <c r="G73" s="3166"/>
      <c r="H73" s="1089"/>
      <c r="I73" s="3166"/>
      <c r="J73" s="1089"/>
      <c r="K73" s="3166"/>
      <c r="L73" s="1089"/>
      <c r="M73" s="3166"/>
      <c r="N73" s="1089"/>
      <c r="O73" s="3166"/>
      <c r="P73" s="1089"/>
      <c r="Q73" s="3166"/>
      <c r="R73" s="1089"/>
      <c r="S73" s="3166"/>
      <c r="T73" s="1089"/>
      <c r="U73" s="3166"/>
      <c r="V73" s="1089"/>
      <c r="W73" s="3166"/>
      <c r="X73" s="1089"/>
      <c r="Y73" s="3166"/>
      <c r="Z73" s="1089"/>
      <c r="AA73" s="3166"/>
      <c r="AB73" s="1089"/>
      <c r="AC73" s="3166"/>
      <c r="AD73" s="1089"/>
      <c r="AE73" s="3166"/>
      <c r="AF73" s="1089"/>
      <c r="AG73" s="3166"/>
      <c r="AH73" s="1089"/>
      <c r="AI73" s="3166"/>
      <c r="AJ73" s="1089"/>
      <c r="AK73" s="3166"/>
      <c r="AL73" s="1089"/>
      <c r="AM73" s="3166"/>
      <c r="AN73" s="3711"/>
      <c r="AO73" s="414"/>
      <c r="AP73" s="411"/>
      <c r="AQ73" s="641"/>
      <c r="AR73" s="641"/>
      <c r="AS73" s="641"/>
      <c r="AT73" s="641"/>
      <c r="AU73" s="641"/>
      <c r="AV73" s="1755" t="str">
        <f t="shared" si="20"/>
        <v/>
      </c>
      <c r="CA73" s="2873" t="str">
        <f t="shared" si="3"/>
        <v/>
      </c>
      <c r="CB73" s="2873" t="str">
        <f t="shared" si="4"/>
        <v/>
      </c>
      <c r="CC73" s="2873" t="str">
        <f t="shared" si="5"/>
        <v/>
      </c>
      <c r="CD73" s="2873" t="str">
        <f t="shared" si="6"/>
        <v/>
      </c>
      <c r="CE73" s="2873" t="str">
        <f t="shared" si="7"/>
        <v/>
      </c>
      <c r="CF73" s="3008" t="str">
        <f t="shared" si="21"/>
        <v/>
      </c>
      <c r="CG73" s="2873" t="str">
        <f t="shared" si="8"/>
        <v/>
      </c>
      <c r="CH73" s="2873" t="str">
        <f t="shared" si="9"/>
        <v/>
      </c>
      <c r="CI73" s="2718"/>
      <c r="CJ73" s="1793">
        <f t="shared" si="10"/>
        <v>0</v>
      </c>
      <c r="CK73" s="1793">
        <f t="shared" si="11"/>
        <v>0</v>
      </c>
      <c r="CL73" s="1793">
        <f t="shared" si="12"/>
        <v>0</v>
      </c>
      <c r="CM73" s="1793">
        <f t="shared" si="13"/>
        <v>0</v>
      </c>
      <c r="CN73" s="1793">
        <f t="shared" si="14"/>
        <v>0</v>
      </c>
      <c r="CO73" s="3009">
        <f t="shared" si="22"/>
        <v>0</v>
      </c>
      <c r="CP73" s="1793">
        <f t="shared" si="15"/>
        <v>0</v>
      </c>
      <c r="CQ73" s="1793">
        <f t="shared" si="16"/>
        <v>0</v>
      </c>
    </row>
    <row r="74" spans="1:95" x14ac:dyDescent="0.25">
      <c r="A74" s="6579"/>
      <c r="B74" s="3713" t="s">
        <v>2835</v>
      </c>
      <c r="C74" s="3135">
        <f t="shared" si="25"/>
        <v>0</v>
      </c>
      <c r="D74" s="4289">
        <f t="shared" si="26"/>
        <v>0</v>
      </c>
      <c r="E74" s="4767">
        <f t="shared" si="26"/>
        <v>0</v>
      </c>
      <c r="F74" s="1089"/>
      <c r="G74" s="3166"/>
      <c r="H74" s="1089"/>
      <c r="I74" s="3166"/>
      <c r="J74" s="1089"/>
      <c r="K74" s="3166"/>
      <c r="L74" s="1089"/>
      <c r="M74" s="3166"/>
      <c r="N74" s="1089"/>
      <c r="O74" s="3166"/>
      <c r="P74" s="1089"/>
      <c r="Q74" s="3166"/>
      <c r="R74" s="1089"/>
      <c r="S74" s="3166"/>
      <c r="T74" s="1089"/>
      <c r="U74" s="3166"/>
      <c r="V74" s="1089"/>
      <c r="W74" s="3166"/>
      <c r="X74" s="1089"/>
      <c r="Y74" s="3166"/>
      <c r="Z74" s="1089"/>
      <c r="AA74" s="3166"/>
      <c r="AB74" s="1089"/>
      <c r="AC74" s="3166"/>
      <c r="AD74" s="1089"/>
      <c r="AE74" s="3166"/>
      <c r="AF74" s="1089"/>
      <c r="AG74" s="3166"/>
      <c r="AH74" s="1089"/>
      <c r="AI74" s="3166"/>
      <c r="AJ74" s="1089"/>
      <c r="AK74" s="3166"/>
      <c r="AL74" s="1089"/>
      <c r="AM74" s="3166"/>
      <c r="AN74" s="3711"/>
      <c r="AO74" s="414"/>
      <c r="AP74" s="411"/>
      <c r="AQ74" s="641"/>
      <c r="AR74" s="641"/>
      <c r="AS74" s="641"/>
      <c r="AT74" s="641"/>
      <c r="AU74" s="641"/>
      <c r="AV74" s="1755" t="str">
        <f t="shared" si="20"/>
        <v/>
      </c>
      <c r="CA74" s="2873" t="str">
        <f t="shared" si="3"/>
        <v/>
      </c>
      <c r="CB74" s="2873" t="str">
        <f t="shared" si="4"/>
        <v/>
      </c>
      <c r="CC74" s="2873" t="str">
        <f t="shared" si="5"/>
        <v/>
      </c>
      <c r="CD74" s="2873" t="str">
        <f t="shared" si="6"/>
        <v/>
      </c>
      <c r="CE74" s="2873" t="str">
        <f t="shared" si="7"/>
        <v/>
      </c>
      <c r="CF74" s="3008" t="str">
        <f t="shared" si="21"/>
        <v/>
      </c>
      <c r="CG74" s="2873" t="str">
        <f t="shared" si="8"/>
        <v/>
      </c>
      <c r="CH74" s="2873" t="str">
        <f t="shared" si="9"/>
        <v/>
      </c>
      <c r="CI74" s="2718"/>
      <c r="CJ74" s="1793">
        <f t="shared" si="10"/>
        <v>0</v>
      </c>
      <c r="CK74" s="1793">
        <f t="shared" si="11"/>
        <v>0</v>
      </c>
      <c r="CL74" s="1793">
        <f t="shared" si="12"/>
        <v>0</v>
      </c>
      <c r="CM74" s="1793">
        <f t="shared" si="13"/>
        <v>0</v>
      </c>
      <c r="CN74" s="1793">
        <f t="shared" si="14"/>
        <v>0</v>
      </c>
      <c r="CO74" s="3009">
        <f t="shared" si="22"/>
        <v>0</v>
      </c>
      <c r="CP74" s="1793">
        <f t="shared" si="15"/>
        <v>0</v>
      </c>
      <c r="CQ74" s="1793">
        <f t="shared" si="16"/>
        <v>0</v>
      </c>
    </row>
    <row r="75" spans="1:95" x14ac:dyDescent="0.25">
      <c r="A75" s="6579"/>
      <c r="B75" s="3470" t="s">
        <v>2836</v>
      </c>
      <c r="C75" s="3135">
        <f t="shared" si="25"/>
        <v>0</v>
      </c>
      <c r="D75" s="4289">
        <f t="shared" si="26"/>
        <v>0</v>
      </c>
      <c r="E75" s="4768">
        <f t="shared" si="26"/>
        <v>0</v>
      </c>
      <c r="F75" s="1089"/>
      <c r="G75" s="3166"/>
      <c r="H75" s="1089"/>
      <c r="I75" s="3166"/>
      <c r="J75" s="1089"/>
      <c r="K75" s="3166"/>
      <c r="L75" s="1089"/>
      <c r="M75" s="3166"/>
      <c r="N75" s="1089"/>
      <c r="O75" s="3166"/>
      <c r="P75" s="1089"/>
      <c r="Q75" s="3166"/>
      <c r="R75" s="1089"/>
      <c r="S75" s="3166"/>
      <c r="T75" s="1089"/>
      <c r="U75" s="3166"/>
      <c r="V75" s="1089"/>
      <c r="W75" s="3166"/>
      <c r="X75" s="1089"/>
      <c r="Y75" s="3166"/>
      <c r="Z75" s="1089"/>
      <c r="AA75" s="3166"/>
      <c r="AB75" s="1089"/>
      <c r="AC75" s="3166"/>
      <c r="AD75" s="1089"/>
      <c r="AE75" s="3166"/>
      <c r="AF75" s="1089"/>
      <c r="AG75" s="3166"/>
      <c r="AH75" s="1089"/>
      <c r="AI75" s="3166"/>
      <c r="AJ75" s="1089"/>
      <c r="AK75" s="3166"/>
      <c r="AL75" s="1089"/>
      <c r="AM75" s="3166"/>
      <c r="AN75" s="3711"/>
      <c r="AO75" s="414"/>
      <c r="AP75" s="411"/>
      <c r="AQ75" s="641"/>
      <c r="AR75" s="641"/>
      <c r="AS75" s="641"/>
      <c r="AT75" s="641"/>
      <c r="AU75" s="641"/>
      <c r="AV75" s="1755" t="str">
        <f t="shared" si="20"/>
        <v/>
      </c>
      <c r="CA75" s="2873" t="str">
        <f t="shared" si="3"/>
        <v/>
      </c>
      <c r="CB75" s="2873" t="str">
        <f t="shared" si="4"/>
        <v/>
      </c>
      <c r="CC75" s="2873" t="str">
        <f t="shared" si="5"/>
        <v/>
      </c>
      <c r="CD75" s="2873" t="str">
        <f t="shared" si="6"/>
        <v/>
      </c>
      <c r="CE75" s="2873" t="str">
        <f t="shared" si="7"/>
        <v/>
      </c>
      <c r="CF75" s="3008" t="str">
        <f t="shared" si="21"/>
        <v/>
      </c>
      <c r="CG75" s="2873" t="str">
        <f t="shared" si="8"/>
        <v/>
      </c>
      <c r="CH75" s="2873" t="str">
        <f t="shared" si="9"/>
        <v/>
      </c>
      <c r="CI75" s="2718"/>
      <c r="CJ75" s="1793">
        <f t="shared" si="10"/>
        <v>0</v>
      </c>
      <c r="CK75" s="1793">
        <f t="shared" si="11"/>
        <v>0</v>
      </c>
      <c r="CL75" s="1793">
        <f t="shared" si="12"/>
        <v>0</v>
      </c>
      <c r="CM75" s="1793">
        <f t="shared" si="13"/>
        <v>0</v>
      </c>
      <c r="CN75" s="1793">
        <f t="shared" si="14"/>
        <v>0</v>
      </c>
      <c r="CO75" s="3009">
        <f t="shared" si="22"/>
        <v>0</v>
      </c>
      <c r="CP75" s="1793">
        <f t="shared" si="15"/>
        <v>0</v>
      </c>
      <c r="CQ75" s="1793">
        <f t="shared" si="16"/>
        <v>0</v>
      </c>
    </row>
    <row r="76" spans="1:95" x14ac:dyDescent="0.25">
      <c r="A76" s="7787"/>
      <c r="B76" s="119" t="s">
        <v>2642</v>
      </c>
      <c r="C76" s="150">
        <f t="shared" si="25"/>
        <v>0</v>
      </c>
      <c r="D76" s="586">
        <f t="shared" si="26"/>
        <v>0</v>
      </c>
      <c r="E76" s="4720">
        <f t="shared" si="26"/>
        <v>0</v>
      </c>
      <c r="F76" s="3112"/>
      <c r="G76" s="117"/>
      <c r="H76" s="3112"/>
      <c r="I76" s="117"/>
      <c r="J76" s="3112"/>
      <c r="K76" s="117"/>
      <c r="L76" s="3112"/>
      <c r="M76" s="117"/>
      <c r="N76" s="3112"/>
      <c r="O76" s="117"/>
      <c r="P76" s="3112"/>
      <c r="Q76" s="117"/>
      <c r="R76" s="3112"/>
      <c r="S76" s="117"/>
      <c r="T76" s="3112"/>
      <c r="U76" s="117"/>
      <c r="V76" s="3112"/>
      <c r="W76" s="117"/>
      <c r="X76" s="3112"/>
      <c r="Y76" s="117"/>
      <c r="Z76" s="3112"/>
      <c r="AA76" s="117"/>
      <c r="AB76" s="3112"/>
      <c r="AC76" s="117"/>
      <c r="AD76" s="3112"/>
      <c r="AE76" s="117"/>
      <c r="AF76" s="3112"/>
      <c r="AG76" s="117"/>
      <c r="AH76" s="3112"/>
      <c r="AI76" s="117"/>
      <c r="AJ76" s="3112"/>
      <c r="AK76" s="117"/>
      <c r="AL76" s="3112"/>
      <c r="AM76" s="117"/>
      <c r="AN76" s="3719"/>
      <c r="AO76" s="288"/>
      <c r="AP76" s="3839"/>
      <c r="AQ76" s="384"/>
      <c r="AR76" s="384"/>
      <c r="AS76" s="384"/>
      <c r="AT76" s="384"/>
      <c r="AU76" s="384"/>
      <c r="AV76" s="1755" t="str">
        <f t="shared" si="20"/>
        <v/>
      </c>
      <c r="CA76" s="2873" t="str">
        <f t="shared" si="3"/>
        <v/>
      </c>
      <c r="CB76" s="2873" t="str">
        <f t="shared" si="4"/>
        <v/>
      </c>
      <c r="CC76" s="2873" t="str">
        <f t="shared" si="5"/>
        <v/>
      </c>
      <c r="CD76" s="2873" t="str">
        <f t="shared" si="6"/>
        <v/>
      </c>
      <c r="CE76" s="2873" t="str">
        <f t="shared" si="7"/>
        <v/>
      </c>
      <c r="CF76" s="3008" t="str">
        <f t="shared" si="21"/>
        <v/>
      </c>
      <c r="CG76" s="2873" t="str">
        <f t="shared" si="8"/>
        <v/>
      </c>
      <c r="CH76" s="2873" t="str">
        <f t="shared" si="9"/>
        <v/>
      </c>
      <c r="CI76" s="2718"/>
      <c r="CJ76" s="1793">
        <f t="shared" si="10"/>
        <v>0</v>
      </c>
      <c r="CK76" s="1793">
        <f t="shared" si="11"/>
        <v>0</v>
      </c>
      <c r="CL76" s="1793">
        <f t="shared" si="12"/>
        <v>0</v>
      </c>
      <c r="CM76" s="1793">
        <f t="shared" si="13"/>
        <v>0</v>
      </c>
      <c r="CN76" s="1793">
        <f t="shared" si="14"/>
        <v>0</v>
      </c>
      <c r="CO76" s="3009">
        <f t="shared" si="22"/>
        <v>0</v>
      </c>
      <c r="CP76" s="1793">
        <f t="shared" si="15"/>
        <v>0</v>
      </c>
      <c r="CQ76" s="1793">
        <f t="shared" si="16"/>
        <v>0</v>
      </c>
    </row>
    <row r="77" spans="1:95" ht="18" customHeight="1" x14ac:dyDescent="0.25">
      <c r="A77" s="7788" t="s">
        <v>2847</v>
      </c>
      <c r="B77" s="7788"/>
      <c r="C77" s="7788"/>
      <c r="D77" s="7788"/>
      <c r="E77" s="7788"/>
      <c r="F77" s="7788"/>
      <c r="G77" s="7788"/>
      <c r="H77" s="7788"/>
      <c r="I77" s="7788"/>
      <c r="J77" s="7788"/>
      <c r="K77" s="7788"/>
      <c r="L77" s="7788"/>
      <c r="M77" s="7788"/>
      <c r="N77" s="7788"/>
      <c r="O77" s="7788"/>
      <c r="P77" s="7788"/>
      <c r="Q77" s="7788"/>
      <c r="R77" s="7788"/>
      <c r="S77" s="7788"/>
      <c r="T77" s="7788"/>
      <c r="U77" s="7788"/>
      <c r="V77" s="7788"/>
      <c r="W77" s="7788"/>
      <c r="X77" s="7788"/>
      <c r="Y77" s="7788"/>
      <c r="Z77" s="7788"/>
      <c r="AA77" s="7788"/>
      <c r="AB77" s="7788"/>
      <c r="AC77" s="7788"/>
      <c r="AD77" s="7788"/>
      <c r="AE77" s="7788"/>
      <c r="AF77" s="7788"/>
      <c r="AG77" s="7788"/>
      <c r="AH77" s="7788"/>
      <c r="AI77" s="7788"/>
      <c r="AJ77" s="7788"/>
      <c r="AK77" s="7788"/>
      <c r="AL77" s="7788"/>
      <c r="AM77" s="7788"/>
    </row>
    <row r="78" spans="1:95" ht="16.5" customHeight="1" x14ac:dyDescent="0.25">
      <c r="A78" s="6484" t="s">
        <v>2848</v>
      </c>
      <c r="B78" s="6492" t="s">
        <v>2849</v>
      </c>
      <c r="C78" s="6493" t="s">
        <v>2525</v>
      </c>
      <c r="D78" s="6468"/>
      <c r="E78" s="6469"/>
      <c r="F78" s="6520" t="s">
        <v>30</v>
      </c>
      <c r="G78" s="6498"/>
      <c r="H78" s="6498"/>
      <c r="I78" s="6498"/>
      <c r="J78" s="6498"/>
      <c r="K78" s="6498"/>
      <c r="L78" s="6498"/>
      <c r="M78" s="6498"/>
      <c r="N78" s="6498"/>
      <c r="O78" s="6498"/>
      <c r="P78" s="6498"/>
      <c r="Q78" s="6498"/>
      <c r="R78" s="6498"/>
      <c r="S78" s="6498"/>
      <c r="T78" s="6498"/>
      <c r="U78" s="6498"/>
      <c r="V78" s="6498"/>
      <c r="W78" s="6498"/>
      <c r="X78" s="6498"/>
      <c r="Y78" s="6498"/>
      <c r="Z78" s="6498"/>
      <c r="AA78" s="6498"/>
      <c r="AB78" s="6498"/>
      <c r="AC78" s="6498"/>
      <c r="AD78" s="6498"/>
      <c r="AE78" s="6498"/>
      <c r="AF78" s="6498"/>
      <c r="AG78" s="6498"/>
      <c r="AH78" s="6498"/>
      <c r="AI78" s="6498"/>
      <c r="AJ78" s="6498"/>
      <c r="AK78" s="6498"/>
      <c r="AL78" s="6498"/>
      <c r="AM78" s="7302"/>
      <c r="AN78" s="6468" t="s">
        <v>48</v>
      </c>
      <c r="AO78" s="6469"/>
      <c r="AP78" s="6484" t="s">
        <v>2</v>
      </c>
      <c r="AQ78" s="6484" t="s">
        <v>3</v>
      </c>
      <c r="AR78" s="7790" t="s">
        <v>49</v>
      </c>
      <c r="AS78" s="7790" t="s">
        <v>45</v>
      </c>
    </row>
    <row r="79" spans="1:95" ht="18.75" customHeight="1" x14ac:dyDescent="0.25">
      <c r="A79" s="6485"/>
      <c r="B79" s="6466"/>
      <c r="C79" s="6601"/>
      <c r="D79" s="6476"/>
      <c r="E79" s="6602"/>
      <c r="F79" s="6510" t="s">
        <v>36</v>
      </c>
      <c r="G79" s="6509"/>
      <c r="H79" s="6510" t="s">
        <v>37</v>
      </c>
      <c r="I79" s="6509"/>
      <c r="J79" s="6510" t="s">
        <v>38</v>
      </c>
      <c r="K79" s="6509"/>
      <c r="L79" s="6510" t="s">
        <v>2830</v>
      </c>
      <c r="M79" s="6509"/>
      <c r="N79" s="6510" t="s">
        <v>559</v>
      </c>
      <c r="O79" s="6509"/>
      <c r="P79" s="6510" t="s">
        <v>560</v>
      </c>
      <c r="Q79" s="6509"/>
      <c r="R79" s="6510" t="s">
        <v>561</v>
      </c>
      <c r="S79" s="6509"/>
      <c r="T79" s="6510" t="s">
        <v>562</v>
      </c>
      <c r="U79" s="6509"/>
      <c r="V79" s="6510" t="s">
        <v>563</v>
      </c>
      <c r="W79" s="6509"/>
      <c r="X79" s="6510" t="s">
        <v>564</v>
      </c>
      <c r="Y79" s="6509"/>
      <c r="Z79" s="6510" t="s">
        <v>565</v>
      </c>
      <c r="AA79" s="6509"/>
      <c r="AB79" s="6510" t="s">
        <v>555</v>
      </c>
      <c r="AC79" s="6509"/>
      <c r="AD79" s="6510" t="s">
        <v>556</v>
      </c>
      <c r="AE79" s="6509"/>
      <c r="AF79" s="6510" t="s">
        <v>557</v>
      </c>
      <c r="AG79" s="6509"/>
      <c r="AH79" s="6510" t="s">
        <v>2831</v>
      </c>
      <c r="AI79" s="6509"/>
      <c r="AJ79" s="6510" t="s">
        <v>2832</v>
      </c>
      <c r="AK79" s="6509"/>
      <c r="AL79" s="6520" t="s">
        <v>32</v>
      </c>
      <c r="AM79" s="7302"/>
      <c r="AN79" s="6476"/>
      <c r="AO79" s="6602"/>
      <c r="AP79" s="6485"/>
      <c r="AQ79" s="6485"/>
      <c r="AR79" s="6825"/>
      <c r="AS79" s="6825"/>
    </row>
    <row r="80" spans="1:95" ht="16.5" customHeight="1" x14ac:dyDescent="0.25">
      <c r="A80" s="6451"/>
      <c r="B80" s="6449"/>
      <c r="C80" s="4698" t="s">
        <v>26</v>
      </c>
      <c r="D80" s="4696" t="s">
        <v>22</v>
      </c>
      <c r="E80" s="3315" t="s">
        <v>27</v>
      </c>
      <c r="F80" s="5791" t="s">
        <v>22</v>
      </c>
      <c r="G80" s="5789" t="s">
        <v>27</v>
      </c>
      <c r="H80" s="5791" t="s">
        <v>22</v>
      </c>
      <c r="I80" s="5789" t="s">
        <v>27</v>
      </c>
      <c r="J80" s="5791" t="s">
        <v>22</v>
      </c>
      <c r="K80" s="5789" t="s">
        <v>27</v>
      </c>
      <c r="L80" s="5791" t="s">
        <v>22</v>
      </c>
      <c r="M80" s="5789" t="s">
        <v>27</v>
      </c>
      <c r="N80" s="5791" t="s">
        <v>22</v>
      </c>
      <c r="O80" s="5789" t="s">
        <v>27</v>
      </c>
      <c r="P80" s="5791" t="s">
        <v>22</v>
      </c>
      <c r="Q80" s="5789" t="s">
        <v>27</v>
      </c>
      <c r="R80" s="5791" t="s">
        <v>22</v>
      </c>
      <c r="S80" s="5789" t="s">
        <v>27</v>
      </c>
      <c r="T80" s="5791" t="s">
        <v>22</v>
      </c>
      <c r="U80" s="5789" t="s">
        <v>27</v>
      </c>
      <c r="V80" s="5791" t="s">
        <v>22</v>
      </c>
      <c r="W80" s="5789" t="s">
        <v>27</v>
      </c>
      <c r="X80" s="5791" t="s">
        <v>22</v>
      </c>
      <c r="Y80" s="5789" t="s">
        <v>27</v>
      </c>
      <c r="Z80" s="5791" t="s">
        <v>22</v>
      </c>
      <c r="AA80" s="5789" t="s">
        <v>27</v>
      </c>
      <c r="AB80" s="5791" t="s">
        <v>22</v>
      </c>
      <c r="AC80" s="5789" t="s">
        <v>27</v>
      </c>
      <c r="AD80" s="5791" t="s">
        <v>22</v>
      </c>
      <c r="AE80" s="5789" t="s">
        <v>27</v>
      </c>
      <c r="AF80" s="5791" t="s">
        <v>22</v>
      </c>
      <c r="AG80" s="5789" t="s">
        <v>27</v>
      </c>
      <c r="AH80" s="5791" t="s">
        <v>22</v>
      </c>
      <c r="AI80" s="5789" t="s">
        <v>27</v>
      </c>
      <c r="AJ80" s="5791" t="s">
        <v>22</v>
      </c>
      <c r="AK80" s="5789" t="s">
        <v>27</v>
      </c>
      <c r="AL80" s="5791" t="s">
        <v>22</v>
      </c>
      <c r="AM80" s="5947" t="s">
        <v>27</v>
      </c>
      <c r="AN80" s="3081" t="s">
        <v>41</v>
      </c>
      <c r="AO80" s="6071" t="s">
        <v>42</v>
      </c>
      <c r="AP80" s="6451"/>
      <c r="AQ80" s="6451"/>
      <c r="AR80" s="6927"/>
      <c r="AS80" s="6927"/>
    </row>
    <row r="81" spans="1:93" ht="21" x14ac:dyDescent="0.25">
      <c r="A81" s="7791" t="s">
        <v>2850</v>
      </c>
      <c r="B81" s="3746" t="s">
        <v>2851</v>
      </c>
      <c r="C81" s="4699">
        <f t="shared" ref="C81:C92" si="27">SUM(D81+E81)</f>
        <v>0</v>
      </c>
      <c r="D81" s="4697">
        <f>+L81+N81+P81+R81+T81+V81+X81+Z81+AB81+AD81+AF81+AH81</f>
        <v>0</v>
      </c>
      <c r="E81" s="3305">
        <f>+M81+O81+Q81+S81+U81+W81+Y81+AA81+AC81+AE81+AG81+AI81</f>
        <v>0</v>
      </c>
      <c r="F81" s="6076"/>
      <c r="G81" s="6077"/>
      <c r="H81" s="6076"/>
      <c r="I81" s="6078"/>
      <c r="J81" s="6076"/>
      <c r="K81" s="6078"/>
      <c r="L81" s="5798"/>
      <c r="M81" s="5799"/>
      <c r="N81" s="5775"/>
      <c r="O81" s="6079"/>
      <c r="P81" s="6080"/>
      <c r="Q81" s="5799"/>
      <c r="R81" s="6081"/>
      <c r="S81" s="6079"/>
      <c r="T81" s="5798"/>
      <c r="U81" s="5776"/>
      <c r="V81" s="5775"/>
      <c r="W81" s="6081"/>
      <c r="X81" s="5798"/>
      <c r="Y81" s="5776"/>
      <c r="Z81" s="5775"/>
      <c r="AA81" s="6081"/>
      <c r="AB81" s="5798"/>
      <c r="AC81" s="5776"/>
      <c r="AD81" s="5798"/>
      <c r="AE81" s="5799"/>
      <c r="AF81" s="5798"/>
      <c r="AG81" s="5799"/>
      <c r="AH81" s="5798"/>
      <c r="AI81" s="5799"/>
      <c r="AJ81" s="6076"/>
      <c r="AK81" s="6078"/>
      <c r="AL81" s="6077"/>
      <c r="AM81" s="6082"/>
      <c r="AN81" s="3572"/>
      <c r="AO81" s="3597"/>
      <c r="AP81" s="3707"/>
      <c r="AQ81" s="3596"/>
      <c r="AR81" s="3597"/>
      <c r="AS81" s="3597"/>
      <c r="AT81" s="1755" t="str">
        <f>$CA81&amp;CB81&amp;$CC81&amp;CD81&amp;CE81&amp;CF81</f>
        <v/>
      </c>
      <c r="CA81" s="2873" t="str">
        <f>IF(AND(E81&gt;0,OR(AN81="")),"No olvide digitar los campos *TRANS Masculino (Digite CERO si no tiene).",IF(AN81&gt;$E81,"* El Número de TRANS Masculino no puede superar el Total Mujeres. ",""))</f>
        <v/>
      </c>
      <c r="CB81" s="2873" t="str">
        <f>IF(AND(D81&gt;0,OR(AO81="")),"No olvide digitar los campos *TRANS Femenino (Digite CERO si no tiene).",IF(AO81&gt;D81,"* El Número de TRANS Femenino no puede superar el Total Hombres. ",""))</f>
        <v/>
      </c>
      <c r="CC81" s="2873" t="str">
        <f>IF(AND($C81&lt;&gt;0,AP81=""),"* No olvide ingresar la columna Pueblos Originarios (Digite CERO si no tiene).  ",IF(AP81&gt;$C81,"* El Número de Pueblos Originarios no puede superar el Total. ",""))</f>
        <v/>
      </c>
      <c r="CD81" s="2873" t="str">
        <f>IF(AND($C81&lt;&gt;0,AQ81=""),"* No olvide ingresar la columna Migrantes (Digite CERO si no tiene).  ",IF(AQ81&gt;$C81,"* El Número de Migrantes no puede superar el Total. ",""))</f>
        <v/>
      </c>
      <c r="CE81" s="2873" t="str">
        <f>IF(AND($C81&lt;&gt;0,AR81=""),"* No olvide ingresar la columna Niños, Niñas, Adolescentes y Jóvenes SENAME (Digite CERO si no tiene).  ",IF(AR81&gt;$C81,"* El Número de Niños, Niñas, Adolescentes y Jóvenes SENAME no puede superar el Total. ",""))</f>
        <v/>
      </c>
      <c r="CF81" s="2873" t="str">
        <f>IF(AND($C81&lt;&gt;0,AS81=""),"* No olvide ingresar la columna Niños, Niñas, Adolescentes y Jóvenes Mejor Niñez (Digite CERO si no tiene). ",IF(AS81&gt;$C81,"* El Número de Niños, Niñas, Adolescentes y Jóvenes Mejor Niñez no puede superar el Total. ",""))</f>
        <v/>
      </c>
      <c r="CJ81" s="1793">
        <f>IF(AND($E81&lt;&gt;0,AN81=""),1,IF(AN81&gt;$E81,1,0))</f>
        <v>0</v>
      </c>
      <c r="CK81" s="1793">
        <f>IF(AND($D81&lt;&gt;0,AO81=""),1,IF(AO81&gt;$D81,1,0))</f>
        <v>0</v>
      </c>
      <c r="CL81" s="1793">
        <f>IF(AND($C81&lt;&gt;0,AP81=""),1,IF(AP81&gt;$C81,1,0))</f>
        <v>0</v>
      </c>
      <c r="CM81" s="1793">
        <f>IF(AND($C81&lt;&gt;0,AQ81=""),1,IF(AQ81&gt;$C81,1,0))</f>
        <v>0</v>
      </c>
      <c r="CN81" s="1793">
        <f>IF(AND($C81&lt;&gt;0,AR81=""),1,IF(AR81&gt;$C81,1,0))</f>
        <v>0</v>
      </c>
      <c r="CO81" s="1793">
        <f>IF(AND($C81&lt;&gt;0,AS81=""),1,IF(AS81&gt;$C81,1,0))</f>
        <v>0</v>
      </c>
    </row>
    <row r="82" spans="1:93" x14ac:dyDescent="0.25">
      <c r="A82" s="6796"/>
      <c r="B82" s="3470" t="s">
        <v>444</v>
      </c>
      <c r="C82" s="3687">
        <f t="shared" si="27"/>
        <v>0</v>
      </c>
      <c r="D82" s="3644">
        <f t="shared" ref="D82:E84" si="28">SUM(F82+H82+J82+L82+N82+P82+R82+T82+V82+X82+Z82+AB82+AD82+AF82+AH82+AJ82+AL82)</f>
        <v>0</v>
      </c>
      <c r="E82" s="3331">
        <f t="shared" si="28"/>
        <v>0</v>
      </c>
      <c r="F82" s="3574"/>
      <c r="G82" s="3748"/>
      <c r="H82" s="3574"/>
      <c r="I82" s="3609"/>
      <c r="J82" s="3572"/>
      <c r="K82" s="6083"/>
      <c r="L82" s="3574"/>
      <c r="M82" s="3577"/>
      <c r="N82" s="3572"/>
      <c r="O82" s="6083"/>
      <c r="P82" s="3710"/>
      <c r="Q82" s="3577"/>
      <c r="R82" s="3748"/>
      <c r="S82" s="6083"/>
      <c r="T82" s="3574"/>
      <c r="U82" s="3609"/>
      <c r="V82" s="3572"/>
      <c r="W82" s="3748"/>
      <c r="X82" s="3574"/>
      <c r="Y82" s="3609"/>
      <c r="Z82" s="3572"/>
      <c r="AA82" s="3748"/>
      <c r="AB82" s="3574"/>
      <c r="AC82" s="3609"/>
      <c r="AD82" s="3574"/>
      <c r="AE82" s="3577"/>
      <c r="AF82" s="3574"/>
      <c r="AG82" s="3609"/>
      <c r="AH82" s="3574"/>
      <c r="AI82" s="3609"/>
      <c r="AJ82" s="3574"/>
      <c r="AK82" s="3609"/>
      <c r="AL82" s="3572"/>
      <c r="AM82" s="3610"/>
      <c r="AN82" s="3572"/>
      <c r="AO82" s="3577"/>
      <c r="AP82" s="3637"/>
      <c r="AQ82" s="3609"/>
      <c r="AR82" s="3577"/>
      <c r="AS82" s="3577"/>
      <c r="AT82" s="1755" t="str">
        <f t="shared" ref="AT82:AT92" si="29">$CA82&amp;CB82&amp;$CC82&amp;CD82&amp;CE82&amp;CF82</f>
        <v/>
      </c>
      <c r="CA82" s="2873" t="str">
        <f t="shared" ref="CA82:CA92" si="30">IF(AND(E82&gt;0,OR(AN82="")),"No olvide digitar los campos *TRANS Masculino (Digite CERO si no tiene).",IF(AN82&gt;$E82,"* El Número de TRANS Masculino no puede superar el Total Mujeres. ",""))</f>
        <v/>
      </c>
      <c r="CB82" s="2873" t="str">
        <f t="shared" ref="CB82:CB92" si="31">IF(AND(D82&gt;0,OR(AO82="")),"No olvide digitar los campos *TRANS Femenino (Digite CERO si no tiene).",IF(AO82&gt;D82,"* El Número de TRANS Femenino no puede superar el Total Hombres. ",""))</f>
        <v/>
      </c>
      <c r="CC82" s="2873" t="str">
        <f t="shared" ref="CC82:CC92" si="32">IF(AND($C82&lt;&gt;0,AP82=""),"* No olvide ingresar la columna Pueblos Originarios (Digite CERO si no tiene).  ",IF(AP82&gt;$C82,"* El Número de Pueblos Originarios no puede superar el Total. ",""))</f>
        <v/>
      </c>
      <c r="CD82" s="2873" t="str">
        <f t="shared" ref="CD82:CD92" si="33">IF(AND($C82&lt;&gt;0,AQ82=""),"* No olvide ingresar la columna Migrantes (Digite CERO si no tiene).  ",IF(AQ82&gt;$C82,"* El Número de Migrantes no puede superar el Total. ",""))</f>
        <v/>
      </c>
      <c r="CE82" s="2873" t="str">
        <f t="shared" ref="CE82:CE92" si="34">IF(AND($C82&lt;&gt;0,AR82=""),"* No olvide ingresar la columna Niños, Niñas, Adolescentes y Jóvenes SENAME (Digite CERO si no tiene).  ",IF(AR82&gt;$C82,"* El Número de Niños, Niñas, Adolescentes y Jóvenes SENAME no puede superar el Total. ",""))</f>
        <v/>
      </c>
      <c r="CF82" s="2873" t="str">
        <f t="shared" ref="CF82:CF92" si="35">IF(AND($C82&lt;&gt;0,AS82=""),"* No olvide ingresar la columna Niños, Niñas, Adolescentes y Jóvenes Mejor Niñez (Digite CERO si no tiene). ",IF(AS82&gt;$C82,"* El Número de Niños, Niñas, Adolescentes y Jóvenes Mejor Niñez no puede superar el Total. ",""))</f>
        <v/>
      </c>
      <c r="CJ82" s="1793">
        <f t="shared" ref="CJ82:CJ92" si="36">IF(AND($E82&lt;&gt;0,AN82=""),1,IF(AN82&gt;$E82,1,0))</f>
        <v>0</v>
      </c>
      <c r="CK82" s="1793">
        <f t="shared" ref="CK82:CK92" si="37">IF(AND($D82&lt;&gt;0,AO82=""),1,IF(AO82&gt;$D82,1,0))</f>
        <v>0</v>
      </c>
      <c r="CL82" s="1793">
        <f t="shared" ref="CL82:CL92" si="38">IF(AND($C82&lt;&gt;0,AP82=""),1,IF(AP82&gt;$C82,1,0))</f>
        <v>0</v>
      </c>
      <c r="CM82" s="1793">
        <f t="shared" ref="CM82:CM92" si="39">IF(AND($C82&lt;&gt;0,AQ82=""),1,IF(AQ82&gt;$C82,1,0))</f>
        <v>0</v>
      </c>
      <c r="CN82" s="1793">
        <f t="shared" ref="CN82:CN92" si="40">IF(AND($C82&lt;&gt;0,AR82=""),1,IF(AR82&gt;$C82,1,0))</f>
        <v>0</v>
      </c>
      <c r="CO82" s="1793">
        <f t="shared" ref="CO82:CO92" si="41">IF(AND($C82&lt;&gt;0,AS82=""),1,IF(AS82&gt;$C82,1,0))</f>
        <v>0</v>
      </c>
    </row>
    <row r="83" spans="1:93" x14ac:dyDescent="0.25">
      <c r="A83" s="6796"/>
      <c r="B83" s="3470" t="s">
        <v>2852</v>
      </c>
      <c r="C83" s="3687">
        <f t="shared" si="27"/>
        <v>0</v>
      </c>
      <c r="D83" s="3644">
        <f t="shared" si="28"/>
        <v>0</v>
      </c>
      <c r="E83" s="3331">
        <f t="shared" si="28"/>
        <v>0</v>
      </c>
      <c r="F83" s="3574"/>
      <c r="G83" s="3748"/>
      <c r="H83" s="3574"/>
      <c r="I83" s="3609"/>
      <c r="J83" s="3572"/>
      <c r="K83" s="6083"/>
      <c r="L83" s="3574"/>
      <c r="M83" s="3577"/>
      <c r="N83" s="3572"/>
      <c r="O83" s="6083"/>
      <c r="P83" s="3710"/>
      <c r="Q83" s="3577"/>
      <c r="R83" s="3748"/>
      <c r="S83" s="6083"/>
      <c r="T83" s="3574"/>
      <c r="U83" s="3609"/>
      <c r="V83" s="3572"/>
      <c r="W83" s="3748"/>
      <c r="X83" s="3574"/>
      <c r="Y83" s="3609"/>
      <c r="Z83" s="3572"/>
      <c r="AA83" s="3748"/>
      <c r="AB83" s="3574"/>
      <c r="AC83" s="3609"/>
      <c r="AD83" s="3574"/>
      <c r="AE83" s="3577"/>
      <c r="AF83" s="3574"/>
      <c r="AG83" s="3609"/>
      <c r="AH83" s="3574"/>
      <c r="AI83" s="3609"/>
      <c r="AJ83" s="3574"/>
      <c r="AK83" s="3609"/>
      <c r="AL83" s="3572"/>
      <c r="AM83" s="3610"/>
      <c r="AN83" s="3572"/>
      <c r="AO83" s="3577"/>
      <c r="AP83" s="3637"/>
      <c r="AQ83" s="3609"/>
      <c r="AR83" s="3577"/>
      <c r="AS83" s="3577"/>
      <c r="AT83" s="1755" t="str">
        <f t="shared" si="29"/>
        <v/>
      </c>
      <c r="CA83" s="2873" t="str">
        <f t="shared" si="30"/>
        <v/>
      </c>
      <c r="CB83" s="2873" t="str">
        <f t="shared" si="31"/>
        <v/>
      </c>
      <c r="CC83" s="2873" t="str">
        <f t="shared" si="32"/>
        <v/>
      </c>
      <c r="CD83" s="2873" t="str">
        <f t="shared" si="33"/>
        <v/>
      </c>
      <c r="CE83" s="2873" t="str">
        <f t="shared" si="34"/>
        <v/>
      </c>
      <c r="CF83" s="2873" t="str">
        <f t="shared" si="35"/>
        <v/>
      </c>
      <c r="CJ83" s="1793">
        <f t="shared" si="36"/>
        <v>0</v>
      </c>
      <c r="CK83" s="1793">
        <f t="shared" si="37"/>
        <v>0</v>
      </c>
      <c r="CL83" s="1793">
        <f t="shared" si="38"/>
        <v>0</v>
      </c>
      <c r="CM83" s="1793">
        <f t="shared" si="39"/>
        <v>0</v>
      </c>
      <c r="CN83" s="1793">
        <f t="shared" si="40"/>
        <v>0</v>
      </c>
      <c r="CO83" s="1793">
        <f t="shared" si="41"/>
        <v>0</v>
      </c>
    </row>
    <row r="84" spans="1:93" x14ac:dyDescent="0.25">
      <c r="A84" s="6796"/>
      <c r="B84" s="3470" t="s">
        <v>2853</v>
      </c>
      <c r="C84" s="3687">
        <f t="shared" si="27"/>
        <v>0</v>
      </c>
      <c r="D84" s="3644">
        <f t="shared" si="28"/>
        <v>0</v>
      </c>
      <c r="E84" s="3331">
        <f t="shared" si="28"/>
        <v>0</v>
      </c>
      <c r="F84" s="3574"/>
      <c r="G84" s="3748"/>
      <c r="H84" s="3574"/>
      <c r="I84" s="3609"/>
      <c r="J84" s="3572"/>
      <c r="K84" s="6083"/>
      <c r="L84" s="3574"/>
      <c r="M84" s="3577"/>
      <c r="N84" s="3572"/>
      <c r="O84" s="6083"/>
      <c r="P84" s="3710"/>
      <c r="Q84" s="3577"/>
      <c r="R84" s="3748"/>
      <c r="S84" s="6083"/>
      <c r="T84" s="3574"/>
      <c r="U84" s="3609"/>
      <c r="V84" s="3572"/>
      <c r="W84" s="3748"/>
      <c r="X84" s="3574"/>
      <c r="Y84" s="3609"/>
      <c r="Z84" s="3572"/>
      <c r="AA84" s="3748"/>
      <c r="AB84" s="3574"/>
      <c r="AC84" s="3609"/>
      <c r="AD84" s="3574"/>
      <c r="AE84" s="3577"/>
      <c r="AF84" s="3574"/>
      <c r="AG84" s="3609"/>
      <c r="AH84" s="3574"/>
      <c r="AI84" s="3609"/>
      <c r="AJ84" s="3574"/>
      <c r="AK84" s="3609"/>
      <c r="AL84" s="3572"/>
      <c r="AM84" s="3610"/>
      <c r="AN84" s="3572"/>
      <c r="AO84" s="3577"/>
      <c r="AP84" s="3637"/>
      <c r="AQ84" s="3609"/>
      <c r="AR84" s="3577"/>
      <c r="AS84" s="3577"/>
      <c r="AT84" s="1755" t="str">
        <f t="shared" si="29"/>
        <v/>
      </c>
      <c r="CA84" s="2873" t="str">
        <f t="shared" si="30"/>
        <v/>
      </c>
      <c r="CB84" s="2873" t="str">
        <f t="shared" si="31"/>
        <v/>
      </c>
      <c r="CC84" s="2873" t="str">
        <f t="shared" si="32"/>
        <v/>
      </c>
      <c r="CD84" s="2873" t="str">
        <f t="shared" si="33"/>
        <v/>
      </c>
      <c r="CE84" s="2873" t="str">
        <f t="shared" si="34"/>
        <v/>
      </c>
      <c r="CF84" s="2873" t="str">
        <f t="shared" si="35"/>
        <v/>
      </c>
      <c r="CJ84" s="1793">
        <f t="shared" si="36"/>
        <v>0</v>
      </c>
      <c r="CK84" s="1793">
        <f t="shared" si="37"/>
        <v>0</v>
      </c>
      <c r="CL84" s="1793">
        <f t="shared" si="38"/>
        <v>0</v>
      </c>
      <c r="CM84" s="1793">
        <f t="shared" si="39"/>
        <v>0</v>
      </c>
      <c r="CN84" s="1793">
        <f t="shared" si="40"/>
        <v>0</v>
      </c>
      <c r="CO84" s="1793">
        <f t="shared" si="41"/>
        <v>0</v>
      </c>
    </row>
    <row r="85" spans="1:93" x14ac:dyDescent="0.25">
      <c r="A85" s="6796"/>
      <c r="B85" s="3741" t="s">
        <v>2854</v>
      </c>
      <c r="C85" s="646">
        <f t="shared" si="27"/>
        <v>0</v>
      </c>
      <c r="D85" s="2042">
        <f>+J85+L85+N85</f>
        <v>0</v>
      </c>
      <c r="E85" s="89">
        <f>+K85+M85+O85</f>
        <v>0</v>
      </c>
      <c r="F85" s="3721"/>
      <c r="G85" s="3749"/>
      <c r="H85" s="3721"/>
      <c r="I85" s="3722"/>
      <c r="J85" s="3572"/>
      <c r="K85" s="6083"/>
      <c r="L85" s="410"/>
      <c r="M85" s="412"/>
      <c r="N85" s="414"/>
      <c r="O85" s="3630"/>
      <c r="P85" s="3734"/>
      <c r="Q85" s="3733"/>
      <c r="R85" s="3749"/>
      <c r="S85" s="3750"/>
      <c r="T85" s="3721"/>
      <c r="U85" s="3722"/>
      <c r="V85" s="642"/>
      <c r="W85" s="3749"/>
      <c r="X85" s="3721"/>
      <c r="Y85" s="3722"/>
      <c r="Z85" s="642"/>
      <c r="AA85" s="3749"/>
      <c r="AB85" s="3721"/>
      <c r="AC85" s="3722"/>
      <c r="AD85" s="3721"/>
      <c r="AE85" s="3733"/>
      <c r="AF85" s="3721"/>
      <c r="AG85" s="3722"/>
      <c r="AH85" s="3721"/>
      <c r="AI85" s="3722"/>
      <c r="AJ85" s="3721"/>
      <c r="AK85" s="3722"/>
      <c r="AL85" s="3749"/>
      <c r="AM85" s="3735"/>
      <c r="AN85" s="3572"/>
      <c r="AO85" s="3577"/>
      <c r="AP85" s="3637"/>
      <c r="AQ85" s="411"/>
      <c r="AR85" s="412"/>
      <c r="AS85" s="412"/>
      <c r="AT85" s="1755" t="str">
        <f t="shared" si="29"/>
        <v/>
      </c>
      <c r="CA85" s="2873" t="str">
        <f t="shared" si="30"/>
        <v/>
      </c>
      <c r="CB85" s="2873" t="str">
        <f t="shared" si="31"/>
        <v/>
      </c>
      <c r="CC85" s="2873" t="str">
        <f t="shared" si="32"/>
        <v/>
      </c>
      <c r="CD85" s="2873" t="str">
        <f t="shared" si="33"/>
        <v/>
      </c>
      <c r="CE85" s="2873" t="str">
        <f t="shared" si="34"/>
        <v/>
      </c>
      <c r="CF85" s="2873" t="str">
        <f t="shared" si="35"/>
        <v/>
      </c>
      <c r="CJ85" s="1793">
        <f t="shared" si="36"/>
        <v>0</v>
      </c>
      <c r="CK85" s="1793">
        <f t="shared" si="37"/>
        <v>0</v>
      </c>
      <c r="CL85" s="1793">
        <f t="shared" si="38"/>
        <v>0</v>
      </c>
      <c r="CM85" s="1793">
        <f t="shared" si="39"/>
        <v>0</v>
      </c>
      <c r="CN85" s="1793">
        <f t="shared" si="40"/>
        <v>0</v>
      </c>
      <c r="CO85" s="1793">
        <f t="shared" si="41"/>
        <v>0</v>
      </c>
    </row>
    <row r="86" spans="1:93" x14ac:dyDescent="0.25">
      <c r="A86" s="6932"/>
      <c r="B86" s="119" t="s">
        <v>2855</v>
      </c>
      <c r="C86" s="633">
        <f t="shared" si="27"/>
        <v>0</v>
      </c>
      <c r="D86" s="617">
        <f>SUM(F86+H86+J86+L86+N86+P86+R86+T86+V86+X86+Z86+AB86+AD86+AF86+AH86+AJ86+AL86)</f>
        <v>0</v>
      </c>
      <c r="E86" s="161">
        <f>SUM(G86+I86+K86+M86+O86+Q86+S86+U86+W86+Y86+AA86+AC86+AE86+AG86+AI86+AK86+AM86)</f>
        <v>0</v>
      </c>
      <c r="F86" s="286"/>
      <c r="G86" s="383"/>
      <c r="H86" s="286"/>
      <c r="I86" s="3839"/>
      <c r="J86" s="288"/>
      <c r="K86" s="3632"/>
      <c r="L86" s="286"/>
      <c r="M86" s="3587"/>
      <c r="N86" s="288"/>
      <c r="O86" s="3632"/>
      <c r="P86" s="3730"/>
      <c r="Q86" s="3587"/>
      <c r="R86" s="383"/>
      <c r="S86" s="3632"/>
      <c r="T86" s="286"/>
      <c r="U86" s="3839"/>
      <c r="V86" s="288"/>
      <c r="W86" s="383"/>
      <c r="X86" s="286"/>
      <c r="Y86" s="3839"/>
      <c r="Z86" s="288"/>
      <c r="AA86" s="383"/>
      <c r="AB86" s="286"/>
      <c r="AC86" s="3839"/>
      <c r="AD86" s="286"/>
      <c r="AE86" s="3587"/>
      <c r="AF86" s="286"/>
      <c r="AG86" s="3839"/>
      <c r="AH86" s="286"/>
      <c r="AI86" s="3839"/>
      <c r="AJ86" s="286"/>
      <c r="AK86" s="3839"/>
      <c r="AL86" s="286"/>
      <c r="AM86" s="3588"/>
      <c r="AN86" s="3572"/>
      <c r="AO86" s="3577"/>
      <c r="AP86" s="3637"/>
      <c r="AQ86" s="3609"/>
      <c r="AR86" s="3577"/>
      <c r="AS86" s="3577"/>
      <c r="AT86" s="1755" t="str">
        <f t="shared" si="29"/>
        <v/>
      </c>
      <c r="CA86" s="2873" t="str">
        <f t="shared" si="30"/>
        <v/>
      </c>
      <c r="CB86" s="2873" t="str">
        <f t="shared" si="31"/>
        <v/>
      </c>
      <c r="CC86" s="2873" t="str">
        <f t="shared" si="32"/>
        <v/>
      </c>
      <c r="CD86" s="2873" t="str">
        <f t="shared" si="33"/>
        <v/>
      </c>
      <c r="CE86" s="2873" t="str">
        <f t="shared" si="34"/>
        <v/>
      </c>
      <c r="CF86" s="2873" t="str">
        <f t="shared" si="35"/>
        <v/>
      </c>
      <c r="CJ86" s="1793">
        <f t="shared" si="36"/>
        <v>0</v>
      </c>
      <c r="CK86" s="1793">
        <f t="shared" si="37"/>
        <v>0</v>
      </c>
      <c r="CL86" s="1793">
        <f t="shared" si="38"/>
        <v>0</v>
      </c>
      <c r="CM86" s="1793">
        <f t="shared" si="39"/>
        <v>0</v>
      </c>
      <c r="CN86" s="1793">
        <f t="shared" si="40"/>
        <v>0</v>
      </c>
      <c r="CO86" s="1793">
        <f t="shared" si="41"/>
        <v>0</v>
      </c>
    </row>
    <row r="87" spans="1:93" ht="21" x14ac:dyDescent="0.25">
      <c r="A87" s="6488" t="s">
        <v>2856</v>
      </c>
      <c r="B87" s="3746" t="s">
        <v>2851</v>
      </c>
      <c r="C87" s="4699">
        <f t="shared" si="27"/>
        <v>0</v>
      </c>
      <c r="D87" s="4697">
        <f>+L87+N87+P87+R87+T87+V87+X87+Z87+AB87+AD87+AF87+AH87</f>
        <v>0</v>
      </c>
      <c r="E87" s="3305">
        <f>+M87+O87+Q87+S87+U87+W87+Y87+AA87+AC87+AE87+AG87+AI87</f>
        <v>0</v>
      </c>
      <c r="F87" s="6076"/>
      <c r="G87" s="6077"/>
      <c r="H87" s="6076"/>
      <c r="I87" s="6078"/>
      <c r="J87" s="6076"/>
      <c r="K87" s="6078"/>
      <c r="L87" s="5798"/>
      <c r="M87" s="5799"/>
      <c r="N87" s="5775"/>
      <c r="O87" s="6079"/>
      <c r="P87" s="6080"/>
      <c r="Q87" s="5799"/>
      <c r="R87" s="6081"/>
      <c r="S87" s="6079"/>
      <c r="T87" s="5798"/>
      <c r="U87" s="5776"/>
      <c r="V87" s="5775"/>
      <c r="W87" s="6081"/>
      <c r="X87" s="5798"/>
      <c r="Y87" s="5776"/>
      <c r="Z87" s="5775"/>
      <c r="AA87" s="6081"/>
      <c r="AB87" s="5798"/>
      <c r="AC87" s="5776"/>
      <c r="AD87" s="5798"/>
      <c r="AE87" s="5799"/>
      <c r="AF87" s="5798"/>
      <c r="AG87" s="5799"/>
      <c r="AH87" s="5798"/>
      <c r="AI87" s="5799"/>
      <c r="AJ87" s="3580"/>
      <c r="AK87" s="3612"/>
      <c r="AL87" s="3576"/>
      <c r="AM87" s="3643"/>
      <c r="AN87" s="3572"/>
      <c r="AO87" s="3577"/>
      <c r="AP87" s="3637"/>
      <c r="AQ87" s="280"/>
      <c r="AR87" s="611"/>
      <c r="AS87" s="611"/>
      <c r="AT87" s="1755" t="str">
        <f t="shared" si="29"/>
        <v/>
      </c>
      <c r="CA87" s="2873" t="str">
        <f t="shared" si="30"/>
        <v/>
      </c>
      <c r="CB87" s="2873" t="str">
        <f t="shared" si="31"/>
        <v/>
      </c>
      <c r="CC87" s="2873" t="str">
        <f t="shared" si="32"/>
        <v/>
      </c>
      <c r="CD87" s="2873" t="str">
        <f t="shared" si="33"/>
        <v/>
      </c>
      <c r="CE87" s="2873" t="str">
        <f t="shared" si="34"/>
        <v/>
      </c>
      <c r="CF87" s="2873" t="str">
        <f t="shared" si="35"/>
        <v/>
      </c>
      <c r="CJ87" s="1793">
        <f t="shared" si="36"/>
        <v>0</v>
      </c>
      <c r="CK87" s="1793">
        <f t="shared" si="37"/>
        <v>0</v>
      </c>
      <c r="CL87" s="1793">
        <f t="shared" si="38"/>
        <v>0</v>
      </c>
      <c r="CM87" s="1793">
        <f t="shared" si="39"/>
        <v>0</v>
      </c>
      <c r="CN87" s="1793">
        <f t="shared" si="40"/>
        <v>0</v>
      </c>
      <c r="CO87" s="1793">
        <f t="shared" si="41"/>
        <v>0</v>
      </c>
    </row>
    <row r="88" spans="1:93" x14ac:dyDescent="0.25">
      <c r="A88" s="6455"/>
      <c r="B88" s="3470" t="s">
        <v>444</v>
      </c>
      <c r="C88" s="3687">
        <f t="shared" si="27"/>
        <v>0</v>
      </c>
      <c r="D88" s="3644">
        <f t="shared" ref="D88:E90" si="42">SUM(F88+H88+J88+L88+N88+P88+R88+T88+V88+X88+Z88+AB88+AD88+AF88+AH88+AJ88+AL88)</f>
        <v>0</v>
      </c>
      <c r="E88" s="3331">
        <f t="shared" si="42"/>
        <v>0</v>
      </c>
      <c r="F88" s="5784"/>
      <c r="G88" s="3751"/>
      <c r="H88" s="5784"/>
      <c r="I88" s="6084"/>
      <c r="J88" s="5784"/>
      <c r="K88" s="3751"/>
      <c r="L88" s="3574"/>
      <c r="M88" s="6084"/>
      <c r="N88" s="3572"/>
      <c r="O88" s="3751"/>
      <c r="P88" s="3574"/>
      <c r="Q88" s="6084"/>
      <c r="R88" s="3572"/>
      <c r="S88" s="3751"/>
      <c r="T88" s="3574"/>
      <c r="U88" s="6084"/>
      <c r="V88" s="3572"/>
      <c r="W88" s="3751"/>
      <c r="X88" s="3574"/>
      <c r="Y88" s="6084"/>
      <c r="Z88" s="3572"/>
      <c r="AA88" s="3751"/>
      <c r="AB88" s="3574"/>
      <c r="AC88" s="6084"/>
      <c r="AD88" s="3574"/>
      <c r="AE88" s="5362"/>
      <c r="AF88" s="3574"/>
      <c r="AG88" s="3609"/>
      <c r="AH88" s="3574"/>
      <c r="AI88" s="3609"/>
      <c r="AJ88" s="3574"/>
      <c r="AK88" s="3609"/>
      <c r="AL88" s="3572"/>
      <c r="AM88" s="3610"/>
      <c r="AN88" s="3572"/>
      <c r="AO88" s="3577"/>
      <c r="AP88" s="3637"/>
      <c r="AQ88" s="280"/>
      <c r="AR88" s="611"/>
      <c r="AS88" s="611"/>
      <c r="AT88" s="1755" t="str">
        <f t="shared" si="29"/>
        <v/>
      </c>
      <c r="CA88" s="2873" t="str">
        <f t="shared" si="30"/>
        <v/>
      </c>
      <c r="CB88" s="2873" t="str">
        <f t="shared" si="31"/>
        <v/>
      </c>
      <c r="CC88" s="2873" t="str">
        <f t="shared" si="32"/>
        <v/>
      </c>
      <c r="CD88" s="2873" t="str">
        <f t="shared" si="33"/>
        <v/>
      </c>
      <c r="CE88" s="2873" t="str">
        <f t="shared" si="34"/>
        <v/>
      </c>
      <c r="CF88" s="2873" t="str">
        <f t="shared" si="35"/>
        <v/>
      </c>
      <c r="CJ88" s="1793">
        <f t="shared" si="36"/>
        <v>0</v>
      </c>
      <c r="CK88" s="1793">
        <f t="shared" si="37"/>
        <v>0</v>
      </c>
      <c r="CL88" s="1793">
        <f t="shared" si="38"/>
        <v>0</v>
      </c>
      <c r="CM88" s="1793">
        <f t="shared" si="39"/>
        <v>0</v>
      </c>
      <c r="CN88" s="1793">
        <f t="shared" si="40"/>
        <v>0</v>
      </c>
      <c r="CO88" s="1793">
        <f t="shared" si="41"/>
        <v>0</v>
      </c>
    </row>
    <row r="89" spans="1:93" x14ac:dyDescent="0.25">
      <c r="A89" s="6455"/>
      <c r="B89" s="3470" t="s">
        <v>2852</v>
      </c>
      <c r="C89" s="3687">
        <f t="shared" si="27"/>
        <v>0</v>
      </c>
      <c r="D89" s="3644">
        <f t="shared" si="42"/>
        <v>0</v>
      </c>
      <c r="E89" s="3331">
        <f t="shared" si="42"/>
        <v>0</v>
      </c>
      <c r="F89" s="3574"/>
      <c r="G89" s="3748"/>
      <c r="H89" s="3574"/>
      <c r="I89" s="3609"/>
      <c r="J89" s="3574"/>
      <c r="K89" s="3748"/>
      <c r="L89" s="3574"/>
      <c r="M89" s="3609"/>
      <c r="N89" s="3572"/>
      <c r="O89" s="3748"/>
      <c r="P89" s="3574"/>
      <c r="Q89" s="3609"/>
      <c r="R89" s="3572"/>
      <c r="S89" s="3748"/>
      <c r="T89" s="3574"/>
      <c r="U89" s="3609"/>
      <c r="V89" s="3572"/>
      <c r="W89" s="3748"/>
      <c r="X89" s="3574"/>
      <c r="Y89" s="3609"/>
      <c r="Z89" s="3572"/>
      <c r="AA89" s="3748"/>
      <c r="AB89" s="3574"/>
      <c r="AC89" s="3609"/>
      <c r="AD89" s="3574"/>
      <c r="AE89" s="3577"/>
      <c r="AF89" s="3574"/>
      <c r="AG89" s="3609"/>
      <c r="AH89" s="3574"/>
      <c r="AI89" s="3609"/>
      <c r="AJ89" s="3574"/>
      <c r="AK89" s="3609"/>
      <c r="AL89" s="3572"/>
      <c r="AM89" s="3610"/>
      <c r="AN89" s="3572"/>
      <c r="AO89" s="3577"/>
      <c r="AP89" s="3637"/>
      <c r="AQ89" s="3609"/>
      <c r="AR89" s="3577"/>
      <c r="AS89" s="3577"/>
      <c r="AT89" s="1755" t="str">
        <f t="shared" si="29"/>
        <v/>
      </c>
      <c r="CA89" s="2873" t="str">
        <f t="shared" si="30"/>
        <v/>
      </c>
      <c r="CB89" s="2873" t="str">
        <f t="shared" si="31"/>
        <v/>
      </c>
      <c r="CC89" s="2873" t="str">
        <f t="shared" si="32"/>
        <v/>
      </c>
      <c r="CD89" s="2873" t="str">
        <f t="shared" si="33"/>
        <v/>
      </c>
      <c r="CE89" s="2873" t="str">
        <f t="shared" si="34"/>
        <v/>
      </c>
      <c r="CF89" s="2873" t="str">
        <f t="shared" si="35"/>
        <v/>
      </c>
      <c r="CJ89" s="1793">
        <f t="shared" si="36"/>
        <v>0</v>
      </c>
      <c r="CK89" s="1793">
        <f t="shared" si="37"/>
        <v>0</v>
      </c>
      <c r="CL89" s="1793">
        <f t="shared" si="38"/>
        <v>0</v>
      </c>
      <c r="CM89" s="1793">
        <f t="shared" si="39"/>
        <v>0</v>
      </c>
      <c r="CN89" s="1793">
        <f t="shared" si="40"/>
        <v>0</v>
      </c>
      <c r="CO89" s="1793">
        <f t="shared" si="41"/>
        <v>0</v>
      </c>
    </row>
    <row r="90" spans="1:93" x14ac:dyDescent="0.25">
      <c r="A90" s="6455"/>
      <c r="B90" s="3470" t="s">
        <v>2853</v>
      </c>
      <c r="C90" s="3687">
        <f t="shared" si="27"/>
        <v>0</v>
      </c>
      <c r="D90" s="3644">
        <f t="shared" si="42"/>
        <v>0</v>
      </c>
      <c r="E90" s="3331">
        <f t="shared" si="42"/>
        <v>0</v>
      </c>
      <c r="F90" s="3574"/>
      <c r="G90" s="3748"/>
      <c r="H90" s="3574"/>
      <c r="I90" s="3609"/>
      <c r="J90" s="3574"/>
      <c r="K90" s="3748"/>
      <c r="L90" s="3574"/>
      <c r="M90" s="3609"/>
      <c r="N90" s="3572"/>
      <c r="O90" s="3748"/>
      <c r="P90" s="3574"/>
      <c r="Q90" s="3609"/>
      <c r="R90" s="3572"/>
      <c r="S90" s="3748"/>
      <c r="T90" s="3574"/>
      <c r="U90" s="3609"/>
      <c r="V90" s="3572"/>
      <c r="W90" s="3748"/>
      <c r="X90" s="3574"/>
      <c r="Y90" s="3609"/>
      <c r="Z90" s="3572"/>
      <c r="AA90" s="3748"/>
      <c r="AB90" s="3574"/>
      <c r="AC90" s="3609"/>
      <c r="AD90" s="3574"/>
      <c r="AE90" s="3577"/>
      <c r="AF90" s="3574"/>
      <c r="AG90" s="3609"/>
      <c r="AH90" s="3574"/>
      <c r="AI90" s="3609"/>
      <c r="AJ90" s="3574"/>
      <c r="AK90" s="3609"/>
      <c r="AL90" s="3572"/>
      <c r="AM90" s="3610"/>
      <c r="AN90" s="3572"/>
      <c r="AO90" s="3577"/>
      <c r="AP90" s="3637"/>
      <c r="AQ90" s="3609"/>
      <c r="AR90" s="3577"/>
      <c r="AS90" s="3577"/>
      <c r="AT90" s="1755" t="str">
        <f t="shared" si="29"/>
        <v/>
      </c>
      <c r="CA90" s="2873" t="str">
        <f t="shared" si="30"/>
        <v/>
      </c>
      <c r="CB90" s="2873" t="str">
        <f t="shared" si="31"/>
        <v/>
      </c>
      <c r="CC90" s="2873" t="str">
        <f t="shared" si="32"/>
        <v/>
      </c>
      <c r="CD90" s="2873" t="str">
        <f t="shared" si="33"/>
        <v/>
      </c>
      <c r="CE90" s="2873" t="str">
        <f t="shared" si="34"/>
        <v/>
      </c>
      <c r="CF90" s="2873" t="str">
        <f t="shared" si="35"/>
        <v/>
      </c>
      <c r="CJ90" s="1793">
        <f t="shared" si="36"/>
        <v>0</v>
      </c>
      <c r="CK90" s="1793">
        <f t="shared" si="37"/>
        <v>0</v>
      </c>
      <c r="CL90" s="1793">
        <f t="shared" si="38"/>
        <v>0</v>
      </c>
      <c r="CM90" s="1793">
        <f t="shared" si="39"/>
        <v>0</v>
      </c>
      <c r="CN90" s="1793">
        <f t="shared" si="40"/>
        <v>0</v>
      </c>
      <c r="CO90" s="1793">
        <f t="shared" si="41"/>
        <v>0</v>
      </c>
    </row>
    <row r="91" spans="1:93" x14ac:dyDescent="0.25">
      <c r="A91" s="6455"/>
      <c r="B91" s="3741" t="s">
        <v>2854</v>
      </c>
      <c r="C91" s="646">
        <f t="shared" si="27"/>
        <v>0</v>
      </c>
      <c r="D91" s="2042">
        <f>+J91+L91+N91</f>
        <v>0</v>
      </c>
      <c r="E91" s="89">
        <f>+K91+M91+O91</f>
        <v>0</v>
      </c>
      <c r="F91" s="3721"/>
      <c r="G91" s="3749"/>
      <c r="H91" s="3739"/>
      <c r="I91" s="645"/>
      <c r="J91" s="3574"/>
      <c r="K91" s="3748"/>
      <c r="L91" s="3574"/>
      <c r="M91" s="3609"/>
      <c r="N91" s="3572"/>
      <c r="O91" s="3748"/>
      <c r="P91" s="3752"/>
      <c r="Q91" s="3740"/>
      <c r="R91" s="3753"/>
      <c r="S91" s="3754"/>
      <c r="T91" s="3739"/>
      <c r="U91" s="645"/>
      <c r="V91" s="3755"/>
      <c r="W91" s="3753"/>
      <c r="X91" s="3739"/>
      <c r="Y91" s="645"/>
      <c r="Z91" s="3755"/>
      <c r="AA91" s="3753"/>
      <c r="AB91" s="3739"/>
      <c r="AC91" s="645"/>
      <c r="AD91" s="3739"/>
      <c r="AE91" s="3740"/>
      <c r="AF91" s="3739"/>
      <c r="AG91" s="645"/>
      <c r="AH91" s="3739"/>
      <c r="AI91" s="645"/>
      <c r="AJ91" s="3739"/>
      <c r="AK91" s="645"/>
      <c r="AL91" s="3753"/>
      <c r="AM91" s="3756"/>
      <c r="AN91" s="3572"/>
      <c r="AO91" s="3577"/>
      <c r="AP91" s="3637"/>
      <c r="AQ91" s="3609"/>
      <c r="AR91" s="3577"/>
      <c r="AS91" s="3577"/>
      <c r="AT91" s="1755" t="str">
        <f t="shared" si="29"/>
        <v/>
      </c>
      <c r="CA91" s="2873" t="str">
        <f t="shared" si="30"/>
        <v/>
      </c>
      <c r="CB91" s="2873" t="str">
        <f t="shared" si="31"/>
        <v/>
      </c>
      <c r="CC91" s="2873" t="str">
        <f t="shared" si="32"/>
        <v/>
      </c>
      <c r="CD91" s="2873" t="str">
        <f t="shared" si="33"/>
        <v/>
      </c>
      <c r="CE91" s="2873" t="str">
        <f t="shared" si="34"/>
        <v/>
      </c>
      <c r="CF91" s="2873" t="str">
        <f t="shared" si="35"/>
        <v/>
      </c>
      <c r="CJ91" s="1793">
        <f t="shared" si="36"/>
        <v>0</v>
      </c>
      <c r="CK91" s="1793">
        <f t="shared" si="37"/>
        <v>0</v>
      </c>
      <c r="CL91" s="1793">
        <f t="shared" si="38"/>
        <v>0</v>
      </c>
      <c r="CM91" s="1793">
        <f t="shared" si="39"/>
        <v>0</v>
      </c>
      <c r="CN91" s="1793">
        <f t="shared" si="40"/>
        <v>0</v>
      </c>
      <c r="CO91" s="1793">
        <f t="shared" si="41"/>
        <v>0</v>
      </c>
    </row>
    <row r="92" spans="1:93" x14ac:dyDescent="0.25">
      <c r="A92" s="6457"/>
      <c r="B92" s="119" t="s">
        <v>2855</v>
      </c>
      <c r="C92" s="633">
        <f t="shared" si="27"/>
        <v>0</v>
      </c>
      <c r="D92" s="617">
        <f>SUM(F92+H92+J92+L92+N92+P92+R92+T92+V92+X92+Z92+AB92+AD92+AF92+AH92+AJ92+AL92)</f>
        <v>0</v>
      </c>
      <c r="E92" s="161">
        <f>SUM(G92+I92+K92+M92+O92+Q92+S92+U92+W92+Y92+AA92+AC92+AE92+AG92+AI92+AK92+AM92)</f>
        <v>0</v>
      </c>
      <c r="F92" s="286"/>
      <c r="G92" s="383"/>
      <c r="H92" s="286"/>
      <c r="I92" s="3839"/>
      <c r="J92" s="288"/>
      <c r="K92" s="3632"/>
      <c r="L92" s="286"/>
      <c r="M92" s="3587"/>
      <c r="N92" s="288"/>
      <c r="O92" s="3632"/>
      <c r="P92" s="3730"/>
      <c r="Q92" s="3587"/>
      <c r="R92" s="383"/>
      <c r="S92" s="3632"/>
      <c r="T92" s="286"/>
      <c r="U92" s="3839"/>
      <c r="V92" s="288"/>
      <c r="W92" s="383"/>
      <c r="X92" s="286"/>
      <c r="Y92" s="3839"/>
      <c r="Z92" s="288"/>
      <c r="AA92" s="383"/>
      <c r="AB92" s="286"/>
      <c r="AC92" s="3839"/>
      <c r="AD92" s="286"/>
      <c r="AE92" s="3587"/>
      <c r="AF92" s="286"/>
      <c r="AG92" s="3839"/>
      <c r="AH92" s="286"/>
      <c r="AI92" s="3839"/>
      <c r="AJ92" s="286"/>
      <c r="AK92" s="3839"/>
      <c r="AL92" s="383"/>
      <c r="AM92" s="3588"/>
      <c r="AN92" s="288"/>
      <c r="AO92" s="3587"/>
      <c r="AP92" s="384"/>
      <c r="AQ92" s="290"/>
      <c r="AR92" s="290"/>
      <c r="AS92" s="290"/>
      <c r="AT92" s="1755" t="str">
        <f t="shared" si="29"/>
        <v/>
      </c>
      <c r="CA92" s="2873" t="str">
        <f t="shared" si="30"/>
        <v/>
      </c>
      <c r="CB92" s="2873" t="str">
        <f t="shared" si="31"/>
        <v/>
      </c>
      <c r="CC92" s="2873" t="str">
        <f t="shared" si="32"/>
        <v/>
      </c>
      <c r="CD92" s="2873" t="str">
        <f t="shared" si="33"/>
        <v/>
      </c>
      <c r="CE92" s="2873" t="str">
        <f t="shared" si="34"/>
        <v/>
      </c>
      <c r="CF92" s="2873" t="str">
        <f t="shared" si="35"/>
        <v/>
      </c>
      <c r="CJ92" s="1793">
        <f t="shared" si="36"/>
        <v>0</v>
      </c>
      <c r="CK92" s="1793">
        <f t="shared" si="37"/>
        <v>0</v>
      </c>
      <c r="CL92" s="1793">
        <f t="shared" si="38"/>
        <v>0</v>
      </c>
      <c r="CM92" s="1793">
        <f t="shared" si="39"/>
        <v>0</v>
      </c>
      <c r="CN92" s="1793">
        <f t="shared" si="40"/>
        <v>0</v>
      </c>
      <c r="CO92" s="1793">
        <f t="shared" si="41"/>
        <v>0</v>
      </c>
    </row>
    <row r="93" spans="1:93" ht="18" customHeight="1" x14ac:dyDescent="0.25">
      <c r="A93" s="7792" t="s">
        <v>2857</v>
      </c>
      <c r="B93" s="7792"/>
      <c r="C93" s="7792"/>
      <c r="D93" s="7792"/>
    </row>
    <row r="94" spans="1:93" x14ac:dyDescent="0.25">
      <c r="A94" s="6488" t="s">
        <v>2858</v>
      </c>
      <c r="B94" s="3269" t="s">
        <v>2859</v>
      </c>
      <c r="C94" s="3315" t="s">
        <v>2905</v>
      </c>
      <c r="D94" s="3315" t="s">
        <v>1761</v>
      </c>
    </row>
    <row r="95" spans="1:93" x14ac:dyDescent="0.25">
      <c r="A95" s="6455"/>
      <c r="B95" s="3757" t="s">
        <v>2860</v>
      </c>
      <c r="C95" s="3707"/>
      <c r="D95" s="3707"/>
      <c r="E95" s="1755" t="str">
        <f>$CA95</f>
        <v/>
      </c>
      <c r="F95" s="799"/>
      <c r="G95" s="799"/>
      <c r="H95" s="799"/>
      <c r="I95" s="799"/>
      <c r="J95" s="799"/>
      <c r="K95" s="799"/>
      <c r="L95" s="799"/>
      <c r="M95" s="799"/>
      <c r="N95" s="799"/>
      <c r="O95" s="799"/>
      <c r="P95" s="799"/>
      <c r="Q95" s="3288"/>
      <c r="R95" s="3288"/>
      <c r="S95" s="3288"/>
      <c r="T95" s="602"/>
      <c r="U95" s="602"/>
      <c r="V95" s="602"/>
      <c r="W95" s="602"/>
      <c r="X95" s="602"/>
      <c r="Y95" s="602"/>
      <c r="Z95" s="602"/>
      <c r="AA95" s="602"/>
      <c r="AB95" s="602"/>
      <c r="AC95" s="602"/>
      <c r="AD95" s="602"/>
      <c r="AE95" s="602"/>
      <c r="AF95" s="602"/>
      <c r="AG95" s="602"/>
      <c r="AH95" s="602"/>
      <c r="AI95" s="602"/>
      <c r="AJ95" s="602"/>
      <c r="AK95" s="602"/>
      <c r="AL95" s="602"/>
      <c r="AM95" s="602"/>
      <c r="AN95" s="602"/>
      <c r="AO95" s="602"/>
      <c r="AP95" s="602"/>
      <c r="AQ95" s="602"/>
      <c r="AR95" s="602"/>
      <c r="AS95" s="602"/>
      <c r="AT95" s="602"/>
      <c r="AU95" s="602"/>
      <c r="AV95" s="602"/>
      <c r="AW95" s="602"/>
      <c r="AX95" s="602"/>
      <c r="AY95" s="602"/>
      <c r="AZ95" s="602"/>
      <c r="BA95" s="602"/>
      <c r="BB95" s="602"/>
      <c r="BC95" s="602"/>
      <c r="BD95" s="602"/>
      <c r="BE95" s="602"/>
      <c r="BF95" s="602"/>
      <c r="BG95" s="602"/>
      <c r="BH95" s="602"/>
      <c r="BI95" s="602"/>
      <c r="BJ95" s="602"/>
      <c r="BK95" s="602"/>
      <c r="BL95" s="602"/>
      <c r="BM95" s="602"/>
      <c r="BN95" s="602"/>
      <c r="BO95" s="602"/>
      <c r="BP95" s="602"/>
      <c r="BQ95" s="602"/>
      <c r="BR95" s="602"/>
      <c r="BS95" s="602"/>
      <c r="BT95" s="602"/>
      <c r="BU95" s="602"/>
      <c r="BV95" s="602"/>
      <c r="BW95" s="602"/>
      <c r="BX95" s="636"/>
      <c r="BY95" s="636"/>
      <c r="BZ95" s="636"/>
      <c r="CA95" s="3758" t="str">
        <f>IF(D95&lt;=C95,"","* Las consejerías realizadas en Espacios Amigables NO DEBEN ser mayor al Total de Actividades. ")</f>
        <v/>
      </c>
      <c r="CB95" s="3290"/>
      <c r="CC95" s="3290"/>
      <c r="CD95" s="3290"/>
      <c r="CE95" s="3290"/>
      <c r="CF95" s="3290"/>
      <c r="CI95" s="3759">
        <f>IF(D95&lt;=C95,0,1)</f>
        <v>0</v>
      </c>
    </row>
    <row r="96" spans="1:93" x14ac:dyDescent="0.25">
      <c r="A96" s="6455"/>
      <c r="B96" s="3579" t="s">
        <v>2861</v>
      </c>
      <c r="C96" s="3637"/>
      <c r="D96" s="3637"/>
      <c r="E96" s="1755" t="str">
        <f t="shared" ref="E96:E97" si="43">$CA96</f>
        <v/>
      </c>
      <c r="F96" s="799"/>
      <c r="G96" s="799"/>
      <c r="H96" s="799"/>
      <c r="I96" s="799"/>
      <c r="J96" s="799"/>
      <c r="K96" s="799"/>
      <c r="L96" s="799"/>
      <c r="M96" s="799"/>
      <c r="N96" s="799"/>
      <c r="O96" s="799"/>
      <c r="P96" s="799"/>
      <c r="Q96" s="3288"/>
      <c r="R96" s="3288"/>
      <c r="S96" s="3288"/>
      <c r="T96" s="602"/>
      <c r="U96" s="602"/>
      <c r="V96" s="602"/>
      <c r="W96" s="602"/>
      <c r="X96" s="602"/>
      <c r="Y96" s="602"/>
      <c r="Z96" s="602"/>
      <c r="AA96" s="602"/>
      <c r="AB96" s="602"/>
      <c r="AC96" s="602"/>
      <c r="AD96" s="602"/>
      <c r="AE96" s="602"/>
      <c r="AF96" s="602"/>
      <c r="AG96" s="602"/>
      <c r="AH96" s="602"/>
      <c r="AI96" s="602"/>
      <c r="AJ96" s="602"/>
      <c r="AK96" s="602"/>
      <c r="AL96" s="602"/>
      <c r="AM96" s="602"/>
      <c r="AN96" s="602"/>
      <c r="AO96" s="602"/>
      <c r="AP96" s="602"/>
      <c r="AQ96" s="602"/>
      <c r="AR96" s="602"/>
      <c r="AS96" s="602"/>
      <c r="AT96" s="602"/>
      <c r="AU96" s="602"/>
      <c r="AV96" s="602"/>
      <c r="AW96" s="602"/>
      <c r="AX96" s="602"/>
      <c r="AY96" s="602"/>
      <c r="AZ96" s="602"/>
      <c r="BA96" s="602"/>
      <c r="BB96" s="602"/>
      <c r="BC96" s="602"/>
      <c r="BD96" s="602"/>
      <c r="BE96" s="602"/>
      <c r="BF96" s="602"/>
      <c r="BG96" s="602"/>
      <c r="BH96" s="602"/>
      <c r="BI96" s="602"/>
      <c r="BJ96" s="602"/>
      <c r="BK96" s="602"/>
      <c r="BL96" s="602"/>
      <c r="BM96" s="602"/>
      <c r="BN96" s="602"/>
      <c r="BO96" s="602"/>
      <c r="BP96" s="602"/>
      <c r="BQ96" s="602"/>
      <c r="BR96" s="602"/>
      <c r="BS96" s="602"/>
      <c r="BT96" s="602"/>
      <c r="BU96" s="602"/>
      <c r="BV96" s="602"/>
      <c r="BW96" s="602"/>
      <c r="BX96" s="636"/>
      <c r="BY96" s="636"/>
      <c r="BZ96" s="636"/>
      <c r="CA96" s="3758" t="str">
        <f t="shared" ref="CA96:CA97" si="44">IF(D96&lt;=C96,"","* Las consejerías realizadas en Espacios Amigables NO DEBEN ser mayor al Total de Actividades. ")</f>
        <v/>
      </c>
      <c r="CB96" s="3290"/>
      <c r="CC96" s="3290"/>
      <c r="CD96" s="3290"/>
      <c r="CE96" s="3290"/>
      <c r="CF96" s="3290"/>
      <c r="CI96" s="3759">
        <f t="shared" ref="CI96:CI97" si="45">IF(D96&lt;=C96,0,1)</f>
        <v>0</v>
      </c>
    </row>
    <row r="97" spans="1:111" ht="21" x14ac:dyDescent="0.25">
      <c r="A97" s="6455"/>
      <c r="B97" s="3579" t="s">
        <v>2862</v>
      </c>
      <c r="C97" s="3637"/>
      <c r="D97" s="3637"/>
      <c r="E97" s="1755" t="str">
        <f t="shared" si="43"/>
        <v/>
      </c>
      <c r="F97" s="799"/>
      <c r="G97" s="799"/>
      <c r="H97" s="799"/>
      <c r="I97" s="799"/>
      <c r="J97" s="799"/>
      <c r="K97" s="799"/>
      <c r="L97" s="799"/>
      <c r="M97" s="799"/>
      <c r="N97" s="799"/>
      <c r="O97" s="799"/>
      <c r="P97" s="799"/>
      <c r="Q97" s="3288"/>
      <c r="R97" s="3288"/>
      <c r="S97" s="3288"/>
      <c r="T97" s="602"/>
      <c r="U97" s="602"/>
      <c r="V97" s="602"/>
      <c r="W97" s="602"/>
      <c r="X97" s="602"/>
      <c r="Y97" s="602"/>
      <c r="Z97" s="602"/>
      <c r="AA97" s="602"/>
      <c r="AB97" s="602"/>
      <c r="AC97" s="602"/>
      <c r="AD97" s="602"/>
      <c r="AE97" s="602"/>
      <c r="AF97" s="602"/>
      <c r="AG97" s="602"/>
      <c r="AH97" s="602"/>
      <c r="AI97" s="602"/>
      <c r="AJ97" s="602"/>
      <c r="AK97" s="602"/>
      <c r="AL97" s="602"/>
      <c r="AM97" s="602"/>
      <c r="AN97" s="602"/>
      <c r="AO97" s="602"/>
      <c r="AP97" s="602"/>
      <c r="AQ97" s="602"/>
      <c r="AR97" s="602"/>
      <c r="AS97" s="602"/>
      <c r="AT97" s="602"/>
      <c r="AU97" s="602"/>
      <c r="AV97" s="602"/>
      <c r="AW97" s="602"/>
      <c r="AX97" s="602"/>
      <c r="AY97" s="602"/>
      <c r="AZ97" s="602"/>
      <c r="BA97" s="602"/>
      <c r="BB97" s="602"/>
      <c r="BC97" s="602"/>
      <c r="BD97" s="602"/>
      <c r="BE97" s="602"/>
      <c r="BF97" s="602"/>
      <c r="BG97" s="602"/>
      <c r="BH97" s="602"/>
      <c r="BI97" s="602"/>
      <c r="BJ97" s="602"/>
      <c r="BK97" s="602"/>
      <c r="BL97" s="602"/>
      <c r="BM97" s="602"/>
      <c r="BN97" s="602"/>
      <c r="BO97" s="602"/>
      <c r="BP97" s="602"/>
      <c r="BQ97" s="602"/>
      <c r="BR97" s="602"/>
      <c r="BS97" s="602"/>
      <c r="BT97" s="602"/>
      <c r="BU97" s="602"/>
      <c r="BV97" s="602"/>
      <c r="BW97" s="602"/>
      <c r="BX97" s="636"/>
      <c r="BY97" s="636"/>
      <c r="BZ97" s="636"/>
      <c r="CA97" s="3758" t="str">
        <f t="shared" si="44"/>
        <v/>
      </c>
      <c r="CB97" s="3290"/>
      <c r="CC97" s="3290"/>
      <c r="CD97" s="3290"/>
      <c r="CE97" s="3290"/>
      <c r="CF97" s="3290"/>
      <c r="CI97" s="3759">
        <f t="shared" si="45"/>
        <v>0</v>
      </c>
    </row>
    <row r="98" spans="1:111" x14ac:dyDescent="0.25">
      <c r="A98" s="6455"/>
      <c r="B98" s="3579" t="s">
        <v>2863</v>
      </c>
      <c r="C98" s="3637"/>
      <c r="D98" s="3760"/>
    </row>
    <row r="99" spans="1:111" x14ac:dyDescent="0.25">
      <c r="A99" s="6455"/>
      <c r="B99" s="3328" t="s">
        <v>2864</v>
      </c>
      <c r="C99" s="3609"/>
      <c r="D99" s="3760"/>
    </row>
    <row r="100" spans="1:111" ht="21" x14ac:dyDescent="0.25">
      <c r="A100" s="6455"/>
      <c r="B100" s="3328" t="s">
        <v>2865</v>
      </c>
      <c r="C100" s="3609"/>
      <c r="D100" s="3637"/>
      <c r="E100" s="1755" t="str">
        <f t="shared" ref="E100:E103" si="46">$CA100</f>
        <v/>
      </c>
      <c r="F100" s="799"/>
      <c r="G100" s="799"/>
      <c r="H100" s="799"/>
      <c r="I100" s="799"/>
      <c r="J100" s="799"/>
      <c r="K100" s="799"/>
      <c r="L100" s="799"/>
      <c r="M100" s="799"/>
      <c r="N100" s="799"/>
      <c r="O100" s="799"/>
      <c r="P100" s="799"/>
      <c r="Q100" s="3288"/>
      <c r="R100" s="3288"/>
      <c r="S100" s="3288"/>
      <c r="T100" s="602"/>
      <c r="U100" s="602"/>
      <c r="V100" s="602"/>
      <c r="W100" s="602"/>
      <c r="X100" s="602"/>
      <c r="Y100" s="602"/>
      <c r="Z100" s="602"/>
      <c r="AA100" s="602"/>
      <c r="AB100" s="602"/>
      <c r="AC100" s="602"/>
      <c r="AD100" s="602"/>
      <c r="AE100" s="602"/>
      <c r="AF100" s="602"/>
      <c r="AG100" s="602"/>
      <c r="AH100" s="602"/>
      <c r="AI100" s="602"/>
      <c r="AJ100" s="602"/>
      <c r="AK100" s="602"/>
      <c r="AL100" s="602"/>
      <c r="AM100" s="602"/>
      <c r="AN100" s="602"/>
      <c r="AO100" s="602"/>
      <c r="AP100" s="602"/>
      <c r="AQ100" s="602"/>
      <c r="AR100" s="602"/>
      <c r="AS100" s="602"/>
      <c r="AT100" s="602"/>
      <c r="AU100" s="602"/>
      <c r="AV100" s="602"/>
      <c r="AW100" s="602"/>
      <c r="AX100" s="602"/>
      <c r="AY100" s="602"/>
      <c r="AZ100" s="602"/>
      <c r="BA100" s="602"/>
      <c r="BB100" s="602"/>
      <c r="BC100" s="602"/>
      <c r="BD100" s="602"/>
      <c r="BE100" s="602"/>
      <c r="BF100" s="602"/>
      <c r="BG100" s="602"/>
      <c r="BH100" s="602"/>
      <c r="BI100" s="602"/>
      <c r="BJ100" s="602"/>
      <c r="BK100" s="602"/>
      <c r="BL100" s="602"/>
      <c r="BM100" s="602"/>
      <c r="BN100" s="602"/>
      <c r="BO100" s="602"/>
      <c r="BP100" s="602"/>
      <c r="BQ100" s="602"/>
      <c r="BR100" s="602"/>
      <c r="BS100" s="602"/>
      <c r="BT100" s="602"/>
      <c r="BU100" s="602"/>
      <c r="BV100" s="602"/>
      <c r="BW100" s="602"/>
      <c r="BX100" s="636"/>
      <c r="BY100" s="636"/>
      <c r="BZ100" s="636"/>
      <c r="CA100" s="3758" t="str">
        <f>IF(D100&lt;=C100,"","* Las consejerías realizadas en Espacios Amigables NO DEBEN ser mayor al Total de Actividades. ")</f>
        <v/>
      </c>
      <c r="CB100" s="3290"/>
      <c r="CC100" s="3290"/>
      <c r="CD100" s="3290"/>
      <c r="CE100" s="3290"/>
      <c r="CF100" s="3290"/>
      <c r="CI100" s="3759">
        <f>IF(D100&lt;=C100,0,1)</f>
        <v>0</v>
      </c>
    </row>
    <row r="101" spans="1:111" x14ac:dyDescent="0.25">
      <c r="A101" s="6455"/>
      <c r="B101" s="3328" t="s">
        <v>2866</v>
      </c>
      <c r="C101" s="3609"/>
      <c r="D101" s="3637"/>
      <c r="E101" s="1755" t="str">
        <f t="shared" si="46"/>
        <v/>
      </c>
      <c r="F101" s="799"/>
      <c r="G101" s="799"/>
      <c r="H101" s="799"/>
      <c r="I101" s="799"/>
      <c r="J101" s="799"/>
      <c r="K101" s="799"/>
      <c r="L101" s="799"/>
      <c r="M101" s="799"/>
      <c r="N101" s="799"/>
      <c r="O101" s="799"/>
      <c r="P101" s="799"/>
      <c r="Q101" s="3288"/>
      <c r="R101" s="3288"/>
      <c r="S101" s="3288"/>
      <c r="T101" s="602"/>
      <c r="U101" s="602"/>
      <c r="V101" s="602"/>
      <c r="W101" s="602"/>
      <c r="X101" s="602"/>
      <c r="Y101" s="602"/>
      <c r="Z101" s="602"/>
      <c r="AA101" s="602"/>
      <c r="AB101" s="602"/>
      <c r="AC101" s="602"/>
      <c r="AD101" s="602"/>
      <c r="AE101" s="602"/>
      <c r="AF101" s="602"/>
      <c r="AG101" s="602"/>
      <c r="AH101" s="602"/>
      <c r="AI101" s="602"/>
      <c r="AJ101" s="602"/>
      <c r="AK101" s="602"/>
      <c r="AL101" s="602"/>
      <c r="AM101" s="602"/>
      <c r="AN101" s="602"/>
      <c r="AO101" s="602"/>
      <c r="AP101" s="602"/>
      <c r="AQ101" s="602"/>
      <c r="AR101" s="602"/>
      <c r="AS101" s="602"/>
      <c r="AT101" s="602"/>
      <c r="AU101" s="602"/>
      <c r="AV101" s="602"/>
      <c r="AW101" s="602"/>
      <c r="AX101" s="602"/>
      <c r="AY101" s="602"/>
      <c r="AZ101" s="602"/>
      <c r="BA101" s="602"/>
      <c r="BB101" s="602"/>
      <c r="BC101" s="602"/>
      <c r="BD101" s="602"/>
      <c r="BE101" s="602"/>
      <c r="BF101" s="602"/>
      <c r="BG101" s="602"/>
      <c r="BH101" s="602"/>
      <c r="BI101" s="602"/>
      <c r="BJ101" s="602"/>
      <c r="BK101" s="602"/>
      <c r="BL101" s="602"/>
      <c r="BM101" s="602"/>
      <c r="BN101" s="602"/>
      <c r="BO101" s="602"/>
      <c r="BP101" s="602"/>
      <c r="BQ101" s="602"/>
      <c r="BR101" s="602"/>
      <c r="BS101" s="602"/>
      <c r="BT101" s="602"/>
      <c r="BU101" s="602"/>
      <c r="BV101" s="602"/>
      <c r="BW101" s="602"/>
      <c r="BX101" s="636"/>
      <c r="BY101" s="636"/>
      <c r="BZ101" s="636"/>
      <c r="CA101" s="3758" t="str">
        <f t="shared" ref="CA101:CA103" si="47">IF(D101&lt;=C101,"","* Las consejerías realizadas en Espacios Amigables NO DEBEN ser mayor al Total de Actividades. ")</f>
        <v/>
      </c>
      <c r="CB101" s="3290"/>
      <c r="CC101" s="3290"/>
      <c r="CD101" s="3290"/>
      <c r="CE101" s="3290"/>
      <c r="CF101" s="3290"/>
      <c r="CI101" s="3759">
        <f t="shared" ref="CI101:CI103" si="48">IF(D101&lt;=C101,0,1)</f>
        <v>0</v>
      </c>
    </row>
    <row r="102" spans="1:111" x14ac:dyDescent="0.25">
      <c r="A102" s="6455"/>
      <c r="B102" s="3328" t="s">
        <v>2867</v>
      </c>
      <c r="C102" s="3637"/>
      <c r="D102" s="3637"/>
      <c r="E102" s="1755" t="str">
        <f t="shared" si="46"/>
        <v/>
      </c>
      <c r="F102" s="799"/>
      <c r="G102" s="799"/>
      <c r="H102" s="799"/>
      <c r="I102" s="799"/>
      <c r="J102" s="799"/>
      <c r="K102" s="799"/>
      <c r="L102" s="799"/>
      <c r="M102" s="799"/>
      <c r="N102" s="799"/>
      <c r="O102" s="799"/>
      <c r="P102" s="799"/>
      <c r="Q102" s="3288"/>
      <c r="R102" s="3288"/>
      <c r="S102" s="3288"/>
      <c r="T102" s="602"/>
      <c r="U102" s="602"/>
      <c r="V102" s="602"/>
      <c r="W102" s="602"/>
      <c r="X102" s="602"/>
      <c r="Y102" s="602"/>
      <c r="Z102" s="602"/>
      <c r="AA102" s="602"/>
      <c r="AB102" s="602"/>
      <c r="AC102" s="602"/>
      <c r="AD102" s="602"/>
      <c r="AE102" s="602"/>
      <c r="AF102" s="602"/>
      <c r="AG102" s="602"/>
      <c r="AH102" s="602"/>
      <c r="AI102" s="602"/>
      <c r="AJ102" s="602"/>
      <c r="AK102" s="602"/>
      <c r="AL102" s="602"/>
      <c r="AM102" s="602"/>
      <c r="AN102" s="602"/>
      <c r="AO102" s="602"/>
      <c r="AP102" s="602"/>
      <c r="AQ102" s="602"/>
      <c r="AR102" s="602"/>
      <c r="AS102" s="602"/>
      <c r="AT102" s="602"/>
      <c r="AU102" s="602"/>
      <c r="AV102" s="602"/>
      <c r="AW102" s="602"/>
      <c r="AX102" s="602"/>
      <c r="AY102" s="602"/>
      <c r="AZ102" s="602"/>
      <c r="BA102" s="602"/>
      <c r="BB102" s="602"/>
      <c r="BC102" s="602"/>
      <c r="BD102" s="602"/>
      <c r="BE102" s="602"/>
      <c r="BF102" s="602"/>
      <c r="BG102" s="602"/>
      <c r="BH102" s="602"/>
      <c r="BI102" s="602"/>
      <c r="BJ102" s="602"/>
      <c r="BK102" s="602"/>
      <c r="BL102" s="602"/>
      <c r="BM102" s="602"/>
      <c r="BN102" s="602"/>
      <c r="BO102" s="602"/>
      <c r="BP102" s="602"/>
      <c r="BQ102" s="602"/>
      <c r="BR102" s="602"/>
      <c r="BS102" s="602"/>
      <c r="BT102" s="602"/>
      <c r="BU102" s="602"/>
      <c r="BV102" s="602"/>
      <c r="BW102" s="602"/>
      <c r="BX102" s="636"/>
      <c r="BY102" s="636"/>
      <c r="BZ102" s="636"/>
      <c r="CA102" s="3758" t="str">
        <f t="shared" si="47"/>
        <v/>
      </c>
      <c r="CB102" s="3290"/>
      <c r="CC102" s="3290"/>
      <c r="CD102" s="3290"/>
      <c r="CE102" s="3290"/>
      <c r="CF102" s="3290"/>
      <c r="CI102" s="3759">
        <f t="shared" si="48"/>
        <v>0</v>
      </c>
    </row>
    <row r="103" spans="1:111" x14ac:dyDescent="0.25">
      <c r="A103" s="6457"/>
      <c r="B103" s="3083" t="s">
        <v>2868</v>
      </c>
      <c r="C103" s="3761"/>
      <c r="D103" s="3761"/>
      <c r="E103" s="1755" t="str">
        <f t="shared" si="46"/>
        <v/>
      </c>
      <c r="F103" s="799"/>
      <c r="G103" s="799"/>
      <c r="H103" s="799"/>
      <c r="I103" s="799"/>
      <c r="J103" s="799"/>
      <c r="K103" s="799"/>
      <c r="L103" s="799"/>
      <c r="M103" s="799"/>
      <c r="N103" s="799"/>
      <c r="O103" s="799"/>
      <c r="P103" s="799"/>
      <c r="Q103" s="3288"/>
      <c r="R103" s="3288"/>
      <c r="S103" s="3288"/>
      <c r="T103" s="602"/>
      <c r="U103" s="602"/>
      <c r="V103" s="602"/>
      <c r="W103" s="602"/>
      <c r="X103" s="602"/>
      <c r="Y103" s="602"/>
      <c r="Z103" s="602"/>
      <c r="AA103" s="602"/>
      <c r="AB103" s="602"/>
      <c r="AC103" s="602"/>
      <c r="AD103" s="602"/>
      <c r="AE103" s="602"/>
      <c r="AF103" s="602"/>
      <c r="AG103" s="602"/>
      <c r="AH103" s="602"/>
      <c r="AI103" s="602"/>
      <c r="AJ103" s="602"/>
      <c r="AK103" s="602"/>
      <c r="AL103" s="602"/>
      <c r="AM103" s="602"/>
      <c r="AN103" s="602"/>
      <c r="AO103" s="602"/>
      <c r="AP103" s="602"/>
      <c r="AQ103" s="602"/>
      <c r="AR103" s="602"/>
      <c r="AS103" s="602"/>
      <c r="AT103" s="602"/>
      <c r="AU103" s="602"/>
      <c r="AV103" s="602"/>
      <c r="AW103" s="602"/>
      <c r="AX103" s="602"/>
      <c r="AY103" s="602"/>
      <c r="AZ103" s="602"/>
      <c r="BA103" s="602"/>
      <c r="BB103" s="602"/>
      <c r="BC103" s="602"/>
      <c r="BD103" s="602"/>
      <c r="BE103" s="602"/>
      <c r="BF103" s="602"/>
      <c r="BG103" s="602"/>
      <c r="BH103" s="602"/>
      <c r="BI103" s="602"/>
      <c r="BJ103" s="602"/>
      <c r="BK103" s="602"/>
      <c r="BL103" s="602"/>
      <c r="BM103" s="602"/>
      <c r="BN103" s="602"/>
      <c r="BO103" s="602"/>
      <c r="BP103" s="602"/>
      <c r="BQ103" s="602"/>
      <c r="BR103" s="602"/>
      <c r="BS103" s="602"/>
      <c r="BT103" s="602"/>
      <c r="BU103" s="602"/>
      <c r="BV103" s="602"/>
      <c r="BW103" s="602"/>
      <c r="BX103" s="636"/>
      <c r="BY103" s="636"/>
      <c r="BZ103" s="636"/>
      <c r="CA103" s="3758" t="str">
        <f t="shared" si="47"/>
        <v/>
      </c>
      <c r="CB103" s="3290"/>
      <c r="CC103" s="3290"/>
      <c r="CD103" s="3290"/>
      <c r="CE103" s="3290"/>
      <c r="CF103" s="3290"/>
      <c r="CI103" s="3759">
        <f t="shared" si="48"/>
        <v>0</v>
      </c>
    </row>
    <row r="104" spans="1:111" ht="18" customHeight="1" x14ac:dyDescent="0.25">
      <c r="A104" s="7793" t="s">
        <v>2869</v>
      </c>
      <c r="B104" s="7793"/>
      <c r="C104" s="7793"/>
      <c r="D104" s="7793"/>
      <c r="E104" s="7793"/>
      <c r="F104" s="7793"/>
      <c r="G104" s="7793"/>
      <c r="H104" s="7793"/>
      <c r="I104" s="7793"/>
      <c r="J104" s="7793"/>
      <c r="K104" s="7793"/>
      <c r="L104" s="7793"/>
      <c r="M104" s="7793"/>
      <c r="N104" s="7793"/>
      <c r="O104" s="7793"/>
      <c r="P104" s="7793"/>
      <c r="Q104" s="7793"/>
      <c r="R104" s="7793"/>
      <c r="S104" s="7793"/>
      <c r="T104" s="7793"/>
      <c r="U104" s="7793"/>
      <c r="V104" s="7793"/>
      <c r="W104" s="7793"/>
      <c r="X104" s="7793"/>
      <c r="Y104" s="7793"/>
      <c r="Z104" s="7793"/>
      <c r="AA104" s="7793"/>
      <c r="AB104" s="7793"/>
      <c r="AC104" s="7793"/>
      <c r="AD104" s="7793"/>
      <c r="AE104" s="7793"/>
      <c r="AF104" s="7793"/>
      <c r="AG104" s="7793"/>
      <c r="AH104" s="7793"/>
      <c r="AI104" s="7793"/>
      <c r="AJ104" s="7793"/>
      <c r="AK104" s="7793"/>
    </row>
    <row r="105" spans="1:111" ht="15" customHeight="1" x14ac:dyDescent="0.25">
      <c r="A105" s="6493" t="s">
        <v>58</v>
      </c>
      <c r="B105" s="6469"/>
      <c r="C105" s="6493" t="s">
        <v>24</v>
      </c>
      <c r="D105" s="6468"/>
      <c r="E105" s="6469"/>
      <c r="F105" s="6598" t="s">
        <v>30</v>
      </c>
      <c r="G105" s="6612"/>
      <c r="H105" s="6612"/>
      <c r="I105" s="6612"/>
      <c r="J105" s="6612"/>
      <c r="K105" s="6612"/>
      <c r="L105" s="6612"/>
      <c r="M105" s="6612"/>
      <c r="N105" s="6612"/>
      <c r="O105" s="6612"/>
      <c r="P105" s="6612"/>
      <c r="Q105" s="6612"/>
      <c r="R105" s="6612"/>
      <c r="S105" s="6612"/>
      <c r="T105" s="6612"/>
      <c r="U105" s="6612"/>
      <c r="V105" s="6612"/>
      <c r="W105" s="6612"/>
      <c r="X105" s="6612"/>
      <c r="Y105" s="6612"/>
      <c r="Z105" s="6612"/>
      <c r="AA105" s="6612"/>
      <c r="AB105" s="6612"/>
      <c r="AC105" s="6612"/>
      <c r="AD105" s="6612"/>
      <c r="AE105" s="6612"/>
      <c r="AF105" s="6612"/>
      <c r="AG105" s="6612"/>
      <c r="AH105" s="6612"/>
      <c r="AI105" s="6612"/>
      <c r="AJ105" s="6612"/>
      <c r="AK105" s="7795"/>
      <c r="AL105" s="6526" t="s">
        <v>17</v>
      </c>
    </row>
    <row r="106" spans="1:111" x14ac:dyDescent="0.25">
      <c r="A106" s="6600"/>
      <c r="B106" s="6472"/>
      <c r="C106" s="6601"/>
      <c r="D106" s="6476"/>
      <c r="E106" s="6602"/>
      <c r="F106" s="6494" t="s">
        <v>38</v>
      </c>
      <c r="G106" s="6535"/>
      <c r="H106" s="6494" t="s">
        <v>568</v>
      </c>
      <c r="I106" s="6535"/>
      <c r="J106" s="6494" t="s">
        <v>559</v>
      </c>
      <c r="K106" s="6535"/>
      <c r="L106" s="6494" t="s">
        <v>560</v>
      </c>
      <c r="M106" s="6535"/>
      <c r="N106" s="6494" t="s">
        <v>561</v>
      </c>
      <c r="O106" s="6535"/>
      <c r="P106" s="6494" t="s">
        <v>562</v>
      </c>
      <c r="Q106" s="6535"/>
      <c r="R106" s="6494" t="s">
        <v>563</v>
      </c>
      <c r="S106" s="6535"/>
      <c r="T106" s="6494" t="s">
        <v>564</v>
      </c>
      <c r="U106" s="6535"/>
      <c r="V106" s="6494" t="s">
        <v>565</v>
      </c>
      <c r="W106" s="6535"/>
      <c r="X106" s="6494" t="s">
        <v>555</v>
      </c>
      <c r="Y106" s="6535"/>
      <c r="Z106" s="6494" t="s">
        <v>556</v>
      </c>
      <c r="AA106" s="6535"/>
      <c r="AB106" s="6494" t="s">
        <v>557</v>
      </c>
      <c r="AC106" s="6535"/>
      <c r="AD106" s="6494" t="s">
        <v>2831</v>
      </c>
      <c r="AE106" s="6535"/>
      <c r="AF106" s="6494" t="s">
        <v>2832</v>
      </c>
      <c r="AG106" s="6535"/>
      <c r="AH106" s="6519" t="s">
        <v>32</v>
      </c>
      <c r="AI106" s="6522"/>
      <c r="AJ106" s="6496" t="s">
        <v>2870</v>
      </c>
      <c r="AK106" s="6496"/>
      <c r="AL106" s="6539"/>
    </row>
    <row r="107" spans="1:111" x14ac:dyDescent="0.25">
      <c r="A107" s="6601"/>
      <c r="B107" s="6602"/>
      <c r="C107" s="3242" t="s">
        <v>26</v>
      </c>
      <c r="D107" s="3242" t="s">
        <v>22</v>
      </c>
      <c r="E107" s="3315" t="s">
        <v>27</v>
      </c>
      <c r="F107" s="3242" t="s">
        <v>22</v>
      </c>
      <c r="G107" s="3315" t="s">
        <v>27</v>
      </c>
      <c r="H107" s="3242" t="s">
        <v>22</v>
      </c>
      <c r="I107" s="3315" t="s">
        <v>27</v>
      </c>
      <c r="J107" s="3242" t="s">
        <v>22</v>
      </c>
      <c r="K107" s="3315" t="s">
        <v>27</v>
      </c>
      <c r="L107" s="3242" t="s">
        <v>22</v>
      </c>
      <c r="M107" s="3315" t="s">
        <v>27</v>
      </c>
      <c r="N107" s="3242" t="s">
        <v>22</v>
      </c>
      <c r="O107" s="3315" t="s">
        <v>27</v>
      </c>
      <c r="P107" s="3242" t="s">
        <v>22</v>
      </c>
      <c r="Q107" s="3315" t="s">
        <v>27</v>
      </c>
      <c r="R107" s="3242" t="s">
        <v>22</v>
      </c>
      <c r="S107" s="3315" t="s">
        <v>27</v>
      </c>
      <c r="T107" s="3242" t="s">
        <v>22</v>
      </c>
      <c r="U107" s="3315" t="s">
        <v>27</v>
      </c>
      <c r="V107" s="3242" t="s">
        <v>22</v>
      </c>
      <c r="W107" s="3315" t="s">
        <v>27</v>
      </c>
      <c r="X107" s="3242" t="s">
        <v>22</v>
      </c>
      <c r="Y107" s="3315" t="s">
        <v>27</v>
      </c>
      <c r="Z107" s="3242" t="s">
        <v>22</v>
      </c>
      <c r="AA107" s="3315" t="s">
        <v>27</v>
      </c>
      <c r="AB107" s="3242" t="s">
        <v>22</v>
      </c>
      <c r="AC107" s="3315" t="s">
        <v>27</v>
      </c>
      <c r="AD107" s="3242" t="s">
        <v>22</v>
      </c>
      <c r="AE107" s="3315" t="s">
        <v>27</v>
      </c>
      <c r="AF107" s="3242" t="s">
        <v>22</v>
      </c>
      <c r="AG107" s="3315" t="s">
        <v>27</v>
      </c>
      <c r="AH107" s="3242" t="s">
        <v>22</v>
      </c>
      <c r="AI107" s="3251" t="s">
        <v>27</v>
      </c>
      <c r="AJ107" s="3249" t="s">
        <v>22</v>
      </c>
      <c r="AK107" s="3159" t="s">
        <v>27</v>
      </c>
      <c r="AL107" s="6527"/>
    </row>
    <row r="108" spans="1:111" x14ac:dyDescent="0.25">
      <c r="A108" s="6488" t="s">
        <v>2871</v>
      </c>
      <c r="B108" s="3467" t="s">
        <v>2872</v>
      </c>
      <c r="C108" s="3762">
        <f>SUM(D108:E108)</f>
        <v>0</v>
      </c>
      <c r="D108" s="3639">
        <f>+F108+H108+J108+L108+N108+P108+R108+T108+V108+X108+Z108+AB108+AD108+AF108+AH108</f>
        <v>0</v>
      </c>
      <c r="E108" s="3701">
        <f t="shared" ref="D108:E110" si="49">+G108+I108+K108+M108+O108+Q108+S108+U108+W108+Y108+AA108+AC108+AE108+AG108+AI108</f>
        <v>0</v>
      </c>
      <c r="F108" s="3590"/>
      <c r="G108" s="3593"/>
      <c r="H108" s="3590"/>
      <c r="I108" s="3593"/>
      <c r="J108" s="3590"/>
      <c r="K108" s="3593"/>
      <c r="L108" s="3590"/>
      <c r="M108" s="3593"/>
      <c r="N108" s="3590"/>
      <c r="O108" s="3593"/>
      <c r="P108" s="3590"/>
      <c r="Q108" s="3593"/>
      <c r="R108" s="3590"/>
      <c r="S108" s="3593"/>
      <c r="T108" s="3590"/>
      <c r="U108" s="3593"/>
      <c r="V108" s="3590"/>
      <c r="W108" s="3593"/>
      <c r="X108" s="3590"/>
      <c r="Y108" s="3593"/>
      <c r="Z108" s="3590"/>
      <c r="AA108" s="3593"/>
      <c r="AB108" s="3590"/>
      <c r="AC108" s="3593"/>
      <c r="AD108" s="3590"/>
      <c r="AE108" s="3593"/>
      <c r="AF108" s="3590"/>
      <c r="AG108" s="3593"/>
      <c r="AH108" s="3703"/>
      <c r="AI108" s="3704"/>
      <c r="AJ108" s="3763"/>
      <c r="AK108" s="3764"/>
      <c r="AL108" s="3705"/>
      <c r="AM108" s="1755" t="str">
        <f>BZ108&amp;CA108&amp;CB108</f>
        <v/>
      </c>
      <c r="AN108" s="799"/>
      <c r="AO108" s="799"/>
      <c r="AP108" s="799"/>
      <c r="AQ108" s="799"/>
      <c r="AR108" s="799"/>
      <c r="AS108" s="799"/>
      <c r="AT108" s="799"/>
      <c r="AU108" s="799"/>
      <c r="AV108" s="799"/>
      <c r="AW108" s="799"/>
      <c r="AX108" s="799"/>
      <c r="AY108" s="3288"/>
      <c r="AZ108" s="3288"/>
      <c r="BA108" s="3288"/>
      <c r="BB108" s="602"/>
      <c r="BC108" s="602"/>
      <c r="BD108" s="602"/>
      <c r="BE108" s="602"/>
      <c r="BF108" s="602"/>
      <c r="BG108" s="602"/>
      <c r="BH108" s="602"/>
      <c r="BI108" s="602"/>
      <c r="BJ108" s="602"/>
      <c r="BK108" s="602"/>
      <c r="BL108" s="602"/>
      <c r="BM108" s="602"/>
      <c r="BN108" s="602"/>
      <c r="BO108" s="602"/>
      <c r="BP108" s="602"/>
      <c r="BQ108" s="602"/>
      <c r="BR108" s="602"/>
      <c r="BS108" s="602"/>
      <c r="BT108" s="602"/>
      <c r="BU108" s="602"/>
      <c r="BV108" s="602"/>
      <c r="BW108" s="602"/>
      <c r="BX108" s="602"/>
      <c r="BY108" s="602"/>
      <c r="BZ108" s="2873" t="str">
        <f>IF(AND(SUM(F108+H108)&gt;0,(AJ108=""))," * No olvide digitar la variable 14-18 años Hombres. Si no tiene Digite CERO .",IF(AJ108&gt;F108+H108,"* La suma del grupo de 14 a 18 años Hombres no puede superar el Total Hombres Grupo Etario de 10 a 19 años. ",""))</f>
        <v/>
      </c>
      <c r="CA108" s="2873" t="str">
        <f>IF(AND(SUM(G108+I108)&gt;0,(AK108="")),"* No olvide digitar la variable 14-18 años Mujeres. Si no tiene Digite CERO.",IF(AK108&gt;(G108+I108),"* La suma del grupo de 14 a 18 años Mujeres no puede superar el Total Mujeres Grupo Etario de 10 a 19 años. ",""))</f>
        <v/>
      </c>
      <c r="CB108" s="2873" t="str">
        <f>IF(AND($C108&lt;&gt;0,AL108=""),"* No olvide ingresar la columna Espacios Amigables/Adolescentes (Digite CERO si no tiene).  ",IF(AL108&gt;$C108,"* El Número de Espacios Amigables/Adolescentes no puede superar el Total. ",""))</f>
        <v/>
      </c>
      <c r="CC108" s="3290"/>
      <c r="CD108" s="3290"/>
      <c r="CE108" s="3290"/>
      <c r="CF108" s="3290"/>
      <c r="CI108" s="1793">
        <f>IF(AND(SUM(F108+H108)&gt;0,(AJ108="")),1,IF(AJ108&gt;F108+H108,1,0))</f>
        <v>0</v>
      </c>
      <c r="CJ108" s="1793">
        <f>IF(AND(SUM(G108+I108)&gt;0,(AK108="")),1,IF(AK108&gt;(G108+I108),1,0))</f>
        <v>0</v>
      </c>
      <c r="CK108" s="1793">
        <f>IF(AND($C108&lt;&gt;0,AL108=""),1,IF(AL108&gt;$C108,1,0))</f>
        <v>0</v>
      </c>
      <c r="CL108" s="602"/>
      <c r="CM108" s="602"/>
      <c r="CN108" s="602"/>
      <c r="CO108" s="602"/>
      <c r="CP108" s="602"/>
      <c r="CQ108" s="602"/>
      <c r="CR108" s="602"/>
      <c r="CS108" s="602"/>
      <c r="CT108" s="602"/>
      <c r="CU108" s="602"/>
      <c r="CV108" s="602"/>
      <c r="CW108" s="602"/>
      <c r="CX108" s="602"/>
      <c r="CY108" s="602"/>
      <c r="CZ108" s="602"/>
      <c r="DA108" s="602"/>
      <c r="DB108" s="602"/>
      <c r="DC108" s="602"/>
      <c r="DD108" s="602"/>
      <c r="DE108" s="636"/>
      <c r="DF108" s="636"/>
      <c r="DG108" s="636"/>
    </row>
    <row r="109" spans="1:111" x14ac:dyDescent="0.25">
      <c r="A109" s="6455"/>
      <c r="B109" s="3470" t="s">
        <v>2873</v>
      </c>
      <c r="C109" s="3687">
        <f>SUM(D109:E109)</f>
        <v>0</v>
      </c>
      <c r="D109" s="3644">
        <f t="shared" si="49"/>
        <v>0</v>
      </c>
      <c r="E109" s="3709">
        <f t="shared" si="49"/>
        <v>0</v>
      </c>
      <c r="F109" s="3574"/>
      <c r="G109" s="3577"/>
      <c r="H109" s="3574"/>
      <c r="I109" s="3577"/>
      <c r="J109" s="3574"/>
      <c r="K109" s="3577"/>
      <c r="L109" s="3574"/>
      <c r="M109" s="3577"/>
      <c r="N109" s="3574"/>
      <c r="O109" s="3577"/>
      <c r="P109" s="3574"/>
      <c r="Q109" s="3577"/>
      <c r="R109" s="3574"/>
      <c r="S109" s="3577"/>
      <c r="T109" s="3574"/>
      <c r="U109" s="3577"/>
      <c r="V109" s="3574"/>
      <c r="W109" s="3577"/>
      <c r="X109" s="3574"/>
      <c r="Y109" s="3577"/>
      <c r="Z109" s="3574"/>
      <c r="AA109" s="3577"/>
      <c r="AB109" s="3574"/>
      <c r="AC109" s="3577"/>
      <c r="AD109" s="3574"/>
      <c r="AE109" s="3577"/>
      <c r="AF109" s="3574"/>
      <c r="AG109" s="3577"/>
      <c r="AH109" s="3710"/>
      <c r="AI109" s="3575"/>
      <c r="AJ109" s="3748"/>
      <c r="AK109" s="3727"/>
      <c r="AL109" s="3711"/>
      <c r="AM109" s="1755" t="str">
        <f t="shared" ref="AM109:AM110" si="50">BZ109&amp;CA109&amp;CB109</f>
        <v/>
      </c>
      <c r="AN109" s="799"/>
      <c r="AO109" s="799"/>
      <c r="AP109" s="799"/>
      <c r="AQ109" s="799"/>
      <c r="AR109" s="799"/>
      <c r="AS109" s="799"/>
      <c r="AT109" s="799"/>
      <c r="AU109" s="799"/>
      <c r="AV109" s="799"/>
      <c r="AW109" s="799"/>
      <c r="AX109" s="799"/>
      <c r="AY109" s="3288"/>
      <c r="AZ109" s="3288"/>
      <c r="BA109" s="3288"/>
      <c r="BB109" s="602"/>
      <c r="BC109" s="602"/>
      <c r="BD109" s="602"/>
      <c r="BE109" s="602"/>
      <c r="BF109" s="602"/>
      <c r="BG109" s="602"/>
      <c r="BH109" s="602"/>
      <c r="BI109" s="602"/>
      <c r="BJ109" s="602"/>
      <c r="BK109" s="602"/>
      <c r="BL109" s="602"/>
      <c r="BM109" s="602"/>
      <c r="BN109" s="602"/>
      <c r="BO109" s="602"/>
      <c r="BP109" s="602"/>
      <c r="BQ109" s="602"/>
      <c r="BR109" s="602"/>
      <c r="BS109" s="602"/>
      <c r="BT109" s="602"/>
      <c r="BU109" s="602"/>
      <c r="BV109" s="602"/>
      <c r="BW109" s="602"/>
      <c r="BX109" s="602"/>
      <c r="BY109" s="602"/>
      <c r="BZ109" s="2873" t="str">
        <f t="shared" ref="BZ109:BZ110" si="51">IF(AND(SUM(F109+H109)&gt;0,(AJ109=""))," * No olvide digitar la variable 14-18 años Hombres. Si no tiene Digite CERO .",IF(AJ109&gt;F109+H109,"* La suma del grupo de 14 a 18 años Hombres no puede superar el Total Hombres Grupo Etario de 10 a 19 años. ",""))</f>
        <v/>
      </c>
      <c r="CA109" s="2873" t="str">
        <f t="shared" ref="CA109:CA110" si="52">IF(AND(SUM(G109+I109)&gt;0,(AK109="")),"* No olvide digitar la variable 14-18 años Mujeres. Si no tiene Digite CERO.",IF(AK109&gt;(G109+I109),"* La suma del grupo de 14 a 18 años Mujeres no puede superar el Total Mujeres Grupo Etario de 10 a 19 años. ",""))</f>
        <v/>
      </c>
      <c r="CB109" s="2873" t="str">
        <f t="shared" ref="CB109:CB110" si="53">IF(AND($C109&lt;&gt;0,AL109=""),"* No olvide ingresar la columna Espacios Amigables/Adolescentes (Digite CERO si no tiene).  ",IF(AL109&gt;$C109,"* El Número de Espacios Amigables/Adolescentes no puede superar el Total. ",""))</f>
        <v/>
      </c>
      <c r="CC109" s="3290"/>
      <c r="CD109" s="3290"/>
      <c r="CE109" s="3290"/>
      <c r="CF109" s="3290"/>
      <c r="CI109" s="1793">
        <f t="shared" ref="CI109:CI110" si="54">IF(AND(SUM(F109+H109)&gt;0,(AJ109="")),1,IF(AJ109&gt;F109+H109,1,0))</f>
        <v>0</v>
      </c>
      <c r="CJ109" s="1793">
        <f t="shared" ref="CJ109:CJ110" si="55">IF(AND(SUM(G109+I109)&gt;0,(AK109="")),1,IF(AK109&gt;(G109+I109),1,0))</f>
        <v>0</v>
      </c>
      <c r="CK109" s="1793">
        <f t="shared" ref="CK109:CK110" si="56">IF(AND($C109&lt;&gt;0,AL109=""),1,IF(AL109&gt;$C109,1,0))</f>
        <v>0</v>
      </c>
    </row>
    <row r="110" spans="1:111" x14ac:dyDescent="0.25">
      <c r="A110" s="6457"/>
      <c r="B110" s="119" t="s">
        <v>2874</v>
      </c>
      <c r="C110" s="633">
        <f>SUM(D110:E110)</f>
        <v>0</v>
      </c>
      <c r="D110" s="617">
        <f t="shared" si="49"/>
        <v>0</v>
      </c>
      <c r="E110" s="3718">
        <f t="shared" si="49"/>
        <v>0</v>
      </c>
      <c r="F110" s="3586"/>
      <c r="G110" s="3587"/>
      <c r="H110" s="3586"/>
      <c r="I110" s="3587"/>
      <c r="J110" s="3586"/>
      <c r="K110" s="3587"/>
      <c r="L110" s="3586"/>
      <c r="M110" s="3587"/>
      <c r="N110" s="3586"/>
      <c r="O110" s="3587"/>
      <c r="P110" s="3586"/>
      <c r="Q110" s="3587"/>
      <c r="R110" s="3586"/>
      <c r="S110" s="3587"/>
      <c r="T110" s="3586"/>
      <c r="U110" s="3587"/>
      <c r="V110" s="3586"/>
      <c r="W110" s="3587"/>
      <c r="X110" s="3586"/>
      <c r="Y110" s="3587"/>
      <c r="Z110" s="3586"/>
      <c r="AA110" s="3587"/>
      <c r="AB110" s="3586"/>
      <c r="AC110" s="3587"/>
      <c r="AD110" s="3586"/>
      <c r="AE110" s="3587"/>
      <c r="AF110" s="3586"/>
      <c r="AG110" s="3587"/>
      <c r="AH110" s="3730"/>
      <c r="AI110" s="3588"/>
      <c r="AJ110" s="383"/>
      <c r="AK110" s="3632"/>
      <c r="AL110" s="3719"/>
      <c r="AM110" s="1755" t="str">
        <f t="shared" si="50"/>
        <v/>
      </c>
      <c r="AN110" s="799"/>
      <c r="AO110" s="799"/>
      <c r="AP110" s="799"/>
      <c r="AQ110" s="799"/>
      <c r="AR110" s="799"/>
      <c r="AS110" s="799"/>
      <c r="AT110" s="799"/>
      <c r="AU110" s="799"/>
      <c r="AV110" s="799"/>
      <c r="AW110" s="799"/>
      <c r="AX110" s="799"/>
      <c r="AY110" s="3288"/>
      <c r="AZ110" s="3288"/>
      <c r="BA110" s="3288"/>
      <c r="BB110" s="602"/>
      <c r="BC110" s="602"/>
      <c r="BD110" s="602"/>
      <c r="BE110" s="602"/>
      <c r="BF110" s="602"/>
      <c r="BG110" s="602"/>
      <c r="BH110" s="602"/>
      <c r="BI110" s="602"/>
      <c r="BJ110" s="602"/>
      <c r="BK110" s="602"/>
      <c r="BL110" s="602"/>
      <c r="BM110" s="602"/>
      <c r="BN110" s="602"/>
      <c r="BO110" s="602"/>
      <c r="BP110" s="602"/>
      <c r="BQ110" s="602"/>
      <c r="BR110" s="602"/>
      <c r="BS110" s="602"/>
      <c r="BT110" s="602"/>
      <c r="BU110" s="602"/>
      <c r="BV110" s="602"/>
      <c r="BW110" s="602"/>
      <c r="BX110" s="602"/>
      <c r="BY110" s="602"/>
      <c r="BZ110" s="2873" t="str">
        <f t="shared" si="51"/>
        <v/>
      </c>
      <c r="CA110" s="2873" t="str">
        <f t="shared" si="52"/>
        <v/>
      </c>
      <c r="CB110" s="2873" t="str">
        <f t="shared" si="53"/>
        <v/>
      </c>
      <c r="CC110" s="3290"/>
      <c r="CD110" s="3290"/>
      <c r="CE110" s="3290"/>
      <c r="CF110" s="3290"/>
      <c r="CI110" s="1793">
        <f t="shared" si="54"/>
        <v>0</v>
      </c>
      <c r="CJ110" s="1793">
        <f t="shared" si="55"/>
        <v>0</v>
      </c>
      <c r="CK110" s="1793">
        <f t="shared" si="56"/>
        <v>0</v>
      </c>
    </row>
    <row r="111" spans="1:111" ht="18" customHeight="1" x14ac:dyDescent="0.25">
      <c r="A111" s="7794" t="s">
        <v>2875</v>
      </c>
      <c r="B111" s="7794"/>
      <c r="C111" s="7794"/>
      <c r="D111" s="7794"/>
      <c r="E111" s="7794"/>
      <c r="F111" s="7794"/>
      <c r="G111" s="7794"/>
      <c r="H111" s="7794"/>
      <c r="I111" s="7794"/>
      <c r="J111" s="7794"/>
    </row>
    <row r="112" spans="1:111" ht="18" customHeight="1" x14ac:dyDescent="0.25">
      <c r="A112" s="7788" t="s">
        <v>2876</v>
      </c>
      <c r="B112" s="7788"/>
      <c r="C112" s="7788"/>
      <c r="D112" s="7788"/>
      <c r="E112" s="7788"/>
      <c r="F112" s="7788"/>
      <c r="G112" s="7788"/>
      <c r="H112" s="7788"/>
      <c r="I112" s="7788"/>
      <c r="J112" s="7788"/>
    </row>
    <row r="113" spans="1:12" x14ac:dyDescent="0.25">
      <c r="A113" s="6550" t="s">
        <v>137</v>
      </c>
      <c r="B113" s="6550" t="s">
        <v>2877</v>
      </c>
      <c r="C113" s="6550" t="s">
        <v>567</v>
      </c>
      <c r="D113" s="6494" t="s">
        <v>2878</v>
      </c>
      <c r="E113" s="6474"/>
      <c r="F113" s="6474"/>
      <c r="G113" s="6474"/>
      <c r="H113" s="6474"/>
      <c r="I113" s="6474"/>
      <c r="J113" s="6495"/>
      <c r="K113" s="7796" t="s">
        <v>2879</v>
      </c>
      <c r="L113" s="6469" t="s">
        <v>2880</v>
      </c>
    </row>
    <row r="114" spans="1:12" ht="42" customHeight="1" x14ac:dyDescent="0.25">
      <c r="A114" s="6550"/>
      <c r="B114" s="6550"/>
      <c r="C114" s="6550"/>
      <c r="D114" s="3313" t="s">
        <v>2881</v>
      </c>
      <c r="E114" s="3567" t="s">
        <v>2882</v>
      </c>
      <c r="F114" s="3567" t="s">
        <v>2883</v>
      </c>
      <c r="G114" s="3567" t="s">
        <v>2884</v>
      </c>
      <c r="H114" s="3567" t="s">
        <v>2885</v>
      </c>
      <c r="I114" s="3766" t="s">
        <v>2886</v>
      </c>
      <c r="J114" s="3767" t="s">
        <v>2887</v>
      </c>
      <c r="K114" s="7797"/>
      <c r="L114" s="6602"/>
    </row>
    <row r="115" spans="1:12" x14ac:dyDescent="0.25">
      <c r="A115" s="6488" t="s">
        <v>2888</v>
      </c>
      <c r="B115" s="3287" t="s">
        <v>2889</v>
      </c>
      <c r="C115" s="3768">
        <f>SUM(D115:J115)</f>
        <v>0</v>
      </c>
      <c r="D115" s="3590"/>
      <c r="E115" s="3591"/>
      <c r="F115" s="3591"/>
      <c r="G115" s="3591"/>
      <c r="H115" s="3591"/>
      <c r="I115" s="3764"/>
      <c r="J115" s="3704"/>
      <c r="K115" s="3706"/>
      <c r="L115" s="3728"/>
    </row>
    <row r="116" spans="1:12" x14ac:dyDescent="0.25">
      <c r="A116" s="6455"/>
      <c r="B116" s="3328" t="s">
        <v>2890</v>
      </c>
      <c r="C116" s="3687">
        <f t="shared" ref="C116:C130" si="57">SUM(D116:J116)</f>
        <v>0</v>
      </c>
      <c r="D116" s="3574"/>
      <c r="E116" s="3573"/>
      <c r="F116" s="3573"/>
      <c r="G116" s="3573"/>
      <c r="H116" s="3573"/>
      <c r="I116" s="3727"/>
      <c r="J116" s="3575"/>
      <c r="K116" s="3572"/>
      <c r="L116" s="3637"/>
    </row>
    <row r="117" spans="1:12" x14ac:dyDescent="0.25">
      <c r="A117" s="6455"/>
      <c r="B117" s="3328" t="s">
        <v>2891</v>
      </c>
      <c r="C117" s="3687">
        <f t="shared" si="57"/>
        <v>0</v>
      </c>
      <c r="D117" s="3574"/>
      <c r="E117" s="3573"/>
      <c r="F117" s="3573"/>
      <c r="G117" s="3573"/>
      <c r="H117" s="3573"/>
      <c r="I117" s="3727"/>
      <c r="J117" s="3575"/>
      <c r="K117" s="3572"/>
      <c r="L117" s="3637"/>
    </row>
    <row r="118" spans="1:12" x14ac:dyDescent="0.25">
      <c r="A118" s="6457"/>
      <c r="B118" s="207" t="s">
        <v>2892</v>
      </c>
      <c r="C118" s="633">
        <f t="shared" si="57"/>
        <v>0</v>
      </c>
      <c r="D118" s="3599"/>
      <c r="E118" s="3600"/>
      <c r="F118" s="3600"/>
      <c r="G118" s="3600"/>
      <c r="H118" s="3600"/>
      <c r="I118" s="3769"/>
      <c r="J118" s="3695"/>
      <c r="K118" s="3694"/>
      <c r="L118" s="3761"/>
    </row>
    <row r="119" spans="1:12" x14ac:dyDescent="0.25">
      <c r="A119" s="6488" t="s">
        <v>2893</v>
      </c>
      <c r="B119" s="3287" t="s">
        <v>2889</v>
      </c>
      <c r="C119" s="3762">
        <f t="shared" si="57"/>
        <v>0</v>
      </c>
      <c r="D119" s="3594"/>
      <c r="E119" s="3595"/>
      <c r="F119" s="3595"/>
      <c r="G119" s="3595"/>
      <c r="H119" s="3595"/>
      <c r="I119" s="3747"/>
      <c r="J119" s="3636"/>
      <c r="K119" s="3620"/>
      <c r="L119" s="3707"/>
    </row>
    <row r="120" spans="1:12" x14ac:dyDescent="0.25">
      <c r="A120" s="6455"/>
      <c r="B120" s="3328" t="s">
        <v>2890</v>
      </c>
      <c r="C120" s="1750">
        <f t="shared" si="57"/>
        <v>0</v>
      </c>
      <c r="D120" s="3627"/>
      <c r="E120" s="3628"/>
      <c r="F120" s="3628"/>
      <c r="G120" s="3628"/>
      <c r="H120" s="3628"/>
      <c r="I120" s="3629"/>
      <c r="J120" s="3697"/>
      <c r="K120" s="3692"/>
      <c r="L120" s="3738"/>
    </row>
    <row r="121" spans="1:12" x14ac:dyDescent="0.25">
      <c r="A121" s="6455"/>
      <c r="B121" s="3328" t="s">
        <v>2891</v>
      </c>
      <c r="C121" s="3687">
        <f t="shared" si="57"/>
        <v>0</v>
      </c>
      <c r="D121" s="3574"/>
      <c r="E121" s="3573"/>
      <c r="F121" s="3573"/>
      <c r="G121" s="3573"/>
      <c r="H121" s="3573"/>
      <c r="I121" s="3727"/>
      <c r="J121" s="3575"/>
      <c r="K121" s="3572"/>
      <c r="L121" s="3637"/>
    </row>
    <row r="122" spans="1:12" x14ac:dyDescent="0.25">
      <c r="A122" s="6457"/>
      <c r="B122" s="207" t="s">
        <v>2892</v>
      </c>
      <c r="C122" s="633">
        <f t="shared" si="57"/>
        <v>0</v>
      </c>
      <c r="D122" s="3586"/>
      <c r="E122" s="3585"/>
      <c r="F122" s="3585"/>
      <c r="G122" s="3585"/>
      <c r="H122" s="3585"/>
      <c r="I122" s="3632"/>
      <c r="J122" s="3588"/>
      <c r="K122" s="288"/>
      <c r="L122" s="384"/>
    </row>
    <row r="123" spans="1:12" x14ac:dyDescent="0.25">
      <c r="A123" s="6488" t="s">
        <v>2894</v>
      </c>
      <c r="B123" s="3287" t="s">
        <v>2889</v>
      </c>
      <c r="C123" s="3762">
        <f t="shared" si="57"/>
        <v>0</v>
      </c>
      <c r="D123" s="3594"/>
      <c r="E123" s="3595"/>
      <c r="F123" s="3595"/>
      <c r="G123" s="3595"/>
      <c r="H123" s="3595"/>
      <c r="I123" s="3747"/>
      <c r="J123" s="3636"/>
      <c r="K123" s="3620"/>
      <c r="L123" s="3707"/>
    </row>
    <row r="124" spans="1:12" x14ac:dyDescent="0.25">
      <c r="A124" s="6455"/>
      <c r="B124" s="3328" t="s">
        <v>2890</v>
      </c>
      <c r="C124" s="1750">
        <f t="shared" si="57"/>
        <v>0</v>
      </c>
      <c r="D124" s="3627"/>
      <c r="E124" s="3628"/>
      <c r="F124" s="3628"/>
      <c r="G124" s="3628"/>
      <c r="H124" s="3628"/>
      <c r="I124" s="3629"/>
      <c r="J124" s="3697"/>
      <c r="K124" s="3692"/>
      <c r="L124" s="3738"/>
    </row>
    <row r="125" spans="1:12" x14ac:dyDescent="0.25">
      <c r="A125" s="6455"/>
      <c r="B125" s="3328" t="s">
        <v>2891</v>
      </c>
      <c r="C125" s="3687">
        <f t="shared" si="57"/>
        <v>0</v>
      </c>
      <c r="D125" s="3574"/>
      <c r="E125" s="3573"/>
      <c r="F125" s="3573"/>
      <c r="G125" s="3573"/>
      <c r="H125" s="3573"/>
      <c r="I125" s="3727"/>
      <c r="J125" s="3575"/>
      <c r="K125" s="3572"/>
      <c r="L125" s="3637"/>
    </row>
    <row r="126" spans="1:12" x14ac:dyDescent="0.25">
      <c r="A126" s="6457"/>
      <c r="B126" s="207" t="s">
        <v>2892</v>
      </c>
      <c r="C126" s="633">
        <f t="shared" si="57"/>
        <v>0</v>
      </c>
      <c r="D126" s="3586"/>
      <c r="E126" s="3585"/>
      <c r="F126" s="3585"/>
      <c r="G126" s="3585"/>
      <c r="H126" s="3585"/>
      <c r="I126" s="3632"/>
      <c r="J126" s="3588"/>
      <c r="K126" s="288"/>
      <c r="L126" s="384"/>
    </row>
    <row r="127" spans="1:12" x14ac:dyDescent="0.25">
      <c r="A127" s="6488" t="s">
        <v>2895</v>
      </c>
      <c r="B127" s="3287" t="s">
        <v>2889</v>
      </c>
      <c r="C127" s="3762">
        <f t="shared" si="57"/>
        <v>0</v>
      </c>
      <c r="D127" s="3594"/>
      <c r="E127" s="3595"/>
      <c r="F127" s="3595"/>
      <c r="G127" s="3595"/>
      <c r="H127" s="3595"/>
      <c r="I127" s="3747"/>
      <c r="J127" s="3636"/>
      <c r="K127" s="3620"/>
      <c r="L127" s="3707"/>
    </row>
    <row r="128" spans="1:12" x14ac:dyDescent="0.25">
      <c r="A128" s="6455"/>
      <c r="B128" s="3328" t="s">
        <v>2890</v>
      </c>
      <c r="C128" s="1750">
        <f t="shared" si="57"/>
        <v>0</v>
      </c>
      <c r="D128" s="3627"/>
      <c r="E128" s="3628"/>
      <c r="F128" s="3628"/>
      <c r="G128" s="3628"/>
      <c r="H128" s="3628"/>
      <c r="I128" s="3629"/>
      <c r="J128" s="3697"/>
      <c r="K128" s="3692"/>
      <c r="L128" s="3738"/>
    </row>
    <row r="129" spans="1:12" x14ac:dyDescent="0.25">
      <c r="A129" s="6455"/>
      <c r="B129" s="3328" t="s">
        <v>2891</v>
      </c>
      <c r="C129" s="3687">
        <f t="shared" si="57"/>
        <v>0</v>
      </c>
      <c r="D129" s="3574"/>
      <c r="E129" s="3573"/>
      <c r="F129" s="3573"/>
      <c r="G129" s="3573"/>
      <c r="H129" s="3573"/>
      <c r="I129" s="3727"/>
      <c r="J129" s="3575"/>
      <c r="K129" s="3572"/>
      <c r="L129" s="3637"/>
    </row>
    <row r="130" spans="1:12" x14ac:dyDescent="0.25">
      <c r="A130" s="6457"/>
      <c r="B130" s="207" t="s">
        <v>2892</v>
      </c>
      <c r="C130" s="633">
        <f t="shared" si="57"/>
        <v>0</v>
      </c>
      <c r="D130" s="3586"/>
      <c r="E130" s="3585"/>
      <c r="F130" s="3585"/>
      <c r="G130" s="3585"/>
      <c r="H130" s="3585"/>
      <c r="I130" s="3632"/>
      <c r="J130" s="3588"/>
      <c r="K130" s="288"/>
      <c r="L130" s="384"/>
    </row>
    <row r="131" spans="1:12" ht="18" customHeight="1" x14ac:dyDescent="0.25">
      <c r="A131" s="7792" t="s">
        <v>2896</v>
      </c>
      <c r="B131" s="7792"/>
      <c r="C131" s="7792"/>
      <c r="D131" s="7792"/>
      <c r="E131" s="7792"/>
      <c r="F131" s="7792"/>
      <c r="G131" s="7792"/>
      <c r="H131" s="7792"/>
    </row>
    <row r="132" spans="1:12" ht="21" x14ac:dyDescent="0.25">
      <c r="A132" s="3269" t="s">
        <v>2897</v>
      </c>
      <c r="B132" s="3360" t="s">
        <v>3792</v>
      </c>
      <c r="C132" s="3242" t="s">
        <v>2898</v>
      </c>
      <c r="D132" s="3314" t="s">
        <v>2899</v>
      </c>
      <c r="E132" s="3314" t="s">
        <v>2900</v>
      </c>
      <c r="F132" s="3314" t="s">
        <v>2901</v>
      </c>
      <c r="G132" s="3314" t="s">
        <v>2902</v>
      </c>
      <c r="H132" s="3393" t="s">
        <v>2903</v>
      </c>
    </row>
    <row r="133" spans="1:12" x14ac:dyDescent="0.25">
      <c r="A133" s="3287" t="s">
        <v>2889</v>
      </c>
      <c r="B133" s="3770"/>
      <c r="C133" s="3594"/>
      <c r="D133" s="3770"/>
      <c r="E133" s="3770"/>
      <c r="F133" s="3770"/>
      <c r="G133" s="3770"/>
      <c r="H133" s="3771"/>
    </row>
    <row r="134" spans="1:12" x14ac:dyDescent="0.25">
      <c r="A134" s="3328" t="s">
        <v>2890</v>
      </c>
      <c r="B134" s="3628"/>
      <c r="C134" s="3627"/>
      <c r="D134" s="3628"/>
      <c r="E134" s="3628"/>
      <c r="F134" s="3628"/>
      <c r="G134" s="3628"/>
      <c r="H134" s="3772"/>
    </row>
    <row r="135" spans="1:12" x14ac:dyDescent="0.25">
      <c r="A135" s="3328" t="s">
        <v>2891</v>
      </c>
      <c r="B135" s="3573"/>
      <c r="C135" s="3574"/>
      <c r="D135" s="3573"/>
      <c r="E135" s="3573"/>
      <c r="F135" s="3573"/>
      <c r="G135" s="3573"/>
      <c r="H135" s="3577"/>
    </row>
    <row r="136" spans="1:12" x14ac:dyDescent="0.25">
      <c r="A136" s="207" t="s">
        <v>569</v>
      </c>
      <c r="B136" s="3585"/>
      <c r="C136" s="3586"/>
      <c r="D136" s="3585"/>
      <c r="E136" s="3585"/>
      <c r="F136" s="3585"/>
      <c r="G136" s="3585"/>
      <c r="H136" s="3587"/>
    </row>
    <row r="137" spans="1:12" ht="18" customHeight="1" x14ac:dyDescent="0.25">
      <c r="A137" s="7792" t="s">
        <v>2904</v>
      </c>
      <c r="B137" s="7792"/>
      <c r="C137" s="7792"/>
      <c r="D137" s="7792"/>
      <c r="E137" s="7792"/>
      <c r="F137" s="7792"/>
      <c r="G137" s="7792"/>
      <c r="H137" s="7792"/>
    </row>
    <row r="138" spans="1:12" ht="31.5" x14ac:dyDescent="0.25">
      <c r="A138" s="3269" t="s">
        <v>2897</v>
      </c>
      <c r="B138" s="3360" t="s">
        <v>567</v>
      </c>
      <c r="C138" s="3242" t="s">
        <v>2906</v>
      </c>
      <c r="D138" s="3314" t="s">
        <v>2907</v>
      </c>
      <c r="E138" s="3314" t="s">
        <v>2908</v>
      </c>
      <c r="F138" s="3314" t="s">
        <v>2909</v>
      </c>
      <c r="G138" s="3314" t="s">
        <v>2910</v>
      </c>
      <c r="H138" s="3393" t="s">
        <v>2911</v>
      </c>
    </row>
    <row r="139" spans="1:12" x14ac:dyDescent="0.25">
      <c r="A139" s="3287" t="s">
        <v>2889</v>
      </c>
      <c r="B139" s="3762">
        <f t="shared" ref="B139:B144" si="58">SUM(C139:H139)</f>
        <v>0</v>
      </c>
      <c r="C139" s="3594"/>
      <c r="D139" s="3770"/>
      <c r="E139" s="3770"/>
      <c r="F139" s="3770"/>
      <c r="G139" s="3770"/>
      <c r="H139" s="3771"/>
    </row>
    <row r="140" spans="1:12" x14ac:dyDescent="0.25">
      <c r="A140" s="3328" t="s">
        <v>2890</v>
      </c>
      <c r="B140" s="3687">
        <f t="shared" si="58"/>
        <v>0</v>
      </c>
      <c r="C140" s="3574"/>
      <c r="D140" s="3573"/>
      <c r="E140" s="3573"/>
      <c r="F140" s="3573"/>
      <c r="G140" s="3573"/>
      <c r="H140" s="3577"/>
    </row>
    <row r="141" spans="1:12" x14ac:dyDescent="0.25">
      <c r="A141" s="3328" t="s">
        <v>2891</v>
      </c>
      <c r="B141" s="3687">
        <f t="shared" si="58"/>
        <v>0</v>
      </c>
      <c r="C141" s="3574"/>
      <c r="D141" s="3573"/>
      <c r="E141" s="3573"/>
      <c r="F141" s="3573"/>
      <c r="G141" s="3573"/>
      <c r="H141" s="3577"/>
    </row>
    <row r="142" spans="1:12" x14ac:dyDescent="0.25">
      <c r="A142" s="3273" t="s">
        <v>569</v>
      </c>
      <c r="B142" s="3687">
        <f t="shared" si="58"/>
        <v>0</v>
      </c>
      <c r="C142" s="3574"/>
      <c r="D142" s="3573"/>
      <c r="E142" s="3573"/>
      <c r="F142" s="3573"/>
      <c r="G142" s="3573"/>
      <c r="H142" s="3577"/>
    </row>
    <row r="143" spans="1:12" x14ac:dyDescent="0.25">
      <c r="A143" s="205" t="s">
        <v>2912</v>
      </c>
      <c r="B143" s="646">
        <f t="shared" si="58"/>
        <v>0</v>
      </c>
      <c r="C143" s="410"/>
      <c r="D143" s="3616"/>
      <c r="E143" s="3616"/>
      <c r="F143" s="3616"/>
      <c r="G143" s="3616"/>
      <c r="H143" s="412"/>
    </row>
    <row r="144" spans="1:12" x14ac:dyDescent="0.25">
      <c r="A144" s="150" t="s">
        <v>28</v>
      </c>
      <c r="B144" s="633">
        <f t="shared" si="58"/>
        <v>0</v>
      </c>
      <c r="C144" s="3586"/>
      <c r="D144" s="3585"/>
      <c r="E144" s="3585"/>
      <c r="F144" s="3585"/>
      <c r="G144" s="3585"/>
      <c r="H144" s="3587"/>
    </row>
    <row r="145" spans="1:12" s="17" customFormat="1" ht="18" customHeight="1" x14ac:dyDescent="0.2">
      <c r="A145" s="564" t="s">
        <v>2913</v>
      </c>
      <c r="B145" s="101"/>
      <c r="C145" s="101"/>
      <c r="D145" s="101"/>
      <c r="E145" s="101"/>
      <c r="F145" s="101"/>
      <c r="G145" s="101"/>
      <c r="H145" s="101"/>
      <c r="I145" s="647"/>
      <c r="J145" s="647"/>
    </row>
    <row r="146" spans="1:12" ht="63" x14ac:dyDescent="0.25">
      <c r="A146" s="3269" t="s">
        <v>2897</v>
      </c>
      <c r="B146" s="3269" t="s">
        <v>3792</v>
      </c>
      <c r="C146" s="3249" t="s">
        <v>2880</v>
      </c>
      <c r="D146" s="3249" t="s">
        <v>2914</v>
      </c>
      <c r="E146" s="3314" t="s">
        <v>2915</v>
      </c>
      <c r="F146" s="3314" t="s">
        <v>2916</v>
      </c>
      <c r="G146" s="3314" t="s">
        <v>2917</v>
      </c>
      <c r="H146" s="3314" t="s">
        <v>2918</v>
      </c>
      <c r="I146" s="3314" t="s">
        <v>2919</v>
      </c>
      <c r="J146" s="3315" t="s">
        <v>2920</v>
      </c>
    </row>
    <row r="147" spans="1:12" x14ac:dyDescent="0.25">
      <c r="A147" s="3287" t="s">
        <v>2921</v>
      </c>
      <c r="B147" s="3773"/>
      <c r="C147" s="3349"/>
      <c r="D147" s="3349"/>
      <c r="E147" s="3774"/>
      <c r="F147" s="3774"/>
      <c r="G147" s="3774"/>
      <c r="H147" s="3774"/>
      <c r="I147" s="3774"/>
      <c r="J147" s="3775"/>
    </row>
    <row r="148" spans="1:12" x14ac:dyDescent="0.25">
      <c r="A148" s="3328" t="s">
        <v>2922</v>
      </c>
      <c r="B148" s="3234"/>
      <c r="C148" s="3232"/>
      <c r="D148" s="3232"/>
      <c r="E148" s="621"/>
      <c r="F148" s="621"/>
      <c r="G148" s="621"/>
      <c r="H148" s="621"/>
      <c r="I148" s="621"/>
      <c r="J148" s="3166"/>
    </row>
    <row r="149" spans="1:12" x14ac:dyDescent="0.25">
      <c r="A149" s="596" t="s">
        <v>2923</v>
      </c>
      <c r="B149" s="153"/>
      <c r="C149" s="121"/>
      <c r="D149" s="121"/>
      <c r="E149" s="3109"/>
      <c r="F149" s="3109"/>
      <c r="G149" s="3109"/>
      <c r="H149" s="3109"/>
      <c r="I149" s="3109"/>
      <c r="J149" s="117"/>
    </row>
    <row r="150" spans="1:12" ht="18" customHeight="1" x14ac:dyDescent="0.25">
      <c r="A150" s="7798" t="s">
        <v>2924</v>
      </c>
      <c r="B150" s="7798"/>
      <c r="C150" s="7798"/>
      <c r="D150" s="7798"/>
      <c r="E150" s="7798"/>
      <c r="F150" s="7798"/>
      <c r="G150" s="7798"/>
      <c r="H150" s="7798"/>
      <c r="I150" s="7798"/>
      <c r="J150" s="7798"/>
    </row>
    <row r="151" spans="1:12" x14ac:dyDescent="0.25">
      <c r="A151" s="7790" t="s">
        <v>137</v>
      </c>
      <c r="B151" s="7790" t="s">
        <v>2925</v>
      </c>
      <c r="C151" s="7790" t="s">
        <v>567</v>
      </c>
      <c r="D151" s="7801" t="s">
        <v>2878</v>
      </c>
      <c r="E151" s="7802"/>
      <c r="F151" s="7802"/>
      <c r="G151" s="7802"/>
      <c r="H151" s="7802"/>
      <c r="I151" s="7802"/>
      <c r="J151" s="7803"/>
      <c r="K151" s="7799" t="s">
        <v>2879</v>
      </c>
      <c r="L151" s="6528" t="s">
        <v>2926</v>
      </c>
    </row>
    <row r="152" spans="1:12" ht="40.5" customHeight="1" x14ac:dyDescent="0.25">
      <c r="A152" s="6927"/>
      <c r="B152" s="6927"/>
      <c r="C152" s="6927"/>
      <c r="D152" s="3776" t="s">
        <v>2881</v>
      </c>
      <c r="E152" s="2551" t="s">
        <v>2882</v>
      </c>
      <c r="F152" s="2551" t="s">
        <v>2883</v>
      </c>
      <c r="G152" s="2551" t="s">
        <v>2884</v>
      </c>
      <c r="H152" s="2551" t="s">
        <v>2885</v>
      </c>
      <c r="I152" s="3777" t="s">
        <v>2886</v>
      </c>
      <c r="J152" s="3778" t="s">
        <v>2887</v>
      </c>
      <c r="K152" s="7800"/>
      <c r="L152" s="7217"/>
    </row>
    <row r="153" spans="1:12" x14ac:dyDescent="0.25">
      <c r="A153" s="7791" t="s">
        <v>2888</v>
      </c>
      <c r="B153" s="3779" t="s">
        <v>2889</v>
      </c>
      <c r="C153" s="3780">
        <f>SUM(D153:J153)</f>
        <v>0</v>
      </c>
      <c r="D153" s="3781"/>
      <c r="E153" s="3782"/>
      <c r="F153" s="3782"/>
      <c r="G153" s="3782"/>
      <c r="H153" s="3782"/>
      <c r="I153" s="3783"/>
      <c r="J153" s="3784"/>
      <c r="K153" s="3785"/>
      <c r="L153" s="1406"/>
    </row>
    <row r="154" spans="1:12" x14ac:dyDescent="0.25">
      <c r="A154" s="6796"/>
      <c r="B154" s="3786" t="s">
        <v>2890</v>
      </c>
      <c r="C154" s="3787">
        <f t="shared" ref="C154:C168" si="59">SUM(D154:J154)</f>
        <v>0</v>
      </c>
      <c r="D154" s="3788"/>
      <c r="E154" s="3789"/>
      <c r="F154" s="3789"/>
      <c r="G154" s="3789"/>
      <c r="H154" s="3789"/>
      <c r="I154" s="3790"/>
      <c r="J154" s="3791"/>
      <c r="K154" s="3792"/>
      <c r="L154" s="3793"/>
    </row>
    <row r="155" spans="1:12" x14ac:dyDescent="0.25">
      <c r="A155" s="6796"/>
      <c r="B155" s="3786" t="s">
        <v>2891</v>
      </c>
      <c r="C155" s="3787">
        <f t="shared" si="59"/>
        <v>0</v>
      </c>
      <c r="D155" s="3788"/>
      <c r="E155" s="3789"/>
      <c r="F155" s="3789"/>
      <c r="G155" s="3789"/>
      <c r="H155" s="3789"/>
      <c r="I155" s="3790"/>
      <c r="J155" s="3791"/>
      <c r="K155" s="3792"/>
      <c r="L155" s="3793"/>
    </row>
    <row r="156" spans="1:12" x14ac:dyDescent="0.25">
      <c r="A156" s="6932"/>
      <c r="B156" s="55" t="s">
        <v>2892</v>
      </c>
      <c r="C156" s="649">
        <f t="shared" si="59"/>
        <v>0</v>
      </c>
      <c r="D156" s="3794"/>
      <c r="E156" s="3795"/>
      <c r="F156" s="3795"/>
      <c r="G156" s="3795"/>
      <c r="H156" s="3795"/>
      <c r="I156" s="3796"/>
      <c r="J156" s="3797"/>
      <c r="K156" s="3798"/>
      <c r="L156" s="3799"/>
    </row>
    <row r="157" spans="1:12" x14ac:dyDescent="0.25">
      <c r="A157" s="7791" t="s">
        <v>2893</v>
      </c>
      <c r="B157" s="3779" t="s">
        <v>2889</v>
      </c>
      <c r="C157" s="3800">
        <f t="shared" si="59"/>
        <v>0</v>
      </c>
      <c r="D157" s="3801"/>
      <c r="E157" s="650"/>
      <c r="F157" s="650"/>
      <c r="G157" s="650"/>
      <c r="H157" s="650"/>
      <c r="I157" s="3802"/>
      <c r="J157" s="3803"/>
      <c r="K157" s="3804"/>
      <c r="L157" s="3805"/>
    </row>
    <row r="158" spans="1:12" x14ac:dyDescent="0.25">
      <c r="A158" s="6796"/>
      <c r="B158" s="3786" t="s">
        <v>2890</v>
      </c>
      <c r="C158" s="3806">
        <f t="shared" si="59"/>
        <v>0</v>
      </c>
      <c r="D158" s="3807"/>
      <c r="E158" s="3808"/>
      <c r="F158" s="3808"/>
      <c r="G158" s="3808"/>
      <c r="H158" s="3808"/>
      <c r="I158" s="3809"/>
      <c r="J158" s="3810"/>
      <c r="K158" s="654"/>
      <c r="L158" s="3811"/>
    </row>
    <row r="159" spans="1:12" x14ac:dyDescent="0.25">
      <c r="A159" s="6796"/>
      <c r="B159" s="3786" t="s">
        <v>2891</v>
      </c>
      <c r="C159" s="3787">
        <f t="shared" si="59"/>
        <v>0</v>
      </c>
      <c r="D159" s="3788"/>
      <c r="E159" s="3789"/>
      <c r="F159" s="3789"/>
      <c r="G159" s="3789"/>
      <c r="H159" s="3789"/>
      <c r="I159" s="3790"/>
      <c r="J159" s="3791"/>
      <c r="K159" s="3792"/>
      <c r="L159" s="3793"/>
    </row>
    <row r="160" spans="1:12" x14ac:dyDescent="0.25">
      <c r="A160" s="6932"/>
      <c r="B160" s="55" t="s">
        <v>2892</v>
      </c>
      <c r="C160" s="649">
        <f t="shared" si="59"/>
        <v>0</v>
      </c>
      <c r="D160" s="3812"/>
      <c r="E160" s="3813"/>
      <c r="F160" s="3813"/>
      <c r="G160" s="3813"/>
      <c r="H160" s="3813"/>
      <c r="I160" s="3814"/>
      <c r="J160" s="3815"/>
      <c r="K160" s="658"/>
      <c r="L160" s="659"/>
    </row>
    <row r="161" spans="1:12" x14ac:dyDescent="0.25">
      <c r="A161" s="7791" t="s">
        <v>2894</v>
      </c>
      <c r="B161" s="3779" t="s">
        <v>2889</v>
      </c>
      <c r="C161" s="3800">
        <f t="shared" si="59"/>
        <v>0</v>
      </c>
      <c r="D161" s="3801"/>
      <c r="E161" s="650"/>
      <c r="F161" s="650"/>
      <c r="G161" s="650"/>
      <c r="H161" s="650"/>
      <c r="I161" s="3802"/>
      <c r="J161" s="3803"/>
      <c r="K161" s="3804"/>
      <c r="L161" s="3805"/>
    </row>
    <row r="162" spans="1:12" x14ac:dyDescent="0.25">
      <c r="A162" s="6796"/>
      <c r="B162" s="3786" t="s">
        <v>2890</v>
      </c>
      <c r="C162" s="3806">
        <f t="shared" si="59"/>
        <v>0</v>
      </c>
      <c r="D162" s="3807"/>
      <c r="E162" s="3808"/>
      <c r="F162" s="3808"/>
      <c r="G162" s="3808"/>
      <c r="H162" s="3808"/>
      <c r="I162" s="3809"/>
      <c r="J162" s="3810"/>
      <c r="K162" s="654"/>
      <c r="L162" s="3811"/>
    </row>
    <row r="163" spans="1:12" x14ac:dyDescent="0.25">
      <c r="A163" s="6796"/>
      <c r="B163" s="3786" t="s">
        <v>2891</v>
      </c>
      <c r="C163" s="3787">
        <f t="shared" si="59"/>
        <v>0</v>
      </c>
      <c r="D163" s="3788"/>
      <c r="E163" s="3789"/>
      <c r="F163" s="3789"/>
      <c r="G163" s="3789"/>
      <c r="H163" s="3789"/>
      <c r="I163" s="3790"/>
      <c r="J163" s="3791"/>
      <c r="K163" s="3792"/>
      <c r="L163" s="3793"/>
    </row>
    <row r="164" spans="1:12" x14ac:dyDescent="0.25">
      <c r="A164" s="6932"/>
      <c r="B164" s="55" t="s">
        <v>2892</v>
      </c>
      <c r="C164" s="649">
        <f t="shared" si="59"/>
        <v>0</v>
      </c>
      <c r="D164" s="3812"/>
      <c r="E164" s="3813"/>
      <c r="F164" s="3813"/>
      <c r="G164" s="3813"/>
      <c r="H164" s="3813"/>
      <c r="I164" s="3814"/>
      <c r="J164" s="3815"/>
      <c r="K164" s="658"/>
      <c r="L164" s="659"/>
    </row>
    <row r="165" spans="1:12" x14ac:dyDescent="0.25">
      <c r="A165" s="7791" t="s">
        <v>2895</v>
      </c>
      <c r="B165" s="3779" t="s">
        <v>2889</v>
      </c>
      <c r="C165" s="3800">
        <f t="shared" si="59"/>
        <v>0</v>
      </c>
      <c r="D165" s="3801"/>
      <c r="E165" s="650"/>
      <c r="F165" s="650"/>
      <c r="G165" s="650"/>
      <c r="H165" s="650"/>
      <c r="I165" s="3802"/>
      <c r="J165" s="3803"/>
      <c r="K165" s="3804"/>
      <c r="L165" s="3805"/>
    </row>
    <row r="166" spans="1:12" x14ac:dyDescent="0.25">
      <c r="A166" s="6796"/>
      <c r="B166" s="3786" t="s">
        <v>2890</v>
      </c>
      <c r="C166" s="3806">
        <f t="shared" si="59"/>
        <v>0</v>
      </c>
      <c r="D166" s="3807"/>
      <c r="E166" s="3808"/>
      <c r="F166" s="3808"/>
      <c r="G166" s="3808"/>
      <c r="H166" s="3808"/>
      <c r="I166" s="3809"/>
      <c r="J166" s="3810"/>
      <c r="K166" s="654"/>
      <c r="L166" s="3811"/>
    </row>
    <row r="167" spans="1:12" x14ac:dyDescent="0.25">
      <c r="A167" s="6796"/>
      <c r="B167" s="3786" t="s">
        <v>2891</v>
      </c>
      <c r="C167" s="3787">
        <f t="shared" si="59"/>
        <v>0</v>
      </c>
      <c r="D167" s="3788"/>
      <c r="E167" s="3789"/>
      <c r="F167" s="3789"/>
      <c r="G167" s="3789"/>
      <c r="H167" s="3789"/>
      <c r="I167" s="3790"/>
      <c r="J167" s="3791"/>
      <c r="K167" s="3792"/>
      <c r="L167" s="3793"/>
    </row>
    <row r="168" spans="1:12" x14ac:dyDescent="0.25">
      <c r="A168" s="6932"/>
      <c r="B168" s="55" t="s">
        <v>2892</v>
      </c>
      <c r="C168" s="649">
        <f t="shared" si="59"/>
        <v>0</v>
      </c>
      <c r="D168" s="3812"/>
      <c r="E168" s="3813"/>
      <c r="F168" s="3813"/>
      <c r="G168" s="3813"/>
      <c r="H168" s="3813"/>
      <c r="I168" s="3814"/>
      <c r="J168" s="3815"/>
      <c r="K168" s="658"/>
      <c r="L168" s="659"/>
    </row>
    <row r="169" spans="1:12" ht="18" customHeight="1" x14ac:dyDescent="0.25">
      <c r="A169" s="7798" t="s">
        <v>2927</v>
      </c>
      <c r="B169" s="7798"/>
      <c r="C169" s="7798"/>
      <c r="D169" s="7798"/>
    </row>
    <row r="170" spans="1:12" ht="31.5" x14ac:dyDescent="0.25">
      <c r="A170" s="3816" t="s">
        <v>137</v>
      </c>
      <c r="B170" s="3816" t="s">
        <v>138</v>
      </c>
      <c r="C170" s="3817" t="s">
        <v>3790</v>
      </c>
      <c r="D170" s="3818" t="s">
        <v>3791</v>
      </c>
    </row>
    <row r="171" spans="1:12" x14ac:dyDescent="0.25">
      <c r="A171" s="3819" t="s">
        <v>2928</v>
      </c>
      <c r="B171" s="3820"/>
      <c r="C171" s="68"/>
      <c r="D171" s="69"/>
    </row>
    <row r="172" spans="1:12" x14ac:dyDescent="0.25">
      <c r="A172" s="3821" t="s">
        <v>2929</v>
      </c>
      <c r="B172" s="3822"/>
      <c r="C172" s="3788"/>
      <c r="D172" s="3823"/>
    </row>
    <row r="173" spans="1:12" ht="21" x14ac:dyDescent="0.25">
      <c r="A173" s="3821" t="s">
        <v>2930</v>
      </c>
      <c r="B173" s="3822"/>
      <c r="C173" s="3788"/>
      <c r="D173" s="3823"/>
    </row>
    <row r="174" spans="1:12" x14ac:dyDescent="0.25">
      <c r="A174" s="3824" t="s">
        <v>2931</v>
      </c>
      <c r="B174" s="3822"/>
      <c r="C174" s="3788"/>
      <c r="D174" s="3823"/>
    </row>
    <row r="175" spans="1:12" ht="22.5" x14ac:dyDescent="0.25">
      <c r="A175" s="3825" t="s">
        <v>145</v>
      </c>
      <c r="B175" s="3822"/>
      <c r="C175" s="3788"/>
      <c r="D175" s="3823"/>
    </row>
    <row r="176" spans="1:12" ht="22.5" x14ac:dyDescent="0.25">
      <c r="A176" s="3825" t="s">
        <v>2932</v>
      </c>
      <c r="B176" s="3826"/>
      <c r="C176" s="3788"/>
      <c r="D176" s="3823"/>
    </row>
    <row r="177" spans="1:4" ht="22.5" x14ac:dyDescent="0.25">
      <c r="A177" s="38" t="s">
        <v>2933</v>
      </c>
      <c r="B177" s="3827"/>
      <c r="C177" s="3812"/>
      <c r="D177" s="65"/>
    </row>
    <row r="207" spans="1:2" hidden="1" x14ac:dyDescent="0.25">
      <c r="A207" s="3266">
        <f>SUM(C13:C68,C81:C92,C95:D103,C108:C110,C115:C130,B133:H136,B139:B144,B147:J149,C153:C168,B171:D177)</f>
        <v>0</v>
      </c>
      <c r="B207" s="3266">
        <f>SUM(CI13:CQ110)</f>
        <v>0</v>
      </c>
    </row>
  </sheetData>
  <sheetProtection algorithmName="SHA-512" hashValue="EiKikoJKUwAidzLY+W3rS3CiNyD6TdeMVMl7OrmgDRikduILkcpCu2k9F4lsB6D2TDD5uZH7KOYumw04umsN6A==" saltValue="xwSbM8Vgm4837c7zs8WL7g==" spinCount="100000" sheet="1" objects="1" scenarios="1"/>
  <mergeCells count="118">
    <mergeCell ref="A169:D169"/>
    <mergeCell ref="K151:K152"/>
    <mergeCell ref="L151:L152"/>
    <mergeCell ref="A153:A156"/>
    <mergeCell ref="A157:A160"/>
    <mergeCell ref="A161:A164"/>
    <mergeCell ref="A165:A168"/>
    <mergeCell ref="A137:H137"/>
    <mergeCell ref="A150:J150"/>
    <mergeCell ref="A151:A152"/>
    <mergeCell ref="B151:B152"/>
    <mergeCell ref="C151:C152"/>
    <mergeCell ref="D151:J151"/>
    <mergeCell ref="L113:L114"/>
    <mergeCell ref="A115:A118"/>
    <mergeCell ref="A119:A122"/>
    <mergeCell ref="A123:A126"/>
    <mergeCell ref="A127:A130"/>
    <mergeCell ref="A131:H131"/>
    <mergeCell ref="A112:J112"/>
    <mergeCell ref="A113:A114"/>
    <mergeCell ref="B113:B114"/>
    <mergeCell ref="C113:C114"/>
    <mergeCell ref="D113:J113"/>
    <mergeCell ref="K113:K114"/>
    <mergeCell ref="A108:A110"/>
    <mergeCell ref="A111:J111"/>
    <mergeCell ref="R106:S106"/>
    <mergeCell ref="T106:U106"/>
    <mergeCell ref="V106:W106"/>
    <mergeCell ref="X106:Y106"/>
    <mergeCell ref="Z106:AA106"/>
    <mergeCell ref="AB106:AC106"/>
    <mergeCell ref="A105:B107"/>
    <mergeCell ref="C105:E106"/>
    <mergeCell ref="F105:AK105"/>
    <mergeCell ref="AL105:AL107"/>
    <mergeCell ref="F106:G106"/>
    <mergeCell ref="H106:I106"/>
    <mergeCell ref="J106:K106"/>
    <mergeCell ref="L106:M106"/>
    <mergeCell ref="N106:O106"/>
    <mergeCell ref="P106:Q106"/>
    <mergeCell ref="AL79:AM79"/>
    <mergeCell ref="A81:A86"/>
    <mergeCell ref="A87:A92"/>
    <mergeCell ref="A93:D93"/>
    <mergeCell ref="A94:A103"/>
    <mergeCell ref="A104:AK104"/>
    <mergeCell ref="Z79:AA79"/>
    <mergeCell ref="AB79:AC79"/>
    <mergeCell ref="AD79:AE79"/>
    <mergeCell ref="AF79:AG79"/>
    <mergeCell ref="AH79:AI79"/>
    <mergeCell ref="AJ79:AK79"/>
    <mergeCell ref="AD106:AE106"/>
    <mergeCell ref="AF106:AG106"/>
    <mergeCell ref="AH106:AI106"/>
    <mergeCell ref="AJ106:AK106"/>
    <mergeCell ref="AP78:AP80"/>
    <mergeCell ref="AQ78:AQ80"/>
    <mergeCell ref="AR78:AR80"/>
    <mergeCell ref="AS78:AS80"/>
    <mergeCell ref="F79:G79"/>
    <mergeCell ref="H79:I79"/>
    <mergeCell ref="J79:K79"/>
    <mergeCell ref="L79:M79"/>
    <mergeCell ref="N79:O79"/>
    <mergeCell ref="P79:Q79"/>
    <mergeCell ref="A77:AM77"/>
    <mergeCell ref="A78:A80"/>
    <mergeCell ref="B78:B80"/>
    <mergeCell ref="C78:E79"/>
    <mergeCell ref="F78:AM78"/>
    <mergeCell ref="AN78:AO79"/>
    <mergeCell ref="R79:S79"/>
    <mergeCell ref="T79:U79"/>
    <mergeCell ref="V79:W79"/>
    <mergeCell ref="X79:Y79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D11:AE11"/>
    <mergeCell ref="AF11:AG11"/>
    <mergeCell ref="AH11:AI11"/>
    <mergeCell ref="A69:A76"/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24:A34"/>
    <mergeCell ref="A35:A45"/>
    <mergeCell ref="A46:A51"/>
    <mergeCell ref="A52:A55"/>
    <mergeCell ref="A56:A62"/>
    <mergeCell ref="A63:A67"/>
    <mergeCell ref="A13:A23"/>
  </mergeCells>
  <dataValidations count="4">
    <dataValidation type="whole" operator="greaterThanOrEqual" allowBlank="1" showInputMessage="1" showErrorMessage="1" sqref="B171:D177 H24:AR45 H46:I67 AS13:AU76 F24:G67 F13:AR23 F68:I68 F81:AS92 F108:AL110 D115:L130 B133:H136 C139:H144 B147:J149 D153:L168 J46:AR76 C95:D103" xr:uid="{00000000-0002-0000-0C00-000000000000}">
      <formula1>0</formula1>
    </dataValidation>
    <dataValidation type="whole" allowBlank="1" showInputMessage="1" showErrorMessage="1" error="Valor no Permitido" sqref="B108:E110 A104:A105 A108 C105:E106 E152:J152 A165 A157 A153 C153:C168 A151:C151 D151:D152 C69:I76" xr:uid="{00000000-0002-0000-0C00-000001000000}">
      <formula1>0</formula1>
      <formula2>1E+30</formula2>
    </dataValidation>
    <dataValidation allowBlank="1" showInputMessage="1" showErrorMessage="1" error="Valor no Permitido" sqref="K151:L152 A69:A76" xr:uid="{00000000-0002-0000-0C00-000002000000}"/>
    <dataValidation type="whole" allowBlank="1" showInputMessage="1" showErrorMessage="1" sqref="A171:A174 A176:A177" xr:uid="{00000000-0002-0000-0C00-000003000000}">
      <formula1>0</formula1>
      <formula2>1E+30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CE90"/>
  <sheetViews>
    <sheetView showGridLines="0" workbookViewId="0"/>
  </sheetViews>
  <sheetFormatPr baseColWidth="10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77" max="78" width="11.42578125" customWidth="1"/>
    <col min="79" max="79" width="22.85546875" hidden="1" customWidth="1"/>
    <col min="80" max="80" width="22.7109375" hidden="1" customWidth="1"/>
    <col min="81" max="83" width="11.42578125" hidden="1" customWidth="1"/>
    <col min="84" max="85" width="11.42578125" customWidth="1"/>
  </cols>
  <sheetData>
    <row r="1" spans="1:83" x14ac:dyDescent="0.25">
      <c r="A1" s="779" t="s">
        <v>3878</v>
      </c>
    </row>
    <row r="2" spans="1:83" x14ac:dyDescent="0.25">
      <c r="A2" s="779" t="str">
        <f>CONCATENATE("COMUNA: ",NOMBRE!B2," - ","( ",NOMBRE!C2,NOMBRE!D2,NOMBRE!E2,NOMBRE!F2,NOMBRE!G2," )")</f>
        <v>COMUNA:  - (  )</v>
      </c>
    </row>
    <row r="3" spans="1:83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83" x14ac:dyDescent="0.25">
      <c r="A4" s="779" t="str">
        <f>CONCATENATE("MES: ",NOMBRE!B6," - ","( ",NOMBRE!C6,NOMBRE!D6," )")</f>
        <v>MES:  - (  )</v>
      </c>
    </row>
    <row r="5" spans="1:83" x14ac:dyDescent="0.25">
      <c r="A5" s="779" t="str">
        <f>CONCATENATE("AÑO: ",NOMBRE!B7)</f>
        <v>AÑO: 2024</v>
      </c>
    </row>
    <row r="6" spans="1:83" s="632" customFormat="1" ht="18" customHeight="1" x14ac:dyDescent="0.25">
      <c r="A6" s="6447" t="s">
        <v>2934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</row>
    <row r="8" spans="1:83" ht="18" customHeight="1" x14ac:dyDescent="0.25">
      <c r="A8" s="7788" t="s">
        <v>2935</v>
      </c>
      <c r="B8" s="7788"/>
      <c r="C8" s="7788"/>
      <c r="D8" s="7788"/>
      <c r="E8" s="7788"/>
      <c r="F8" s="7788"/>
      <c r="G8" s="7788"/>
      <c r="H8" s="7788"/>
      <c r="I8" s="7788"/>
      <c r="J8" s="7788"/>
      <c r="K8" s="7788"/>
    </row>
    <row r="9" spans="1:83" ht="24" customHeight="1" x14ac:dyDescent="0.25">
      <c r="A9" s="6492" t="s">
        <v>2936</v>
      </c>
      <c r="B9" s="6477" t="s">
        <v>2937</v>
      </c>
      <c r="C9" s="6496"/>
      <c r="D9" s="6496"/>
      <c r="E9" s="6473" t="s">
        <v>3904</v>
      </c>
      <c r="F9" s="7811"/>
      <c r="G9" s="6469" t="s">
        <v>2938</v>
      </c>
      <c r="H9" s="6477" t="s">
        <v>2939</v>
      </c>
      <c r="I9" s="7812"/>
      <c r="J9" s="6477" t="s">
        <v>48</v>
      </c>
      <c r="K9" s="7812"/>
    </row>
    <row r="10" spans="1:83" ht="31.5" x14ac:dyDescent="0.25">
      <c r="A10" s="7166"/>
      <c r="B10" s="3091" t="s">
        <v>24</v>
      </c>
      <c r="C10" s="2020" t="s">
        <v>22</v>
      </c>
      <c r="D10" s="3828" t="s">
        <v>27</v>
      </c>
      <c r="E10" s="2703" t="s">
        <v>2940</v>
      </c>
      <c r="F10" s="2644" t="s">
        <v>2941</v>
      </c>
      <c r="G10" s="6472"/>
      <c r="H10" s="2703" t="s">
        <v>2942</v>
      </c>
      <c r="I10" s="2644" t="s">
        <v>2943</v>
      </c>
      <c r="J10" s="3829" t="s">
        <v>2944</v>
      </c>
      <c r="K10" s="3830" t="s">
        <v>2945</v>
      </c>
    </row>
    <row r="11" spans="1:83" x14ac:dyDescent="0.25">
      <c r="A11" s="3090" t="s">
        <v>2946</v>
      </c>
      <c r="B11" s="3831">
        <f t="shared" ref="B11:B29" si="0">SUM(C11:D11)</f>
        <v>0</v>
      </c>
      <c r="C11" s="3832">
        <f>SUM(C12:C24)</f>
        <v>0</v>
      </c>
      <c r="D11" s="3833">
        <f t="shared" ref="D11:I11" si="1">SUM(D12:D24)</f>
        <v>0</v>
      </c>
      <c r="E11" s="3832">
        <f t="shared" si="1"/>
        <v>0</v>
      </c>
      <c r="F11" s="3833">
        <f>SUM(F12:F24)</f>
        <v>0</v>
      </c>
      <c r="G11" s="3834">
        <f t="shared" si="1"/>
        <v>0</v>
      </c>
      <c r="H11" s="3835">
        <f>SUM(H12:H24)</f>
        <v>0</v>
      </c>
      <c r="I11" s="3833">
        <f t="shared" si="1"/>
        <v>0</v>
      </c>
      <c r="J11" s="3833">
        <f>SUM(J12:J24)</f>
        <v>0</v>
      </c>
      <c r="K11" s="3834">
        <f>SUM(K12:K24)</f>
        <v>0</v>
      </c>
    </row>
    <row r="12" spans="1:83" x14ac:dyDescent="0.25">
      <c r="A12" s="3087" t="s">
        <v>2947</v>
      </c>
      <c r="B12" s="2063">
        <f t="shared" si="0"/>
        <v>0</v>
      </c>
      <c r="C12" s="276"/>
      <c r="D12" s="611"/>
      <c r="E12" s="276"/>
      <c r="F12" s="611"/>
      <c r="G12" s="280"/>
      <c r="H12" s="3598"/>
      <c r="I12" s="611"/>
      <c r="J12" s="280"/>
      <c r="K12" s="280"/>
      <c r="L12" s="3658" t="str">
        <f>CA12&amp;CB12</f>
        <v/>
      </c>
      <c r="CA12" s="2873" t="str">
        <f>IF(AND(D12&gt;0,J12=""),"*No olvide digitar el campo TRANS Masculino (Digite CERO si no tiene).", IF(J12&gt;D12," * El Número de TRANS Masculino no puede superar el Total Mujeres. ",""))</f>
        <v/>
      </c>
      <c r="CB12" s="2873" t="str">
        <f>IF(AND(C12&gt;0,OR(K12=""))," *No olvide digitar el campo TRANS Femenino (Digite CERO si no tiene).",IF(K12&gt;$C12," * El Número de TRANS Femenino no puede superar el Total Hombres. ",""))</f>
        <v/>
      </c>
      <c r="CD12" s="1793">
        <f>IF(AND(D12&gt;0,OR(J12="")),1,IF(J12&gt;D12,1,0))</f>
        <v>0</v>
      </c>
      <c r="CE12" s="1793">
        <f>IF(AND(C12&gt;0,OR(K12="")),1,IF(K12&gt;C12,1,0))</f>
        <v>0</v>
      </c>
    </row>
    <row r="13" spans="1:83" x14ac:dyDescent="0.25">
      <c r="A13" s="3579" t="s">
        <v>2948</v>
      </c>
      <c r="B13" s="3836">
        <f t="shared" si="0"/>
        <v>0</v>
      </c>
      <c r="C13" s="3574"/>
      <c r="D13" s="3577"/>
      <c r="E13" s="3574"/>
      <c r="F13" s="3577"/>
      <c r="G13" s="3609"/>
      <c r="H13" s="3573"/>
      <c r="I13" s="3577"/>
      <c r="J13" s="3609"/>
      <c r="K13" s="3609"/>
      <c r="L13" s="3658" t="str">
        <f t="shared" ref="L13:L29" si="2">CA13&amp;CB13</f>
        <v/>
      </c>
      <c r="CA13" s="2873" t="str">
        <f t="shared" ref="CA13:CA29" si="3">IF(AND(D13&gt;0,J13=""),"*No olvide digitar el campo TRANS Masculino (Digite CERO si no tiene).", IF(J13&gt;D13," * El Número de TRANS Masculino no puede superar el Total Mujeres. ",""))</f>
        <v/>
      </c>
      <c r="CB13" s="2873" t="str">
        <f t="shared" ref="CB13:CB29" si="4">IF(AND(C13&gt;0,OR(K13=""))," *No olvide digitar el campo TRANS Femenino (Digite CERO si no tiene).",IF(K13&gt;$C13," * El Número de TRANS Femenino no puede superar el Total Hombres. ",""))</f>
        <v/>
      </c>
      <c r="CD13" s="1793">
        <f t="shared" ref="CD13:CD29" si="5">IF(AND(D13&gt;0,OR(J13="")),1,IF(J13&gt;D13,1,0))</f>
        <v>0</v>
      </c>
      <c r="CE13" s="1793">
        <f t="shared" ref="CE13:CE29" si="6">IF(AND(C13&gt;0,OR(K13="")),1,IF(K13&gt;C13,1,0))</f>
        <v>0</v>
      </c>
    </row>
    <row r="14" spans="1:83" x14ac:dyDescent="0.25">
      <c r="A14" s="3579" t="s">
        <v>519</v>
      </c>
      <c r="B14" s="3836">
        <f t="shared" si="0"/>
        <v>0</v>
      </c>
      <c r="C14" s="3574"/>
      <c r="D14" s="3577"/>
      <c r="E14" s="3574"/>
      <c r="F14" s="3609"/>
      <c r="G14" s="3609"/>
      <c r="H14" s="3572"/>
      <c r="I14" s="3609"/>
      <c r="J14" s="3609"/>
      <c r="K14" s="3609"/>
      <c r="L14" s="3658" t="str">
        <f t="shared" si="2"/>
        <v/>
      </c>
      <c r="CA14" s="2873" t="str">
        <f t="shared" si="3"/>
        <v/>
      </c>
      <c r="CB14" s="2873" t="str">
        <f t="shared" si="4"/>
        <v/>
      </c>
      <c r="CD14" s="1793">
        <f t="shared" si="5"/>
        <v>0</v>
      </c>
      <c r="CE14" s="1793">
        <f t="shared" si="6"/>
        <v>0</v>
      </c>
    </row>
    <row r="15" spans="1:83" x14ac:dyDescent="0.25">
      <c r="A15" s="3579" t="s">
        <v>3797</v>
      </c>
      <c r="B15" s="3836">
        <f t="shared" si="0"/>
        <v>0</v>
      </c>
      <c r="C15" s="3574"/>
      <c r="D15" s="3577"/>
      <c r="E15" s="3574"/>
      <c r="F15" s="3609"/>
      <c r="G15" s="3609"/>
      <c r="H15" s="3572"/>
      <c r="I15" s="3609"/>
      <c r="J15" s="3609"/>
      <c r="K15" s="3609"/>
      <c r="L15" s="3658" t="str">
        <f t="shared" si="2"/>
        <v/>
      </c>
      <c r="CA15" s="2873" t="str">
        <f t="shared" si="3"/>
        <v/>
      </c>
      <c r="CB15" s="2873" t="str">
        <f t="shared" si="4"/>
        <v/>
      </c>
      <c r="CD15" s="1793">
        <f t="shared" si="5"/>
        <v>0</v>
      </c>
      <c r="CE15" s="1793">
        <f t="shared" si="6"/>
        <v>0</v>
      </c>
    </row>
    <row r="16" spans="1:83" ht="15" customHeight="1" x14ac:dyDescent="0.25">
      <c r="A16" s="3579" t="s">
        <v>3798</v>
      </c>
      <c r="B16" s="3836">
        <f t="shared" si="0"/>
        <v>0</v>
      </c>
      <c r="C16" s="3574"/>
      <c r="D16" s="3577"/>
      <c r="E16" s="3574"/>
      <c r="F16" s="3609"/>
      <c r="G16" s="3637"/>
      <c r="H16" s="3572"/>
      <c r="I16" s="3609"/>
      <c r="J16" s="3609"/>
      <c r="K16" s="3609"/>
      <c r="L16" s="3658" t="str">
        <f t="shared" si="2"/>
        <v/>
      </c>
      <c r="CA16" s="2873" t="str">
        <f t="shared" si="3"/>
        <v/>
      </c>
      <c r="CB16" s="2873" t="str">
        <f t="shared" si="4"/>
        <v/>
      </c>
      <c r="CD16" s="1793">
        <f t="shared" si="5"/>
        <v>0</v>
      </c>
      <c r="CE16" s="1793">
        <f t="shared" si="6"/>
        <v>0</v>
      </c>
    </row>
    <row r="17" spans="1:83" x14ac:dyDescent="0.25">
      <c r="A17" s="3579" t="s">
        <v>3799</v>
      </c>
      <c r="B17" s="3836">
        <f t="shared" si="0"/>
        <v>0</v>
      </c>
      <c r="C17" s="3574"/>
      <c r="D17" s="3577"/>
      <c r="E17" s="3574"/>
      <c r="F17" s="3609"/>
      <c r="G17" s="3637"/>
      <c r="H17" s="3572"/>
      <c r="I17" s="3609"/>
      <c r="J17" s="3609"/>
      <c r="K17" s="3609"/>
      <c r="L17" s="3658" t="str">
        <f t="shared" si="2"/>
        <v/>
      </c>
      <c r="CA17" s="2873" t="str">
        <f t="shared" si="3"/>
        <v/>
      </c>
      <c r="CB17" s="2873" t="str">
        <f t="shared" si="4"/>
        <v/>
      </c>
      <c r="CD17" s="1793">
        <f t="shared" si="5"/>
        <v>0</v>
      </c>
      <c r="CE17" s="1793">
        <f t="shared" si="6"/>
        <v>0</v>
      </c>
    </row>
    <row r="18" spans="1:83" x14ac:dyDescent="0.25">
      <c r="A18" s="3579" t="s">
        <v>3800</v>
      </c>
      <c r="B18" s="3836">
        <f t="shared" si="0"/>
        <v>0</v>
      </c>
      <c r="C18" s="3574"/>
      <c r="D18" s="3577"/>
      <c r="E18" s="3574"/>
      <c r="F18" s="3609"/>
      <c r="G18" s="3637"/>
      <c r="H18" s="3572"/>
      <c r="I18" s="3609"/>
      <c r="J18" s="3609"/>
      <c r="K18" s="3609"/>
      <c r="L18" s="3658" t="str">
        <f t="shared" si="2"/>
        <v/>
      </c>
      <c r="CA18" s="2873" t="str">
        <f t="shared" si="3"/>
        <v/>
      </c>
      <c r="CB18" s="2873" t="str">
        <f t="shared" si="4"/>
        <v/>
      </c>
      <c r="CD18" s="1793">
        <f t="shared" si="5"/>
        <v>0</v>
      </c>
      <c r="CE18" s="1793">
        <f t="shared" si="6"/>
        <v>0</v>
      </c>
    </row>
    <row r="19" spans="1:83" x14ac:dyDescent="0.25">
      <c r="A19" s="3579" t="s">
        <v>2949</v>
      </c>
      <c r="B19" s="3836">
        <f t="shared" si="0"/>
        <v>0</v>
      </c>
      <c r="C19" s="3574"/>
      <c r="D19" s="3577"/>
      <c r="E19" s="3574"/>
      <c r="F19" s="3609"/>
      <c r="G19" s="3609"/>
      <c r="H19" s="3572"/>
      <c r="I19" s="3609"/>
      <c r="J19" s="3609"/>
      <c r="K19" s="3609"/>
      <c r="L19" s="3658" t="str">
        <f t="shared" si="2"/>
        <v/>
      </c>
      <c r="CA19" s="2873" t="str">
        <f t="shared" si="3"/>
        <v/>
      </c>
      <c r="CB19" s="2873" t="str">
        <f t="shared" si="4"/>
        <v/>
      </c>
      <c r="CD19" s="1793">
        <f t="shared" si="5"/>
        <v>0</v>
      </c>
      <c r="CE19" s="1793">
        <f t="shared" si="6"/>
        <v>0</v>
      </c>
    </row>
    <row r="20" spans="1:83" x14ac:dyDescent="0.25">
      <c r="A20" s="3579" t="s">
        <v>2950</v>
      </c>
      <c r="B20" s="3836">
        <f t="shared" si="0"/>
        <v>0</v>
      </c>
      <c r="C20" s="3574"/>
      <c r="D20" s="3577"/>
      <c r="E20" s="3574"/>
      <c r="F20" s="3609"/>
      <c r="G20" s="3609"/>
      <c r="H20" s="3572"/>
      <c r="I20" s="3609"/>
      <c r="J20" s="3609"/>
      <c r="K20" s="3609"/>
      <c r="L20" s="3658" t="str">
        <f t="shared" si="2"/>
        <v/>
      </c>
      <c r="CA20" s="2873" t="str">
        <f t="shared" si="3"/>
        <v/>
      </c>
      <c r="CB20" s="2873" t="str">
        <f t="shared" si="4"/>
        <v/>
      </c>
      <c r="CD20" s="1793">
        <f t="shared" si="5"/>
        <v>0</v>
      </c>
      <c r="CE20" s="1793">
        <f t="shared" si="6"/>
        <v>0</v>
      </c>
    </row>
    <row r="21" spans="1:83" x14ac:dyDescent="0.25">
      <c r="A21" s="3579" t="s">
        <v>2951</v>
      </c>
      <c r="B21" s="3836">
        <f t="shared" si="0"/>
        <v>0</v>
      </c>
      <c r="C21" s="3574"/>
      <c r="D21" s="3577"/>
      <c r="E21" s="3574"/>
      <c r="F21" s="3609"/>
      <c r="G21" s="3609"/>
      <c r="H21" s="3572"/>
      <c r="I21" s="3609"/>
      <c r="J21" s="3609"/>
      <c r="K21" s="3609"/>
      <c r="L21" s="3658" t="str">
        <f t="shared" si="2"/>
        <v/>
      </c>
      <c r="CA21" s="2873" t="str">
        <f t="shared" si="3"/>
        <v/>
      </c>
      <c r="CB21" s="2873" t="str">
        <f t="shared" si="4"/>
        <v/>
      </c>
      <c r="CD21" s="1793">
        <f t="shared" si="5"/>
        <v>0</v>
      </c>
      <c r="CE21" s="1793">
        <f t="shared" si="6"/>
        <v>0</v>
      </c>
    </row>
    <row r="22" spans="1:83" x14ac:dyDescent="0.25">
      <c r="A22" s="3579" t="s">
        <v>2952</v>
      </c>
      <c r="B22" s="3836">
        <f t="shared" si="0"/>
        <v>0</v>
      </c>
      <c r="C22" s="3574"/>
      <c r="D22" s="3577"/>
      <c r="E22" s="3574"/>
      <c r="F22" s="3609"/>
      <c r="G22" s="3609"/>
      <c r="H22" s="3572"/>
      <c r="I22" s="3577"/>
      <c r="J22" s="3609"/>
      <c r="K22" s="3609"/>
      <c r="L22" s="3658" t="str">
        <f t="shared" si="2"/>
        <v/>
      </c>
      <c r="CA22" s="2873" t="str">
        <f t="shared" si="3"/>
        <v/>
      </c>
      <c r="CB22" s="2873" t="str">
        <f t="shared" si="4"/>
        <v/>
      </c>
      <c r="CD22" s="1793">
        <f t="shared" si="5"/>
        <v>0</v>
      </c>
      <c r="CE22" s="1793">
        <f t="shared" si="6"/>
        <v>0</v>
      </c>
    </row>
    <row r="23" spans="1:83" x14ac:dyDescent="0.25">
      <c r="A23" s="3579" t="s">
        <v>2953</v>
      </c>
      <c r="B23" s="3836">
        <f t="shared" si="0"/>
        <v>0</v>
      </c>
      <c r="C23" s="3574"/>
      <c r="D23" s="3577"/>
      <c r="E23" s="3574"/>
      <c r="F23" s="3609"/>
      <c r="G23" s="3609"/>
      <c r="H23" s="3572"/>
      <c r="I23" s="3577"/>
      <c r="J23" s="3609"/>
      <c r="K23" s="3609"/>
      <c r="L23" s="3658" t="str">
        <f t="shared" si="2"/>
        <v/>
      </c>
      <c r="CA23" s="2873" t="str">
        <f t="shared" si="3"/>
        <v/>
      </c>
      <c r="CB23" s="2873" t="str">
        <f t="shared" si="4"/>
        <v/>
      </c>
      <c r="CD23" s="1793">
        <f t="shared" si="5"/>
        <v>0</v>
      </c>
      <c r="CE23" s="1793">
        <f t="shared" si="6"/>
        <v>0</v>
      </c>
    </row>
    <row r="24" spans="1:83" x14ac:dyDescent="0.25">
      <c r="A24" s="5787" t="s">
        <v>2954</v>
      </c>
      <c r="B24" s="5788">
        <f t="shared" si="0"/>
        <v>0</v>
      </c>
      <c r="C24" s="3586"/>
      <c r="D24" s="3587"/>
      <c r="E24" s="3586"/>
      <c r="F24" s="3839"/>
      <c r="G24" s="3839"/>
      <c r="H24" s="288"/>
      <c r="I24" s="3587"/>
      <c r="J24" s="3839"/>
      <c r="K24" s="3839"/>
      <c r="L24" s="3658" t="str">
        <f t="shared" si="2"/>
        <v/>
      </c>
      <c r="CA24" s="2873" t="str">
        <f t="shared" si="3"/>
        <v/>
      </c>
      <c r="CB24" s="2873" t="str">
        <f t="shared" si="4"/>
        <v/>
      </c>
      <c r="CD24" s="1793">
        <f t="shared" si="5"/>
        <v>0</v>
      </c>
      <c r="CE24" s="1793">
        <f t="shared" si="6"/>
        <v>0</v>
      </c>
    </row>
    <row r="25" spans="1:83" x14ac:dyDescent="0.25">
      <c r="A25" s="5783" t="s">
        <v>570</v>
      </c>
      <c r="B25" s="2063">
        <f t="shared" si="0"/>
        <v>0</v>
      </c>
      <c r="C25" s="5784"/>
      <c r="D25" s="5362"/>
      <c r="E25" s="5785"/>
      <c r="F25" s="5333"/>
      <c r="G25" s="5786"/>
      <c r="H25" s="5295"/>
      <c r="I25" s="5333"/>
      <c r="J25" s="4659"/>
      <c r="K25" s="4659"/>
      <c r="L25" s="3658" t="str">
        <f t="shared" si="2"/>
        <v/>
      </c>
      <c r="CA25" s="2873" t="str">
        <f t="shared" si="3"/>
        <v/>
      </c>
      <c r="CB25" s="2873" t="str">
        <f t="shared" si="4"/>
        <v/>
      </c>
      <c r="CD25" s="1793">
        <f t="shared" si="5"/>
        <v>0</v>
      </c>
      <c r="CE25" s="1793">
        <f t="shared" si="6"/>
        <v>0</v>
      </c>
    </row>
    <row r="26" spans="1:83" x14ac:dyDescent="0.25">
      <c r="A26" s="3350" t="s">
        <v>2955</v>
      </c>
      <c r="B26" s="3836">
        <f t="shared" si="0"/>
        <v>0</v>
      </c>
      <c r="C26" s="3574"/>
      <c r="D26" s="3577"/>
      <c r="E26" s="3570"/>
      <c r="F26" s="3571"/>
      <c r="G26" s="3742"/>
      <c r="H26" s="3569"/>
      <c r="I26" s="3571"/>
      <c r="J26" s="3609"/>
      <c r="K26" s="3609"/>
      <c r="L26" s="3658" t="str">
        <f t="shared" si="2"/>
        <v/>
      </c>
      <c r="CA26" s="2873" t="str">
        <f t="shared" si="3"/>
        <v/>
      </c>
      <c r="CB26" s="2873" t="str">
        <f t="shared" si="4"/>
        <v/>
      </c>
      <c r="CD26" s="1793">
        <f t="shared" si="5"/>
        <v>0</v>
      </c>
      <c r="CE26" s="1793">
        <f t="shared" si="6"/>
        <v>0</v>
      </c>
    </row>
    <row r="27" spans="1:83" x14ac:dyDescent="0.25">
      <c r="A27" s="3350" t="s">
        <v>2956</v>
      </c>
      <c r="B27" s="3836">
        <f t="shared" si="0"/>
        <v>0</v>
      </c>
      <c r="C27" s="3574"/>
      <c r="D27" s="3577"/>
      <c r="E27" s="3570"/>
      <c r="F27" s="3571"/>
      <c r="G27" s="3742"/>
      <c r="H27" s="3569"/>
      <c r="I27" s="3571"/>
      <c r="J27" s="3609"/>
      <c r="K27" s="3609"/>
      <c r="L27" s="3658" t="str">
        <f t="shared" si="2"/>
        <v/>
      </c>
      <c r="CA27" s="2873" t="str">
        <f t="shared" si="3"/>
        <v/>
      </c>
      <c r="CB27" s="2873" t="str">
        <f t="shared" si="4"/>
        <v/>
      </c>
      <c r="CD27" s="1793">
        <f t="shared" si="5"/>
        <v>0</v>
      </c>
      <c r="CE27" s="1793">
        <f t="shared" si="6"/>
        <v>0</v>
      </c>
    </row>
    <row r="28" spans="1:83" x14ac:dyDescent="0.25">
      <c r="A28" s="3350" t="s">
        <v>2957</v>
      </c>
      <c r="B28" s="3836">
        <f t="shared" si="0"/>
        <v>0</v>
      </c>
      <c r="C28" s="3574"/>
      <c r="D28" s="3577"/>
      <c r="E28" s="3837"/>
      <c r="F28" s="3723"/>
      <c r="G28" s="342"/>
      <c r="H28" s="2503"/>
      <c r="I28" s="3723"/>
      <c r="J28" s="3609"/>
      <c r="K28" s="3609"/>
      <c r="L28" s="3658" t="str">
        <f t="shared" si="2"/>
        <v/>
      </c>
      <c r="CA28" s="2873" t="str">
        <f t="shared" si="3"/>
        <v/>
      </c>
      <c r="CB28" s="2873" t="str">
        <f t="shared" si="4"/>
        <v/>
      </c>
      <c r="CD28" s="1793">
        <f t="shared" si="5"/>
        <v>0</v>
      </c>
      <c r="CE28" s="1793">
        <f t="shared" si="6"/>
        <v>0</v>
      </c>
    </row>
    <row r="29" spans="1:83" x14ac:dyDescent="0.25">
      <c r="A29" s="3093" t="s">
        <v>2958</v>
      </c>
      <c r="B29" s="2066">
        <f t="shared" si="0"/>
        <v>0</v>
      </c>
      <c r="C29" s="3586"/>
      <c r="D29" s="3587"/>
      <c r="E29" s="3623"/>
      <c r="F29" s="3736"/>
      <c r="G29" s="3838"/>
      <c r="H29" s="3624"/>
      <c r="I29" s="3736"/>
      <c r="J29" s="3839"/>
      <c r="K29" s="3839"/>
      <c r="L29" s="3658" t="str">
        <f t="shared" si="2"/>
        <v/>
      </c>
      <c r="CA29" s="2873" t="str">
        <f t="shared" si="3"/>
        <v/>
      </c>
      <c r="CB29" s="2873" t="str">
        <f t="shared" si="4"/>
        <v/>
      </c>
      <c r="CD29" s="1793">
        <f t="shared" si="5"/>
        <v>0</v>
      </c>
      <c r="CE29" s="1793">
        <f t="shared" si="6"/>
        <v>0</v>
      </c>
    </row>
    <row r="30" spans="1:83" ht="18" customHeight="1" x14ac:dyDescent="0.25">
      <c r="A30" s="7788" t="s">
        <v>2959</v>
      </c>
      <c r="B30" s="7788"/>
      <c r="C30" s="7788"/>
      <c r="D30" s="7788"/>
      <c r="E30" s="7788"/>
      <c r="F30" s="7788"/>
      <c r="G30" s="7788"/>
      <c r="H30" s="7788"/>
      <c r="I30" s="7788"/>
      <c r="J30" s="7788"/>
      <c r="K30" s="7788"/>
      <c r="L30" s="7788"/>
      <c r="M30" s="7788"/>
      <c r="N30" s="7788"/>
    </row>
    <row r="31" spans="1:83" x14ac:dyDescent="0.25">
      <c r="A31" s="6493" t="s">
        <v>2960</v>
      </c>
      <c r="B31" s="6469"/>
      <c r="C31" s="6510" t="s">
        <v>2961</v>
      </c>
      <c r="D31" s="6511"/>
      <c r="E31" s="6511"/>
      <c r="F31" s="6511"/>
      <c r="G31" s="6509"/>
      <c r="H31" s="6510" t="s">
        <v>2962</v>
      </c>
      <c r="I31" s="6511"/>
      <c r="J31" s="6511"/>
      <c r="K31" s="6512"/>
      <c r="L31" s="6511" t="s">
        <v>2963</v>
      </c>
      <c r="M31" s="7813"/>
      <c r="N31" s="7814"/>
    </row>
    <row r="32" spans="1:83" ht="52.5" x14ac:dyDescent="0.25">
      <c r="A32" s="6601"/>
      <c r="B32" s="6602"/>
      <c r="C32" s="5791" t="s">
        <v>2964</v>
      </c>
      <c r="D32" s="5792" t="s">
        <v>2965</v>
      </c>
      <c r="E32" s="5792" t="s">
        <v>2966</v>
      </c>
      <c r="F32" s="5793" t="s">
        <v>2967</v>
      </c>
      <c r="G32" s="5794" t="s">
        <v>3795</v>
      </c>
      <c r="H32" s="5795" t="s">
        <v>2968</v>
      </c>
      <c r="I32" s="5796" t="s">
        <v>2969</v>
      </c>
      <c r="J32" s="5793" t="s">
        <v>2970</v>
      </c>
      <c r="K32" s="5797" t="s">
        <v>3796</v>
      </c>
      <c r="L32" s="5789" t="s">
        <v>2880</v>
      </c>
      <c r="M32" s="2703" t="s">
        <v>3793</v>
      </c>
      <c r="N32" s="3840" t="s">
        <v>3794</v>
      </c>
    </row>
    <row r="33" spans="1:14" x14ac:dyDescent="0.25">
      <c r="A33" s="7809" t="s">
        <v>2971</v>
      </c>
      <c r="B33" s="7810"/>
      <c r="C33" s="5798"/>
      <c r="D33" s="5359"/>
      <c r="E33" s="5359"/>
      <c r="F33" s="5359"/>
      <c r="G33" s="5799"/>
      <c r="H33" s="5392"/>
      <c r="I33" s="5359"/>
      <c r="J33" s="5359"/>
      <c r="K33" s="5774"/>
      <c r="L33" s="5332">
        <f>SUM(M33+N33)</f>
        <v>0</v>
      </c>
      <c r="M33" s="3842"/>
      <c r="N33" s="3843"/>
    </row>
    <row r="34" spans="1:14" x14ac:dyDescent="0.25">
      <c r="A34" s="6617" t="s">
        <v>2910</v>
      </c>
      <c r="B34" s="6618"/>
      <c r="C34" s="5229"/>
      <c r="D34" s="3573"/>
      <c r="E34" s="3573"/>
      <c r="F34" s="3573"/>
      <c r="G34" s="3577"/>
      <c r="H34" s="3572"/>
      <c r="I34" s="3573"/>
      <c r="J34" s="3573"/>
      <c r="K34" s="3575"/>
      <c r="L34" s="3331">
        <f>SUM(M34+N34)</f>
        <v>0</v>
      </c>
      <c r="M34" s="3574"/>
      <c r="N34" s="3609"/>
    </row>
    <row r="35" spans="1:14" x14ac:dyDescent="0.25">
      <c r="A35" s="6617" t="s">
        <v>2972</v>
      </c>
      <c r="B35" s="6618"/>
      <c r="C35" s="5229"/>
      <c r="D35" s="3573"/>
      <c r="E35" s="3573"/>
      <c r="F35" s="3573"/>
      <c r="G35" s="3577"/>
      <c r="H35" s="3572"/>
      <c r="I35" s="3573"/>
      <c r="J35" s="3573"/>
      <c r="K35" s="3575"/>
      <c r="L35" s="3331">
        <f>SUM(M35+N35)</f>
        <v>0</v>
      </c>
      <c r="M35" s="3574"/>
      <c r="N35" s="3609"/>
    </row>
    <row r="36" spans="1:14" x14ac:dyDescent="0.25">
      <c r="A36" s="6617" t="s">
        <v>2973</v>
      </c>
      <c r="B36" s="6618"/>
      <c r="C36" s="5229"/>
      <c r="D36" s="3573"/>
      <c r="E36" s="3573"/>
      <c r="F36" s="3573"/>
      <c r="G36" s="3577"/>
      <c r="H36" s="3572"/>
      <c r="I36" s="3573"/>
      <c r="J36" s="3573"/>
      <c r="K36" s="3575"/>
      <c r="L36" s="3331">
        <f>SUM(M36+N36)</f>
        <v>0</v>
      </c>
      <c r="M36" s="3574"/>
      <c r="N36" s="3609"/>
    </row>
    <row r="37" spans="1:14" x14ac:dyDescent="0.25">
      <c r="A37" s="6617" t="s">
        <v>2974</v>
      </c>
      <c r="B37" s="6618"/>
      <c r="C37" s="5229"/>
      <c r="D37" s="3573"/>
      <c r="E37" s="3573"/>
      <c r="F37" s="3573"/>
      <c r="G37" s="3577"/>
      <c r="H37" s="3572"/>
      <c r="I37" s="3573"/>
      <c r="J37" s="3573"/>
      <c r="K37" s="3575"/>
      <c r="L37" s="3742"/>
      <c r="M37" s="3570"/>
      <c r="N37" s="3742"/>
    </row>
    <row r="38" spans="1:14" x14ac:dyDescent="0.25">
      <c r="A38" s="6617" t="s">
        <v>2975</v>
      </c>
      <c r="B38" s="6618"/>
      <c r="C38" s="5229"/>
      <c r="D38" s="3573"/>
      <c r="E38" s="3573"/>
      <c r="F38" s="3573"/>
      <c r="G38" s="3577"/>
      <c r="H38" s="3572"/>
      <c r="I38" s="3573"/>
      <c r="J38" s="3573"/>
      <c r="K38" s="3575"/>
      <c r="L38" s="3742"/>
      <c r="M38" s="3570"/>
      <c r="N38" s="3742"/>
    </row>
    <row r="39" spans="1:14" x14ac:dyDescent="0.25">
      <c r="A39" s="6617" t="s">
        <v>2976</v>
      </c>
      <c r="B39" s="6618"/>
      <c r="C39" s="5229"/>
      <c r="D39" s="3573"/>
      <c r="E39" s="3573"/>
      <c r="F39" s="3573"/>
      <c r="G39" s="3577"/>
      <c r="H39" s="3572"/>
      <c r="I39" s="3573"/>
      <c r="J39" s="3573"/>
      <c r="K39" s="3575"/>
      <c r="L39" s="3609"/>
      <c r="M39" s="3570"/>
      <c r="N39" s="3742"/>
    </row>
    <row r="40" spans="1:14" x14ac:dyDescent="0.25">
      <c r="A40" s="6617" t="s">
        <v>2977</v>
      </c>
      <c r="B40" s="6618"/>
      <c r="C40" s="5229"/>
      <c r="D40" s="3573"/>
      <c r="E40" s="3573"/>
      <c r="F40" s="3573"/>
      <c r="G40" s="3577"/>
      <c r="H40" s="3572"/>
      <c r="I40" s="3573"/>
      <c r="J40" s="3573"/>
      <c r="K40" s="3575"/>
      <c r="L40" s="3609"/>
      <c r="M40" s="3570"/>
      <c r="N40" s="3742"/>
    </row>
    <row r="41" spans="1:14" x14ac:dyDescent="0.25">
      <c r="A41" s="6617" t="s">
        <v>2978</v>
      </c>
      <c r="B41" s="6618"/>
      <c r="C41" s="5229"/>
      <c r="D41" s="3573"/>
      <c r="E41" s="3573"/>
      <c r="F41" s="3573"/>
      <c r="G41" s="3577"/>
      <c r="H41" s="3572"/>
      <c r="I41" s="3573"/>
      <c r="J41" s="3573"/>
      <c r="K41" s="3575"/>
      <c r="L41" s="3331">
        <f>SUM(M41+N41)</f>
        <v>0</v>
      </c>
      <c r="M41" s="3574"/>
      <c r="N41" s="3609"/>
    </row>
    <row r="42" spans="1:14" x14ac:dyDescent="0.25">
      <c r="A42" s="6617" t="s">
        <v>2979</v>
      </c>
      <c r="B42" s="6618"/>
      <c r="C42" s="410"/>
      <c r="D42" s="3616"/>
      <c r="E42" s="3616"/>
      <c r="F42" s="3616"/>
      <c r="G42" s="412"/>
      <c r="H42" s="414"/>
      <c r="I42" s="3616"/>
      <c r="J42" s="3616"/>
      <c r="K42" s="634"/>
      <c r="L42" s="3722"/>
      <c r="M42" s="3721"/>
      <c r="N42" s="3722"/>
    </row>
    <row r="43" spans="1:14" x14ac:dyDescent="0.25">
      <c r="A43" s="7498" t="s">
        <v>2980</v>
      </c>
      <c r="B43" s="7806"/>
      <c r="C43" s="410"/>
      <c r="D43" s="3616"/>
      <c r="E43" s="3616"/>
      <c r="F43" s="3616"/>
      <c r="G43" s="412"/>
      <c r="H43" s="3743"/>
      <c r="I43" s="414"/>
      <c r="J43" s="3616"/>
      <c r="K43" s="634"/>
      <c r="L43" s="3331">
        <f>SUM(M43+N43)</f>
        <v>0</v>
      </c>
      <c r="M43" s="410"/>
      <c r="N43" s="411"/>
    </row>
    <row r="44" spans="1:14" x14ac:dyDescent="0.25">
      <c r="A44" s="7807" t="s">
        <v>571</v>
      </c>
      <c r="B44" s="7808"/>
      <c r="C44" s="5800">
        <f>SUM(C33:C43)</f>
        <v>0</v>
      </c>
      <c r="D44" s="5801">
        <f>SUM(D33:D43)</f>
        <v>0</v>
      </c>
      <c r="E44" s="5801">
        <f>SUM(E33:E43)</f>
        <v>0</v>
      </c>
      <c r="F44" s="5801">
        <f>SUM(F33:F43)</f>
        <v>0</v>
      </c>
      <c r="G44" s="5802">
        <f>SUM(G33:G43)</f>
        <v>0</v>
      </c>
      <c r="H44" s="5803">
        <f>SUM(H33:H42)</f>
        <v>0</v>
      </c>
      <c r="I44" s="5801">
        <f>SUM(I33:I43)</f>
        <v>0</v>
      </c>
      <c r="J44" s="5801">
        <f>SUM(J33:J43)</f>
        <v>0</v>
      </c>
      <c r="K44" s="5804">
        <f>SUM(K33:K43)</f>
        <v>0</v>
      </c>
      <c r="L44" s="5790">
        <f>SUM(L33+L34+L35+L36+L39+L40+L41+L43)</f>
        <v>0</v>
      </c>
      <c r="M44" s="2082">
        <f>SUM(M33+M34+M35+M36+M41+M43)</f>
        <v>0</v>
      </c>
      <c r="N44" s="3844">
        <f>SUM(N33+N34+N35+N36+N41+N43)</f>
        <v>0</v>
      </c>
    </row>
    <row r="45" spans="1:14" x14ac:dyDescent="0.25">
      <c r="A45" s="7804" t="s">
        <v>2981</v>
      </c>
      <c r="B45" s="7805"/>
      <c r="C45" s="5805"/>
      <c r="D45" s="5806"/>
      <c r="E45" s="5806"/>
      <c r="F45" s="5806"/>
      <c r="G45" s="5807"/>
      <c r="H45" s="5808"/>
      <c r="I45" s="5806"/>
      <c r="J45" s="5806"/>
      <c r="K45" s="5809"/>
      <c r="L45" s="5790">
        <f>SUM(M45+N45)</f>
        <v>0</v>
      </c>
      <c r="M45" s="3845"/>
      <c r="N45" s="3846"/>
    </row>
    <row r="90" spans="1:2" hidden="1" x14ac:dyDescent="0.25">
      <c r="A90" s="4600">
        <f>SUM(B11:K11,B12:B29,C44:K44,L33:L45,M44:N44)</f>
        <v>0</v>
      </c>
      <c r="B90" s="4574">
        <f>SUM(CD12:CF29)</f>
        <v>0</v>
      </c>
    </row>
  </sheetData>
  <sheetProtection algorithmName="SHA-512" hashValue="Unf3PPtdsODu1+KTHqlla3h5FV62AiouJLQFsg4vsiuR+cjH2CJTk1iKjbmzReIL9QNgMK67gPkhwx8rpl64gQ==" saltValue="QnefROCCMYKqtrTSPMHLbQ==" spinCount="100000" sheet="1" objects="1" scenarios="1"/>
  <mergeCells count="26">
    <mergeCell ref="A33:B33"/>
    <mergeCell ref="A6:N6"/>
    <mergeCell ref="A8:K8"/>
    <mergeCell ref="A9:A10"/>
    <mergeCell ref="B9:D9"/>
    <mergeCell ref="E9:F9"/>
    <mergeCell ref="G9:G10"/>
    <mergeCell ref="H9:I9"/>
    <mergeCell ref="J9:K9"/>
    <mergeCell ref="A30:N30"/>
    <mergeCell ref="A31:B32"/>
    <mergeCell ref="C31:G31"/>
    <mergeCell ref="H31:K31"/>
    <mergeCell ref="L31:N31"/>
    <mergeCell ref="A45:B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</mergeCells>
  <dataValidations count="1">
    <dataValidation type="whole" operator="greaterThanOrEqual" allowBlank="1" showInputMessage="1" showErrorMessage="1" sqref="C12:K29 C33:N43 C45:N45" xr:uid="{00000000-0002-0000-0D00-000000000000}">
      <formula1>0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DH201"/>
  <sheetViews>
    <sheetView showGridLines="0" zoomScaleNormal="100" workbookViewId="0"/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7" width="15.85546875" customWidth="1"/>
    <col min="8" max="8" width="18.4257812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0" width="11.42578125" customWidth="1"/>
    <col min="41" max="47" width="11.42578125" hidden="1" customWidth="1"/>
    <col min="48" max="48" width="11.42578125" customWidth="1"/>
    <col min="84" max="84" width="11.7109375" customWidth="1"/>
    <col min="85" max="85" width="12.28515625" customWidth="1"/>
    <col min="86" max="112" width="11.42578125" customWidth="1"/>
  </cols>
  <sheetData>
    <row r="1" spans="1:112" x14ac:dyDescent="0.25">
      <c r="A1" s="779" t="s">
        <v>3878</v>
      </c>
      <c r="E1" t="s">
        <v>435</v>
      </c>
      <c r="K1" t="s">
        <v>434</v>
      </c>
    </row>
    <row r="2" spans="1:112" x14ac:dyDescent="0.25">
      <c r="A2" s="779" t="str">
        <f>CONCATENATE("COMUNA: ",NOMBRE!B2," - ","( ",NOMBRE!C2,NOMBRE!D2,NOMBRE!E2,NOMBRE!F2,NOMBRE!G2," )")</f>
        <v>COMUNA:  - (  )</v>
      </c>
    </row>
    <row r="3" spans="1:112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12" x14ac:dyDescent="0.25">
      <c r="A4" s="779" t="str">
        <f>CONCATENATE("MES: ",NOMBRE!B6," - ","( ",NOMBRE!C6,NOMBRE!D6," )")</f>
        <v>MES:  - (  )</v>
      </c>
    </row>
    <row r="5" spans="1:112" x14ac:dyDescent="0.25">
      <c r="A5" s="779" t="str">
        <f>CONCATENATE("AÑO: ",NOMBRE!B7)</f>
        <v>AÑO: 2024</v>
      </c>
    </row>
    <row r="6" spans="1:112" s="103" customFormat="1" ht="18" customHeight="1" x14ac:dyDescent="0.2">
      <c r="A6" s="7822" t="s">
        <v>420</v>
      </c>
      <c r="B6" s="7822"/>
      <c r="C6" s="7822"/>
      <c r="D6" s="7822"/>
      <c r="E6" s="7822"/>
      <c r="F6" s="7822"/>
      <c r="G6" s="7822"/>
      <c r="H6" s="7822"/>
      <c r="I6" s="7822"/>
      <c r="J6" s="7822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  <c r="AC6" s="419"/>
      <c r="AD6" s="419"/>
      <c r="AE6" s="419"/>
      <c r="AO6" s="782"/>
      <c r="AP6" s="782"/>
      <c r="AQ6" s="782"/>
      <c r="AR6" s="782"/>
      <c r="AS6" s="782"/>
      <c r="AT6" s="782"/>
      <c r="AU6" s="782"/>
      <c r="CE6" s="104"/>
      <c r="CF6" s="420"/>
      <c r="CG6" s="420"/>
      <c r="CH6" s="2660"/>
      <c r="CI6" s="2660"/>
      <c r="CJ6" s="2660"/>
      <c r="CK6" s="2660"/>
      <c r="CL6" s="2660"/>
      <c r="CM6" s="2660"/>
      <c r="CN6" s="2660"/>
      <c r="CO6" s="2660"/>
      <c r="CP6" s="2660"/>
      <c r="CQ6" s="2660"/>
      <c r="CR6" s="2660"/>
      <c r="CS6" s="2660"/>
      <c r="CT6" s="2660"/>
      <c r="CU6" s="2660"/>
      <c r="CV6" s="2660"/>
      <c r="CW6" s="2660"/>
      <c r="CX6" s="2660"/>
      <c r="CY6" s="2660"/>
      <c r="CZ6" s="2660"/>
      <c r="DA6" s="2660"/>
      <c r="DB6" s="2660"/>
      <c r="DC6" s="2660"/>
      <c r="DD6" s="2660"/>
      <c r="DE6" s="2660"/>
      <c r="DF6" s="2660"/>
      <c r="DG6" s="2660"/>
      <c r="DH6" s="782"/>
    </row>
    <row r="8" spans="1:112" s="17" customFormat="1" ht="18" customHeight="1" x14ac:dyDescent="0.2">
      <c r="A8" s="426" t="s">
        <v>421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</row>
    <row r="9" spans="1:112" x14ac:dyDescent="0.25">
      <c r="A9" s="7823" t="s">
        <v>422</v>
      </c>
      <c r="B9" s="7825" t="s">
        <v>538</v>
      </c>
      <c r="C9" s="7492" t="s">
        <v>539</v>
      </c>
      <c r="D9" s="7492" t="s">
        <v>540</v>
      </c>
      <c r="E9" s="7492" t="s">
        <v>541</v>
      </c>
      <c r="F9" s="7525" t="s">
        <v>542</v>
      </c>
      <c r="G9" s="7829" t="s">
        <v>423</v>
      </c>
      <c r="H9" s="7830"/>
      <c r="I9" s="7830"/>
      <c r="J9" s="7830"/>
      <c r="K9" s="7830"/>
      <c r="L9" s="7830"/>
      <c r="M9" s="7830"/>
      <c r="N9" s="7830"/>
      <c r="O9" s="7830"/>
      <c r="P9" s="7830"/>
      <c r="Q9" s="7830"/>
      <c r="R9" s="7830"/>
      <c r="S9" s="7830"/>
      <c r="T9" s="7830"/>
      <c r="U9" s="7830"/>
      <c r="V9" s="7830"/>
      <c r="W9" s="7830"/>
      <c r="X9" s="7830"/>
      <c r="Y9" s="7831"/>
      <c r="Z9" s="7815" t="s">
        <v>3773</v>
      </c>
      <c r="AA9" s="7815"/>
      <c r="AB9" s="7815"/>
      <c r="AC9" s="7815"/>
      <c r="AD9" s="7815"/>
      <c r="AE9" s="7816"/>
    </row>
    <row r="10" spans="1:112" x14ac:dyDescent="0.25">
      <c r="A10" s="7823"/>
      <c r="B10" s="7826"/>
      <c r="C10" s="7493"/>
      <c r="D10" s="7493"/>
      <c r="E10" s="7493"/>
      <c r="F10" s="7528"/>
      <c r="G10" s="7523" t="s">
        <v>532</v>
      </c>
      <c r="H10" s="7524"/>
      <c r="I10" s="7524"/>
      <c r="J10" s="7525"/>
      <c r="K10" s="7523" t="s">
        <v>533</v>
      </c>
      <c r="L10" s="7524"/>
      <c r="M10" s="7524"/>
      <c r="N10" s="7524"/>
      <c r="O10" s="7525"/>
      <c r="P10" s="7523" t="s">
        <v>534</v>
      </c>
      <c r="Q10" s="7524"/>
      <c r="R10" s="7524"/>
      <c r="S10" s="7524"/>
      <c r="T10" s="7525"/>
      <c r="U10" s="7523" t="s">
        <v>535</v>
      </c>
      <c r="V10" s="7524"/>
      <c r="W10" s="7524"/>
      <c r="X10" s="7524"/>
      <c r="Y10" s="7820"/>
      <c r="Z10" s="7524" t="s">
        <v>536</v>
      </c>
      <c r="AA10" s="7524"/>
      <c r="AB10" s="7525"/>
      <c r="AC10" s="7523" t="s">
        <v>537</v>
      </c>
      <c r="AD10" s="7524"/>
      <c r="AE10" s="7525"/>
    </row>
    <row r="11" spans="1:112" x14ac:dyDescent="0.25">
      <c r="A11" s="7823"/>
      <c r="B11" s="7826"/>
      <c r="C11" s="7493"/>
      <c r="D11" s="7493"/>
      <c r="E11" s="7493"/>
      <c r="F11" s="7528"/>
      <c r="G11" s="7817"/>
      <c r="H11" s="7818"/>
      <c r="I11" s="7818"/>
      <c r="J11" s="7819"/>
      <c r="K11" s="7817"/>
      <c r="L11" s="7818"/>
      <c r="M11" s="7818"/>
      <c r="N11" s="7818"/>
      <c r="O11" s="7819"/>
      <c r="P11" s="7817"/>
      <c r="Q11" s="7818"/>
      <c r="R11" s="7818"/>
      <c r="S11" s="7818"/>
      <c r="T11" s="7819"/>
      <c r="U11" s="7817"/>
      <c r="V11" s="7818"/>
      <c r="W11" s="7818"/>
      <c r="X11" s="7818"/>
      <c r="Y11" s="7821"/>
      <c r="Z11" s="7818"/>
      <c r="AA11" s="7818"/>
      <c r="AB11" s="7819"/>
      <c r="AC11" s="7817"/>
      <c r="AD11" s="7818"/>
      <c r="AE11" s="7819"/>
    </row>
    <row r="12" spans="1:112" ht="21" x14ac:dyDescent="0.25">
      <c r="A12" s="7824"/>
      <c r="B12" s="7827"/>
      <c r="C12" s="7828"/>
      <c r="D12" s="7828"/>
      <c r="E12" s="7828"/>
      <c r="F12" s="7819"/>
      <c r="G12" s="421" t="s">
        <v>50</v>
      </c>
      <c r="H12" s="422" t="s">
        <v>424</v>
      </c>
      <c r="I12" s="422" t="s">
        <v>425</v>
      </c>
      <c r="J12" s="423" t="s">
        <v>28</v>
      </c>
      <c r="K12" s="421" t="s">
        <v>50</v>
      </c>
      <c r="L12" s="422" t="s">
        <v>424</v>
      </c>
      <c r="M12" s="422" t="s">
        <v>425</v>
      </c>
      <c r="N12" s="422" t="s">
        <v>28</v>
      </c>
      <c r="O12" s="423" t="s">
        <v>426</v>
      </c>
      <c r="P12" s="421" t="s">
        <v>50</v>
      </c>
      <c r="Q12" s="422" t="s">
        <v>424</v>
      </c>
      <c r="R12" s="422" t="s">
        <v>425</v>
      </c>
      <c r="S12" s="422" t="s">
        <v>28</v>
      </c>
      <c r="T12" s="423" t="s">
        <v>426</v>
      </c>
      <c r="U12" s="421" t="s">
        <v>50</v>
      </c>
      <c r="V12" s="422" t="s">
        <v>424</v>
      </c>
      <c r="W12" s="422" t="s">
        <v>425</v>
      </c>
      <c r="X12" s="422" t="s">
        <v>28</v>
      </c>
      <c r="Y12" s="424" t="s">
        <v>426</v>
      </c>
      <c r="Z12" s="421" t="s">
        <v>50</v>
      </c>
      <c r="AA12" s="422" t="s">
        <v>427</v>
      </c>
      <c r="AB12" s="425" t="s">
        <v>428</v>
      </c>
      <c r="AC12" s="421" t="s">
        <v>50</v>
      </c>
      <c r="AD12" s="422" t="s">
        <v>427</v>
      </c>
      <c r="AE12" s="425" t="s">
        <v>428</v>
      </c>
    </row>
    <row r="13" spans="1:112" x14ac:dyDescent="0.25">
      <c r="A13" s="367" t="s">
        <v>429</v>
      </c>
      <c r="B13" s="6011">
        <f t="shared" ref="B13:AE13" si="0">SUM(B14:B17)</f>
        <v>0</v>
      </c>
      <c r="C13" s="6012">
        <f t="shared" si="0"/>
        <v>0</v>
      </c>
      <c r="D13" s="6013">
        <f t="shared" si="0"/>
        <v>0</v>
      </c>
      <c r="E13" s="6013">
        <f t="shared" si="0"/>
        <v>0</v>
      </c>
      <c r="F13" s="6014">
        <f t="shared" si="0"/>
        <v>0</v>
      </c>
      <c r="G13" s="6015">
        <f t="shared" si="0"/>
        <v>0</v>
      </c>
      <c r="H13" s="6013">
        <f t="shared" si="0"/>
        <v>0</v>
      </c>
      <c r="I13" s="6013">
        <f t="shared" si="0"/>
        <v>0</v>
      </c>
      <c r="J13" s="6014">
        <f t="shared" si="0"/>
        <v>0</v>
      </c>
      <c r="K13" s="6015">
        <f t="shared" si="0"/>
        <v>0</v>
      </c>
      <c r="L13" s="6013">
        <f t="shared" si="0"/>
        <v>0</v>
      </c>
      <c r="M13" s="6013">
        <f t="shared" si="0"/>
        <v>0</v>
      </c>
      <c r="N13" s="6013">
        <f t="shared" si="0"/>
        <v>0</v>
      </c>
      <c r="O13" s="6014">
        <f t="shared" si="0"/>
        <v>0</v>
      </c>
      <c r="P13" s="6015">
        <f t="shared" si="0"/>
        <v>0</v>
      </c>
      <c r="Q13" s="6013">
        <f t="shared" si="0"/>
        <v>0</v>
      </c>
      <c r="R13" s="6013">
        <f t="shared" si="0"/>
        <v>0</v>
      </c>
      <c r="S13" s="6013">
        <f t="shared" si="0"/>
        <v>0</v>
      </c>
      <c r="T13" s="6014">
        <f t="shared" si="0"/>
        <v>0</v>
      </c>
      <c r="U13" s="6015">
        <f t="shared" si="0"/>
        <v>0</v>
      </c>
      <c r="V13" s="6013">
        <f t="shared" si="0"/>
        <v>0</v>
      </c>
      <c r="W13" s="6013">
        <f t="shared" si="0"/>
        <v>0</v>
      </c>
      <c r="X13" s="6013">
        <f t="shared" si="0"/>
        <v>0</v>
      </c>
      <c r="Y13" s="6016">
        <f t="shared" si="0"/>
        <v>0</v>
      </c>
      <c r="Z13" s="6012">
        <f t="shared" si="0"/>
        <v>0</v>
      </c>
      <c r="AA13" s="6013">
        <f>SUM(AA14:AA17)</f>
        <v>0</v>
      </c>
      <c r="AB13" s="6017">
        <f t="shared" si="0"/>
        <v>0</v>
      </c>
      <c r="AC13" s="6015">
        <f t="shared" si="0"/>
        <v>0</v>
      </c>
      <c r="AD13" s="6013">
        <f t="shared" si="0"/>
        <v>0</v>
      </c>
      <c r="AE13" s="6017">
        <f t="shared" si="0"/>
        <v>0</v>
      </c>
    </row>
    <row r="14" spans="1:112" x14ac:dyDescent="0.25">
      <c r="A14" s="427" t="s">
        <v>430</v>
      </c>
      <c r="B14" s="5971"/>
      <c r="C14" s="5972"/>
      <c r="D14" s="5972"/>
      <c r="E14" s="5972"/>
      <c r="F14" s="5972"/>
      <c r="G14" s="6018">
        <f>SUM(H14:J14)</f>
        <v>0</v>
      </c>
      <c r="H14" s="5979"/>
      <c r="I14" s="5972"/>
      <c r="J14" s="5972"/>
      <c r="K14" s="6019">
        <f>SUM(L14:O14)</f>
        <v>0</v>
      </c>
      <c r="L14" s="5979"/>
      <c r="M14" s="5972"/>
      <c r="N14" s="5985"/>
      <c r="O14" s="5986"/>
      <c r="P14" s="6019">
        <f>SUM(Q14:T14)</f>
        <v>0</v>
      </c>
      <c r="Q14" s="5979"/>
      <c r="R14" s="5972"/>
      <c r="S14" s="5985"/>
      <c r="T14" s="5986"/>
      <c r="U14" s="6019">
        <f>SUM(V14:Y14)</f>
        <v>0</v>
      </c>
      <c r="V14" s="5979"/>
      <c r="W14" s="5972"/>
      <c r="X14" s="5985"/>
      <c r="Y14" s="5994"/>
      <c r="Z14" s="6020">
        <f>SUM(AA14:AB14)</f>
        <v>0</v>
      </c>
      <c r="AA14" s="5972"/>
      <c r="AB14" s="5998"/>
      <c r="AC14" s="6019">
        <f>SUM(AD14:AE14)</f>
        <v>0</v>
      </c>
      <c r="AD14" s="5972"/>
      <c r="AE14" s="5998"/>
    </row>
    <row r="15" spans="1:112" x14ac:dyDescent="0.25">
      <c r="A15" s="428" t="s">
        <v>431</v>
      </c>
      <c r="B15" s="5973"/>
      <c r="C15" s="5974"/>
      <c r="D15" s="5974"/>
      <c r="E15" s="5974"/>
      <c r="F15" s="5974"/>
      <c r="G15" s="6021">
        <f>SUM(H15:J15)</f>
        <v>0</v>
      </c>
      <c r="H15" s="5980"/>
      <c r="I15" s="5974"/>
      <c r="J15" s="5980"/>
      <c r="K15" s="6021">
        <f>SUM(L15:O15)</f>
        <v>0</v>
      </c>
      <c r="L15" s="5980"/>
      <c r="M15" s="5980"/>
      <c r="N15" s="5987"/>
      <c r="O15" s="5988"/>
      <c r="P15" s="6021">
        <f>SUM(Q15:T15)</f>
        <v>0</v>
      </c>
      <c r="Q15" s="5980"/>
      <c r="R15" s="5974"/>
      <c r="S15" s="5987"/>
      <c r="T15" s="5988"/>
      <c r="U15" s="6021">
        <f>SUM(V15:Y15)</f>
        <v>0</v>
      </c>
      <c r="V15" s="5980"/>
      <c r="W15" s="5974"/>
      <c r="X15" s="5987"/>
      <c r="Y15" s="5995"/>
      <c r="Z15" s="6022">
        <f>SUM(AA15:AB15)</f>
        <v>0</v>
      </c>
      <c r="AA15" s="5974"/>
      <c r="AB15" s="5999"/>
      <c r="AC15" s="6021">
        <f>SUM(AD15:AE15)</f>
        <v>0</v>
      </c>
      <c r="AD15" s="5974"/>
      <c r="AE15" s="5999"/>
    </row>
    <row r="16" spans="1:112" x14ac:dyDescent="0.25">
      <c r="A16" s="429" t="s">
        <v>432</v>
      </c>
      <c r="B16" s="5973"/>
      <c r="C16" s="5974"/>
      <c r="D16" s="5974"/>
      <c r="E16" s="5974"/>
      <c r="F16" s="5974"/>
      <c r="G16" s="6021">
        <f>SUM(H16:J16)</f>
        <v>0</v>
      </c>
      <c r="H16" s="5980"/>
      <c r="I16" s="5974"/>
      <c r="J16" s="5981"/>
      <c r="K16" s="6021">
        <f>SUM(L16:O16)</f>
        <v>0</v>
      </c>
      <c r="L16" s="5980"/>
      <c r="M16" s="5981"/>
      <c r="N16" s="5989"/>
      <c r="O16" s="5990"/>
      <c r="P16" s="6021">
        <f>SUM(Q16:T16)</f>
        <v>0</v>
      </c>
      <c r="Q16" s="5980"/>
      <c r="R16" s="5981"/>
      <c r="S16" s="5989"/>
      <c r="T16" s="5990"/>
      <c r="U16" s="6021">
        <f>SUM(V16:Y16)</f>
        <v>0</v>
      </c>
      <c r="V16" s="5980"/>
      <c r="W16" s="5981"/>
      <c r="X16" s="5989"/>
      <c r="Y16" s="5996"/>
      <c r="Z16" s="6022">
        <f>SUM(AA16:AB16)</f>
        <v>0</v>
      </c>
      <c r="AA16" s="5974"/>
      <c r="AB16" s="5999"/>
      <c r="AC16" s="6021">
        <f>SUM(AD16:AE16)</f>
        <v>0</v>
      </c>
      <c r="AD16" s="5974"/>
      <c r="AE16" s="5999"/>
    </row>
    <row r="17" spans="1:31" x14ac:dyDescent="0.25">
      <c r="A17" s="430" t="s">
        <v>433</v>
      </c>
      <c r="B17" s="5975"/>
      <c r="C17" s="5976"/>
      <c r="D17" s="5977"/>
      <c r="E17" s="5977"/>
      <c r="F17" s="5978"/>
      <c r="G17" s="6023">
        <f>SUM(H17:J17)</f>
        <v>0</v>
      </c>
      <c r="H17" s="5982"/>
      <c r="I17" s="5983"/>
      <c r="J17" s="5984"/>
      <c r="K17" s="6024">
        <f>SUM(L17:O17)</f>
        <v>0</v>
      </c>
      <c r="L17" s="5982"/>
      <c r="M17" s="5991"/>
      <c r="N17" s="5992"/>
      <c r="O17" s="5984"/>
      <c r="P17" s="6024">
        <f>SUM(Q17:T17)</f>
        <v>0</v>
      </c>
      <c r="Q17" s="5991"/>
      <c r="R17" s="5976"/>
      <c r="S17" s="5992"/>
      <c r="T17" s="5993"/>
      <c r="U17" s="6024">
        <f>SUM(V17:Y17)</f>
        <v>0</v>
      </c>
      <c r="V17" s="5991"/>
      <c r="W17" s="5976"/>
      <c r="X17" s="5992"/>
      <c r="Y17" s="5997"/>
      <c r="Z17" s="6025">
        <f>SUM(AA17:AB17)</f>
        <v>0</v>
      </c>
      <c r="AA17" s="5976"/>
      <c r="AB17" s="6000"/>
      <c r="AC17" s="6023">
        <f>SUM(AD17:AE17)</f>
        <v>0</v>
      </c>
      <c r="AD17" s="5976"/>
      <c r="AE17" s="6000"/>
    </row>
    <row r="18" spans="1:31" x14ac:dyDescent="0.25">
      <c r="A18" s="431" t="s">
        <v>3772</v>
      </c>
    </row>
    <row r="20" spans="1:31" s="17" customFormat="1" ht="18" customHeight="1" x14ac:dyDescent="0.2">
      <c r="A20" s="452" t="s">
        <v>436</v>
      </c>
      <c r="B20" s="453"/>
      <c r="C20" s="454"/>
      <c r="D20" s="454"/>
      <c r="E20" s="454"/>
      <c r="F20" s="454"/>
      <c r="G20" s="453"/>
    </row>
    <row r="21" spans="1:31" ht="32.25" customHeight="1" x14ac:dyDescent="0.25">
      <c r="A21" s="432" t="s">
        <v>437</v>
      </c>
      <c r="B21" s="433" t="s">
        <v>24</v>
      </c>
      <c r="C21" s="434" t="s">
        <v>499</v>
      </c>
      <c r="D21" s="435" t="s">
        <v>500</v>
      </c>
      <c r="E21" s="435" t="s">
        <v>3808</v>
      </c>
      <c r="F21" s="435" t="s">
        <v>3809</v>
      </c>
      <c r="G21" s="436" t="s">
        <v>44</v>
      </c>
    </row>
    <row r="22" spans="1:31" ht="15" customHeight="1" x14ac:dyDescent="0.25">
      <c r="A22" s="437" t="s">
        <v>438</v>
      </c>
      <c r="B22" s="438">
        <f>SUM(C22:G22)</f>
        <v>0</v>
      </c>
      <c r="C22" s="439"/>
      <c r="D22" s="440"/>
      <c r="E22" s="440"/>
      <c r="F22" s="440"/>
      <c r="G22" s="441"/>
    </row>
    <row r="23" spans="1:31" ht="15" customHeight="1" x14ac:dyDescent="0.25">
      <c r="A23" s="442" t="s">
        <v>25</v>
      </c>
      <c r="B23" s="443">
        <f>SUM(C23:G23)</f>
        <v>0</v>
      </c>
      <c r="C23" s="444"/>
      <c r="D23" s="445"/>
      <c r="E23" s="445"/>
      <c r="F23" s="445"/>
      <c r="G23" s="446"/>
    </row>
    <row r="24" spans="1:31" ht="15" customHeight="1" x14ac:dyDescent="0.25">
      <c r="A24" s="442" t="s">
        <v>439</v>
      </c>
      <c r="B24" s="443">
        <f>SUM(C24:G24)</f>
        <v>0</v>
      </c>
      <c r="C24" s="444"/>
      <c r="D24" s="445"/>
      <c r="E24" s="445"/>
      <c r="F24" s="445"/>
      <c r="G24" s="446"/>
    </row>
    <row r="25" spans="1:31" ht="15" customHeight="1" x14ac:dyDescent="0.25">
      <c r="A25" s="442" t="s">
        <v>440</v>
      </c>
      <c r="B25" s="443">
        <f>SUM(C25:G25)</f>
        <v>0</v>
      </c>
      <c r="C25" s="444"/>
      <c r="D25" s="445"/>
      <c r="E25" s="445"/>
      <c r="F25" s="445"/>
      <c r="G25" s="446"/>
    </row>
    <row r="26" spans="1:31" ht="15" customHeight="1" x14ac:dyDescent="0.25">
      <c r="A26" s="447" t="s">
        <v>34</v>
      </c>
      <c r="B26" s="448">
        <f>SUM(C26:G26)</f>
        <v>0</v>
      </c>
      <c r="C26" s="449"/>
      <c r="D26" s="450"/>
      <c r="E26" s="450"/>
      <c r="F26" s="450"/>
      <c r="G26" s="451"/>
    </row>
    <row r="27" spans="1:31" s="17" customFormat="1" ht="18" customHeight="1" x14ac:dyDescent="0.2">
      <c r="A27" s="452" t="s">
        <v>441</v>
      </c>
    </row>
    <row r="28" spans="1:31" s="17" customFormat="1" ht="18" customHeight="1" x14ac:dyDescent="0.2">
      <c r="A28" s="452" t="s">
        <v>442</v>
      </c>
      <c r="B28" s="464"/>
      <c r="C28" s="465"/>
      <c r="D28" s="465"/>
      <c r="E28" s="465"/>
      <c r="F28" s="465"/>
      <c r="G28" s="465"/>
      <c r="H28" s="465"/>
      <c r="I28" s="466"/>
      <c r="J28" s="466"/>
      <c r="K28" s="467"/>
      <c r="L28" s="467"/>
    </row>
    <row r="29" spans="1:31" x14ac:dyDescent="0.25">
      <c r="A29" s="7832" t="s">
        <v>437</v>
      </c>
      <c r="B29" s="7833"/>
      <c r="C29" s="7836" t="s">
        <v>24</v>
      </c>
      <c r="D29" s="7838" t="s">
        <v>12</v>
      </c>
      <c r="E29" s="7839"/>
      <c r="F29" s="7840"/>
      <c r="G29" s="7841" t="s">
        <v>531</v>
      </c>
      <c r="H29" s="7841"/>
      <c r="I29" s="7841"/>
      <c r="J29" s="7841"/>
      <c r="K29" s="7841"/>
      <c r="L29" s="7842"/>
    </row>
    <row r="30" spans="1:31" x14ac:dyDescent="0.25">
      <c r="A30" s="7834"/>
      <c r="B30" s="7835"/>
      <c r="C30" s="7837"/>
      <c r="D30" s="456" t="s">
        <v>1319</v>
      </c>
      <c r="E30" s="456" t="s">
        <v>4</v>
      </c>
      <c r="F30" s="455" t="s">
        <v>131</v>
      </c>
      <c r="G30" s="457" t="s">
        <v>220</v>
      </c>
      <c r="H30" s="456" t="s">
        <v>221</v>
      </c>
      <c r="I30" s="456" t="s">
        <v>444</v>
      </c>
      <c r="J30" s="456" t="s">
        <v>445</v>
      </c>
      <c r="K30" s="456" t="s">
        <v>446</v>
      </c>
      <c r="L30" s="456" t="s">
        <v>447</v>
      </c>
    </row>
    <row r="31" spans="1:31" ht="15" customHeight="1" x14ac:dyDescent="0.25">
      <c r="A31" s="7843" t="s">
        <v>25</v>
      </c>
      <c r="B31" s="7844"/>
      <c r="C31" s="458">
        <f>SUM(D31:F31)</f>
        <v>0</v>
      </c>
      <c r="D31" s="6001"/>
      <c r="E31" s="6002"/>
      <c r="F31" s="6003"/>
      <c r="G31" s="522"/>
      <c r="H31" s="6002"/>
      <c r="I31" s="6002"/>
      <c r="J31" s="6002"/>
      <c r="K31" s="6002"/>
      <c r="L31" s="6002"/>
    </row>
    <row r="32" spans="1:31" ht="15" customHeight="1" x14ac:dyDescent="0.25">
      <c r="A32" s="7849" t="s">
        <v>439</v>
      </c>
      <c r="B32" s="7850"/>
      <c r="C32" s="458">
        <f t="shared" ref="C32:C37" si="1">SUM(D32:F32)</f>
        <v>0</v>
      </c>
      <c r="D32" s="6002"/>
      <c r="E32" s="6002"/>
      <c r="F32" s="6003"/>
      <c r="G32" s="522"/>
      <c r="H32" s="6002"/>
      <c r="I32" s="6002"/>
      <c r="J32" s="6002"/>
      <c r="K32" s="6002"/>
      <c r="L32" s="6002"/>
    </row>
    <row r="33" spans="1:12" ht="15" customHeight="1" x14ac:dyDescent="0.25">
      <c r="A33" s="7849" t="s">
        <v>440</v>
      </c>
      <c r="B33" s="7850"/>
      <c r="C33" s="458">
        <f t="shared" si="1"/>
        <v>0</v>
      </c>
      <c r="D33" s="6002"/>
      <c r="E33" s="6002"/>
      <c r="F33" s="6003"/>
      <c r="G33" s="522"/>
      <c r="H33" s="6002"/>
      <c r="I33" s="6002"/>
      <c r="J33" s="6002"/>
      <c r="K33" s="6002"/>
      <c r="L33" s="6002"/>
    </row>
    <row r="34" spans="1:12" ht="15" customHeight="1" x14ac:dyDescent="0.25">
      <c r="A34" s="7851" t="s">
        <v>34</v>
      </c>
      <c r="B34" s="7852"/>
      <c r="C34" s="460">
        <f t="shared" si="1"/>
        <v>0</v>
      </c>
      <c r="D34" s="6004"/>
      <c r="E34" s="6004"/>
      <c r="F34" s="6005"/>
      <c r="G34" s="535"/>
      <c r="H34" s="6004"/>
      <c r="I34" s="6004"/>
      <c r="J34" s="6004"/>
      <c r="K34" s="6004"/>
      <c r="L34" s="6004"/>
    </row>
    <row r="35" spans="1:12" ht="15" customHeight="1" x14ac:dyDescent="0.25">
      <c r="A35" s="7845" t="s">
        <v>450</v>
      </c>
      <c r="B35" s="461" t="s">
        <v>448</v>
      </c>
      <c r="C35" s="458">
        <f t="shared" si="1"/>
        <v>0</v>
      </c>
      <c r="D35" s="6002"/>
      <c r="E35" s="6002"/>
      <c r="F35" s="6003"/>
      <c r="G35" s="522"/>
      <c r="H35" s="6002"/>
      <c r="I35" s="6002"/>
      <c r="J35" s="6002"/>
      <c r="K35" s="6002"/>
      <c r="L35" s="6002"/>
    </row>
    <row r="36" spans="1:12" ht="15" customHeight="1" x14ac:dyDescent="0.25">
      <c r="A36" s="7846"/>
      <c r="B36" s="459" t="s">
        <v>449</v>
      </c>
      <c r="C36" s="462">
        <f t="shared" si="1"/>
        <v>0</v>
      </c>
      <c r="D36" s="6006"/>
      <c r="E36" s="6006"/>
      <c r="F36" s="6007"/>
      <c r="G36" s="6008"/>
      <c r="H36" s="6009"/>
      <c r="I36" s="6009"/>
      <c r="J36" s="6009"/>
      <c r="K36" s="6009"/>
      <c r="L36" s="6009"/>
    </row>
    <row r="37" spans="1:12" ht="15" customHeight="1" x14ac:dyDescent="0.25">
      <c r="A37" s="7847" t="s">
        <v>451</v>
      </c>
      <c r="B37" s="7848"/>
      <c r="C37" s="463">
        <f t="shared" si="1"/>
        <v>0</v>
      </c>
      <c r="D37" s="6009"/>
      <c r="E37" s="6009"/>
      <c r="F37" s="6007"/>
      <c r="G37" s="6008"/>
      <c r="H37" s="6009"/>
      <c r="I37" s="6009"/>
      <c r="J37" s="6009"/>
      <c r="K37" s="6009"/>
      <c r="L37" s="6009"/>
    </row>
    <row r="38" spans="1:12" s="17" customFormat="1" ht="18" customHeight="1" x14ac:dyDescent="0.2">
      <c r="A38" s="469" t="s">
        <v>452</v>
      </c>
      <c r="B38" s="470"/>
    </row>
    <row r="39" spans="1:12" ht="15" customHeight="1" x14ac:dyDescent="0.25">
      <c r="A39" s="456" t="s">
        <v>453</v>
      </c>
      <c r="B39" s="456" t="s">
        <v>50</v>
      </c>
    </row>
    <row r="40" spans="1:12" ht="15" customHeight="1" x14ac:dyDescent="0.25">
      <c r="A40" s="458" t="s">
        <v>60</v>
      </c>
      <c r="B40" s="6002"/>
    </row>
    <row r="41" spans="1:12" ht="15" customHeight="1" x14ac:dyDescent="0.25">
      <c r="A41" s="458" t="s">
        <v>454</v>
      </c>
      <c r="B41" s="6002"/>
    </row>
    <row r="42" spans="1:12" ht="15" customHeight="1" x14ac:dyDescent="0.25">
      <c r="A42" s="458" t="s">
        <v>192</v>
      </c>
      <c r="B42" s="6002"/>
    </row>
    <row r="43" spans="1:12" ht="15" customHeight="1" x14ac:dyDescent="0.25">
      <c r="A43" s="458" t="s">
        <v>455</v>
      </c>
      <c r="B43" s="6002"/>
    </row>
    <row r="44" spans="1:12" ht="15" customHeight="1" x14ac:dyDescent="0.25">
      <c r="A44" s="458" t="s">
        <v>456</v>
      </c>
      <c r="B44" s="6002"/>
    </row>
    <row r="45" spans="1:12" ht="15" customHeight="1" x14ac:dyDescent="0.25">
      <c r="A45" s="458" t="s">
        <v>457</v>
      </c>
      <c r="B45" s="6002"/>
    </row>
    <row r="46" spans="1:12" ht="15" customHeight="1" x14ac:dyDescent="0.25">
      <c r="A46" s="458" t="s">
        <v>249</v>
      </c>
      <c r="B46" s="6002"/>
    </row>
    <row r="47" spans="1:12" ht="15" customHeight="1" x14ac:dyDescent="0.25">
      <c r="A47" s="468" t="s">
        <v>62</v>
      </c>
      <c r="B47" s="6010"/>
    </row>
    <row r="48" spans="1:12" ht="15" customHeight="1" x14ac:dyDescent="0.25">
      <c r="A48" s="460" t="s">
        <v>79</v>
      </c>
      <c r="B48" s="6004"/>
    </row>
    <row r="49" spans="1:6" s="17" customFormat="1" ht="18" customHeight="1" x14ac:dyDescent="0.2">
      <c r="A49" s="476" t="s">
        <v>458</v>
      </c>
      <c r="B49" s="464"/>
      <c r="C49" s="101"/>
      <c r="D49" s="477"/>
      <c r="E49" s="477"/>
    </row>
    <row r="50" spans="1:6" ht="31.5" x14ac:dyDescent="0.25">
      <c r="A50" s="456" t="s">
        <v>437</v>
      </c>
      <c r="B50" s="456" t="s">
        <v>24</v>
      </c>
      <c r="C50" s="456" t="s">
        <v>459</v>
      </c>
      <c r="D50" s="456" t="s">
        <v>460</v>
      </c>
      <c r="E50" s="456" t="s">
        <v>461</v>
      </c>
    </row>
    <row r="51" spans="1:6" x14ac:dyDescent="0.25">
      <c r="A51" s="471" t="s">
        <v>462</v>
      </c>
      <c r="B51" s="472">
        <f>SUM(C51:E51)</f>
        <v>0</v>
      </c>
      <c r="C51" s="473"/>
      <c r="D51" s="473"/>
      <c r="E51" s="473"/>
    </row>
    <row r="52" spans="1:6" x14ac:dyDescent="0.25">
      <c r="A52" s="471" t="s">
        <v>463</v>
      </c>
      <c r="B52" s="472">
        <f>SUM(C52:E52)</f>
        <v>0</v>
      </c>
      <c r="C52" s="473"/>
      <c r="D52" s="473"/>
      <c r="E52" s="473"/>
    </row>
    <row r="53" spans="1:6" x14ac:dyDescent="0.25">
      <c r="A53" s="460" t="s">
        <v>464</v>
      </c>
      <c r="B53" s="474">
        <f>SUM(C53:E53)</f>
        <v>0</v>
      </c>
      <c r="C53" s="475"/>
      <c r="D53" s="475"/>
      <c r="E53" s="475"/>
    </row>
    <row r="54" spans="1:6" s="17" customFormat="1" ht="12" x14ac:dyDescent="0.2">
      <c r="A54" s="493" t="s">
        <v>465</v>
      </c>
      <c r="B54" s="494"/>
      <c r="C54" s="495"/>
      <c r="D54" s="495"/>
      <c r="E54" s="496"/>
      <c r="F54" s="496"/>
    </row>
    <row r="55" spans="1:6" ht="31.5" x14ac:dyDescent="0.25">
      <c r="A55" s="227" t="s">
        <v>466</v>
      </c>
      <c r="B55" s="227" t="s">
        <v>24</v>
      </c>
      <c r="C55" s="478" t="s">
        <v>467</v>
      </c>
      <c r="D55" s="479" t="s">
        <v>3729</v>
      </c>
      <c r="E55" s="480" t="s">
        <v>131</v>
      </c>
      <c r="F55" s="481" t="s">
        <v>461</v>
      </c>
    </row>
    <row r="56" spans="1:6" x14ac:dyDescent="0.25">
      <c r="A56" s="482" t="s">
        <v>468</v>
      </c>
      <c r="B56" s="483">
        <f>SUM(C56:E56)</f>
        <v>0</v>
      </c>
      <c r="C56" s="484"/>
      <c r="D56" s="485"/>
      <c r="E56" s="321"/>
      <c r="F56" s="486"/>
    </row>
    <row r="57" spans="1:6" x14ac:dyDescent="0.25">
      <c r="A57" s="487" t="s">
        <v>469</v>
      </c>
      <c r="B57" s="488">
        <f>SUM(C57:E57)</f>
        <v>0</v>
      </c>
      <c r="C57" s="489"/>
      <c r="D57" s="110"/>
      <c r="E57" s="86"/>
      <c r="F57" s="486"/>
    </row>
    <row r="58" spans="1:6" x14ac:dyDescent="0.25">
      <c r="A58" s="490" t="s">
        <v>470</v>
      </c>
      <c r="B58" s="491">
        <f>SUM(C58:E58)</f>
        <v>0</v>
      </c>
      <c r="C58" s="114"/>
      <c r="D58" s="121"/>
      <c r="E58" s="162"/>
      <c r="F58" s="492"/>
    </row>
    <row r="59" spans="1:6" s="17" customFormat="1" ht="18" customHeight="1" x14ac:dyDescent="0.2">
      <c r="A59" s="493" t="s">
        <v>471</v>
      </c>
      <c r="B59" s="507"/>
      <c r="C59" s="507"/>
      <c r="D59" s="507"/>
      <c r="E59" s="507"/>
    </row>
    <row r="60" spans="1:6" ht="21" x14ac:dyDescent="0.25">
      <c r="A60" s="497" t="s">
        <v>58</v>
      </c>
      <c r="B60" s="172" t="s">
        <v>472</v>
      </c>
      <c r="C60" s="498" t="s">
        <v>473</v>
      </c>
      <c r="D60" s="77" t="s">
        <v>474</v>
      </c>
      <c r="E60" s="172" t="s">
        <v>475</v>
      </c>
    </row>
    <row r="61" spans="1:6" x14ac:dyDescent="0.25">
      <c r="A61" s="499" t="s">
        <v>476</v>
      </c>
      <c r="B61" s="500"/>
      <c r="C61" s="484"/>
      <c r="D61" s="320"/>
      <c r="E61" s="501"/>
    </row>
    <row r="62" spans="1:6" x14ac:dyDescent="0.25">
      <c r="A62" s="502" t="s">
        <v>477</v>
      </c>
      <c r="B62" s="503"/>
      <c r="C62" s="489"/>
      <c r="D62" s="504"/>
      <c r="E62" s="83"/>
    </row>
    <row r="63" spans="1:6" x14ac:dyDescent="0.25">
      <c r="A63" s="502" t="s">
        <v>478</v>
      </c>
      <c r="B63" s="503"/>
      <c r="C63" s="489"/>
      <c r="D63" s="504"/>
      <c r="E63" s="83"/>
    </row>
    <row r="64" spans="1:6" x14ac:dyDescent="0.25">
      <c r="A64" s="502" t="s">
        <v>479</v>
      </c>
      <c r="B64" s="503"/>
      <c r="C64" s="489"/>
      <c r="D64" s="504"/>
      <c r="E64" s="83"/>
    </row>
    <row r="65" spans="1:47" x14ac:dyDescent="0.25">
      <c r="A65" s="502" t="s">
        <v>480</v>
      </c>
      <c r="B65" s="503"/>
      <c r="C65" s="489"/>
      <c r="D65" s="504"/>
      <c r="E65" s="83"/>
    </row>
    <row r="66" spans="1:47" x14ac:dyDescent="0.25">
      <c r="A66" s="120" t="s">
        <v>481</v>
      </c>
      <c r="B66" s="153"/>
      <c r="C66" s="114"/>
      <c r="D66" s="115"/>
      <c r="E66" s="117"/>
    </row>
    <row r="67" spans="1:47" x14ac:dyDescent="0.25">
      <c r="A67" s="508" t="s">
        <v>24</v>
      </c>
      <c r="B67" s="505">
        <f>SUM(B61:B66)</f>
        <v>0</v>
      </c>
      <c r="C67" s="505">
        <f>SUM(C61:C66)</f>
        <v>0</v>
      </c>
      <c r="D67" s="506">
        <f>SUM(D61:D66)</f>
        <v>0</v>
      </c>
      <c r="E67" s="96">
        <f>SUM(E61:E66)</f>
        <v>0</v>
      </c>
    </row>
    <row r="68" spans="1:47" s="17" customFormat="1" ht="18" customHeight="1" x14ac:dyDescent="0.2">
      <c r="A68" s="7853" t="s">
        <v>482</v>
      </c>
      <c r="B68" s="7854"/>
      <c r="C68" s="7854"/>
      <c r="D68" s="7854"/>
      <c r="E68" s="7855"/>
      <c r="F68" s="536"/>
      <c r="G68" s="536"/>
      <c r="H68" s="536"/>
      <c r="I68" s="536"/>
    </row>
    <row r="69" spans="1:47" ht="21" x14ac:dyDescent="0.25">
      <c r="A69" s="509" t="s">
        <v>23</v>
      </c>
      <c r="B69" s="509" t="s">
        <v>483</v>
      </c>
      <c r="C69" s="509" t="s">
        <v>24</v>
      </c>
      <c r="D69" s="510" t="s">
        <v>484</v>
      </c>
      <c r="E69" s="511" t="s">
        <v>485</v>
      </c>
      <c r="F69" s="512" t="s">
        <v>3726</v>
      </c>
      <c r="G69" s="512" t="s">
        <v>37</v>
      </c>
      <c r="H69" s="512" t="s">
        <v>38</v>
      </c>
      <c r="I69" s="513" t="s">
        <v>4</v>
      </c>
    </row>
    <row r="70" spans="1:47" x14ac:dyDescent="0.25">
      <c r="A70" s="7856" t="s">
        <v>486</v>
      </c>
      <c r="B70" s="7857"/>
      <c r="C70" s="514">
        <f>SUM(D70:I70)</f>
        <v>0</v>
      </c>
      <c r="D70" s="515"/>
      <c r="E70" s="516"/>
      <c r="F70" s="516"/>
      <c r="G70" s="516"/>
      <c r="H70" s="516"/>
      <c r="I70" s="517"/>
    </row>
    <row r="71" spans="1:47" ht="24.95" customHeight="1" x14ac:dyDescent="0.25">
      <c r="A71" s="7858" t="s">
        <v>489</v>
      </c>
      <c r="B71" s="518" t="s">
        <v>487</v>
      </c>
      <c r="C71" s="519">
        <f>SUM(D71:I71)</f>
        <v>0</v>
      </c>
      <c r="D71" s="520"/>
      <c r="E71" s="521"/>
      <c r="F71" s="521"/>
      <c r="G71" s="521"/>
      <c r="H71" s="521"/>
      <c r="I71" s="522"/>
    </row>
    <row r="72" spans="1:47" ht="24.95" customHeight="1" x14ac:dyDescent="0.25">
      <c r="A72" s="7859"/>
      <c r="B72" s="523" t="s">
        <v>488</v>
      </c>
      <c r="C72" s="524">
        <f>SUM(D72:I72)</f>
        <v>0</v>
      </c>
      <c r="D72" s="525"/>
      <c r="E72" s="526"/>
      <c r="F72" s="526"/>
      <c r="G72" s="526"/>
      <c r="H72" s="526"/>
      <c r="I72" s="527"/>
    </row>
    <row r="73" spans="1:47" ht="24.95" customHeight="1" x14ac:dyDescent="0.25">
      <c r="A73" s="7858" t="s">
        <v>490</v>
      </c>
      <c r="B73" s="518" t="s">
        <v>487</v>
      </c>
      <c r="C73" s="519">
        <f>SUM(D73:I73)</f>
        <v>0</v>
      </c>
      <c r="D73" s="528"/>
      <c r="E73" s="529"/>
      <c r="F73" s="529"/>
      <c r="G73" s="529"/>
      <c r="H73" s="529"/>
      <c r="I73" s="530"/>
    </row>
    <row r="74" spans="1:47" ht="24.95" customHeight="1" x14ac:dyDescent="0.25">
      <c r="A74" s="7859"/>
      <c r="B74" s="531" t="s">
        <v>488</v>
      </c>
      <c r="C74" s="532">
        <f>SUM(D74:I74)</f>
        <v>0</v>
      </c>
      <c r="D74" s="533"/>
      <c r="E74" s="534"/>
      <c r="F74" s="534"/>
      <c r="G74" s="534"/>
      <c r="H74" s="534"/>
      <c r="I74" s="535"/>
    </row>
    <row r="75" spans="1:47" s="17" customFormat="1" ht="18" customHeight="1" x14ac:dyDescent="0.2">
      <c r="A75" s="493" t="s">
        <v>501</v>
      </c>
      <c r="B75" s="477"/>
      <c r="C75" s="477"/>
      <c r="D75" s="470"/>
      <c r="E75" s="470"/>
      <c r="F75" s="470"/>
      <c r="G75" s="470"/>
      <c r="H75" s="546"/>
      <c r="I75" s="546"/>
    </row>
    <row r="76" spans="1:47" x14ac:dyDescent="0.25">
      <c r="A76" s="7833" t="s">
        <v>502</v>
      </c>
      <c r="B76" s="7861" t="s">
        <v>503</v>
      </c>
      <c r="C76" s="7833"/>
      <c r="D76" s="7861" t="s">
        <v>504</v>
      </c>
      <c r="E76" s="7833"/>
      <c r="F76" s="7866" t="s">
        <v>505</v>
      </c>
      <c r="G76" s="7839"/>
      <c r="H76" s="7839"/>
      <c r="I76" s="7867"/>
    </row>
    <row r="77" spans="1:47" x14ac:dyDescent="0.25">
      <c r="A77" s="7860"/>
      <c r="B77" s="7862"/>
      <c r="C77" s="7835"/>
      <c r="D77" s="7862"/>
      <c r="E77" s="7835"/>
      <c r="F77" s="7866" t="s">
        <v>529</v>
      </c>
      <c r="G77" s="7867"/>
      <c r="H77" s="7866" t="s">
        <v>530</v>
      </c>
      <c r="I77" s="7867"/>
    </row>
    <row r="78" spans="1:47" ht="21" x14ac:dyDescent="0.25">
      <c r="A78" s="7835"/>
      <c r="B78" s="2536" t="s">
        <v>1319</v>
      </c>
      <c r="C78" s="2535" t="s">
        <v>242</v>
      </c>
      <c r="D78" s="2536" t="s">
        <v>1319</v>
      </c>
      <c r="E78" s="2535" t="s">
        <v>242</v>
      </c>
      <c r="F78" s="2536" t="s">
        <v>1319</v>
      </c>
      <c r="G78" s="2535" t="s">
        <v>242</v>
      </c>
      <c r="H78" s="2536" t="s">
        <v>1319</v>
      </c>
      <c r="I78" s="2537" t="s">
        <v>242</v>
      </c>
    </row>
    <row r="79" spans="1:47" x14ac:dyDescent="0.25">
      <c r="A79" s="537" t="s">
        <v>299</v>
      </c>
      <c r="B79" s="538"/>
      <c r="C79" s="539"/>
      <c r="D79" s="538"/>
      <c r="E79" s="539"/>
      <c r="F79" s="540"/>
      <c r="G79" s="486"/>
      <c r="H79" s="540"/>
      <c r="I79" s="486"/>
      <c r="J79" t="str">
        <f>AO79</f>
        <v/>
      </c>
      <c r="AO79" s="1791" t="str">
        <f>IF((D79+E79)&lt;((F79+G79)-(H79+I79)),"* La suma de los pacientes intervenidos debe ser mayor o igual a la Suma de Pacientes Programados menos la suma de Pacientes Suspendidos","")</f>
        <v/>
      </c>
      <c r="AP79" s="1791"/>
      <c r="AQ79" s="1791"/>
      <c r="AS79" s="1793">
        <f>IF((D79+E79)&lt;((F79+G79)-(H79+I79)),1,0)</f>
        <v>0</v>
      </c>
      <c r="AT79" s="1793"/>
      <c r="AU79" s="1793"/>
    </row>
    <row r="80" spans="1:47" x14ac:dyDescent="0.25">
      <c r="A80" s="541" t="s">
        <v>235</v>
      </c>
      <c r="B80" s="542"/>
      <c r="C80" s="543"/>
      <c r="D80" s="542"/>
      <c r="E80" s="543"/>
      <c r="F80" s="544"/>
      <c r="G80" s="545"/>
      <c r="H80" s="544"/>
      <c r="I80" s="545"/>
      <c r="J80" t="str">
        <f t="shared" ref="J80:J91" si="2">AO80</f>
        <v/>
      </c>
      <c r="AO80" s="1791" t="str">
        <f t="shared" ref="AO80:AO91" si="3">IF((D80+E80)&lt;((F80+G80)-(H80+I80)),"* La suma de los pacientes intervenidos debe ser mayor o igual a la Suma de Pacientes Programados menos la suma de Pacientes Suspendidos","")</f>
        <v/>
      </c>
      <c r="AP80" s="1791"/>
      <c r="AQ80" s="1791"/>
      <c r="AS80" s="1793">
        <f t="shared" ref="AS80:AS91" si="4">IF((D80+E80)&lt;((F80+G80)-(H80+I80)),1,0)</f>
        <v>0</v>
      </c>
      <c r="AT80" s="1793"/>
      <c r="AU80" s="1793"/>
    </row>
    <row r="81" spans="1:47" x14ac:dyDescent="0.25">
      <c r="A81" s="541" t="s">
        <v>506</v>
      </c>
      <c r="B81" s="542"/>
      <c r="C81" s="543"/>
      <c r="D81" s="542"/>
      <c r="E81" s="543"/>
      <c r="F81" s="544"/>
      <c r="G81" s="545"/>
      <c r="H81" s="544"/>
      <c r="I81" s="545"/>
      <c r="J81" t="str">
        <f t="shared" si="2"/>
        <v/>
      </c>
      <c r="AO81" s="1791" t="str">
        <f t="shared" si="3"/>
        <v/>
      </c>
      <c r="AP81" s="1791"/>
      <c r="AQ81" s="1791"/>
      <c r="AS81" s="1793">
        <f t="shared" si="4"/>
        <v>0</v>
      </c>
      <c r="AT81" s="1793"/>
      <c r="AU81" s="1793"/>
    </row>
    <row r="82" spans="1:47" x14ac:dyDescent="0.25">
      <c r="A82" s="541" t="s">
        <v>232</v>
      </c>
      <c r="B82" s="542"/>
      <c r="C82" s="543"/>
      <c r="D82" s="542"/>
      <c r="E82" s="543"/>
      <c r="F82" s="544"/>
      <c r="G82" s="545"/>
      <c r="H82" s="544"/>
      <c r="I82" s="545"/>
      <c r="J82" t="str">
        <f t="shared" si="2"/>
        <v/>
      </c>
      <c r="AO82" s="1791" t="str">
        <f t="shared" si="3"/>
        <v/>
      </c>
      <c r="AP82" s="1791"/>
      <c r="AQ82" s="1791"/>
      <c r="AS82" s="1793">
        <f t="shared" si="4"/>
        <v>0</v>
      </c>
      <c r="AT82" s="1793"/>
      <c r="AU82" s="1793"/>
    </row>
    <row r="83" spans="1:47" x14ac:dyDescent="0.25">
      <c r="A83" s="541" t="s">
        <v>507</v>
      </c>
      <c r="B83" s="542"/>
      <c r="C83" s="543"/>
      <c r="D83" s="542"/>
      <c r="E83" s="543"/>
      <c r="F83" s="544"/>
      <c r="G83" s="545"/>
      <c r="H83" s="544"/>
      <c r="I83" s="545"/>
      <c r="J83" t="str">
        <f t="shared" si="2"/>
        <v/>
      </c>
      <c r="AO83" s="1791" t="str">
        <f t="shared" si="3"/>
        <v/>
      </c>
      <c r="AP83" s="1791"/>
      <c r="AQ83" s="1791"/>
      <c r="AS83" s="1793">
        <f t="shared" si="4"/>
        <v>0</v>
      </c>
      <c r="AT83" s="1793"/>
      <c r="AU83" s="1793"/>
    </row>
    <row r="84" spans="1:47" x14ac:dyDescent="0.25">
      <c r="A84" s="541" t="s">
        <v>234</v>
      </c>
      <c r="B84" s="542"/>
      <c r="C84" s="543"/>
      <c r="D84" s="542"/>
      <c r="E84" s="543"/>
      <c r="F84" s="544"/>
      <c r="G84" s="545"/>
      <c r="H84" s="544"/>
      <c r="I84" s="545"/>
      <c r="J84" t="str">
        <f t="shared" si="2"/>
        <v/>
      </c>
      <c r="AO84" s="1791" t="str">
        <f t="shared" si="3"/>
        <v/>
      </c>
      <c r="AP84" s="1791"/>
      <c r="AQ84" s="1791"/>
      <c r="AS84" s="1793">
        <f t="shared" si="4"/>
        <v>0</v>
      </c>
      <c r="AT84" s="1793"/>
      <c r="AU84" s="1793"/>
    </row>
    <row r="85" spans="1:47" x14ac:dyDescent="0.25">
      <c r="A85" s="541" t="s">
        <v>239</v>
      </c>
      <c r="B85" s="542"/>
      <c r="C85" s="543"/>
      <c r="D85" s="542"/>
      <c r="E85" s="543"/>
      <c r="F85" s="544"/>
      <c r="G85" s="545"/>
      <c r="H85" s="544"/>
      <c r="I85" s="545"/>
      <c r="J85" t="str">
        <f t="shared" si="2"/>
        <v/>
      </c>
      <c r="AO85" s="1791" t="str">
        <f t="shared" si="3"/>
        <v/>
      </c>
      <c r="AP85" s="1791"/>
      <c r="AQ85" s="1791"/>
      <c r="AS85" s="1793">
        <f t="shared" si="4"/>
        <v>0</v>
      </c>
      <c r="AT85" s="1793"/>
      <c r="AU85" s="1793"/>
    </row>
    <row r="86" spans="1:47" x14ac:dyDescent="0.25">
      <c r="A86" s="541" t="s">
        <v>238</v>
      </c>
      <c r="B86" s="542"/>
      <c r="C86" s="543"/>
      <c r="D86" s="542"/>
      <c r="E86" s="543"/>
      <c r="F86" s="544"/>
      <c r="G86" s="545"/>
      <c r="H86" s="544"/>
      <c r="I86" s="545"/>
      <c r="J86" t="str">
        <f t="shared" si="2"/>
        <v/>
      </c>
      <c r="AO86" s="1791" t="str">
        <f t="shared" si="3"/>
        <v/>
      </c>
      <c r="AP86" s="1791"/>
      <c r="AQ86" s="1791"/>
      <c r="AS86" s="1793">
        <f t="shared" si="4"/>
        <v>0</v>
      </c>
      <c r="AT86" s="1793"/>
      <c r="AU86" s="1793"/>
    </row>
    <row r="87" spans="1:47" x14ac:dyDescent="0.25">
      <c r="A87" s="541" t="s">
        <v>508</v>
      </c>
      <c r="B87" s="542"/>
      <c r="C87" s="543"/>
      <c r="D87" s="542"/>
      <c r="E87" s="543"/>
      <c r="F87" s="544"/>
      <c r="G87" s="545"/>
      <c r="H87" s="544"/>
      <c r="I87" s="545"/>
      <c r="J87" t="str">
        <f t="shared" si="2"/>
        <v/>
      </c>
      <c r="AO87" s="1791" t="str">
        <f t="shared" si="3"/>
        <v/>
      </c>
      <c r="AP87" s="1791"/>
      <c r="AQ87" s="1791"/>
      <c r="AS87" s="1793">
        <f t="shared" si="4"/>
        <v>0</v>
      </c>
      <c r="AT87" s="1793"/>
      <c r="AU87" s="1793"/>
    </row>
    <row r="88" spans="1:47" x14ac:dyDescent="0.25">
      <c r="A88" s="541" t="s">
        <v>509</v>
      </c>
      <c r="B88" s="542"/>
      <c r="C88" s="543"/>
      <c r="D88" s="542"/>
      <c r="E88" s="543"/>
      <c r="F88" s="544"/>
      <c r="G88" s="545"/>
      <c r="H88" s="544"/>
      <c r="I88" s="545"/>
      <c r="J88" t="str">
        <f t="shared" si="2"/>
        <v/>
      </c>
      <c r="AO88" s="1791" t="str">
        <f t="shared" si="3"/>
        <v/>
      </c>
      <c r="AP88" s="1791"/>
      <c r="AQ88" s="1791"/>
      <c r="AS88" s="1793">
        <f t="shared" si="4"/>
        <v>0</v>
      </c>
      <c r="AT88" s="1793"/>
      <c r="AU88" s="1793"/>
    </row>
    <row r="89" spans="1:47" x14ac:dyDescent="0.25">
      <c r="A89" s="541" t="s">
        <v>297</v>
      </c>
      <c r="B89" s="542"/>
      <c r="C89" s="543"/>
      <c r="D89" s="542"/>
      <c r="E89" s="543"/>
      <c r="F89" s="544"/>
      <c r="G89" s="545"/>
      <c r="H89" s="544"/>
      <c r="I89" s="545"/>
      <c r="J89" t="str">
        <f t="shared" si="2"/>
        <v/>
      </c>
      <c r="AO89" s="1791" t="str">
        <f t="shared" si="3"/>
        <v/>
      </c>
      <c r="AP89" s="1791"/>
      <c r="AQ89" s="1791"/>
      <c r="AS89" s="1793">
        <f t="shared" si="4"/>
        <v>0</v>
      </c>
      <c r="AT89" s="1793"/>
      <c r="AU89" s="1793"/>
    </row>
    <row r="90" spans="1:47" x14ac:dyDescent="0.25">
      <c r="A90" s="541" t="s">
        <v>510</v>
      </c>
      <c r="B90" s="542"/>
      <c r="C90" s="543"/>
      <c r="D90" s="542"/>
      <c r="E90" s="543"/>
      <c r="F90" s="544"/>
      <c r="G90" s="545"/>
      <c r="H90" s="544"/>
      <c r="I90" s="545"/>
      <c r="J90" t="str">
        <f t="shared" si="2"/>
        <v/>
      </c>
      <c r="AO90" s="1791" t="str">
        <f t="shared" si="3"/>
        <v/>
      </c>
      <c r="AP90" s="1791"/>
      <c r="AQ90" s="1791"/>
      <c r="AS90" s="1793">
        <f t="shared" si="4"/>
        <v>0</v>
      </c>
      <c r="AT90" s="1793"/>
      <c r="AU90" s="1793"/>
    </row>
    <row r="91" spans="1:47" x14ac:dyDescent="0.25">
      <c r="A91" s="541" t="s">
        <v>511</v>
      </c>
      <c r="B91" s="542"/>
      <c r="C91" s="543"/>
      <c r="D91" s="542"/>
      <c r="E91" s="543"/>
      <c r="F91" s="544"/>
      <c r="G91" s="545"/>
      <c r="H91" s="544"/>
      <c r="I91" s="545"/>
      <c r="J91" t="str">
        <f t="shared" si="2"/>
        <v/>
      </c>
      <c r="AO91" s="1791" t="str">
        <f t="shared" si="3"/>
        <v/>
      </c>
      <c r="AP91" s="1791"/>
      <c r="AQ91" s="1791"/>
      <c r="AS91" s="1793">
        <f t="shared" si="4"/>
        <v>0</v>
      </c>
      <c r="AT91" s="1793"/>
      <c r="AU91" s="1793"/>
    </row>
    <row r="92" spans="1:47" x14ac:dyDescent="0.25">
      <c r="A92" s="2538" t="s">
        <v>24</v>
      </c>
      <c r="B92" s="4615">
        <f t="shared" ref="B92:I92" si="5">SUM(B79:B91)</f>
        <v>0</v>
      </c>
      <c r="C92" s="4615">
        <f t="shared" si="5"/>
        <v>0</v>
      </c>
      <c r="D92" s="4615">
        <f t="shared" si="5"/>
        <v>0</v>
      </c>
      <c r="E92" s="4615">
        <f t="shared" si="5"/>
        <v>0</v>
      </c>
      <c r="F92" s="4615">
        <f t="shared" si="5"/>
        <v>0</v>
      </c>
      <c r="G92" s="4615">
        <f t="shared" si="5"/>
        <v>0</v>
      </c>
      <c r="H92" s="4615">
        <f t="shared" si="5"/>
        <v>0</v>
      </c>
      <c r="I92" s="514">
        <f t="shared" si="5"/>
        <v>0</v>
      </c>
    </row>
    <row r="93" spans="1:47" s="17" customFormat="1" ht="18" customHeight="1" x14ac:dyDescent="0.2">
      <c r="A93" s="7868" t="s">
        <v>512</v>
      </c>
      <c r="B93" s="7868"/>
      <c r="C93" s="7868"/>
      <c r="D93" s="7868"/>
      <c r="E93" s="7868"/>
      <c r="F93" s="7868"/>
      <c r="G93" s="7868"/>
    </row>
    <row r="94" spans="1:47" x14ac:dyDescent="0.25">
      <c r="A94" s="7836" t="s">
        <v>513</v>
      </c>
      <c r="B94" s="7866" t="s">
        <v>514</v>
      </c>
      <c r="C94" s="7839"/>
      <c r="D94" s="7839"/>
      <c r="E94" s="7839"/>
      <c r="F94" s="7839"/>
      <c r="G94" s="7867"/>
    </row>
    <row r="95" spans="1:47" x14ac:dyDescent="0.25">
      <c r="A95" s="7837"/>
      <c r="B95" s="2539" t="s">
        <v>385</v>
      </c>
      <c r="C95" s="2536" t="s">
        <v>1319</v>
      </c>
      <c r="D95" s="455" t="s">
        <v>242</v>
      </c>
      <c r="E95" s="479" t="s">
        <v>424</v>
      </c>
      <c r="F95" s="2537" t="s">
        <v>425</v>
      </c>
      <c r="G95" s="2537" t="s">
        <v>28</v>
      </c>
    </row>
    <row r="96" spans="1:47" x14ac:dyDescent="0.25">
      <c r="A96" s="537" t="s">
        <v>515</v>
      </c>
      <c r="B96" s="547">
        <f t="shared" ref="B96:B103" si="6">SUM(C96+D96)</f>
        <v>0</v>
      </c>
      <c r="C96" s="540"/>
      <c r="D96" s="548"/>
      <c r="E96" s="549"/>
      <c r="F96" s="550"/>
      <c r="G96" s="550"/>
      <c r="H96" t="str">
        <f>AO96</f>
        <v/>
      </c>
      <c r="AO96" s="1791" t="str">
        <f>IF(SUM(E96:G96)&lt;&gt;B96,"* La Suma de los Beneficiarios MAI, MLE y Otros debe ser igual al Total.","")</f>
        <v/>
      </c>
      <c r="AS96" s="1791">
        <f>IF(SUM(E96:G96)&lt;&gt;B96,1,0)</f>
        <v>0</v>
      </c>
    </row>
    <row r="97" spans="1:47" x14ac:dyDescent="0.25">
      <c r="A97" s="551" t="s">
        <v>516</v>
      </c>
      <c r="B97" s="443">
        <f t="shared" si="6"/>
        <v>0</v>
      </c>
      <c r="C97" s="544"/>
      <c r="D97" s="552"/>
      <c r="E97" s="553"/>
      <c r="F97" s="446"/>
      <c r="G97" s="446"/>
      <c r="H97" t="str">
        <f t="shared" ref="H97:H103" si="7">AO97</f>
        <v/>
      </c>
      <c r="AO97" s="1791" t="str">
        <f t="shared" ref="AO97:AO103" si="8">IF(SUM(E97:G97)&lt;&gt;B97,"* La Suma de los Beneficiarios MAI, MLE y Otros debe ser igual al Total.","")</f>
        <v/>
      </c>
      <c r="AS97" s="1791">
        <f t="shared" ref="AS97:AS103" si="9">IF(SUM(E97:G97)&lt;&gt;B97,1,0)</f>
        <v>0</v>
      </c>
    </row>
    <row r="98" spans="1:47" x14ac:dyDescent="0.25">
      <c r="A98" s="541" t="s">
        <v>517</v>
      </c>
      <c r="B98" s="443">
        <f t="shared" si="6"/>
        <v>0</v>
      </c>
      <c r="C98" s="544"/>
      <c r="D98" s="552"/>
      <c r="E98" s="553"/>
      <c r="F98" s="446"/>
      <c r="G98" s="446"/>
      <c r="H98" t="str">
        <f t="shared" si="7"/>
        <v/>
      </c>
      <c r="AO98" s="1791" t="str">
        <f t="shared" si="8"/>
        <v/>
      </c>
      <c r="AS98" s="1791">
        <f t="shared" si="9"/>
        <v>0</v>
      </c>
    </row>
    <row r="99" spans="1:47" x14ac:dyDescent="0.25">
      <c r="A99" s="541" t="s">
        <v>3897</v>
      </c>
      <c r="B99" s="443">
        <f t="shared" si="6"/>
        <v>0</v>
      </c>
      <c r="C99" s="544"/>
      <c r="D99" s="5923"/>
      <c r="E99" s="5924"/>
      <c r="F99" s="5925"/>
      <c r="G99" s="5925"/>
      <c r="H99" t="str">
        <f t="shared" si="7"/>
        <v/>
      </c>
      <c r="AO99" s="1791" t="str">
        <f t="shared" si="8"/>
        <v/>
      </c>
      <c r="AS99" s="1791">
        <f t="shared" si="9"/>
        <v>0</v>
      </c>
    </row>
    <row r="100" spans="1:47" x14ac:dyDescent="0.25">
      <c r="A100" s="541" t="s">
        <v>518</v>
      </c>
      <c r="B100" s="443">
        <f t="shared" si="6"/>
        <v>0</v>
      </c>
      <c r="C100" s="544"/>
      <c r="D100" s="552"/>
      <c r="E100" s="553"/>
      <c r="F100" s="446"/>
      <c r="G100" s="446"/>
      <c r="H100" t="str">
        <f t="shared" si="7"/>
        <v/>
      </c>
      <c r="AO100" s="1791" t="str">
        <f t="shared" si="8"/>
        <v/>
      </c>
      <c r="AS100" s="1791">
        <f t="shared" si="9"/>
        <v>0</v>
      </c>
    </row>
    <row r="101" spans="1:47" x14ac:dyDescent="0.25">
      <c r="A101" s="541" t="s">
        <v>519</v>
      </c>
      <c r="B101" s="443">
        <f t="shared" si="6"/>
        <v>0</v>
      </c>
      <c r="C101" s="544"/>
      <c r="D101" s="552"/>
      <c r="E101" s="553"/>
      <c r="F101" s="446"/>
      <c r="G101" s="446"/>
      <c r="H101" t="str">
        <f t="shared" si="7"/>
        <v/>
      </c>
      <c r="AO101" s="1791" t="str">
        <f t="shared" si="8"/>
        <v/>
      </c>
      <c r="AS101" s="1791">
        <f t="shared" si="9"/>
        <v>0</v>
      </c>
    </row>
    <row r="102" spans="1:47" x14ac:dyDescent="0.25">
      <c r="A102" s="551" t="s">
        <v>520</v>
      </c>
      <c r="B102" s="443">
        <f t="shared" si="6"/>
        <v>0</v>
      </c>
      <c r="C102" s="544"/>
      <c r="D102" s="552"/>
      <c r="E102" s="553"/>
      <c r="F102" s="446"/>
      <c r="G102" s="446"/>
      <c r="H102" t="str">
        <f t="shared" si="7"/>
        <v/>
      </c>
      <c r="AO102" s="1791" t="str">
        <f t="shared" si="8"/>
        <v/>
      </c>
      <c r="AS102" s="1791">
        <f t="shared" si="9"/>
        <v>0</v>
      </c>
    </row>
    <row r="103" spans="1:47" x14ac:dyDescent="0.25">
      <c r="A103" s="554" t="s">
        <v>521</v>
      </c>
      <c r="B103" s="555">
        <f t="shared" si="6"/>
        <v>0</v>
      </c>
      <c r="C103" s="544"/>
      <c r="D103" s="552"/>
      <c r="E103" s="553"/>
      <c r="F103" s="556"/>
      <c r="G103" s="556"/>
      <c r="H103" t="str">
        <f t="shared" si="7"/>
        <v/>
      </c>
      <c r="AO103" s="1791" t="str">
        <f t="shared" si="8"/>
        <v/>
      </c>
      <c r="AS103" s="1791">
        <f t="shared" si="9"/>
        <v>0</v>
      </c>
    </row>
    <row r="104" spans="1:47" x14ac:dyDescent="0.25">
      <c r="A104" s="2540" t="s">
        <v>24</v>
      </c>
      <c r="B104" s="2541">
        <f t="shared" ref="B104:G104" si="10">SUM(B96:B103)</f>
        <v>0</v>
      </c>
      <c r="C104" s="4611">
        <f t="shared" si="10"/>
        <v>0</v>
      </c>
      <c r="D104" s="4612">
        <f t="shared" si="10"/>
        <v>0</v>
      </c>
      <c r="E104" s="4613">
        <f t="shared" si="10"/>
        <v>0</v>
      </c>
      <c r="F104" s="4614">
        <f t="shared" si="10"/>
        <v>0</v>
      </c>
      <c r="G104" s="4614">
        <f t="shared" si="10"/>
        <v>0</v>
      </c>
      <c r="H104" s="2542" t="str">
        <f>AO104</f>
        <v/>
      </c>
      <c r="AO104" s="1791" t="str">
        <f>IF((H92+I92)&lt;&gt;B104," * El total de Causas de suspensión debe coincidir con la suma de Pacientes suspendidos de la Sección E","")</f>
        <v/>
      </c>
      <c r="AP104" s="1790"/>
      <c r="AQ104" s="1790"/>
      <c r="AS104" s="1792">
        <f>IF((H92+I92)&lt;&gt;B104,1,0)</f>
        <v>0</v>
      </c>
      <c r="AT104" s="1792"/>
      <c r="AU104" s="1792"/>
    </row>
    <row r="105" spans="1:47" s="17" customFormat="1" ht="18" customHeight="1" x14ac:dyDescent="0.2">
      <c r="A105" s="783" t="s">
        <v>522</v>
      </c>
      <c r="E105" s="5944"/>
      <c r="F105" s="163"/>
      <c r="G105" s="163"/>
    </row>
    <row r="106" spans="1:47" x14ac:dyDescent="0.25">
      <c r="A106" s="7599" t="s">
        <v>523</v>
      </c>
      <c r="B106" s="7599" t="s">
        <v>1</v>
      </c>
      <c r="C106" s="7864" t="s">
        <v>12</v>
      </c>
      <c r="D106" s="7864"/>
      <c r="E106" s="7864"/>
      <c r="F106" s="7865" t="s">
        <v>48</v>
      </c>
      <c r="G106" s="7319"/>
    </row>
    <row r="107" spans="1:47" ht="21" x14ac:dyDescent="0.25">
      <c r="A107" s="7863"/>
      <c r="B107" s="7863"/>
      <c r="C107" s="5945" t="s">
        <v>3757</v>
      </c>
      <c r="D107" s="557" t="s">
        <v>524</v>
      </c>
      <c r="E107" s="5946" t="s">
        <v>525</v>
      </c>
      <c r="F107" s="6040" t="s">
        <v>41</v>
      </c>
      <c r="G107" s="6041" t="s">
        <v>42</v>
      </c>
    </row>
    <row r="108" spans="1:47" x14ac:dyDescent="0.25">
      <c r="A108" s="558" t="s">
        <v>21</v>
      </c>
      <c r="B108" s="559">
        <f>SUM(C108:E108)</f>
        <v>0</v>
      </c>
      <c r="C108" s="484"/>
      <c r="D108" s="320"/>
      <c r="E108" s="560"/>
      <c r="F108" s="5895"/>
      <c r="G108" s="795"/>
      <c r="H108" t="str">
        <f>AO108</f>
        <v/>
      </c>
      <c r="AO108" s="1791" t="str">
        <f>IF(AND(B108&gt;0,F108=""),"* No olvide digitar la variable Trans Masculino.",IF(F108&gt;B108," * Trans Masculino no puede ser mayor al Total.",""))</f>
        <v/>
      </c>
      <c r="AS108" s="1793">
        <f>IF(AND(B108&gt;0,F108=""),1,IF(F108&gt;B108,1,0))</f>
        <v>0</v>
      </c>
    </row>
    <row r="109" spans="1:47" x14ac:dyDescent="0.25">
      <c r="A109" s="562" t="s">
        <v>250</v>
      </c>
      <c r="B109" s="150">
        <f>SUM(C109:E109)</f>
        <v>0</v>
      </c>
      <c r="C109" s="114"/>
      <c r="D109" s="115"/>
      <c r="E109" s="138"/>
      <c r="F109" s="2905"/>
      <c r="G109" s="116"/>
      <c r="H109" t="str">
        <f>AP109</f>
        <v/>
      </c>
      <c r="AP109" s="1791" t="str">
        <f>IF(AND(B109&gt;0,G109=""),"* No olvide digitar la variable Trans Femenino.",IF(G109&gt;B109," * Trans Femeninoo no puede ser mayor al Total.",""))</f>
        <v/>
      </c>
      <c r="AT109" s="1793">
        <f>IF(AND(B109&gt;0,G109=""),1,IF(G109&gt;B109,1,0))</f>
        <v>0</v>
      </c>
    </row>
    <row r="201" spans="1:2" hidden="1" x14ac:dyDescent="0.25">
      <c r="A201" s="4600">
        <f>SUM(B13:F13,G13:J13,G14:G17,K13:AE13,K14:K17,P14:P17,U14:U17,Z14:Z17,AC14:AC17,B22:B26,C31:C37,B40:B48,B51:B53,B56:B58,B67:E67,C70:C74,B92:I92,B96:B103,B104:G104,B108:B109)</f>
        <v>0</v>
      </c>
      <c r="B201" s="4574">
        <f>SUM(AS79:AV109)</f>
        <v>0</v>
      </c>
    </row>
  </sheetData>
  <sheetProtection algorithmName="SHA-512" hashValue="wh45t2XtatFXAP/gJggQvqlbZrt/YnY1MhI5TA2VgSGLLwmhSkdEdFQhpEcEX2kYrfqRBFV3CT9YJBjgOwylow==" saltValue="EOjreyigEigRY3k7+qp5PQ==" spinCount="100000" sheet="1" objects="1" scenarios="1"/>
  <mergeCells count="42">
    <mergeCell ref="A106:A107"/>
    <mergeCell ref="B106:B107"/>
    <mergeCell ref="C106:E106"/>
    <mergeCell ref="F106:G106"/>
    <mergeCell ref="F76:I76"/>
    <mergeCell ref="F77:G77"/>
    <mergeCell ref="H77:I77"/>
    <mergeCell ref="A93:G93"/>
    <mergeCell ref="A94:A95"/>
    <mergeCell ref="B94:G94"/>
    <mergeCell ref="A68:E68"/>
    <mergeCell ref="A70:B70"/>
    <mergeCell ref="A71:A72"/>
    <mergeCell ref="A73:A74"/>
    <mergeCell ref="A76:A78"/>
    <mergeCell ref="B76:C77"/>
    <mergeCell ref="D76:E77"/>
    <mergeCell ref="A35:A36"/>
    <mergeCell ref="A37:B37"/>
    <mergeCell ref="A32:B32"/>
    <mergeCell ref="A33:B33"/>
    <mergeCell ref="A34:B34"/>
    <mergeCell ref="A29:B30"/>
    <mergeCell ref="C29:C30"/>
    <mergeCell ref="D29:F29"/>
    <mergeCell ref="G29:L29"/>
    <mergeCell ref="A31:B31"/>
    <mergeCell ref="A6:J6"/>
    <mergeCell ref="A9:A12"/>
    <mergeCell ref="B9:B12"/>
    <mergeCell ref="C9:C12"/>
    <mergeCell ref="D9:D12"/>
    <mergeCell ref="E9:E12"/>
    <mergeCell ref="F9:F12"/>
    <mergeCell ref="G9:Y9"/>
    <mergeCell ref="Z9:AE9"/>
    <mergeCell ref="G10:J11"/>
    <mergeCell ref="K10:O11"/>
    <mergeCell ref="P10:T11"/>
    <mergeCell ref="U10:Y11"/>
    <mergeCell ref="Z10:AB11"/>
    <mergeCell ref="AC10:AE11"/>
  </mergeCells>
  <dataValidations count="5">
    <dataValidation type="whole" operator="greaterThanOrEqual" allowBlank="1" showInputMessage="1" showErrorMessage="1" sqref="B14:B17 C22:G26 B40:B48 C51:E53 C56:F58 B61:E66 D70:I74 B79:I91 C96:G103 D31:L37" xr:uid="{00000000-0002-0000-0E00-000000000000}">
      <formula1>0</formula1>
    </dataValidation>
    <dataValidation type="whole" allowBlank="1" showInputMessage="1" showErrorMessage="1" sqref="B55 C59:D60 A67:E67 C105:D105" xr:uid="{00000000-0002-0000-0E00-000001000000}">
      <formula1>0</formula1>
      <formula2>1E+27</formula2>
    </dataValidation>
    <dataValidation type="whole" allowBlank="1" showInputMessage="1" showErrorMessage="1" sqref="D92:I92 C108:G109" xr:uid="{00000000-0002-0000-0E00-000002000000}">
      <formula1>0</formula1>
      <formula2>10000000</formula2>
    </dataValidation>
    <dataValidation allowBlank="1" showInputMessage="1" showErrorMessage="1" error="Valor no Permitido" sqref="A108 A105:A106 B105:B109 C105:E105" xr:uid="{00000000-0002-0000-0E00-000003000000}"/>
    <dataValidation type="decimal" operator="greaterThanOrEqual" allowBlank="1" showInputMessage="1" showErrorMessage="1" sqref="C14:F17 H14:J17 L14:O17 Q14:T17 V14:Y17 AA14:AB17 AD14:AE17" xr:uid="{00000000-0002-0000-0E00-000004000000}">
      <formula1>0</formula1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CL342"/>
  <sheetViews>
    <sheetView showGridLines="0" zoomScaleNormal="100" workbookViewId="0"/>
  </sheetViews>
  <sheetFormatPr baseColWidth="10" defaultRowHeight="15" x14ac:dyDescent="0.25"/>
  <cols>
    <col min="1" max="1" width="56.140625" customWidth="1"/>
    <col min="2" max="2" width="32.7109375" customWidth="1"/>
    <col min="3" max="3" width="19.85546875" customWidth="1"/>
    <col min="4" max="4" width="15.7109375" customWidth="1"/>
    <col min="5" max="5" width="13.42578125" customWidth="1"/>
    <col min="38" max="38" width="11.85546875" customWidth="1"/>
    <col min="79" max="79" width="11.42578125" customWidth="1"/>
    <col min="80" max="83" width="11.42578125" style="1791" hidden="1" customWidth="1"/>
    <col min="84" max="84" width="11.42578125" hidden="1" customWidth="1"/>
    <col min="85" max="88" width="11.42578125" style="1793" hidden="1" customWidth="1"/>
    <col min="89" max="89" width="11.42578125" customWidth="1"/>
  </cols>
  <sheetData>
    <row r="1" spans="1:88" x14ac:dyDescent="0.25">
      <c r="A1" s="779" t="s">
        <v>3878</v>
      </c>
      <c r="CB1"/>
      <c r="CC1"/>
      <c r="CD1"/>
      <c r="CE1"/>
      <c r="CG1"/>
      <c r="CH1"/>
      <c r="CI1"/>
      <c r="CJ1"/>
    </row>
    <row r="2" spans="1:88" x14ac:dyDescent="0.25">
      <c r="A2" s="779" t="str">
        <f>CONCATENATE("COMUNA: ",NOMBRE!B2," - ","( ",NOMBRE!C2,NOMBRE!D2,NOMBRE!E2,NOMBRE!F2,NOMBRE!G2," )")</f>
        <v>COMUNA:  - (  )</v>
      </c>
      <c r="CB2"/>
      <c r="CC2"/>
      <c r="CD2"/>
      <c r="CE2"/>
      <c r="CG2"/>
      <c r="CH2"/>
      <c r="CI2"/>
      <c r="CJ2"/>
    </row>
    <row r="3" spans="1:88" x14ac:dyDescent="0.25">
      <c r="A3" s="779" t="str">
        <f>CONCATENATE("ESTABLECIMIENTO/ESTRATEGIA: ",NOMBRE!B3," - ","( ",NOMBRE!C3,NOMBRE!D3,NOMBRE!E3,NOMBRE!F3,NOMBRE!G3,NOMBRE!H3," )")</f>
        <v>ESTABLECIMIENTO/ESTRATEGIA:  - (  )</v>
      </c>
      <c r="CB3"/>
      <c r="CC3"/>
      <c r="CD3"/>
      <c r="CE3"/>
      <c r="CG3"/>
      <c r="CH3"/>
      <c r="CI3"/>
      <c r="CJ3"/>
    </row>
    <row r="4" spans="1:88" x14ac:dyDescent="0.25">
      <c r="A4" s="779" t="str">
        <f>CONCATENATE("MES: ",NOMBRE!B6," - ","( ",NOMBRE!C6,NOMBRE!D6," )")</f>
        <v>MES:  - (  )</v>
      </c>
      <c r="CB4"/>
      <c r="CC4"/>
      <c r="CD4"/>
      <c r="CE4"/>
      <c r="CG4"/>
      <c r="CH4"/>
      <c r="CI4"/>
      <c r="CJ4"/>
    </row>
    <row r="5" spans="1:88" x14ac:dyDescent="0.25">
      <c r="A5" s="779" t="str">
        <f>CONCATENATE("AÑO: ",NOMBRE!B7)</f>
        <v>AÑO: 2024</v>
      </c>
      <c r="CB5"/>
      <c r="CC5"/>
      <c r="CD5"/>
      <c r="CE5"/>
      <c r="CG5"/>
      <c r="CH5"/>
      <c r="CI5"/>
      <c r="CJ5"/>
    </row>
    <row r="6" spans="1:88" ht="18" customHeight="1" x14ac:dyDescent="0.25">
      <c r="A6" s="7243" t="s">
        <v>997</v>
      </c>
      <c r="B6" s="7243"/>
      <c r="C6" s="7243"/>
      <c r="D6" s="7243"/>
      <c r="E6" s="7243"/>
      <c r="F6" s="7243"/>
      <c r="G6" s="7243"/>
      <c r="H6" s="7243"/>
      <c r="I6" s="7243"/>
      <c r="J6" s="7243"/>
      <c r="K6" s="7243"/>
      <c r="L6" s="7243"/>
      <c r="M6" s="7243"/>
      <c r="N6" s="7243"/>
      <c r="O6" s="7243"/>
      <c r="P6" s="7243"/>
      <c r="Q6" s="7243"/>
      <c r="R6" s="7243"/>
      <c r="S6" s="7243"/>
      <c r="T6" s="7243"/>
      <c r="U6" s="7243"/>
      <c r="V6" s="7243"/>
      <c r="CB6"/>
      <c r="CC6"/>
      <c r="CD6"/>
      <c r="CE6"/>
      <c r="CG6"/>
      <c r="CH6"/>
      <c r="CI6"/>
      <c r="CJ6"/>
    </row>
    <row r="7" spans="1:88" ht="15" customHeight="1" x14ac:dyDescent="0.25">
      <c r="CB7"/>
      <c r="CC7"/>
      <c r="CD7"/>
      <c r="CE7"/>
      <c r="CG7"/>
      <c r="CH7"/>
      <c r="CI7"/>
      <c r="CJ7"/>
    </row>
    <row r="8" spans="1:88" s="1134" customFormat="1" ht="18" customHeight="1" x14ac:dyDescent="0.15">
      <c r="A8" s="7" t="s">
        <v>998</v>
      </c>
      <c r="B8" s="19"/>
    </row>
    <row r="9" spans="1:88" s="170" customFormat="1" ht="15" customHeight="1" x14ac:dyDescent="0.15">
      <c r="A9" s="7869" t="s">
        <v>999</v>
      </c>
      <c r="B9" s="7871" t="s">
        <v>24</v>
      </c>
      <c r="C9" s="7872"/>
      <c r="D9" s="7873"/>
      <c r="E9" s="7877" t="s">
        <v>30</v>
      </c>
      <c r="F9" s="7877"/>
      <c r="G9" s="7877"/>
      <c r="H9" s="7877"/>
      <c r="I9" s="7877"/>
      <c r="J9" s="7877"/>
      <c r="K9" s="7877"/>
      <c r="L9" s="7877"/>
      <c r="M9" s="7877"/>
      <c r="N9" s="7877"/>
      <c r="O9" s="7877"/>
      <c r="P9" s="7877"/>
      <c r="Q9" s="7877"/>
      <c r="R9" s="7877"/>
      <c r="S9" s="7877"/>
      <c r="T9" s="7877"/>
      <c r="U9" s="7877"/>
      <c r="V9" s="7877"/>
      <c r="W9" s="7877"/>
      <c r="X9" s="7877"/>
      <c r="Y9" s="7877"/>
      <c r="Z9" s="7877"/>
      <c r="AA9" s="7877"/>
      <c r="AB9" s="7877"/>
      <c r="AC9" s="7877"/>
      <c r="AD9" s="7877"/>
      <c r="AE9" s="7877"/>
      <c r="AF9" s="7877"/>
      <c r="AG9" s="7877"/>
      <c r="AH9" s="7877"/>
      <c r="AI9" s="7877"/>
      <c r="AJ9" s="7878"/>
      <c r="AK9" s="7879" t="s">
        <v>2</v>
      </c>
      <c r="AL9" s="7790" t="s">
        <v>3</v>
      </c>
      <c r="AM9" s="7790" t="s">
        <v>267</v>
      </c>
    </row>
    <row r="10" spans="1:88" s="170" customFormat="1" ht="15" customHeight="1" x14ac:dyDescent="0.15">
      <c r="A10" s="6813"/>
      <c r="B10" s="7874"/>
      <c r="C10" s="7875"/>
      <c r="D10" s="7876"/>
      <c r="E10" s="7884" t="s">
        <v>682</v>
      </c>
      <c r="F10" s="7869"/>
      <c r="G10" s="7883" t="s">
        <v>1001</v>
      </c>
      <c r="H10" s="7869"/>
      <c r="I10" s="7883" t="s">
        <v>1002</v>
      </c>
      <c r="J10" s="7869"/>
      <c r="K10" s="6940" t="s">
        <v>38</v>
      </c>
      <c r="L10" s="6988"/>
      <c r="M10" s="7884" t="s">
        <v>4</v>
      </c>
      <c r="N10" s="7869"/>
      <c r="O10" s="6940" t="s">
        <v>5</v>
      </c>
      <c r="P10" s="6988"/>
      <c r="Q10" s="7883" t="s">
        <v>1003</v>
      </c>
      <c r="R10" s="7869"/>
      <c r="S10" s="6988" t="s">
        <v>9</v>
      </c>
      <c r="T10" s="6988"/>
      <c r="U10" s="7883" t="s">
        <v>10</v>
      </c>
      <c r="V10" s="7869"/>
      <c r="W10" s="6988" t="s">
        <v>11</v>
      </c>
      <c r="X10" s="6988"/>
      <c r="Y10" s="7883" t="s">
        <v>18</v>
      </c>
      <c r="Z10" s="7869"/>
      <c r="AA10" s="6988" t="s">
        <v>19</v>
      </c>
      <c r="AB10" s="6988"/>
      <c r="AC10" s="7883" t="s">
        <v>20</v>
      </c>
      <c r="AD10" s="7869"/>
      <c r="AE10" s="6988" t="s">
        <v>70</v>
      </c>
      <c r="AF10" s="6988"/>
      <c r="AG10" s="7883" t="s">
        <v>71</v>
      </c>
      <c r="AH10" s="7869"/>
      <c r="AI10" s="6988" t="s">
        <v>32</v>
      </c>
      <c r="AJ10" s="7885"/>
      <c r="AK10" s="6924"/>
      <c r="AL10" s="7881"/>
      <c r="AM10" s="7881"/>
    </row>
    <row r="11" spans="1:88" s="170" customFormat="1" ht="15" customHeight="1" x14ac:dyDescent="0.15">
      <c r="A11" s="7870"/>
      <c r="B11" s="4941" t="s">
        <v>26</v>
      </c>
      <c r="C11" s="4956" t="s">
        <v>22</v>
      </c>
      <c r="D11" s="1122" t="s">
        <v>27</v>
      </c>
      <c r="E11" s="1136" t="s">
        <v>22</v>
      </c>
      <c r="F11" s="1137" t="s">
        <v>27</v>
      </c>
      <c r="G11" s="1136" t="s">
        <v>22</v>
      </c>
      <c r="H11" s="1137" t="s">
        <v>27</v>
      </c>
      <c r="I11" s="1136" t="s">
        <v>22</v>
      </c>
      <c r="J11" s="1137" t="s">
        <v>27</v>
      </c>
      <c r="K11" s="1135" t="s">
        <v>22</v>
      </c>
      <c r="L11" s="1085" t="s">
        <v>27</v>
      </c>
      <c r="M11" s="1136" t="s">
        <v>22</v>
      </c>
      <c r="N11" s="1137" t="s">
        <v>27</v>
      </c>
      <c r="O11" s="1135" t="s">
        <v>22</v>
      </c>
      <c r="P11" s="1085" t="s">
        <v>27</v>
      </c>
      <c r="Q11" s="1136" t="s">
        <v>22</v>
      </c>
      <c r="R11" s="1137" t="s">
        <v>27</v>
      </c>
      <c r="S11" s="1135" t="s">
        <v>22</v>
      </c>
      <c r="T11" s="1085" t="s">
        <v>27</v>
      </c>
      <c r="U11" s="1136" t="s">
        <v>22</v>
      </c>
      <c r="V11" s="1137" t="s">
        <v>27</v>
      </c>
      <c r="W11" s="1135" t="s">
        <v>22</v>
      </c>
      <c r="X11" s="1085" t="s">
        <v>27</v>
      </c>
      <c r="Y11" s="1136" t="s">
        <v>22</v>
      </c>
      <c r="Z11" s="1137" t="s">
        <v>27</v>
      </c>
      <c r="AA11" s="1135" t="s">
        <v>22</v>
      </c>
      <c r="AB11" s="1085" t="s">
        <v>27</v>
      </c>
      <c r="AC11" s="1136" t="s">
        <v>22</v>
      </c>
      <c r="AD11" s="1137" t="s">
        <v>27</v>
      </c>
      <c r="AE11" s="1135" t="s">
        <v>22</v>
      </c>
      <c r="AF11" s="1085" t="s">
        <v>27</v>
      </c>
      <c r="AG11" s="1136" t="s">
        <v>22</v>
      </c>
      <c r="AH11" s="1137" t="s">
        <v>27</v>
      </c>
      <c r="AI11" s="1135" t="s">
        <v>22</v>
      </c>
      <c r="AJ11" s="1138" t="s">
        <v>27</v>
      </c>
      <c r="AK11" s="7880"/>
      <c r="AL11" s="7882"/>
      <c r="AM11" s="7882"/>
    </row>
    <row r="12" spans="1:88" s="170" customFormat="1" ht="15" customHeight="1" x14ac:dyDescent="0.15">
      <c r="A12" s="1139" t="s">
        <v>1004</v>
      </c>
      <c r="B12" s="1140">
        <f>SUM(C12+D12)</f>
        <v>0</v>
      </c>
      <c r="C12" s="1141">
        <f>SUM(E12+G12+I12+K12+M12+O12+Q12+S12+U12+W12+Y12+AA12+AC12+AE12+AG12+AI12)</f>
        <v>0</v>
      </c>
      <c r="D12" s="1142">
        <f>SUM(F12+H12+J12+L12+N12+P12+R12+T12+V12+X12+Z12+AB12+AD12+AF12+AH12+AJ12)</f>
        <v>0</v>
      </c>
      <c r="E12" s="1143"/>
      <c r="F12" s="1144"/>
      <c r="G12" s="1143"/>
      <c r="H12" s="1145"/>
      <c r="I12" s="1143"/>
      <c r="J12" s="1145"/>
      <c r="K12" s="1146"/>
      <c r="L12" s="1147"/>
      <c r="M12" s="1143"/>
      <c r="N12" s="1145"/>
      <c r="O12" s="1146"/>
      <c r="P12" s="1147"/>
      <c r="Q12" s="1143"/>
      <c r="R12" s="1145"/>
      <c r="S12" s="1146"/>
      <c r="T12" s="1147"/>
      <c r="U12" s="1143"/>
      <c r="V12" s="1145"/>
      <c r="W12" s="1146"/>
      <c r="X12" s="1147"/>
      <c r="Y12" s="1143"/>
      <c r="Z12" s="1145"/>
      <c r="AA12" s="1146"/>
      <c r="AB12" s="1147"/>
      <c r="AC12" s="1143"/>
      <c r="AD12" s="1145"/>
      <c r="AE12" s="1146"/>
      <c r="AF12" s="1147"/>
      <c r="AG12" s="1143"/>
      <c r="AH12" s="1145"/>
      <c r="AI12" s="1148"/>
      <c r="AJ12" s="651"/>
      <c r="AK12" s="1144"/>
      <c r="AL12" s="1144"/>
      <c r="AM12" s="1144"/>
      <c r="AN12" s="170" t="str">
        <f>CB12&amp;CC12&amp;CD12&amp;CE12</f>
        <v/>
      </c>
      <c r="CB12" s="2553" t="str">
        <f>IF(AND(B12&gt;0,AK12="")," * No olvide digitar la variable Pueblos originarios. Digite Cero si no tiene.",IF(AK12&gt;B12," * La variable Pueblos originarios no puede ser mayor al Total.",""))</f>
        <v/>
      </c>
      <c r="CC12" s="2553" t="str">
        <f>IF(AND(B12&gt;0,AL12="")," * No olvide digitar la variable Migrantes. Digite Cero si no tiene.",IF(AL12&gt;B12," * La variable Migrantes no puede ser mayor al Total.",""))</f>
        <v/>
      </c>
      <c r="CD12" s="2553" t="str">
        <f>IF(AND(B12&gt;0,AM12="")," * No olvide digitar la variable Por campaña de invierno. Digite Cero si no tiene.",IF(AM12&gt;B12," * La variable Por campaña de invierno no puede ser mayor al Total.",""))</f>
        <v/>
      </c>
      <c r="CE12" s="2553"/>
      <c r="CG12" s="2554">
        <f>IF(AND(B12&gt;0,AK12=""),1,IF(AK12&gt;B12,1,0))</f>
        <v>0</v>
      </c>
      <c r="CH12" s="2554">
        <f>IF(AND(B12&gt;0,AL12=""),1,IF(AL12&gt;B12,1,0))</f>
        <v>0</v>
      </c>
      <c r="CI12" s="2554">
        <f>IF(AND(B12&gt;0,AM12=""),1,IF(AM12&gt;B12,1,0))</f>
        <v>0</v>
      </c>
      <c r="CJ12" s="2554"/>
    </row>
    <row r="13" spans="1:88" s="170" customFormat="1" ht="15" customHeight="1" x14ac:dyDescent="0.15">
      <c r="A13" s="1109" t="s">
        <v>1005</v>
      </c>
      <c r="B13" s="1149">
        <f t="shared" ref="B13:B22" si="0">SUM(C13+D13)</f>
        <v>0</v>
      </c>
      <c r="C13" s="1150">
        <f t="shared" ref="C13:D22" si="1">SUM(E13+G13+I13+K13+M13+O13+Q13+S13+U13+W13+Y13+AA13+AC13+AE13+AG13+AI13)</f>
        <v>0</v>
      </c>
      <c r="D13" s="1151">
        <f t="shared" si="1"/>
        <v>0</v>
      </c>
      <c r="E13" s="1152"/>
      <c r="F13" s="62"/>
      <c r="G13" s="1152"/>
      <c r="H13" s="1153"/>
      <c r="I13" s="1152"/>
      <c r="J13" s="1153"/>
      <c r="K13" s="1154"/>
      <c r="L13" s="1155"/>
      <c r="M13" s="1152"/>
      <c r="N13" s="1153"/>
      <c r="O13" s="1154"/>
      <c r="P13" s="1155"/>
      <c r="Q13" s="1152"/>
      <c r="R13" s="1153"/>
      <c r="S13" s="1154"/>
      <c r="T13" s="1155"/>
      <c r="U13" s="1152"/>
      <c r="V13" s="1153"/>
      <c r="W13" s="1154"/>
      <c r="X13" s="1155"/>
      <c r="Y13" s="1152"/>
      <c r="Z13" s="1153"/>
      <c r="AA13" s="1154"/>
      <c r="AB13" s="1155"/>
      <c r="AC13" s="1152"/>
      <c r="AD13" s="1153"/>
      <c r="AE13" s="1154"/>
      <c r="AF13" s="1155"/>
      <c r="AG13" s="1152"/>
      <c r="AH13" s="1153"/>
      <c r="AI13" s="67"/>
      <c r="AJ13" s="1156"/>
      <c r="AK13" s="62"/>
      <c r="AL13" s="62"/>
      <c r="AM13" s="62"/>
      <c r="AN13" s="170" t="str">
        <f t="shared" ref="AN13:AN22" si="2">CB13&amp;CC13&amp;CD13&amp;CE13</f>
        <v/>
      </c>
      <c r="CB13" s="2553" t="str">
        <f t="shared" ref="CB13:CB22" si="3">IF(AND(B13&gt;0,AK13="")," * No olvide digitar la variable Pueblos originarios. Digite Cero si no tiene.",IF(AK13&gt;B13," * La variable Pueblos originarios no puede ser mayor al Total.",""))</f>
        <v/>
      </c>
      <c r="CC13" s="2553" t="str">
        <f t="shared" ref="CC13:CC22" si="4">IF(AND(B13&gt;0,AL13="")," * No olvide digitar la variable Migrantes. Digite Cero si no tiene.",IF(AL13&gt;B13," * La variable Migrantes no puede ser mayor al Total.",""))</f>
        <v/>
      </c>
      <c r="CD13" s="2553" t="str">
        <f t="shared" ref="CD13:CD22" si="5">IF(AND(B13&gt;0,AM13="")," * No olvide digitar la variable Por campaña de invierno. Digite Cero si no tiene.",IF(AM13&gt;B13," * La variable Por campaña de invierno no puede ser mayor al Total.",""))</f>
        <v/>
      </c>
      <c r="CE13" s="2553"/>
      <c r="CG13" s="2554">
        <f t="shared" ref="CG13:CG22" si="6">IF(AND(B13&gt;0,AK13=""),1,IF(AK13&gt;B13,1,0))</f>
        <v>0</v>
      </c>
      <c r="CH13" s="2554">
        <f t="shared" ref="CH13:CH22" si="7">IF(AND(B13&gt;0,AL13=""),1,IF(AL13&gt;B13,1,0))</f>
        <v>0</v>
      </c>
      <c r="CI13" s="2554">
        <f t="shared" ref="CI13:CI22" si="8">IF(AND(B13&gt;0,AM13=""),1,IF(AM13&gt;B13,1,0))</f>
        <v>0</v>
      </c>
      <c r="CJ13" s="2554"/>
    </row>
    <row r="14" spans="1:88" s="170" customFormat="1" ht="15" customHeight="1" x14ac:dyDescent="0.15">
      <c r="A14" s="1109" t="s">
        <v>1006</v>
      </c>
      <c r="B14" s="1149">
        <f t="shared" si="0"/>
        <v>0</v>
      </c>
      <c r="C14" s="1150">
        <f t="shared" si="1"/>
        <v>0</v>
      </c>
      <c r="D14" s="1151">
        <f t="shared" si="1"/>
        <v>0</v>
      </c>
      <c r="E14" s="1152"/>
      <c r="F14" s="62"/>
      <c r="G14" s="1152"/>
      <c r="H14" s="1153"/>
      <c r="I14" s="1152"/>
      <c r="J14" s="1153"/>
      <c r="K14" s="1154"/>
      <c r="L14" s="1155"/>
      <c r="M14" s="1152"/>
      <c r="N14" s="1153"/>
      <c r="O14" s="1154"/>
      <c r="P14" s="1155"/>
      <c r="Q14" s="1152"/>
      <c r="R14" s="1153"/>
      <c r="S14" s="1154"/>
      <c r="T14" s="1155"/>
      <c r="U14" s="1152"/>
      <c r="V14" s="1153"/>
      <c r="W14" s="1154"/>
      <c r="X14" s="1155"/>
      <c r="Y14" s="1152"/>
      <c r="Z14" s="1153"/>
      <c r="AA14" s="1154"/>
      <c r="AB14" s="1155"/>
      <c r="AC14" s="1152"/>
      <c r="AD14" s="1153"/>
      <c r="AE14" s="1154"/>
      <c r="AF14" s="1155"/>
      <c r="AG14" s="1152"/>
      <c r="AH14" s="1153"/>
      <c r="AI14" s="67"/>
      <c r="AJ14" s="1156"/>
      <c r="AK14" s="62"/>
      <c r="AL14" s="62"/>
      <c r="AM14" s="62"/>
      <c r="AN14" s="170" t="str">
        <f t="shared" si="2"/>
        <v/>
      </c>
      <c r="CB14" s="2553" t="str">
        <f t="shared" si="3"/>
        <v/>
      </c>
      <c r="CC14" s="2553" t="str">
        <f t="shared" si="4"/>
        <v/>
      </c>
      <c r="CD14" s="2553" t="str">
        <f t="shared" si="5"/>
        <v/>
      </c>
      <c r="CE14" s="2553"/>
      <c r="CG14" s="2554">
        <f t="shared" si="6"/>
        <v>0</v>
      </c>
      <c r="CH14" s="2554">
        <f t="shared" si="7"/>
        <v>0</v>
      </c>
      <c r="CI14" s="2554">
        <f t="shared" si="8"/>
        <v>0</v>
      </c>
      <c r="CJ14" s="2554"/>
    </row>
    <row r="15" spans="1:88" s="170" customFormat="1" ht="15" customHeight="1" x14ac:dyDescent="0.15">
      <c r="A15" s="1109" t="s">
        <v>1007</v>
      </c>
      <c r="B15" s="1149">
        <f t="shared" si="0"/>
        <v>0</v>
      </c>
      <c r="C15" s="1150">
        <f t="shared" si="1"/>
        <v>0</v>
      </c>
      <c r="D15" s="1151">
        <f t="shared" si="1"/>
        <v>0</v>
      </c>
      <c r="E15" s="1152"/>
      <c r="F15" s="62"/>
      <c r="G15" s="1152"/>
      <c r="H15" s="1153"/>
      <c r="I15" s="1152"/>
      <c r="J15" s="1153"/>
      <c r="K15" s="1154"/>
      <c r="L15" s="1155"/>
      <c r="M15" s="1152"/>
      <c r="N15" s="1153"/>
      <c r="O15" s="1154"/>
      <c r="P15" s="1155"/>
      <c r="Q15" s="1152"/>
      <c r="R15" s="1153"/>
      <c r="S15" s="1154"/>
      <c r="T15" s="1155"/>
      <c r="U15" s="1152"/>
      <c r="V15" s="1153"/>
      <c r="W15" s="1154"/>
      <c r="X15" s="1155"/>
      <c r="Y15" s="1152"/>
      <c r="Z15" s="1153"/>
      <c r="AA15" s="1154"/>
      <c r="AB15" s="1155"/>
      <c r="AC15" s="1152"/>
      <c r="AD15" s="1153"/>
      <c r="AE15" s="1154"/>
      <c r="AF15" s="1155"/>
      <c r="AG15" s="1152"/>
      <c r="AH15" s="1153"/>
      <c r="AI15" s="67"/>
      <c r="AJ15" s="1156"/>
      <c r="AK15" s="62"/>
      <c r="AL15" s="62"/>
      <c r="AM15" s="62"/>
      <c r="AN15" s="170" t="str">
        <f t="shared" si="2"/>
        <v/>
      </c>
      <c r="CB15" s="2553" t="str">
        <f t="shared" si="3"/>
        <v/>
      </c>
      <c r="CC15" s="2553" t="str">
        <f t="shared" si="4"/>
        <v/>
      </c>
      <c r="CD15" s="2553" t="str">
        <f t="shared" si="5"/>
        <v/>
      </c>
      <c r="CE15" s="2553"/>
      <c r="CG15" s="2554">
        <f t="shared" si="6"/>
        <v>0</v>
      </c>
      <c r="CH15" s="2554">
        <f t="shared" si="7"/>
        <v>0</v>
      </c>
      <c r="CI15" s="2554">
        <f t="shared" si="8"/>
        <v>0</v>
      </c>
      <c r="CJ15" s="2554"/>
    </row>
    <row r="16" spans="1:88" s="170" customFormat="1" ht="15" customHeight="1" x14ac:dyDescent="0.15">
      <c r="A16" s="1157" t="s">
        <v>1008</v>
      </c>
      <c r="B16" s="1158">
        <f t="shared" si="0"/>
        <v>0</v>
      </c>
      <c r="C16" s="1159">
        <f t="shared" si="1"/>
        <v>0</v>
      </c>
      <c r="D16" s="1151">
        <f t="shared" si="1"/>
        <v>0</v>
      </c>
      <c r="E16" s="1152"/>
      <c r="F16" s="62"/>
      <c r="G16" s="1152"/>
      <c r="H16" s="1153"/>
      <c r="I16" s="1152"/>
      <c r="J16" s="1153"/>
      <c r="K16" s="1154"/>
      <c r="L16" s="1155"/>
      <c r="M16" s="1152"/>
      <c r="N16" s="1153"/>
      <c r="O16" s="1154"/>
      <c r="P16" s="1155"/>
      <c r="Q16" s="1152"/>
      <c r="R16" s="1153"/>
      <c r="S16" s="1154"/>
      <c r="T16" s="1155"/>
      <c r="U16" s="1152"/>
      <c r="V16" s="1153"/>
      <c r="W16" s="1154"/>
      <c r="X16" s="1155"/>
      <c r="Y16" s="1152"/>
      <c r="Z16" s="1153"/>
      <c r="AA16" s="1154"/>
      <c r="AB16" s="1155"/>
      <c r="AC16" s="1152"/>
      <c r="AD16" s="1153"/>
      <c r="AE16" s="1154"/>
      <c r="AF16" s="1155"/>
      <c r="AG16" s="1152"/>
      <c r="AH16" s="1153"/>
      <c r="AI16" s="67"/>
      <c r="AJ16" s="1156"/>
      <c r="AK16" s="62"/>
      <c r="AL16" s="62"/>
      <c r="AM16" s="62"/>
      <c r="AN16" s="170" t="str">
        <f t="shared" si="2"/>
        <v/>
      </c>
      <c r="CB16" s="2553" t="str">
        <f t="shared" si="3"/>
        <v/>
      </c>
      <c r="CC16" s="2553" t="str">
        <f t="shared" si="4"/>
        <v/>
      </c>
      <c r="CD16" s="2553" t="str">
        <f t="shared" si="5"/>
        <v/>
      </c>
      <c r="CE16" s="2553"/>
      <c r="CG16" s="2554">
        <f t="shared" si="6"/>
        <v>0</v>
      </c>
      <c r="CH16" s="2554">
        <f t="shared" si="7"/>
        <v>0</v>
      </c>
      <c r="CI16" s="2554">
        <f t="shared" si="8"/>
        <v>0</v>
      </c>
      <c r="CJ16" s="2554"/>
    </row>
    <row r="17" spans="1:88" s="170" customFormat="1" ht="15" customHeight="1" x14ac:dyDescent="0.15">
      <c r="A17" s="1160" t="s">
        <v>1009</v>
      </c>
      <c r="B17" s="1149">
        <f t="shared" si="0"/>
        <v>0</v>
      </c>
      <c r="C17" s="1150">
        <f t="shared" si="1"/>
        <v>0</v>
      </c>
      <c r="D17" s="1151">
        <f t="shared" si="1"/>
        <v>0</v>
      </c>
      <c r="E17" s="1152"/>
      <c r="F17" s="62"/>
      <c r="G17" s="1152"/>
      <c r="H17" s="1153"/>
      <c r="I17" s="1152"/>
      <c r="J17" s="1153"/>
      <c r="K17" s="1154"/>
      <c r="L17" s="1155"/>
      <c r="M17" s="1152"/>
      <c r="N17" s="1153"/>
      <c r="O17" s="1154"/>
      <c r="P17" s="1155"/>
      <c r="Q17" s="1152"/>
      <c r="R17" s="1153"/>
      <c r="S17" s="1154"/>
      <c r="T17" s="1155"/>
      <c r="U17" s="1152"/>
      <c r="V17" s="1153"/>
      <c r="W17" s="1154"/>
      <c r="X17" s="1155"/>
      <c r="Y17" s="1152"/>
      <c r="Z17" s="1153"/>
      <c r="AA17" s="1154"/>
      <c r="AB17" s="1155"/>
      <c r="AC17" s="1152"/>
      <c r="AD17" s="1153"/>
      <c r="AE17" s="1154"/>
      <c r="AF17" s="1155"/>
      <c r="AG17" s="1152"/>
      <c r="AH17" s="1153"/>
      <c r="AI17" s="67"/>
      <c r="AJ17" s="1156"/>
      <c r="AK17" s="62"/>
      <c r="AL17" s="62"/>
      <c r="AM17" s="62"/>
      <c r="AN17" s="170" t="str">
        <f t="shared" si="2"/>
        <v/>
      </c>
      <c r="CB17" s="2553" t="str">
        <f t="shared" si="3"/>
        <v/>
      </c>
      <c r="CC17" s="2553" t="str">
        <f t="shared" si="4"/>
        <v/>
      </c>
      <c r="CD17" s="2553" t="str">
        <f t="shared" si="5"/>
        <v/>
      </c>
      <c r="CE17" s="2553"/>
      <c r="CG17" s="2554">
        <f t="shared" si="6"/>
        <v>0</v>
      </c>
      <c r="CH17" s="2554">
        <f t="shared" si="7"/>
        <v>0</v>
      </c>
      <c r="CI17" s="2554">
        <f t="shared" si="8"/>
        <v>0</v>
      </c>
      <c r="CJ17" s="2554"/>
    </row>
    <row r="18" spans="1:88" s="170" customFormat="1" ht="15" customHeight="1" x14ac:dyDescent="0.15">
      <c r="A18" s="1161" t="s">
        <v>1010</v>
      </c>
      <c r="B18" s="1158">
        <f t="shared" si="0"/>
        <v>0</v>
      </c>
      <c r="C18" s="1159">
        <f t="shared" si="1"/>
        <v>0</v>
      </c>
      <c r="D18" s="1151">
        <f t="shared" si="1"/>
        <v>0</v>
      </c>
      <c r="E18" s="1152"/>
      <c r="F18" s="62"/>
      <c r="G18" s="1152"/>
      <c r="H18" s="1153"/>
      <c r="I18" s="1162"/>
      <c r="J18" s="1163"/>
      <c r="K18" s="1164"/>
      <c r="L18" s="1165"/>
      <c r="M18" s="1162"/>
      <c r="N18" s="1163"/>
      <c r="O18" s="1164"/>
      <c r="P18" s="1165"/>
      <c r="Q18" s="1162"/>
      <c r="R18" s="1163"/>
      <c r="S18" s="1164"/>
      <c r="T18" s="1165"/>
      <c r="U18" s="1162"/>
      <c r="V18" s="1163"/>
      <c r="W18" s="1164"/>
      <c r="X18" s="1165"/>
      <c r="Y18" s="1162"/>
      <c r="Z18" s="1163"/>
      <c r="AA18" s="1164"/>
      <c r="AB18" s="1165"/>
      <c r="AC18" s="1162"/>
      <c r="AD18" s="1163"/>
      <c r="AE18" s="1164"/>
      <c r="AF18" s="1165"/>
      <c r="AG18" s="1162"/>
      <c r="AH18" s="1163"/>
      <c r="AI18" s="1166"/>
      <c r="AJ18" s="1167"/>
      <c r="AK18" s="62"/>
      <c r="AL18" s="62"/>
      <c r="AM18" s="62"/>
      <c r="AN18" s="170" t="str">
        <f t="shared" si="2"/>
        <v/>
      </c>
      <c r="CB18" s="2553" t="str">
        <f t="shared" si="3"/>
        <v/>
      </c>
      <c r="CC18" s="2553" t="str">
        <f t="shared" si="4"/>
        <v/>
      </c>
      <c r="CD18" s="2553" t="str">
        <f t="shared" si="5"/>
        <v/>
      </c>
      <c r="CE18" s="2553"/>
      <c r="CG18" s="2554">
        <f t="shared" si="6"/>
        <v>0</v>
      </c>
      <c r="CH18" s="2554">
        <f t="shared" si="7"/>
        <v>0</v>
      </c>
      <c r="CI18" s="2554">
        <f t="shared" si="8"/>
        <v>0</v>
      </c>
      <c r="CJ18" s="2554"/>
    </row>
    <row r="19" spans="1:88" s="170" customFormat="1" ht="15" customHeight="1" x14ac:dyDescent="0.15">
      <c r="A19" s="1160" t="s">
        <v>1011</v>
      </c>
      <c r="B19" s="1149">
        <f t="shared" si="0"/>
        <v>0</v>
      </c>
      <c r="C19" s="1150">
        <f t="shared" si="1"/>
        <v>0</v>
      </c>
      <c r="D19" s="1151">
        <f t="shared" si="1"/>
        <v>0</v>
      </c>
      <c r="E19" s="1162"/>
      <c r="F19" s="1168"/>
      <c r="G19" s="1152"/>
      <c r="H19" s="1153"/>
      <c r="I19" s="1152"/>
      <c r="J19" s="1153"/>
      <c r="K19" s="1154"/>
      <c r="L19" s="1155"/>
      <c r="M19" s="1152"/>
      <c r="N19" s="1153"/>
      <c r="O19" s="1154"/>
      <c r="P19" s="1155"/>
      <c r="Q19" s="1152"/>
      <c r="R19" s="1153"/>
      <c r="S19" s="1154"/>
      <c r="T19" s="1155"/>
      <c r="U19" s="1152"/>
      <c r="V19" s="1153"/>
      <c r="W19" s="1154"/>
      <c r="X19" s="1155"/>
      <c r="Y19" s="1152"/>
      <c r="Z19" s="1153"/>
      <c r="AA19" s="1154"/>
      <c r="AB19" s="1155"/>
      <c r="AC19" s="1152"/>
      <c r="AD19" s="1153"/>
      <c r="AE19" s="1154"/>
      <c r="AF19" s="1155"/>
      <c r="AG19" s="1152"/>
      <c r="AH19" s="1153"/>
      <c r="AI19" s="67"/>
      <c r="AJ19" s="1156"/>
      <c r="AK19" s="62"/>
      <c r="AL19" s="62"/>
      <c r="AM19" s="62"/>
      <c r="AN19" s="170" t="str">
        <f t="shared" si="2"/>
        <v/>
      </c>
      <c r="CB19" s="2553" t="str">
        <f t="shared" si="3"/>
        <v/>
      </c>
      <c r="CC19" s="2553" t="str">
        <f t="shared" si="4"/>
        <v/>
      </c>
      <c r="CD19" s="2553" t="str">
        <f t="shared" si="5"/>
        <v/>
      </c>
      <c r="CE19" s="2553"/>
      <c r="CG19" s="2554">
        <f t="shared" si="6"/>
        <v>0</v>
      </c>
      <c r="CH19" s="2554">
        <f t="shared" si="7"/>
        <v>0</v>
      </c>
      <c r="CI19" s="2554">
        <f t="shared" si="8"/>
        <v>0</v>
      </c>
      <c r="CJ19" s="2554"/>
    </row>
    <row r="20" spans="1:88" s="170" customFormat="1" ht="15" customHeight="1" x14ac:dyDescent="0.15">
      <c r="A20" s="1161" t="s">
        <v>1012</v>
      </c>
      <c r="B20" s="1158">
        <f t="shared" si="0"/>
        <v>0</v>
      </c>
      <c r="C20" s="1159">
        <f t="shared" si="1"/>
        <v>0</v>
      </c>
      <c r="D20" s="1151">
        <f t="shared" si="1"/>
        <v>0</v>
      </c>
      <c r="E20" s="1162"/>
      <c r="F20" s="1168"/>
      <c r="G20" s="1162"/>
      <c r="H20" s="1163"/>
      <c r="I20" s="1162"/>
      <c r="J20" s="1163"/>
      <c r="K20" s="1164"/>
      <c r="L20" s="1165"/>
      <c r="M20" s="1162"/>
      <c r="N20" s="1163"/>
      <c r="O20" s="1164"/>
      <c r="P20" s="1165"/>
      <c r="Q20" s="1162"/>
      <c r="R20" s="1163"/>
      <c r="S20" s="1154"/>
      <c r="T20" s="1155"/>
      <c r="U20" s="1152"/>
      <c r="V20" s="1153"/>
      <c r="W20" s="1154"/>
      <c r="X20" s="1155"/>
      <c r="Y20" s="1152"/>
      <c r="Z20" s="1153"/>
      <c r="AA20" s="1154"/>
      <c r="AB20" s="1155"/>
      <c r="AC20" s="1152"/>
      <c r="AD20" s="1153"/>
      <c r="AE20" s="1154"/>
      <c r="AF20" s="1155"/>
      <c r="AG20" s="1152"/>
      <c r="AH20" s="1153"/>
      <c r="AI20" s="67"/>
      <c r="AJ20" s="1156"/>
      <c r="AK20" s="62"/>
      <c r="AL20" s="62"/>
      <c r="AM20" s="62"/>
      <c r="AN20" s="170" t="str">
        <f t="shared" si="2"/>
        <v/>
      </c>
      <c r="CB20" s="2553" t="str">
        <f t="shared" si="3"/>
        <v/>
      </c>
      <c r="CC20" s="2553" t="str">
        <f t="shared" si="4"/>
        <v/>
      </c>
      <c r="CD20" s="2553" t="str">
        <f t="shared" si="5"/>
        <v/>
      </c>
      <c r="CE20" s="2553"/>
      <c r="CG20" s="2554">
        <f t="shared" si="6"/>
        <v>0</v>
      </c>
      <c r="CH20" s="2554">
        <f t="shared" si="7"/>
        <v>0</v>
      </c>
      <c r="CI20" s="2554">
        <f t="shared" si="8"/>
        <v>0</v>
      </c>
      <c r="CJ20" s="2554"/>
    </row>
    <row r="21" spans="1:88" s="170" customFormat="1" ht="15" customHeight="1" x14ac:dyDescent="0.15">
      <c r="A21" s="1160" t="s">
        <v>1013</v>
      </c>
      <c r="B21" s="1149">
        <f t="shared" si="0"/>
        <v>0</v>
      </c>
      <c r="C21" s="1150">
        <f t="shared" si="1"/>
        <v>0</v>
      </c>
      <c r="D21" s="1151">
        <f t="shared" si="1"/>
        <v>0</v>
      </c>
      <c r="E21" s="1152"/>
      <c r="F21" s="62"/>
      <c r="G21" s="1152"/>
      <c r="H21" s="1153"/>
      <c r="I21" s="1152"/>
      <c r="J21" s="1153"/>
      <c r="K21" s="1154"/>
      <c r="L21" s="1155"/>
      <c r="M21" s="1152"/>
      <c r="N21" s="1153"/>
      <c r="O21" s="1154"/>
      <c r="P21" s="1155"/>
      <c r="Q21" s="1152"/>
      <c r="R21" s="1153"/>
      <c r="S21" s="1154"/>
      <c r="T21" s="1155"/>
      <c r="U21" s="1152"/>
      <c r="V21" s="1153"/>
      <c r="W21" s="1154"/>
      <c r="X21" s="1155"/>
      <c r="Y21" s="1152"/>
      <c r="Z21" s="1153"/>
      <c r="AA21" s="1154"/>
      <c r="AB21" s="1155"/>
      <c r="AC21" s="1152"/>
      <c r="AD21" s="1153"/>
      <c r="AE21" s="1154"/>
      <c r="AF21" s="1155"/>
      <c r="AG21" s="1152"/>
      <c r="AH21" s="1153"/>
      <c r="AI21" s="67"/>
      <c r="AJ21" s="1156"/>
      <c r="AK21" s="62"/>
      <c r="AL21" s="62"/>
      <c r="AM21" s="62"/>
      <c r="AN21" s="170" t="str">
        <f t="shared" si="2"/>
        <v/>
      </c>
      <c r="CB21" s="2553" t="str">
        <f t="shared" si="3"/>
        <v/>
      </c>
      <c r="CC21" s="2553" t="str">
        <f t="shared" si="4"/>
        <v/>
      </c>
      <c r="CD21" s="2553" t="str">
        <f t="shared" si="5"/>
        <v/>
      </c>
      <c r="CE21" s="2553"/>
      <c r="CG21" s="2554">
        <f t="shared" si="6"/>
        <v>0</v>
      </c>
      <c r="CH21" s="2554">
        <f t="shared" si="7"/>
        <v>0</v>
      </c>
      <c r="CI21" s="2554">
        <f t="shared" si="8"/>
        <v>0</v>
      </c>
      <c r="CJ21" s="2554"/>
    </row>
    <row r="22" spans="1:88" s="170" customFormat="1" ht="15" customHeight="1" x14ac:dyDescent="0.15">
      <c r="A22" s="1169" t="s">
        <v>1014</v>
      </c>
      <c r="B22" s="51">
        <f t="shared" si="0"/>
        <v>0</v>
      </c>
      <c r="C22" s="1170">
        <f t="shared" si="1"/>
        <v>0</v>
      </c>
      <c r="D22" s="1171">
        <f t="shared" si="1"/>
        <v>0</v>
      </c>
      <c r="E22" s="64"/>
      <c r="F22" s="65"/>
      <c r="G22" s="64"/>
      <c r="H22" s="1172"/>
      <c r="I22" s="64"/>
      <c r="J22" s="1172"/>
      <c r="K22" s="658"/>
      <c r="L22" s="656"/>
      <c r="M22" s="64"/>
      <c r="N22" s="1172"/>
      <c r="O22" s="658"/>
      <c r="P22" s="656"/>
      <c r="Q22" s="64"/>
      <c r="R22" s="1172"/>
      <c r="S22" s="658"/>
      <c r="T22" s="656"/>
      <c r="U22" s="64"/>
      <c r="V22" s="1172"/>
      <c r="W22" s="658"/>
      <c r="X22" s="656"/>
      <c r="Y22" s="64"/>
      <c r="Z22" s="1172"/>
      <c r="AA22" s="658"/>
      <c r="AB22" s="656"/>
      <c r="AC22" s="64"/>
      <c r="AD22" s="1172"/>
      <c r="AE22" s="658"/>
      <c r="AF22" s="656"/>
      <c r="AG22" s="64"/>
      <c r="AH22" s="1172"/>
      <c r="AI22" s="1173"/>
      <c r="AJ22" s="657"/>
      <c r="AK22" s="62"/>
      <c r="AL22" s="62"/>
      <c r="AM22" s="62"/>
      <c r="AN22" s="170" t="str">
        <f t="shared" si="2"/>
        <v/>
      </c>
      <c r="CB22" s="2553" t="str">
        <f t="shared" si="3"/>
        <v/>
      </c>
      <c r="CC22" s="2553" t="str">
        <f t="shared" si="4"/>
        <v/>
      </c>
      <c r="CD22" s="2553" t="str">
        <f t="shared" si="5"/>
        <v/>
      </c>
      <c r="CE22" s="2553"/>
      <c r="CG22" s="2554">
        <f t="shared" si="6"/>
        <v>0</v>
      </c>
      <c r="CH22" s="2554">
        <f t="shared" si="7"/>
        <v>0</v>
      </c>
      <c r="CI22" s="2554">
        <f t="shared" si="8"/>
        <v>0</v>
      </c>
      <c r="CJ22" s="2554"/>
    </row>
    <row r="23" spans="1:88" ht="15" customHeight="1" x14ac:dyDescent="0.25">
      <c r="A23" s="1133" t="s">
        <v>24</v>
      </c>
      <c r="B23" s="1174">
        <f t="shared" ref="B23:AM23" si="9">SUM(B12:B22)</f>
        <v>0</v>
      </c>
      <c r="C23" s="1175">
        <f t="shared" si="9"/>
        <v>0</v>
      </c>
      <c r="D23" s="1176">
        <f t="shared" si="9"/>
        <v>0</v>
      </c>
      <c r="E23" s="1177">
        <f t="shared" si="9"/>
        <v>0</v>
      </c>
      <c r="F23" s="1178">
        <f t="shared" si="9"/>
        <v>0</v>
      </c>
      <c r="G23" s="1177">
        <f t="shared" si="9"/>
        <v>0</v>
      </c>
      <c r="H23" s="1179">
        <f t="shared" si="9"/>
        <v>0</v>
      </c>
      <c r="I23" s="1177">
        <f t="shared" si="9"/>
        <v>0</v>
      </c>
      <c r="J23" s="1179">
        <f t="shared" si="9"/>
        <v>0</v>
      </c>
      <c r="K23" s="1180">
        <f t="shared" si="9"/>
        <v>0</v>
      </c>
      <c r="L23" s="1181">
        <f t="shared" si="9"/>
        <v>0</v>
      </c>
      <c r="M23" s="1177">
        <f t="shared" si="9"/>
        <v>0</v>
      </c>
      <c r="N23" s="1179">
        <f t="shared" si="9"/>
        <v>0</v>
      </c>
      <c r="O23" s="1180">
        <f t="shared" si="9"/>
        <v>0</v>
      </c>
      <c r="P23" s="1181">
        <f t="shared" si="9"/>
        <v>0</v>
      </c>
      <c r="Q23" s="1177">
        <f t="shared" si="9"/>
        <v>0</v>
      </c>
      <c r="R23" s="1179">
        <f t="shared" si="9"/>
        <v>0</v>
      </c>
      <c r="S23" s="1180">
        <f t="shared" si="9"/>
        <v>0</v>
      </c>
      <c r="T23" s="1181">
        <f t="shared" si="9"/>
        <v>0</v>
      </c>
      <c r="U23" s="1177">
        <f t="shared" si="9"/>
        <v>0</v>
      </c>
      <c r="V23" s="1179">
        <f t="shared" si="9"/>
        <v>0</v>
      </c>
      <c r="W23" s="1180">
        <f t="shared" si="9"/>
        <v>0</v>
      </c>
      <c r="X23" s="1181">
        <f t="shared" si="9"/>
        <v>0</v>
      </c>
      <c r="Y23" s="1177">
        <f t="shared" si="9"/>
        <v>0</v>
      </c>
      <c r="Z23" s="1179">
        <f t="shared" si="9"/>
        <v>0</v>
      </c>
      <c r="AA23" s="1180">
        <f t="shared" si="9"/>
        <v>0</v>
      </c>
      <c r="AB23" s="1181">
        <f t="shared" si="9"/>
        <v>0</v>
      </c>
      <c r="AC23" s="1177">
        <f t="shared" si="9"/>
        <v>0</v>
      </c>
      <c r="AD23" s="1179">
        <f t="shared" si="9"/>
        <v>0</v>
      </c>
      <c r="AE23" s="1180">
        <f t="shared" si="9"/>
        <v>0</v>
      </c>
      <c r="AF23" s="1181">
        <f t="shared" si="9"/>
        <v>0</v>
      </c>
      <c r="AG23" s="1177">
        <f t="shared" si="9"/>
        <v>0</v>
      </c>
      <c r="AH23" s="1179">
        <f t="shared" si="9"/>
        <v>0</v>
      </c>
      <c r="AI23" s="1180">
        <f t="shared" si="9"/>
        <v>0</v>
      </c>
      <c r="AJ23" s="1182">
        <f t="shared" si="9"/>
        <v>0</v>
      </c>
      <c r="AK23" s="1178">
        <f t="shared" si="9"/>
        <v>0</v>
      </c>
      <c r="AL23" s="1178">
        <f t="shared" si="9"/>
        <v>0</v>
      </c>
      <c r="AM23" s="1178">
        <f t="shared" si="9"/>
        <v>0</v>
      </c>
      <c r="CB23"/>
      <c r="CC23"/>
      <c r="CD23"/>
      <c r="CE23"/>
      <c r="CG23"/>
      <c r="CH23"/>
      <c r="CI23"/>
      <c r="CJ23"/>
    </row>
    <row r="24" spans="1:88" s="1134" customFormat="1" ht="18" customHeight="1" x14ac:dyDescent="0.15">
      <c r="A24" s="7" t="s">
        <v>1015</v>
      </c>
    </row>
    <row r="25" spans="1:88" s="170" customFormat="1" ht="15" customHeight="1" x14ac:dyDescent="0.15">
      <c r="A25" s="6988" t="s">
        <v>1016</v>
      </c>
      <c r="B25" s="7869"/>
      <c r="C25" s="7903" t="s">
        <v>24</v>
      </c>
      <c r="D25" s="7904"/>
      <c r="E25" s="7905"/>
      <c r="F25" s="7886" t="s">
        <v>30</v>
      </c>
      <c r="G25" s="7887"/>
      <c r="H25" s="7887"/>
      <c r="I25" s="7887"/>
      <c r="J25" s="7887"/>
      <c r="K25" s="7887"/>
      <c r="L25" s="7887"/>
      <c r="M25" s="7887"/>
      <c r="N25" s="7887"/>
      <c r="O25" s="7887"/>
      <c r="P25" s="7887"/>
      <c r="Q25" s="7887"/>
      <c r="R25" s="7887"/>
      <c r="S25" s="7887"/>
      <c r="T25" s="7887"/>
      <c r="U25" s="7887"/>
      <c r="V25" s="7887"/>
      <c r="W25" s="7887"/>
      <c r="X25" s="7887"/>
      <c r="Y25" s="7887"/>
      <c r="Z25" s="7887"/>
      <c r="AA25" s="7887"/>
      <c r="AB25" s="7887"/>
      <c r="AC25" s="7887"/>
      <c r="AD25" s="7887"/>
      <c r="AE25" s="7887"/>
      <c r="AF25" s="7887"/>
      <c r="AG25" s="7887"/>
      <c r="AH25" s="7887"/>
      <c r="AI25" s="7887"/>
      <c r="AJ25" s="7887"/>
      <c r="AK25" s="7888"/>
      <c r="AL25" s="7879" t="s">
        <v>1017</v>
      </c>
      <c r="AM25" s="7879" t="s">
        <v>2</v>
      </c>
      <c r="AN25" s="7879" t="s">
        <v>3</v>
      </c>
    </row>
    <row r="26" spans="1:88" s="170" customFormat="1" ht="15" customHeight="1" x14ac:dyDescent="0.15">
      <c r="A26" s="7901"/>
      <c r="B26" s="6813"/>
      <c r="C26" s="7906"/>
      <c r="D26" s="7907"/>
      <c r="E26" s="7908"/>
      <c r="F26" s="7884" t="s">
        <v>682</v>
      </c>
      <c r="G26" s="7869"/>
      <c r="H26" s="7883" t="s">
        <v>1001</v>
      </c>
      <c r="I26" s="7869"/>
      <c r="J26" s="7883" t="s">
        <v>1002</v>
      </c>
      <c r="K26" s="7869"/>
      <c r="L26" s="7884" t="s">
        <v>38</v>
      </c>
      <c r="M26" s="7869"/>
      <c r="N26" s="7884" t="s">
        <v>4</v>
      </c>
      <c r="O26" s="7869"/>
      <c r="P26" s="7884" t="s">
        <v>5</v>
      </c>
      <c r="Q26" s="7869"/>
      <c r="R26" s="7883" t="s">
        <v>1003</v>
      </c>
      <c r="S26" s="7869"/>
      <c r="T26" s="7883" t="s">
        <v>9</v>
      </c>
      <c r="U26" s="7869"/>
      <c r="V26" s="7883" t="s">
        <v>10</v>
      </c>
      <c r="W26" s="7869"/>
      <c r="X26" s="7883" t="s">
        <v>11</v>
      </c>
      <c r="Y26" s="7869"/>
      <c r="Z26" s="7883" t="s">
        <v>18</v>
      </c>
      <c r="AA26" s="7869"/>
      <c r="AB26" s="7883" t="s">
        <v>19</v>
      </c>
      <c r="AC26" s="7869"/>
      <c r="AD26" s="7883" t="s">
        <v>20</v>
      </c>
      <c r="AE26" s="7869"/>
      <c r="AF26" s="7883" t="s">
        <v>70</v>
      </c>
      <c r="AG26" s="7869"/>
      <c r="AH26" s="7883" t="s">
        <v>71</v>
      </c>
      <c r="AI26" s="7869"/>
      <c r="AJ26" s="6988" t="s">
        <v>32</v>
      </c>
      <c r="AK26" s="7885"/>
      <c r="AL26" s="6924"/>
      <c r="AM26" s="6924"/>
      <c r="AN26" s="6924"/>
    </row>
    <row r="27" spans="1:88" s="170" customFormat="1" ht="15" customHeight="1" x14ac:dyDescent="0.15">
      <c r="A27" s="7902"/>
      <c r="B27" s="7870"/>
      <c r="C27" s="1183" t="s">
        <v>26</v>
      </c>
      <c r="D27" s="1184" t="s">
        <v>22</v>
      </c>
      <c r="E27" s="1185" t="s">
        <v>27</v>
      </c>
      <c r="F27" s="1183" t="s">
        <v>22</v>
      </c>
      <c r="G27" s="1185" t="s">
        <v>27</v>
      </c>
      <c r="H27" s="1183" t="s">
        <v>22</v>
      </c>
      <c r="I27" s="1185" t="s">
        <v>27</v>
      </c>
      <c r="J27" s="1183" t="s">
        <v>22</v>
      </c>
      <c r="K27" s="1185" t="s">
        <v>27</v>
      </c>
      <c r="L27" s="1183" t="s">
        <v>22</v>
      </c>
      <c r="M27" s="1185" t="s">
        <v>27</v>
      </c>
      <c r="N27" s="1183" t="s">
        <v>22</v>
      </c>
      <c r="O27" s="1185" t="s">
        <v>27</v>
      </c>
      <c r="P27" s="1183" t="s">
        <v>22</v>
      </c>
      <c r="Q27" s="1185" t="s">
        <v>27</v>
      </c>
      <c r="R27" s="1183" t="s">
        <v>22</v>
      </c>
      <c r="S27" s="1185" t="s">
        <v>27</v>
      </c>
      <c r="T27" s="1183" t="s">
        <v>22</v>
      </c>
      <c r="U27" s="1185" t="s">
        <v>27</v>
      </c>
      <c r="V27" s="1183" t="s">
        <v>22</v>
      </c>
      <c r="W27" s="1185" t="s">
        <v>27</v>
      </c>
      <c r="X27" s="1183" t="s">
        <v>22</v>
      </c>
      <c r="Y27" s="1185" t="s">
        <v>27</v>
      </c>
      <c r="Z27" s="1183" t="s">
        <v>22</v>
      </c>
      <c r="AA27" s="1185" t="s">
        <v>27</v>
      </c>
      <c r="AB27" s="1183" t="s">
        <v>22</v>
      </c>
      <c r="AC27" s="1185" t="s">
        <v>27</v>
      </c>
      <c r="AD27" s="1183" t="s">
        <v>22</v>
      </c>
      <c r="AE27" s="1185" t="s">
        <v>27</v>
      </c>
      <c r="AF27" s="1183" t="s">
        <v>22</v>
      </c>
      <c r="AG27" s="1185" t="s">
        <v>27</v>
      </c>
      <c r="AH27" s="1183" t="s">
        <v>22</v>
      </c>
      <c r="AI27" s="1185" t="s">
        <v>27</v>
      </c>
      <c r="AJ27" s="1183" t="s">
        <v>22</v>
      </c>
      <c r="AK27" s="1186" t="s">
        <v>27</v>
      </c>
      <c r="AL27" s="7880"/>
      <c r="AM27" s="7880"/>
      <c r="AN27" s="7880"/>
    </row>
    <row r="28" spans="1:88" s="170" customFormat="1" ht="15" customHeight="1" x14ac:dyDescent="0.15">
      <c r="A28" s="7791" t="s">
        <v>1018</v>
      </c>
      <c r="B28" s="1187" t="s">
        <v>1019</v>
      </c>
      <c r="C28" s="1188">
        <f t="shared" ref="C28:C40" si="10">SUM(D28+E28)</f>
        <v>0</v>
      </c>
      <c r="D28" s="1189">
        <f t="shared" ref="D28:E30" si="11">SUM(F28+H28)</f>
        <v>0</v>
      </c>
      <c r="E28" s="1190">
        <f t="shared" si="11"/>
        <v>0</v>
      </c>
      <c r="F28" s="661"/>
      <c r="G28" s="69"/>
      <c r="H28" s="661"/>
      <c r="I28" s="1191"/>
      <c r="J28" s="1192"/>
      <c r="K28" s="1193"/>
      <c r="L28" s="1192"/>
      <c r="M28" s="1193"/>
      <c r="N28" s="1192"/>
      <c r="O28" s="1193"/>
      <c r="P28" s="1192"/>
      <c r="Q28" s="1193"/>
      <c r="R28" s="1192"/>
      <c r="S28" s="1193"/>
      <c r="T28" s="1192"/>
      <c r="U28" s="1193"/>
      <c r="V28" s="1192"/>
      <c r="W28" s="1193"/>
      <c r="X28" s="1192"/>
      <c r="Y28" s="1193"/>
      <c r="Z28" s="1192"/>
      <c r="AA28" s="1193"/>
      <c r="AB28" s="1192"/>
      <c r="AC28" s="1193"/>
      <c r="AD28" s="1192"/>
      <c r="AE28" s="1193"/>
      <c r="AF28" s="1192"/>
      <c r="AG28" s="1193"/>
      <c r="AH28" s="1194"/>
      <c r="AI28" s="1193"/>
      <c r="AJ28" s="1195"/>
      <c r="AK28" s="1196"/>
      <c r="AL28" s="1144"/>
      <c r="AM28" s="1144"/>
      <c r="AN28" s="1144"/>
      <c r="AO28" s="170" t="str">
        <f>CB28&amp;CC28&amp;CD28&amp;CE28</f>
        <v/>
      </c>
      <c r="CB28" s="2553" t="str">
        <f>IF(AND(C28&gt;0,AL28="")," * No olvide digitar la variable Reingresos. Digite Cero si no tiene.",IF(AL28&gt;C28," * La variable Reingresos no puede ser mayor al Total.",""))</f>
        <v/>
      </c>
      <c r="CC28" s="2553" t="str">
        <f>IF(AND(C28&gt;0,AM28="")," * No olvide digitar la variable Pueblos originarios.  Digite Cero si no tiene.",IF(AM28&gt;C28," * La variable Pueblos originarios no puede ser mayor al Total.",""))</f>
        <v/>
      </c>
      <c r="CD28" s="2553" t="str">
        <f t="shared" ref="CD28:CD31" si="12">IF(AND(C28&gt;0,AN28="")," * No olvide digitar la variable Migrantes. Digite Cero si no tiene.",IF(AN28&gt;C28," * La variable Migrantes no puede ser mayor al Total.",""))</f>
        <v/>
      </c>
      <c r="CE28" s="6042"/>
      <c r="CG28" s="2554">
        <f>IF(AND(C28&gt;0,AL28=""),1,IF(AL28&gt;C28,1,0))</f>
        <v>0</v>
      </c>
      <c r="CH28" s="2554">
        <f>IF(AND(C28&gt;0,AM28=""),1,IF(AM28&gt;C28,1,0))</f>
        <v>0</v>
      </c>
      <c r="CI28" s="2554">
        <f>IF(AND(C28&gt;0,AN28=""),1,IF(AN28&gt;C28,1,0))</f>
        <v>0</v>
      </c>
      <c r="CJ28" s="6042"/>
    </row>
    <row r="29" spans="1:88" s="170" customFormat="1" ht="15" customHeight="1" x14ac:dyDescent="0.15">
      <c r="A29" s="7900"/>
      <c r="B29" s="1126" t="s">
        <v>1020</v>
      </c>
      <c r="C29" s="1188">
        <f t="shared" si="10"/>
        <v>0</v>
      </c>
      <c r="D29" s="1189">
        <f t="shared" si="11"/>
        <v>0</v>
      </c>
      <c r="E29" s="1190">
        <f t="shared" si="11"/>
        <v>0</v>
      </c>
      <c r="F29" s="661"/>
      <c r="G29" s="69"/>
      <c r="H29" s="661"/>
      <c r="I29" s="1191"/>
      <c r="J29" s="1192"/>
      <c r="K29" s="1193"/>
      <c r="L29" s="1192"/>
      <c r="M29" s="1193"/>
      <c r="N29" s="1192"/>
      <c r="O29" s="1193"/>
      <c r="P29" s="1192"/>
      <c r="Q29" s="1193"/>
      <c r="R29" s="1192"/>
      <c r="S29" s="1193"/>
      <c r="T29" s="1192"/>
      <c r="U29" s="1193"/>
      <c r="V29" s="1192"/>
      <c r="W29" s="1193"/>
      <c r="X29" s="1192"/>
      <c r="Y29" s="1193"/>
      <c r="Z29" s="1192"/>
      <c r="AA29" s="1193"/>
      <c r="AB29" s="1192"/>
      <c r="AC29" s="1193"/>
      <c r="AD29" s="1192"/>
      <c r="AE29" s="1193"/>
      <c r="AF29" s="1192"/>
      <c r="AG29" s="1193"/>
      <c r="AH29" s="1162"/>
      <c r="AI29" s="1193"/>
      <c r="AJ29" s="1195"/>
      <c r="AK29" s="1197"/>
      <c r="AL29" s="62"/>
      <c r="AM29" s="62"/>
      <c r="AN29" s="62"/>
      <c r="AO29" s="170" t="str">
        <f t="shared" ref="AO29:AO40" si="13">CB29&amp;CC29&amp;CD29&amp;CE29</f>
        <v/>
      </c>
      <c r="CB29" s="2553" t="str">
        <f t="shared" ref="CB29:CB40" si="14">IF(AND(C29&gt;0,AL29="")," * No olvide digitar la variable Reingresos. Digite Cero si no tiene.",IF(AL29&gt;C29," * La variable Reingresos no puede ser mayor al Total.",""))</f>
        <v/>
      </c>
      <c r="CC29" s="2553" t="str">
        <f t="shared" ref="CC29:CC40" si="15">IF(AND(C29&gt;0,AM29="")," * No olvide digitar la variable Pueblos originarios.  Digite Cero si no tiene.",IF(AM29&gt;C29," * La variable Pueblos originarios no puede ser mayor al Total.",""))</f>
        <v/>
      </c>
      <c r="CD29" s="2553" t="str">
        <f t="shared" si="12"/>
        <v/>
      </c>
      <c r="CE29" s="6042"/>
      <c r="CG29" s="2554">
        <f t="shared" ref="CG29:CG40" si="16">IF(AND(C29&gt;0,AL29=""),1,IF(AL29&gt;C29,1,0))</f>
        <v>0</v>
      </c>
      <c r="CH29" s="2554">
        <f t="shared" ref="CH29:CH40" si="17">IF(AND(C29&gt;0,AM29=""),1,IF(AM29&gt;C29,1,0))</f>
        <v>0</v>
      </c>
      <c r="CI29" s="2554">
        <f t="shared" ref="CI29:CI40" si="18">IF(AND(C29&gt;0,AN29=""),1,IF(AN29&gt;C29,1,0))</f>
        <v>0</v>
      </c>
      <c r="CJ29" s="6042"/>
    </row>
    <row r="30" spans="1:88" s="170" customFormat="1" ht="15" customHeight="1" x14ac:dyDescent="0.15">
      <c r="A30" s="7900"/>
      <c r="B30" s="1198" t="s">
        <v>1021</v>
      </c>
      <c r="C30" s="1199">
        <f t="shared" si="10"/>
        <v>0</v>
      </c>
      <c r="D30" s="1200">
        <f t="shared" si="11"/>
        <v>0</v>
      </c>
      <c r="E30" s="1201">
        <f t="shared" si="11"/>
        <v>0</v>
      </c>
      <c r="F30" s="653"/>
      <c r="G30" s="1202"/>
      <c r="H30" s="653"/>
      <c r="I30" s="1203"/>
      <c r="J30" s="1204"/>
      <c r="K30" s="1205"/>
      <c r="L30" s="1204"/>
      <c r="M30" s="1205"/>
      <c r="N30" s="1204"/>
      <c r="O30" s="1205"/>
      <c r="P30" s="1204"/>
      <c r="Q30" s="1205"/>
      <c r="R30" s="1204"/>
      <c r="S30" s="1205"/>
      <c r="T30" s="1204"/>
      <c r="U30" s="1205"/>
      <c r="V30" s="1204"/>
      <c r="W30" s="1205"/>
      <c r="X30" s="1204"/>
      <c r="Y30" s="1205"/>
      <c r="Z30" s="1204"/>
      <c r="AA30" s="1205"/>
      <c r="AB30" s="1204"/>
      <c r="AC30" s="1205"/>
      <c r="AD30" s="1204"/>
      <c r="AE30" s="1205"/>
      <c r="AF30" s="1204"/>
      <c r="AG30" s="1205"/>
      <c r="AH30" s="1204"/>
      <c r="AI30" s="1205"/>
      <c r="AJ30" s="1206"/>
      <c r="AK30" s="1207"/>
      <c r="AL30" s="1208"/>
      <c r="AM30" s="1208"/>
      <c r="AN30" s="1208"/>
      <c r="AO30" s="170" t="str">
        <f t="shared" si="13"/>
        <v/>
      </c>
      <c r="CB30" s="2553" t="str">
        <f t="shared" si="14"/>
        <v/>
      </c>
      <c r="CC30" s="2553" t="str">
        <f t="shared" si="15"/>
        <v/>
      </c>
      <c r="CD30" s="2553" t="str">
        <f t="shared" si="12"/>
        <v/>
      </c>
      <c r="CE30" s="6042"/>
      <c r="CG30" s="2554">
        <f t="shared" si="16"/>
        <v>0</v>
      </c>
      <c r="CH30" s="2554">
        <f t="shared" si="17"/>
        <v>0</v>
      </c>
      <c r="CI30" s="2554">
        <f t="shared" si="18"/>
        <v>0</v>
      </c>
      <c r="CJ30" s="6042"/>
    </row>
    <row r="31" spans="1:88" s="170" customFormat="1" ht="15" customHeight="1" x14ac:dyDescent="0.15">
      <c r="A31" s="7889" t="s">
        <v>1022</v>
      </c>
      <c r="B31" s="1187" t="s">
        <v>1019</v>
      </c>
      <c r="C31" s="1209">
        <f t="shared" si="10"/>
        <v>0</v>
      </c>
      <c r="D31" s="1210">
        <f t="shared" ref="D31:E33" si="19">SUM(H31+J31+L31+N31+P31+R31+T31+V31+X31+Z31+AB31+AD31+AF31+AH31+AJ31)</f>
        <v>0</v>
      </c>
      <c r="E31" s="1142">
        <f t="shared" si="19"/>
        <v>0</v>
      </c>
      <c r="F31" s="1211"/>
      <c r="G31" s="1212"/>
      <c r="H31" s="1143"/>
      <c r="I31" s="1145"/>
      <c r="J31" s="1143"/>
      <c r="K31" s="1144"/>
      <c r="L31" s="1143"/>
      <c r="M31" s="1144"/>
      <c r="N31" s="1143"/>
      <c r="O31" s="1145"/>
      <c r="P31" s="1143"/>
      <c r="Q31" s="1144"/>
      <c r="R31" s="1143"/>
      <c r="S31" s="1144"/>
      <c r="T31" s="1143"/>
      <c r="U31" s="1144"/>
      <c r="V31" s="1143"/>
      <c r="W31" s="1145"/>
      <c r="X31" s="1143"/>
      <c r="Y31" s="1144"/>
      <c r="Z31" s="1143"/>
      <c r="AA31" s="1144"/>
      <c r="AB31" s="1143"/>
      <c r="AC31" s="1145"/>
      <c r="AD31" s="1143"/>
      <c r="AE31" s="1144"/>
      <c r="AF31" s="1143"/>
      <c r="AG31" s="1144"/>
      <c r="AH31" s="1143"/>
      <c r="AI31" s="1145"/>
      <c r="AJ31" s="1213"/>
      <c r="AK31" s="651"/>
      <c r="AL31" s="1144"/>
      <c r="AM31" s="1144"/>
      <c r="AN31" s="1144"/>
      <c r="AO31" s="170" t="str">
        <f t="shared" si="13"/>
        <v/>
      </c>
      <c r="CB31" s="2553" t="str">
        <f t="shared" si="14"/>
        <v/>
      </c>
      <c r="CC31" s="2553" t="str">
        <f t="shared" si="15"/>
        <v/>
      </c>
      <c r="CD31" s="2553" t="str">
        <f t="shared" si="12"/>
        <v/>
      </c>
      <c r="CE31" s="6042"/>
      <c r="CG31" s="2554">
        <f t="shared" si="16"/>
        <v>0</v>
      </c>
      <c r="CH31" s="2554">
        <f t="shared" si="17"/>
        <v>0</v>
      </c>
      <c r="CI31" s="2554">
        <f t="shared" si="18"/>
        <v>0</v>
      </c>
      <c r="CJ31" s="6042"/>
    </row>
    <row r="32" spans="1:88" s="170" customFormat="1" ht="15" customHeight="1" x14ac:dyDescent="0.15">
      <c r="A32" s="7890"/>
      <c r="B32" s="1126" t="s">
        <v>1020</v>
      </c>
      <c r="C32" s="1188">
        <f t="shared" si="10"/>
        <v>0</v>
      </c>
      <c r="D32" s="1189">
        <f t="shared" si="19"/>
        <v>0</v>
      </c>
      <c r="E32" s="1190">
        <f t="shared" si="19"/>
        <v>0</v>
      </c>
      <c r="F32" s="1214"/>
      <c r="G32" s="1215"/>
      <c r="H32" s="1152"/>
      <c r="I32" s="1191"/>
      <c r="J32" s="661"/>
      <c r="K32" s="69"/>
      <c r="L32" s="661"/>
      <c r="M32" s="69"/>
      <c r="N32" s="661"/>
      <c r="O32" s="1191"/>
      <c r="P32" s="661"/>
      <c r="Q32" s="69"/>
      <c r="R32" s="661"/>
      <c r="S32" s="69"/>
      <c r="T32" s="661"/>
      <c r="U32" s="69"/>
      <c r="V32" s="661"/>
      <c r="W32" s="1191"/>
      <c r="X32" s="661"/>
      <c r="Y32" s="69"/>
      <c r="Z32" s="661"/>
      <c r="AA32" s="69"/>
      <c r="AB32" s="661"/>
      <c r="AC32" s="1191"/>
      <c r="AD32" s="661"/>
      <c r="AE32" s="69"/>
      <c r="AF32" s="661"/>
      <c r="AG32" s="69"/>
      <c r="AH32" s="661"/>
      <c r="AI32" s="1191"/>
      <c r="AJ32" s="1216"/>
      <c r="AK32" s="1217"/>
      <c r="AL32" s="62"/>
      <c r="AM32" s="62"/>
      <c r="AN32" s="62"/>
      <c r="AO32" s="170" t="str">
        <f t="shared" si="13"/>
        <v/>
      </c>
      <c r="CB32" s="2553" t="str">
        <f t="shared" si="14"/>
        <v/>
      </c>
      <c r="CC32" s="2553" t="str">
        <f t="shared" si="15"/>
        <v/>
      </c>
      <c r="CD32" s="2553" t="str">
        <f>IF(AND(C32&gt;0,AN32="")," * No olvide digitar la variable Migrantes. Digite Cero si no tiene.",IF(AN32&gt;C32," * La variable Migrantes no puede ser mayor al Total.",""))</f>
        <v/>
      </c>
      <c r="CE32" s="6042"/>
      <c r="CG32" s="2554">
        <f t="shared" si="16"/>
        <v>0</v>
      </c>
      <c r="CH32" s="2554">
        <f t="shared" si="17"/>
        <v>0</v>
      </c>
      <c r="CI32" s="2554">
        <f t="shared" si="18"/>
        <v>0</v>
      </c>
      <c r="CJ32" s="6042"/>
    </row>
    <row r="33" spans="1:88" s="170" customFormat="1" ht="15" customHeight="1" x14ac:dyDescent="0.15">
      <c r="A33" s="7891"/>
      <c r="B33" s="1218" t="s">
        <v>1021</v>
      </c>
      <c r="C33" s="1199">
        <f t="shared" si="10"/>
        <v>0</v>
      </c>
      <c r="D33" s="1200">
        <f t="shared" si="19"/>
        <v>0</v>
      </c>
      <c r="E33" s="1190">
        <f t="shared" si="19"/>
        <v>0</v>
      </c>
      <c r="F33" s="1214"/>
      <c r="G33" s="1219"/>
      <c r="H33" s="64"/>
      <c r="I33" s="1172"/>
      <c r="J33" s="64"/>
      <c r="K33" s="1172"/>
      <c r="L33" s="64"/>
      <c r="M33" s="1172"/>
      <c r="N33" s="64"/>
      <c r="O33" s="1172"/>
      <c r="P33" s="64"/>
      <c r="Q33" s="1172"/>
      <c r="R33" s="64"/>
      <c r="S33" s="1172"/>
      <c r="T33" s="64"/>
      <c r="U33" s="1172"/>
      <c r="V33" s="64"/>
      <c r="W33" s="1172"/>
      <c r="X33" s="64"/>
      <c r="Y33" s="1172"/>
      <c r="Z33" s="64"/>
      <c r="AA33" s="1172"/>
      <c r="AB33" s="64"/>
      <c r="AC33" s="1172"/>
      <c r="AD33" s="64"/>
      <c r="AE33" s="1172"/>
      <c r="AF33" s="64"/>
      <c r="AG33" s="1172"/>
      <c r="AH33" s="64"/>
      <c r="AI33" s="1172"/>
      <c r="AJ33" s="1220"/>
      <c r="AK33" s="657"/>
      <c r="AL33" s="65"/>
      <c r="AM33" s="65"/>
      <c r="AN33" s="65"/>
      <c r="AO33" s="170" t="str">
        <f t="shared" si="13"/>
        <v/>
      </c>
      <c r="CB33" s="2553" t="str">
        <f t="shared" si="14"/>
        <v/>
      </c>
      <c r="CC33" s="2553" t="str">
        <f t="shared" si="15"/>
        <v/>
      </c>
      <c r="CD33" s="2553" t="str">
        <f t="shared" ref="CD33:CD40" si="20">IF(AND(C33&gt;0,AN33="")," * No olvide digitar la variable Migrantes. Digite Cero si no tiene.",IF(AN33&gt;C33," * La variable Migrantes no puede ser mayor al Total.",""))</f>
        <v/>
      </c>
      <c r="CE33" s="6042"/>
      <c r="CG33" s="2554">
        <f t="shared" si="16"/>
        <v>0</v>
      </c>
      <c r="CH33" s="2554">
        <f t="shared" si="17"/>
        <v>0</v>
      </c>
      <c r="CI33" s="2554">
        <f t="shared" si="18"/>
        <v>0</v>
      </c>
      <c r="CJ33" s="6042"/>
    </row>
    <row r="34" spans="1:88" s="170" customFormat="1" ht="15" customHeight="1" x14ac:dyDescent="0.15">
      <c r="A34" s="7892" t="s">
        <v>1023</v>
      </c>
      <c r="B34" s="1187" t="s">
        <v>1024</v>
      </c>
      <c r="C34" s="1209">
        <f t="shared" si="10"/>
        <v>0</v>
      </c>
      <c r="D34" s="1210">
        <f>SUM(T34+V34+X34+Z34+AB34+AD34+AF34+AH34+AJ34)</f>
        <v>0</v>
      </c>
      <c r="E34" s="1142">
        <f>SUM(U34+W34+Y34+AA34+AC34+AE34+AG34+AI34+AK34)</f>
        <v>0</v>
      </c>
      <c r="F34" s="1221"/>
      <c r="G34" s="1222"/>
      <c r="H34" s="1221"/>
      <c r="I34" s="1222"/>
      <c r="J34" s="1221"/>
      <c r="K34" s="1222"/>
      <c r="L34" s="1221"/>
      <c r="M34" s="1222"/>
      <c r="N34" s="1221"/>
      <c r="O34" s="1222"/>
      <c r="P34" s="1221"/>
      <c r="Q34" s="1222"/>
      <c r="R34" s="1221"/>
      <c r="S34" s="1222"/>
      <c r="T34" s="1143"/>
      <c r="U34" s="1145"/>
      <c r="V34" s="1143"/>
      <c r="W34" s="1145"/>
      <c r="X34" s="1143"/>
      <c r="Y34" s="1145"/>
      <c r="Z34" s="1143"/>
      <c r="AA34" s="1145"/>
      <c r="AB34" s="1143"/>
      <c r="AC34" s="1145"/>
      <c r="AD34" s="1143"/>
      <c r="AE34" s="1145"/>
      <c r="AF34" s="1143"/>
      <c r="AG34" s="1145"/>
      <c r="AH34" s="1143"/>
      <c r="AI34" s="1145"/>
      <c r="AJ34" s="1213"/>
      <c r="AK34" s="651"/>
      <c r="AL34" s="1144"/>
      <c r="AM34" s="1144"/>
      <c r="AN34" s="1144"/>
      <c r="AO34" s="170" t="str">
        <f t="shared" si="13"/>
        <v/>
      </c>
      <c r="CB34" s="2553" t="str">
        <f t="shared" si="14"/>
        <v/>
      </c>
      <c r="CC34" s="2553" t="str">
        <f t="shared" si="15"/>
        <v/>
      </c>
      <c r="CD34" s="2553" t="str">
        <f t="shared" si="20"/>
        <v/>
      </c>
      <c r="CE34" s="6042"/>
      <c r="CG34" s="2554">
        <f t="shared" si="16"/>
        <v>0</v>
      </c>
      <c r="CH34" s="2554">
        <f t="shared" si="17"/>
        <v>0</v>
      </c>
      <c r="CI34" s="2554">
        <f t="shared" si="18"/>
        <v>0</v>
      </c>
      <c r="CJ34" s="6042"/>
    </row>
    <row r="35" spans="1:88" s="170" customFormat="1" ht="15" customHeight="1" x14ac:dyDescent="0.15">
      <c r="A35" s="7893"/>
      <c r="B35" s="1218" t="s">
        <v>1025</v>
      </c>
      <c r="C35" s="1223">
        <f t="shared" si="10"/>
        <v>0</v>
      </c>
      <c r="D35" s="1224">
        <f t="shared" ref="D35:E40" si="21">SUM(F35+H35+J35+L35+N35+P35+R35+T35+V35+X35+Z35+AB35+AD35+AF35+AH35+AJ35)</f>
        <v>0</v>
      </c>
      <c r="E35" s="1171">
        <f t="shared" si="21"/>
        <v>0</v>
      </c>
      <c r="F35" s="1225"/>
      <c r="G35" s="1226"/>
      <c r="H35" s="1225"/>
      <c r="I35" s="1226"/>
      <c r="J35" s="1225"/>
      <c r="K35" s="1226"/>
      <c r="L35" s="1225"/>
      <c r="M35" s="1226"/>
      <c r="N35" s="1225"/>
      <c r="O35" s="1226"/>
      <c r="P35" s="1225"/>
      <c r="Q35" s="1226"/>
      <c r="R35" s="1225"/>
      <c r="S35" s="1226"/>
      <c r="T35" s="64"/>
      <c r="U35" s="1172"/>
      <c r="V35" s="64"/>
      <c r="W35" s="1172"/>
      <c r="X35" s="64"/>
      <c r="Y35" s="1172"/>
      <c r="Z35" s="64"/>
      <c r="AA35" s="1172"/>
      <c r="AB35" s="64"/>
      <c r="AC35" s="1172"/>
      <c r="AD35" s="64"/>
      <c r="AE35" s="1172"/>
      <c r="AF35" s="64"/>
      <c r="AG35" s="1172"/>
      <c r="AH35" s="64"/>
      <c r="AI35" s="1172"/>
      <c r="AJ35" s="1220"/>
      <c r="AK35" s="657"/>
      <c r="AL35" s="65"/>
      <c r="AM35" s="65"/>
      <c r="AN35" s="65"/>
      <c r="AO35" s="170" t="str">
        <f t="shared" si="13"/>
        <v/>
      </c>
      <c r="CB35" s="2553" t="str">
        <f t="shared" si="14"/>
        <v/>
      </c>
      <c r="CC35" s="2553" t="str">
        <f t="shared" si="15"/>
        <v/>
      </c>
      <c r="CD35" s="2553" t="str">
        <f t="shared" si="20"/>
        <v/>
      </c>
      <c r="CE35" s="6042"/>
      <c r="CG35" s="2554">
        <f t="shared" si="16"/>
        <v>0</v>
      </c>
      <c r="CH35" s="2554">
        <f t="shared" si="17"/>
        <v>0</v>
      </c>
      <c r="CI35" s="2554">
        <f t="shared" si="18"/>
        <v>0</v>
      </c>
      <c r="CJ35" s="6042"/>
    </row>
    <row r="36" spans="1:88" s="170" customFormat="1" ht="15" customHeight="1" x14ac:dyDescent="0.15">
      <c r="A36" s="7894" t="s">
        <v>1026</v>
      </c>
      <c r="B36" s="7895"/>
      <c r="C36" s="1227">
        <f t="shared" si="10"/>
        <v>0</v>
      </c>
      <c r="D36" s="1228">
        <f t="shared" si="21"/>
        <v>0</v>
      </c>
      <c r="E36" s="1190">
        <f t="shared" si="21"/>
        <v>0</v>
      </c>
      <c r="F36" s="661"/>
      <c r="G36" s="69"/>
      <c r="H36" s="661"/>
      <c r="I36" s="1191"/>
      <c r="J36" s="661"/>
      <c r="K36" s="1191"/>
      <c r="L36" s="661"/>
      <c r="M36" s="1191"/>
      <c r="N36" s="661"/>
      <c r="O36" s="1191"/>
      <c r="P36" s="661"/>
      <c r="Q36" s="1191"/>
      <c r="R36" s="661"/>
      <c r="S36" s="1191"/>
      <c r="T36" s="661"/>
      <c r="U36" s="1191"/>
      <c r="V36" s="661"/>
      <c r="W36" s="1191"/>
      <c r="X36" s="661"/>
      <c r="Y36" s="1191"/>
      <c r="Z36" s="661"/>
      <c r="AA36" s="1191"/>
      <c r="AB36" s="661"/>
      <c r="AC36" s="1191"/>
      <c r="AD36" s="661"/>
      <c r="AE36" s="1191"/>
      <c r="AF36" s="661"/>
      <c r="AG36" s="1191"/>
      <c r="AH36" s="661"/>
      <c r="AI36" s="1191"/>
      <c r="AJ36" s="1216"/>
      <c r="AK36" s="1217"/>
      <c r="AL36" s="69"/>
      <c r="AM36" s="69"/>
      <c r="AN36" s="69"/>
      <c r="AO36" s="170" t="str">
        <f t="shared" si="13"/>
        <v/>
      </c>
      <c r="CB36" s="2553" t="str">
        <f t="shared" si="14"/>
        <v/>
      </c>
      <c r="CC36" s="2553" t="str">
        <f t="shared" si="15"/>
        <v/>
      </c>
      <c r="CD36" s="2553" t="str">
        <f t="shared" si="20"/>
        <v/>
      </c>
      <c r="CE36" s="6042"/>
      <c r="CG36" s="2554">
        <f t="shared" si="16"/>
        <v>0</v>
      </c>
      <c r="CH36" s="2554">
        <f t="shared" si="17"/>
        <v>0</v>
      </c>
      <c r="CI36" s="2554">
        <f t="shared" si="18"/>
        <v>0</v>
      </c>
      <c r="CJ36" s="6042"/>
    </row>
    <row r="37" spans="1:88" s="170" customFormat="1" ht="15" customHeight="1" x14ac:dyDescent="0.15">
      <c r="A37" s="7896" t="s">
        <v>1027</v>
      </c>
      <c r="B37" s="7897"/>
      <c r="C37" s="1229">
        <f t="shared" si="10"/>
        <v>0</v>
      </c>
      <c r="D37" s="1230">
        <f t="shared" si="21"/>
        <v>0</v>
      </c>
      <c r="E37" s="1151">
        <f t="shared" si="21"/>
        <v>0</v>
      </c>
      <c r="F37" s="1152"/>
      <c r="G37" s="62"/>
      <c r="H37" s="1152"/>
      <c r="I37" s="1153"/>
      <c r="J37" s="1152"/>
      <c r="K37" s="1153"/>
      <c r="L37" s="1152"/>
      <c r="M37" s="1153"/>
      <c r="N37" s="1152"/>
      <c r="O37" s="1153"/>
      <c r="P37" s="1152"/>
      <c r="Q37" s="1153"/>
      <c r="R37" s="1152"/>
      <c r="S37" s="1153"/>
      <c r="T37" s="1152"/>
      <c r="U37" s="1153"/>
      <c r="V37" s="1152"/>
      <c r="W37" s="1153"/>
      <c r="X37" s="1152"/>
      <c r="Y37" s="1153"/>
      <c r="Z37" s="1152"/>
      <c r="AA37" s="1153"/>
      <c r="AB37" s="1152"/>
      <c r="AC37" s="1153"/>
      <c r="AD37" s="1152"/>
      <c r="AE37" s="1153"/>
      <c r="AF37" s="1152"/>
      <c r="AG37" s="1153"/>
      <c r="AH37" s="1152"/>
      <c r="AI37" s="1153"/>
      <c r="AJ37" s="1231"/>
      <c r="AK37" s="1156"/>
      <c r="AL37" s="62"/>
      <c r="AM37" s="62"/>
      <c r="AN37" s="62"/>
      <c r="AO37" s="170" t="str">
        <f t="shared" si="13"/>
        <v/>
      </c>
      <c r="CB37" s="2553" t="str">
        <f t="shared" si="14"/>
        <v/>
      </c>
      <c r="CC37" s="2553" t="str">
        <f t="shared" si="15"/>
        <v/>
      </c>
      <c r="CD37" s="2553" t="str">
        <f t="shared" si="20"/>
        <v/>
      </c>
      <c r="CE37" s="6042"/>
      <c r="CG37" s="2554">
        <f t="shared" si="16"/>
        <v>0</v>
      </c>
      <c r="CH37" s="2554">
        <f t="shared" si="17"/>
        <v>0</v>
      </c>
      <c r="CI37" s="2554">
        <f t="shared" si="18"/>
        <v>0</v>
      </c>
      <c r="CJ37" s="6042"/>
    </row>
    <row r="38" spans="1:88" s="170" customFormat="1" ht="15" customHeight="1" x14ac:dyDescent="0.15">
      <c r="A38" s="7898" t="s">
        <v>1028</v>
      </c>
      <c r="B38" s="7027"/>
      <c r="C38" s="1232">
        <f t="shared" si="10"/>
        <v>0</v>
      </c>
      <c r="D38" s="1233">
        <f t="shared" si="21"/>
        <v>0</v>
      </c>
      <c r="E38" s="1151">
        <f t="shared" si="21"/>
        <v>0</v>
      </c>
      <c r="F38" s="1152"/>
      <c r="G38" s="62"/>
      <c r="H38" s="1152"/>
      <c r="I38" s="1153"/>
      <c r="J38" s="1152"/>
      <c r="K38" s="1153"/>
      <c r="L38" s="1152"/>
      <c r="M38" s="1153"/>
      <c r="N38" s="1152"/>
      <c r="O38" s="1153"/>
      <c r="P38" s="1152"/>
      <c r="Q38" s="1153"/>
      <c r="R38" s="1152"/>
      <c r="S38" s="1153"/>
      <c r="T38" s="1152"/>
      <c r="U38" s="1153"/>
      <c r="V38" s="1152"/>
      <c r="W38" s="1153"/>
      <c r="X38" s="1152"/>
      <c r="Y38" s="1153"/>
      <c r="Z38" s="1152"/>
      <c r="AA38" s="1153"/>
      <c r="AB38" s="1152"/>
      <c r="AC38" s="1153"/>
      <c r="AD38" s="1152"/>
      <c r="AE38" s="1153"/>
      <c r="AF38" s="1152"/>
      <c r="AG38" s="1153"/>
      <c r="AH38" s="1152"/>
      <c r="AI38" s="1153"/>
      <c r="AJ38" s="1231"/>
      <c r="AK38" s="1156"/>
      <c r="AL38" s="62"/>
      <c r="AM38" s="62"/>
      <c r="AN38" s="62"/>
      <c r="AO38" s="170" t="str">
        <f t="shared" si="13"/>
        <v/>
      </c>
      <c r="CB38" s="2553" t="str">
        <f t="shared" si="14"/>
        <v/>
      </c>
      <c r="CC38" s="2553" t="str">
        <f t="shared" si="15"/>
        <v/>
      </c>
      <c r="CD38" s="2553" t="str">
        <f t="shared" si="20"/>
        <v/>
      </c>
      <c r="CE38" s="6042"/>
      <c r="CG38" s="2554">
        <f t="shared" si="16"/>
        <v>0</v>
      </c>
      <c r="CH38" s="2554">
        <f t="shared" si="17"/>
        <v>0</v>
      </c>
      <c r="CI38" s="2554">
        <f t="shared" si="18"/>
        <v>0</v>
      </c>
      <c r="CJ38" s="6042"/>
    </row>
    <row r="39" spans="1:88" s="170" customFormat="1" ht="15" customHeight="1" x14ac:dyDescent="0.15">
      <c r="A39" s="7899" t="s">
        <v>1029</v>
      </c>
      <c r="B39" s="7897"/>
      <c r="C39" s="1229">
        <f t="shared" si="10"/>
        <v>0</v>
      </c>
      <c r="D39" s="1230">
        <f t="shared" si="21"/>
        <v>0</v>
      </c>
      <c r="E39" s="1151">
        <f t="shared" si="21"/>
        <v>0</v>
      </c>
      <c r="F39" s="1152"/>
      <c r="G39" s="62"/>
      <c r="H39" s="1152"/>
      <c r="I39" s="1153"/>
      <c r="J39" s="1152"/>
      <c r="K39" s="1153"/>
      <c r="L39" s="1152"/>
      <c r="M39" s="1153"/>
      <c r="N39" s="1152"/>
      <c r="O39" s="1153"/>
      <c r="P39" s="1152"/>
      <c r="Q39" s="1153"/>
      <c r="R39" s="1152"/>
      <c r="S39" s="1153"/>
      <c r="T39" s="1152"/>
      <c r="U39" s="1153"/>
      <c r="V39" s="1152"/>
      <c r="W39" s="1153"/>
      <c r="X39" s="1152"/>
      <c r="Y39" s="1153"/>
      <c r="Z39" s="1152"/>
      <c r="AA39" s="1153"/>
      <c r="AB39" s="1152"/>
      <c r="AC39" s="1153"/>
      <c r="AD39" s="1152"/>
      <c r="AE39" s="1153"/>
      <c r="AF39" s="1152"/>
      <c r="AG39" s="1153"/>
      <c r="AH39" s="1152"/>
      <c r="AI39" s="1153"/>
      <c r="AJ39" s="1231"/>
      <c r="AK39" s="1156"/>
      <c r="AL39" s="62"/>
      <c r="AM39" s="62"/>
      <c r="AN39" s="62"/>
      <c r="AO39" s="170" t="str">
        <f t="shared" si="13"/>
        <v/>
      </c>
      <c r="CB39" s="2553" t="str">
        <f t="shared" si="14"/>
        <v/>
      </c>
      <c r="CC39" s="2553" t="str">
        <f t="shared" si="15"/>
        <v/>
      </c>
      <c r="CD39" s="2553" t="str">
        <f t="shared" si="20"/>
        <v/>
      </c>
      <c r="CE39" s="6042"/>
      <c r="CG39" s="2554">
        <f t="shared" si="16"/>
        <v>0</v>
      </c>
      <c r="CH39" s="2554">
        <f t="shared" si="17"/>
        <v>0</v>
      </c>
      <c r="CI39" s="2554">
        <f t="shared" si="18"/>
        <v>0</v>
      </c>
      <c r="CJ39" s="6042"/>
    </row>
    <row r="40" spans="1:88" s="170" customFormat="1" ht="15" customHeight="1" x14ac:dyDescent="0.15">
      <c r="A40" s="7909" t="s">
        <v>1030</v>
      </c>
      <c r="B40" s="7910"/>
      <c r="C40" s="1234">
        <f t="shared" si="10"/>
        <v>0</v>
      </c>
      <c r="D40" s="1235">
        <f t="shared" si="21"/>
        <v>0</v>
      </c>
      <c r="E40" s="1151">
        <f t="shared" si="21"/>
        <v>0</v>
      </c>
      <c r="F40" s="64"/>
      <c r="G40" s="65"/>
      <c r="H40" s="64"/>
      <c r="I40" s="1172"/>
      <c r="J40" s="64"/>
      <c r="K40" s="1172"/>
      <c r="L40" s="64"/>
      <c r="M40" s="1172"/>
      <c r="N40" s="64"/>
      <c r="O40" s="1172"/>
      <c r="P40" s="64"/>
      <c r="Q40" s="1172"/>
      <c r="R40" s="64"/>
      <c r="S40" s="1172"/>
      <c r="T40" s="64"/>
      <c r="U40" s="1172"/>
      <c r="V40" s="64"/>
      <c r="W40" s="1172"/>
      <c r="X40" s="64"/>
      <c r="Y40" s="1172"/>
      <c r="Z40" s="64"/>
      <c r="AA40" s="1172"/>
      <c r="AB40" s="64"/>
      <c r="AC40" s="1172"/>
      <c r="AD40" s="64"/>
      <c r="AE40" s="1172"/>
      <c r="AF40" s="64"/>
      <c r="AG40" s="1172"/>
      <c r="AH40" s="64"/>
      <c r="AI40" s="1172"/>
      <c r="AJ40" s="1220"/>
      <c r="AK40" s="657"/>
      <c r="AL40" s="65"/>
      <c r="AM40" s="65"/>
      <c r="AN40" s="65"/>
      <c r="AO40" s="170" t="str">
        <f t="shared" si="13"/>
        <v/>
      </c>
      <c r="CB40" s="2553" t="str">
        <f t="shared" si="14"/>
        <v/>
      </c>
      <c r="CC40" s="2553" t="str">
        <f t="shared" si="15"/>
        <v/>
      </c>
      <c r="CD40" s="2553" t="str">
        <f t="shared" si="20"/>
        <v/>
      </c>
      <c r="CE40" s="6042"/>
      <c r="CG40" s="2554">
        <f t="shared" si="16"/>
        <v>0</v>
      </c>
      <c r="CH40" s="2554">
        <f t="shared" si="17"/>
        <v>0</v>
      </c>
      <c r="CI40" s="2554">
        <f t="shared" si="18"/>
        <v>0</v>
      </c>
      <c r="CJ40" s="6042"/>
    </row>
    <row r="41" spans="1:88" s="170" customFormat="1" ht="15" customHeight="1" x14ac:dyDescent="0.15">
      <c r="A41" s="7911" t="s">
        <v>24</v>
      </c>
      <c r="B41" s="7911"/>
      <c r="C41" s="1177">
        <f t="shared" ref="C41:AL41" si="22">SUM(C28:C40)</f>
        <v>0</v>
      </c>
      <c r="D41" s="2555">
        <f t="shared" si="22"/>
        <v>0</v>
      </c>
      <c r="E41" s="1178">
        <f t="shared" si="22"/>
        <v>0</v>
      </c>
      <c r="F41" s="1177">
        <f t="shared" si="22"/>
        <v>0</v>
      </c>
      <c r="G41" s="1178">
        <f t="shared" si="22"/>
        <v>0</v>
      </c>
      <c r="H41" s="1177">
        <f t="shared" si="22"/>
        <v>0</v>
      </c>
      <c r="I41" s="1178">
        <f t="shared" si="22"/>
        <v>0</v>
      </c>
      <c r="J41" s="1177">
        <f t="shared" si="22"/>
        <v>0</v>
      </c>
      <c r="K41" s="1178">
        <f t="shared" si="22"/>
        <v>0</v>
      </c>
      <c r="L41" s="2556">
        <f t="shared" si="22"/>
        <v>0</v>
      </c>
      <c r="M41" s="1179">
        <f t="shared" si="22"/>
        <v>0</v>
      </c>
      <c r="N41" s="2556">
        <f t="shared" si="22"/>
        <v>0</v>
      </c>
      <c r="O41" s="1179">
        <f t="shared" si="22"/>
        <v>0</v>
      </c>
      <c r="P41" s="2557">
        <f t="shared" si="22"/>
        <v>0</v>
      </c>
      <c r="Q41" s="1179">
        <f t="shared" si="22"/>
        <v>0</v>
      </c>
      <c r="R41" s="2556">
        <f t="shared" si="22"/>
        <v>0</v>
      </c>
      <c r="S41" s="1179">
        <f t="shared" si="22"/>
        <v>0</v>
      </c>
      <c r="T41" s="1177">
        <f t="shared" si="22"/>
        <v>0</v>
      </c>
      <c r="U41" s="1236">
        <f t="shared" si="22"/>
        <v>0</v>
      </c>
      <c r="V41" s="1177">
        <f t="shared" si="22"/>
        <v>0</v>
      </c>
      <c r="W41" s="1236">
        <f t="shared" si="22"/>
        <v>0</v>
      </c>
      <c r="X41" s="1177">
        <f t="shared" si="22"/>
        <v>0</v>
      </c>
      <c r="Y41" s="1236">
        <f t="shared" si="22"/>
        <v>0</v>
      </c>
      <c r="Z41" s="2556">
        <f t="shared" si="22"/>
        <v>0</v>
      </c>
      <c r="AA41" s="1179">
        <f t="shared" si="22"/>
        <v>0</v>
      </c>
      <c r="AB41" s="2556">
        <f t="shared" si="22"/>
        <v>0</v>
      </c>
      <c r="AC41" s="1179">
        <f t="shared" si="22"/>
        <v>0</v>
      </c>
      <c r="AD41" s="2557">
        <f t="shared" si="22"/>
        <v>0</v>
      </c>
      <c r="AE41" s="1179">
        <f t="shared" si="22"/>
        <v>0</v>
      </c>
      <c r="AF41" s="2556">
        <f t="shared" si="22"/>
        <v>0</v>
      </c>
      <c r="AG41" s="1179">
        <f t="shared" si="22"/>
        <v>0</v>
      </c>
      <c r="AH41" s="2556">
        <f t="shared" si="22"/>
        <v>0</v>
      </c>
      <c r="AI41" s="1179">
        <f t="shared" si="22"/>
        <v>0</v>
      </c>
      <c r="AJ41" s="2556">
        <f t="shared" si="22"/>
        <v>0</v>
      </c>
      <c r="AK41" s="1182">
        <f t="shared" si="22"/>
        <v>0</v>
      </c>
      <c r="AL41" s="1180">
        <f t="shared" si="22"/>
        <v>0</v>
      </c>
      <c r="AM41" s="2555">
        <f>SUM(AM28:AM40)</f>
        <v>0</v>
      </c>
      <c r="AN41" s="1179">
        <f>SUM(AN28:AN40)</f>
        <v>0</v>
      </c>
    </row>
    <row r="42" spans="1:88" s="1134" customFormat="1" ht="18" customHeight="1" x14ac:dyDescent="0.15">
      <c r="A42" s="14" t="s">
        <v>1031</v>
      </c>
    </row>
    <row r="43" spans="1:88" s="170" customFormat="1" ht="15" customHeight="1" x14ac:dyDescent="0.15">
      <c r="A43" s="7912" t="s">
        <v>1016</v>
      </c>
      <c r="B43" s="7915" t="s">
        <v>24</v>
      </c>
      <c r="C43" s="7916"/>
      <c r="D43" s="7917"/>
      <c r="E43" s="7921" t="s">
        <v>30</v>
      </c>
      <c r="F43" s="7922"/>
      <c r="G43" s="7922"/>
      <c r="H43" s="7922"/>
      <c r="I43" s="7922"/>
      <c r="J43" s="7922"/>
      <c r="K43" s="7922"/>
      <c r="L43" s="7922"/>
      <c r="M43" s="7922"/>
      <c r="N43" s="7922"/>
      <c r="O43" s="7922"/>
      <c r="P43" s="7922"/>
      <c r="Q43" s="7922"/>
      <c r="R43" s="7922"/>
      <c r="S43" s="7922"/>
      <c r="T43" s="7922"/>
      <c r="U43" s="7922"/>
      <c r="V43" s="7922"/>
      <c r="W43" s="7922"/>
      <c r="X43" s="7922"/>
      <c r="Y43" s="7922"/>
      <c r="Z43" s="7922"/>
      <c r="AA43" s="7922"/>
      <c r="AB43" s="7922"/>
      <c r="AC43" s="7922"/>
      <c r="AD43" s="7922"/>
      <c r="AE43" s="7922"/>
      <c r="AF43" s="7922"/>
      <c r="AG43" s="7922"/>
      <c r="AH43" s="7922"/>
      <c r="AI43" s="7922"/>
      <c r="AJ43" s="7923"/>
      <c r="AK43" s="7924" t="s">
        <v>1032</v>
      </c>
      <c r="AL43" s="7925"/>
    </row>
    <row r="44" spans="1:88" s="170" customFormat="1" ht="15" customHeight="1" x14ac:dyDescent="0.15">
      <c r="A44" s="7913"/>
      <c r="B44" s="7918"/>
      <c r="C44" s="7919"/>
      <c r="D44" s="7920"/>
      <c r="E44" s="7884" t="s">
        <v>682</v>
      </c>
      <c r="F44" s="7869"/>
      <c r="G44" s="7883" t="s">
        <v>1001</v>
      </c>
      <c r="H44" s="7869"/>
      <c r="I44" s="7883" t="s">
        <v>1002</v>
      </c>
      <c r="J44" s="7869"/>
      <c r="K44" s="7883" t="s">
        <v>38</v>
      </c>
      <c r="L44" s="7869"/>
      <c r="M44" s="7883" t="s">
        <v>4</v>
      </c>
      <c r="N44" s="7869"/>
      <c r="O44" s="7883" t="s">
        <v>5</v>
      </c>
      <c r="P44" s="7869"/>
      <c r="Q44" s="7883" t="s">
        <v>1003</v>
      </c>
      <c r="R44" s="7869"/>
      <c r="S44" s="7883" t="s">
        <v>9</v>
      </c>
      <c r="T44" s="7869"/>
      <c r="U44" s="7883" t="s">
        <v>10</v>
      </c>
      <c r="V44" s="7869"/>
      <c r="W44" s="7883" t="s">
        <v>11</v>
      </c>
      <c r="X44" s="7869"/>
      <c r="Y44" s="7883" t="s">
        <v>18</v>
      </c>
      <c r="Z44" s="7869"/>
      <c r="AA44" s="7883" t="s">
        <v>19</v>
      </c>
      <c r="AB44" s="7869"/>
      <c r="AC44" s="7883" t="s">
        <v>20</v>
      </c>
      <c r="AD44" s="7869"/>
      <c r="AE44" s="7883" t="s">
        <v>70</v>
      </c>
      <c r="AF44" s="7869"/>
      <c r="AG44" s="7883" t="s">
        <v>71</v>
      </c>
      <c r="AH44" s="7869"/>
      <c r="AI44" s="6988" t="s">
        <v>32</v>
      </c>
      <c r="AJ44" s="7929"/>
      <c r="AK44" s="7926"/>
      <c r="AL44" s="7927"/>
    </row>
    <row r="45" spans="1:88" s="170" customFormat="1" ht="15" customHeight="1" x14ac:dyDescent="0.15">
      <c r="A45" s="7914"/>
      <c r="B45" s="4967" t="s">
        <v>26</v>
      </c>
      <c r="C45" s="4968" t="s">
        <v>22</v>
      </c>
      <c r="D45" s="2558" t="s">
        <v>27</v>
      </c>
      <c r="E45" s="1183" t="s">
        <v>22</v>
      </c>
      <c r="F45" s="1185" t="s">
        <v>27</v>
      </c>
      <c r="G45" s="1183" t="s">
        <v>22</v>
      </c>
      <c r="H45" s="1185" t="s">
        <v>27</v>
      </c>
      <c r="I45" s="1183" t="s">
        <v>22</v>
      </c>
      <c r="J45" s="1185" t="s">
        <v>27</v>
      </c>
      <c r="K45" s="1183" t="s">
        <v>22</v>
      </c>
      <c r="L45" s="1185" t="s">
        <v>27</v>
      </c>
      <c r="M45" s="1183" t="s">
        <v>22</v>
      </c>
      <c r="N45" s="1185" t="s">
        <v>27</v>
      </c>
      <c r="O45" s="1183" t="s">
        <v>22</v>
      </c>
      <c r="P45" s="1185" t="s">
        <v>27</v>
      </c>
      <c r="Q45" s="1183" t="s">
        <v>22</v>
      </c>
      <c r="R45" s="1185" t="s">
        <v>27</v>
      </c>
      <c r="S45" s="1183" t="s">
        <v>22</v>
      </c>
      <c r="T45" s="1185" t="s">
        <v>27</v>
      </c>
      <c r="U45" s="1183" t="s">
        <v>22</v>
      </c>
      <c r="V45" s="1185" t="s">
        <v>27</v>
      </c>
      <c r="W45" s="1183" t="s">
        <v>22</v>
      </c>
      <c r="X45" s="1185" t="s">
        <v>27</v>
      </c>
      <c r="Y45" s="1183" t="s">
        <v>22</v>
      </c>
      <c r="Z45" s="1185" t="s">
        <v>27</v>
      </c>
      <c r="AA45" s="1183" t="s">
        <v>22</v>
      </c>
      <c r="AB45" s="1185" t="s">
        <v>27</v>
      </c>
      <c r="AC45" s="1183" t="s">
        <v>22</v>
      </c>
      <c r="AD45" s="1185" t="s">
        <v>27</v>
      </c>
      <c r="AE45" s="1183" t="s">
        <v>22</v>
      </c>
      <c r="AF45" s="1185" t="s">
        <v>27</v>
      </c>
      <c r="AG45" s="1183" t="s">
        <v>22</v>
      </c>
      <c r="AH45" s="1185" t="s">
        <v>27</v>
      </c>
      <c r="AI45" s="1183" t="s">
        <v>22</v>
      </c>
      <c r="AJ45" s="4955" t="s">
        <v>27</v>
      </c>
      <c r="AK45" s="4969" t="s">
        <v>1033</v>
      </c>
      <c r="AL45" s="4970" t="s">
        <v>1034</v>
      </c>
    </row>
    <row r="46" spans="1:88" s="170" customFormat="1" ht="15" customHeight="1" x14ac:dyDescent="0.15">
      <c r="A46" s="1237" t="s">
        <v>1035</v>
      </c>
      <c r="B46" s="1238">
        <f t="shared" ref="B46:B53" si="23">SUM(C46+D46)</f>
        <v>0</v>
      </c>
      <c r="C46" s="1239">
        <f>SUM(E46+G46)</f>
        <v>0</v>
      </c>
      <c r="D46" s="1240">
        <f>SUM(F46+H46)</f>
        <v>0</v>
      </c>
      <c r="E46" s="1241"/>
      <c r="F46" s="1242"/>
      <c r="G46" s="1241"/>
      <c r="H46" s="1242"/>
      <c r="I46" s="1211"/>
      <c r="J46" s="1243"/>
      <c r="K46" s="1211"/>
      <c r="L46" s="1212"/>
      <c r="M46" s="1211"/>
      <c r="N46" s="1212"/>
      <c r="O46" s="1211"/>
      <c r="P46" s="1212"/>
      <c r="Q46" s="1211"/>
      <c r="R46" s="1212"/>
      <c r="S46" s="1211"/>
      <c r="T46" s="1212"/>
      <c r="U46" s="1211"/>
      <c r="V46" s="1212"/>
      <c r="W46" s="1211"/>
      <c r="X46" s="1212"/>
      <c r="Y46" s="1211"/>
      <c r="Z46" s="1212"/>
      <c r="AA46" s="1211"/>
      <c r="AB46" s="1212"/>
      <c r="AC46" s="1211"/>
      <c r="AD46" s="1212"/>
      <c r="AE46" s="1211"/>
      <c r="AF46" s="1212"/>
      <c r="AG46" s="1211"/>
      <c r="AH46" s="1212"/>
      <c r="AI46" s="1211"/>
      <c r="AJ46" s="4957"/>
      <c r="AK46" s="4961"/>
      <c r="AL46" s="4962"/>
      <c r="AM46" s="170" t="str">
        <f>CB46&amp;CC46&amp;CD46&amp;CE46</f>
        <v/>
      </c>
      <c r="CB46" s="2553" t="str">
        <f>IF((AK46+AL46)&gt;B46," * Egresos según causal no debe ser mayor que el Total de Egresos","")</f>
        <v/>
      </c>
      <c r="CC46" s="2553" t="str">
        <f>IF(AND(B46&gt;0,AK46="",AL46="")," * No olvide registrar Causal de egresos (Abandono/Fallecimiento).","")</f>
        <v/>
      </c>
      <c r="CG46" s="2554">
        <f>IF((AK46+AL46)&gt;B46,1,0)</f>
        <v>0</v>
      </c>
      <c r="CH46" s="2554">
        <f>IF(AND(B46&gt;0,AK46="",AL46=""),1,0)</f>
        <v>0</v>
      </c>
    </row>
    <row r="47" spans="1:88" s="170" customFormat="1" ht="15" customHeight="1" x14ac:dyDescent="0.15">
      <c r="A47" s="1244" t="s">
        <v>1022</v>
      </c>
      <c r="B47" s="1245">
        <f t="shared" si="23"/>
        <v>0</v>
      </c>
      <c r="C47" s="1246">
        <f>SUM(G47+I47+K47+M47+O47+Q47+S47+U47+W47+Y47+AA47+AC47+AE47+AG47+AI47)</f>
        <v>0</v>
      </c>
      <c r="D47" s="1247">
        <f>SUM(H47+J47+L47+N47+P47+R47+T47+V47+X47+Z47+AB47+AD47+AF47+AH47+AJ47)</f>
        <v>0</v>
      </c>
      <c r="E47" s="1214"/>
      <c r="F47" s="1248"/>
      <c r="G47" s="1249"/>
      <c r="H47" s="1250"/>
      <c r="I47" s="1251"/>
      <c r="J47" s="1252"/>
      <c r="K47" s="1251"/>
      <c r="L47" s="1252"/>
      <c r="M47" s="1251"/>
      <c r="N47" s="1252"/>
      <c r="O47" s="1251"/>
      <c r="P47" s="1252"/>
      <c r="Q47" s="1251"/>
      <c r="R47" s="1252"/>
      <c r="S47" s="1253"/>
      <c r="T47" s="1254"/>
      <c r="U47" s="1253"/>
      <c r="V47" s="1254"/>
      <c r="W47" s="1253"/>
      <c r="X47" s="1254"/>
      <c r="Y47" s="1253"/>
      <c r="Z47" s="1254"/>
      <c r="AA47" s="1253"/>
      <c r="AB47" s="1254"/>
      <c r="AC47" s="1253"/>
      <c r="AD47" s="1254"/>
      <c r="AE47" s="1253"/>
      <c r="AF47" s="1254"/>
      <c r="AG47" s="1253"/>
      <c r="AH47" s="1254"/>
      <c r="AI47" s="1253"/>
      <c r="AJ47" s="4958"/>
      <c r="AK47" s="4963"/>
      <c r="AL47" s="1255"/>
      <c r="AM47" s="170" t="str">
        <f t="shared" ref="AM47:AM53" si="24">CB47&amp;CC47&amp;CD47&amp;CE47</f>
        <v/>
      </c>
      <c r="CB47" s="2553" t="str">
        <f t="shared" ref="CB47:CB53" si="25">IF((AK47+AL47)&gt;B47," * Egresos según causal no debe ser mayor que el Total de Egresos","")</f>
        <v/>
      </c>
      <c r="CC47" s="2553" t="str">
        <f t="shared" ref="CC47:CC53" si="26">IF(AND(B47&gt;0,AK47="",AL47="")," * No olvide registrar Causal de egresos (Abandono/Fallecimiento).","")</f>
        <v/>
      </c>
      <c r="CG47" s="2554">
        <f t="shared" ref="CG47:CG53" si="27">IF((AK47+AL47)&gt;B47,1,0)</f>
        <v>0</v>
      </c>
      <c r="CH47" s="2554">
        <f t="shared" ref="CH47:CH53" si="28">IF(AND(B47&gt;0,AK47="",AL47=""),1,0)</f>
        <v>0</v>
      </c>
    </row>
    <row r="48" spans="1:88" s="170" customFormat="1" ht="15" customHeight="1" x14ac:dyDescent="0.15">
      <c r="A48" s="1244" t="s">
        <v>1023</v>
      </c>
      <c r="B48" s="1256">
        <f t="shared" si="23"/>
        <v>0</v>
      </c>
      <c r="C48" s="1257">
        <f>SUM(S48+U48+W48+Y48+AA48+AC48+AE48+AG48+AI48)</f>
        <v>0</v>
      </c>
      <c r="D48" s="1258">
        <f>SUM(T48+V48+X48+Z48+AB48+AD48+AF48+AH48+AJ48)</f>
        <v>0</v>
      </c>
      <c r="E48" s="1214"/>
      <c r="F48" s="1215"/>
      <c r="G48" s="1214"/>
      <c r="H48" s="1215"/>
      <c r="I48" s="1214"/>
      <c r="J48" s="1215"/>
      <c r="K48" s="1214"/>
      <c r="L48" s="1215"/>
      <c r="M48" s="1214"/>
      <c r="N48" s="1215"/>
      <c r="O48" s="1214"/>
      <c r="P48" s="1243"/>
      <c r="Q48" s="1259"/>
      <c r="R48" s="1243"/>
      <c r="S48" s="1260"/>
      <c r="T48" s="1261"/>
      <c r="U48" s="1260"/>
      <c r="V48" s="1261"/>
      <c r="W48" s="1260"/>
      <c r="X48" s="1261"/>
      <c r="Y48" s="1260"/>
      <c r="Z48" s="1261"/>
      <c r="AA48" s="1260"/>
      <c r="AB48" s="1261"/>
      <c r="AC48" s="1260"/>
      <c r="AD48" s="1261"/>
      <c r="AE48" s="1260"/>
      <c r="AF48" s="1261"/>
      <c r="AG48" s="1260"/>
      <c r="AH48" s="1261"/>
      <c r="AI48" s="1260"/>
      <c r="AJ48" s="4959"/>
      <c r="AK48" s="4963"/>
      <c r="AL48" s="1255"/>
      <c r="AM48" s="170" t="str">
        <f t="shared" si="24"/>
        <v/>
      </c>
      <c r="CB48" s="2553" t="str">
        <f t="shared" si="25"/>
        <v/>
      </c>
      <c r="CC48" s="2553" t="str">
        <f t="shared" si="26"/>
        <v/>
      </c>
      <c r="CG48" s="2554">
        <f t="shared" si="27"/>
        <v>0</v>
      </c>
      <c r="CH48" s="2554">
        <f t="shared" si="28"/>
        <v>0</v>
      </c>
    </row>
    <row r="49" spans="1:86" s="170" customFormat="1" ht="15" customHeight="1" x14ac:dyDescent="0.15">
      <c r="A49" s="1262" t="s">
        <v>1026</v>
      </c>
      <c r="B49" s="652">
        <f t="shared" si="23"/>
        <v>0</v>
      </c>
      <c r="C49" s="1263">
        <f t="shared" ref="C49:D53" si="29">SUM(E49+G49+I49+K49+M49+O49+Q49+S49+U49+W49+Y49+AA49+AC49+AE49+AG49+AI49)</f>
        <v>0</v>
      </c>
      <c r="D49" s="33">
        <f t="shared" si="29"/>
        <v>0</v>
      </c>
      <c r="E49" s="661"/>
      <c r="F49" s="69"/>
      <c r="G49" s="661"/>
      <c r="H49" s="69"/>
      <c r="I49" s="661"/>
      <c r="J49" s="69"/>
      <c r="K49" s="661"/>
      <c r="L49" s="69"/>
      <c r="M49" s="661"/>
      <c r="N49" s="69"/>
      <c r="O49" s="661"/>
      <c r="P49" s="69"/>
      <c r="Q49" s="661"/>
      <c r="R49" s="69"/>
      <c r="S49" s="661"/>
      <c r="T49" s="69"/>
      <c r="U49" s="661"/>
      <c r="V49" s="69"/>
      <c r="W49" s="661"/>
      <c r="X49" s="69"/>
      <c r="Y49" s="661"/>
      <c r="Z49" s="69"/>
      <c r="AA49" s="661"/>
      <c r="AB49" s="69"/>
      <c r="AC49" s="661"/>
      <c r="AD49" s="69"/>
      <c r="AE49" s="661"/>
      <c r="AF49" s="69"/>
      <c r="AG49" s="661"/>
      <c r="AH49" s="69"/>
      <c r="AI49" s="661"/>
      <c r="AJ49" s="1345"/>
      <c r="AK49" s="4963"/>
      <c r="AL49" s="1255"/>
      <c r="AM49" s="170" t="str">
        <f t="shared" si="24"/>
        <v/>
      </c>
      <c r="CB49" s="2553" t="str">
        <f t="shared" si="25"/>
        <v/>
      </c>
      <c r="CC49" s="2553" t="str">
        <f t="shared" si="26"/>
        <v/>
      </c>
      <c r="CG49" s="2554">
        <f t="shared" si="27"/>
        <v>0</v>
      </c>
      <c r="CH49" s="2554">
        <f t="shared" si="28"/>
        <v>0</v>
      </c>
    </row>
    <row r="50" spans="1:86" s="170" customFormat="1" ht="15" customHeight="1" x14ac:dyDescent="0.15">
      <c r="A50" s="1264" t="s">
        <v>1027</v>
      </c>
      <c r="B50" s="1265">
        <f t="shared" si="23"/>
        <v>0</v>
      </c>
      <c r="C50" s="1266">
        <f t="shared" si="29"/>
        <v>0</v>
      </c>
      <c r="D50" s="1247">
        <f t="shared" si="29"/>
        <v>0</v>
      </c>
      <c r="E50" s="1253"/>
      <c r="F50" s="1254"/>
      <c r="G50" s="1253"/>
      <c r="H50" s="1254"/>
      <c r="I50" s="1253"/>
      <c r="J50" s="1254"/>
      <c r="K50" s="1253"/>
      <c r="L50" s="1261"/>
      <c r="M50" s="1260"/>
      <c r="N50" s="1261"/>
      <c r="O50" s="1260"/>
      <c r="P50" s="1261"/>
      <c r="Q50" s="1260"/>
      <c r="R50" s="1261"/>
      <c r="S50" s="1260"/>
      <c r="T50" s="1261"/>
      <c r="U50" s="1260"/>
      <c r="V50" s="1261"/>
      <c r="W50" s="1260"/>
      <c r="X50" s="1261"/>
      <c r="Y50" s="1260"/>
      <c r="Z50" s="1261"/>
      <c r="AA50" s="1260"/>
      <c r="AB50" s="1261"/>
      <c r="AC50" s="1260"/>
      <c r="AD50" s="1261"/>
      <c r="AE50" s="1260"/>
      <c r="AF50" s="1261"/>
      <c r="AG50" s="1260"/>
      <c r="AH50" s="1261"/>
      <c r="AI50" s="1260"/>
      <c r="AJ50" s="4959"/>
      <c r="AK50" s="4963"/>
      <c r="AL50" s="1255"/>
      <c r="AM50" s="170" t="str">
        <f t="shared" si="24"/>
        <v/>
      </c>
      <c r="CB50" s="2553" t="str">
        <f t="shared" si="25"/>
        <v/>
      </c>
      <c r="CC50" s="2553" t="str">
        <f t="shared" si="26"/>
        <v/>
      </c>
      <c r="CG50" s="2554">
        <f t="shared" si="27"/>
        <v>0</v>
      </c>
      <c r="CH50" s="2554">
        <f t="shared" si="28"/>
        <v>0</v>
      </c>
    </row>
    <row r="51" spans="1:86" s="170" customFormat="1" ht="15" customHeight="1" x14ac:dyDescent="0.15">
      <c r="A51" s="1267" t="s">
        <v>1028</v>
      </c>
      <c r="B51" s="1268">
        <f t="shared" si="23"/>
        <v>0</v>
      </c>
      <c r="C51" s="1269">
        <f t="shared" si="29"/>
        <v>0</v>
      </c>
      <c r="D51" s="1258">
        <f t="shared" si="29"/>
        <v>0</v>
      </c>
      <c r="E51" s="1253"/>
      <c r="F51" s="1254"/>
      <c r="G51" s="1253"/>
      <c r="H51" s="1254"/>
      <c r="I51" s="1253"/>
      <c r="J51" s="1254"/>
      <c r="K51" s="1253"/>
      <c r="L51" s="1254"/>
      <c r="M51" s="1253"/>
      <c r="N51" s="1254"/>
      <c r="O51" s="1253"/>
      <c r="P51" s="1254"/>
      <c r="Q51" s="1253"/>
      <c r="R51" s="1254"/>
      <c r="S51" s="1253"/>
      <c r="T51" s="1254"/>
      <c r="U51" s="1253"/>
      <c r="V51" s="1254"/>
      <c r="W51" s="1253"/>
      <c r="X51" s="1254"/>
      <c r="Y51" s="1253"/>
      <c r="Z51" s="1254"/>
      <c r="AA51" s="1253"/>
      <c r="AB51" s="1254"/>
      <c r="AC51" s="1253"/>
      <c r="AD51" s="1254"/>
      <c r="AE51" s="1253"/>
      <c r="AF51" s="1254"/>
      <c r="AG51" s="1253"/>
      <c r="AH51" s="1254"/>
      <c r="AI51" s="1253"/>
      <c r="AJ51" s="4958"/>
      <c r="AK51" s="4964"/>
      <c r="AL51" s="1270"/>
      <c r="AM51" s="170" t="str">
        <f t="shared" si="24"/>
        <v/>
      </c>
      <c r="CB51" s="2553" t="str">
        <f t="shared" si="25"/>
        <v/>
      </c>
      <c r="CC51" s="2553" t="str">
        <f t="shared" si="26"/>
        <v/>
      </c>
      <c r="CG51" s="2554">
        <f t="shared" si="27"/>
        <v>0</v>
      </c>
      <c r="CH51" s="2554">
        <f t="shared" si="28"/>
        <v>0</v>
      </c>
    </row>
    <row r="52" spans="1:86" s="170" customFormat="1" ht="15" customHeight="1" x14ac:dyDescent="0.15">
      <c r="A52" s="1271" t="s">
        <v>1029</v>
      </c>
      <c r="B52" s="1265">
        <f t="shared" si="23"/>
        <v>0</v>
      </c>
      <c r="C52" s="1266">
        <f t="shared" si="29"/>
        <v>0</v>
      </c>
      <c r="D52" s="1247">
        <f t="shared" si="29"/>
        <v>0</v>
      </c>
      <c r="E52" s="1253"/>
      <c r="F52" s="1254"/>
      <c r="G52" s="1253"/>
      <c r="H52" s="1254"/>
      <c r="I52" s="1253"/>
      <c r="J52" s="1254"/>
      <c r="K52" s="1253"/>
      <c r="L52" s="1254"/>
      <c r="M52" s="1253"/>
      <c r="N52" s="1254"/>
      <c r="O52" s="1253"/>
      <c r="P52" s="1254"/>
      <c r="Q52" s="1253"/>
      <c r="R52" s="1254"/>
      <c r="S52" s="1253"/>
      <c r="T52" s="1254"/>
      <c r="U52" s="1253"/>
      <c r="V52" s="1254"/>
      <c r="W52" s="1253"/>
      <c r="X52" s="1254"/>
      <c r="Y52" s="1253"/>
      <c r="Z52" s="1254"/>
      <c r="AA52" s="1253"/>
      <c r="AB52" s="1254"/>
      <c r="AC52" s="1253"/>
      <c r="AD52" s="1254"/>
      <c r="AE52" s="1253"/>
      <c r="AF52" s="1254"/>
      <c r="AG52" s="1253"/>
      <c r="AH52" s="1254"/>
      <c r="AI52" s="1253"/>
      <c r="AJ52" s="4958"/>
      <c r="AK52" s="4964"/>
      <c r="AL52" s="1270"/>
      <c r="AM52" s="170" t="str">
        <f t="shared" si="24"/>
        <v/>
      </c>
      <c r="CB52" s="2553" t="str">
        <f t="shared" si="25"/>
        <v/>
      </c>
      <c r="CC52" s="2553" t="str">
        <f t="shared" si="26"/>
        <v/>
      </c>
      <c r="CG52" s="2554">
        <f t="shared" si="27"/>
        <v>0</v>
      </c>
      <c r="CH52" s="2554">
        <f t="shared" si="28"/>
        <v>0</v>
      </c>
    </row>
    <row r="53" spans="1:86" s="170" customFormat="1" ht="15" customHeight="1" x14ac:dyDescent="0.15">
      <c r="A53" s="1272" t="s">
        <v>1030</v>
      </c>
      <c r="B53" s="1273">
        <f t="shared" si="23"/>
        <v>0</v>
      </c>
      <c r="C53" s="1274">
        <f t="shared" si="29"/>
        <v>0</v>
      </c>
      <c r="D53" s="1275">
        <f t="shared" si="29"/>
        <v>0</v>
      </c>
      <c r="E53" s="1276"/>
      <c r="F53" s="1277"/>
      <c r="G53" s="1276"/>
      <c r="H53" s="1277"/>
      <c r="I53" s="1276"/>
      <c r="J53" s="1277"/>
      <c r="K53" s="1276"/>
      <c r="L53" s="1277"/>
      <c r="M53" s="1276"/>
      <c r="N53" s="1277"/>
      <c r="O53" s="1276"/>
      <c r="P53" s="1277"/>
      <c r="Q53" s="1276"/>
      <c r="R53" s="1277"/>
      <c r="S53" s="1276"/>
      <c r="T53" s="1277"/>
      <c r="U53" s="1276"/>
      <c r="V53" s="1277"/>
      <c r="W53" s="1276"/>
      <c r="X53" s="1277"/>
      <c r="Y53" s="1276"/>
      <c r="Z53" s="1277"/>
      <c r="AA53" s="1276"/>
      <c r="AB53" s="1277"/>
      <c r="AC53" s="1276"/>
      <c r="AD53" s="1277"/>
      <c r="AE53" s="1276"/>
      <c r="AF53" s="1277"/>
      <c r="AG53" s="1276"/>
      <c r="AH53" s="1277"/>
      <c r="AI53" s="1276"/>
      <c r="AJ53" s="4960"/>
      <c r="AK53" s="4965"/>
      <c r="AL53" s="4966"/>
      <c r="AM53" s="170" t="str">
        <f t="shared" si="24"/>
        <v/>
      </c>
      <c r="CB53" s="2553" t="str">
        <f t="shared" si="25"/>
        <v/>
      </c>
      <c r="CC53" s="2553" t="str">
        <f t="shared" si="26"/>
        <v/>
      </c>
      <c r="CG53" s="2554">
        <f t="shared" si="27"/>
        <v>0</v>
      </c>
      <c r="CH53" s="2554">
        <f t="shared" si="28"/>
        <v>0</v>
      </c>
    </row>
    <row r="54" spans="1:86" s="1134" customFormat="1" ht="18" customHeight="1" x14ac:dyDescent="0.15">
      <c r="A54" s="14" t="s">
        <v>1036</v>
      </c>
    </row>
    <row r="55" spans="1:86" s="170" customFormat="1" ht="15" customHeight="1" x14ac:dyDescent="0.15">
      <c r="A55" s="7869" t="s">
        <v>61</v>
      </c>
      <c r="B55" s="7883" t="s">
        <v>24</v>
      </c>
      <c r="C55" s="6988"/>
      <c r="D55" s="6988"/>
      <c r="E55" s="7921" t="s">
        <v>30</v>
      </c>
      <c r="F55" s="7922"/>
      <c r="G55" s="7922"/>
      <c r="H55" s="7922"/>
      <c r="I55" s="7922"/>
      <c r="J55" s="7922"/>
      <c r="K55" s="7922"/>
      <c r="L55" s="7922"/>
      <c r="M55" s="7922"/>
      <c r="N55" s="7922"/>
      <c r="O55" s="7922"/>
      <c r="P55" s="7922"/>
      <c r="Q55" s="7922"/>
      <c r="R55" s="7922"/>
      <c r="S55" s="7922"/>
      <c r="T55" s="7922"/>
      <c r="U55" s="7922"/>
      <c r="V55" s="7922"/>
      <c r="W55" s="7922"/>
      <c r="X55" s="7922"/>
      <c r="Y55" s="7922"/>
      <c r="Z55" s="7922"/>
      <c r="AA55" s="7922"/>
      <c r="AB55" s="7922"/>
      <c r="AC55" s="7922"/>
      <c r="AD55" s="7922"/>
      <c r="AE55" s="7922"/>
      <c r="AF55" s="7922"/>
      <c r="AG55" s="7922"/>
      <c r="AH55" s="7922"/>
      <c r="AI55" s="7922"/>
      <c r="AJ55" s="7932"/>
      <c r="AK55" s="7928" t="s">
        <v>67</v>
      </c>
    </row>
    <row r="56" spans="1:86" s="170" customFormat="1" ht="15" customHeight="1" x14ac:dyDescent="0.15">
      <c r="A56" s="6813"/>
      <c r="B56" s="7931"/>
      <c r="C56" s="7901"/>
      <c r="D56" s="6813"/>
      <c r="E56" s="7884" t="s">
        <v>682</v>
      </c>
      <c r="F56" s="7869"/>
      <c r="G56" s="6988" t="s">
        <v>1001</v>
      </c>
      <c r="H56" s="6988"/>
      <c r="I56" s="7883" t="s">
        <v>1002</v>
      </c>
      <c r="J56" s="7869"/>
      <c r="K56" s="6988" t="s">
        <v>38</v>
      </c>
      <c r="L56" s="6988"/>
      <c r="M56" s="7883" t="s">
        <v>4</v>
      </c>
      <c r="N56" s="7869"/>
      <c r="O56" s="7883" t="s">
        <v>5</v>
      </c>
      <c r="P56" s="7869"/>
      <c r="Q56" s="6988" t="s">
        <v>1003</v>
      </c>
      <c r="R56" s="6988"/>
      <c r="S56" s="7883" t="s">
        <v>9</v>
      </c>
      <c r="T56" s="7869"/>
      <c r="U56" s="6988" t="s">
        <v>10</v>
      </c>
      <c r="V56" s="6988"/>
      <c r="W56" s="7883" t="s">
        <v>11</v>
      </c>
      <c r="X56" s="7869"/>
      <c r="Y56" s="6988" t="s">
        <v>18</v>
      </c>
      <c r="Z56" s="6988"/>
      <c r="AA56" s="7883" t="s">
        <v>19</v>
      </c>
      <c r="AB56" s="7869"/>
      <c r="AC56" s="6988" t="s">
        <v>20</v>
      </c>
      <c r="AD56" s="6988"/>
      <c r="AE56" s="7883" t="s">
        <v>70</v>
      </c>
      <c r="AF56" s="7869"/>
      <c r="AG56" s="6988" t="s">
        <v>71</v>
      </c>
      <c r="AH56" s="6988"/>
      <c r="AI56" s="7883" t="s">
        <v>32</v>
      </c>
      <c r="AJ56" s="7885"/>
      <c r="AK56" s="7928"/>
    </row>
    <row r="57" spans="1:86" s="170" customFormat="1" ht="15" customHeight="1" x14ac:dyDescent="0.15">
      <c r="A57" s="7930"/>
      <c r="B57" s="1278" t="s">
        <v>26</v>
      </c>
      <c r="C57" s="1279" t="s">
        <v>22</v>
      </c>
      <c r="D57" s="1185" t="s">
        <v>27</v>
      </c>
      <c r="E57" s="1183" t="s">
        <v>22</v>
      </c>
      <c r="F57" s="1185" t="s">
        <v>27</v>
      </c>
      <c r="G57" s="1279" t="s">
        <v>22</v>
      </c>
      <c r="H57" s="1280" t="s">
        <v>27</v>
      </c>
      <c r="I57" s="1183" t="s">
        <v>22</v>
      </c>
      <c r="J57" s="1185" t="s">
        <v>27</v>
      </c>
      <c r="K57" s="1279" t="s">
        <v>22</v>
      </c>
      <c r="L57" s="1280" t="s">
        <v>27</v>
      </c>
      <c r="M57" s="1183" t="s">
        <v>22</v>
      </c>
      <c r="N57" s="1185" t="s">
        <v>27</v>
      </c>
      <c r="O57" s="1183" t="s">
        <v>22</v>
      </c>
      <c r="P57" s="1185" t="s">
        <v>27</v>
      </c>
      <c r="Q57" s="1279" t="s">
        <v>22</v>
      </c>
      <c r="R57" s="1280" t="s">
        <v>27</v>
      </c>
      <c r="S57" s="1183" t="s">
        <v>22</v>
      </c>
      <c r="T57" s="1185" t="s">
        <v>27</v>
      </c>
      <c r="U57" s="1279" t="s">
        <v>22</v>
      </c>
      <c r="V57" s="1280" t="s">
        <v>27</v>
      </c>
      <c r="W57" s="1183" t="s">
        <v>22</v>
      </c>
      <c r="X57" s="1185" t="s">
        <v>27</v>
      </c>
      <c r="Y57" s="1279" t="s">
        <v>22</v>
      </c>
      <c r="Z57" s="1280" t="s">
        <v>27</v>
      </c>
      <c r="AA57" s="1183" t="s">
        <v>22</v>
      </c>
      <c r="AB57" s="1185" t="s">
        <v>27</v>
      </c>
      <c r="AC57" s="1279" t="s">
        <v>22</v>
      </c>
      <c r="AD57" s="1280" t="s">
        <v>27</v>
      </c>
      <c r="AE57" s="1183" t="s">
        <v>22</v>
      </c>
      <c r="AF57" s="1185" t="s">
        <v>27</v>
      </c>
      <c r="AG57" s="1279" t="s">
        <v>22</v>
      </c>
      <c r="AH57" s="1280" t="s">
        <v>27</v>
      </c>
      <c r="AI57" s="1183" t="s">
        <v>22</v>
      </c>
      <c r="AJ57" s="1186" t="s">
        <v>27</v>
      </c>
      <c r="AK57" s="7928"/>
    </row>
    <row r="58" spans="1:86" s="170" customFormat="1" ht="15" customHeight="1" x14ac:dyDescent="0.15">
      <c r="A58" s="1281" t="s">
        <v>74</v>
      </c>
      <c r="B58" s="1236">
        <f>SUM(C58+D58)</f>
        <v>0</v>
      </c>
      <c r="C58" s="1180">
        <f>SUM(E58+G58+I58+K58+M58+O58+Q58+S58+U58+W58+Y58+AA58+AC58+AE58+AG58+AI58)</f>
        <v>0</v>
      </c>
      <c r="D58" s="1178">
        <f>SUM(F58+H58+J58+L58+N58+P58+R58+T58+V58+X58+Z58+AB58+AD58+AF58+AH58+AJ58)</f>
        <v>0</v>
      </c>
      <c r="E58" s="1282"/>
      <c r="F58" s="1283"/>
      <c r="G58" s="1284"/>
      <c r="H58" s="1285"/>
      <c r="I58" s="1282"/>
      <c r="J58" s="1286"/>
      <c r="K58" s="1284"/>
      <c r="L58" s="1285"/>
      <c r="M58" s="1282"/>
      <c r="N58" s="1286"/>
      <c r="O58" s="1282"/>
      <c r="P58" s="1286"/>
      <c r="Q58" s="1284"/>
      <c r="R58" s="1285"/>
      <c r="S58" s="1282"/>
      <c r="T58" s="1286"/>
      <c r="U58" s="1284"/>
      <c r="V58" s="1285"/>
      <c r="W58" s="1282"/>
      <c r="X58" s="1286"/>
      <c r="Y58" s="1284"/>
      <c r="Z58" s="1285"/>
      <c r="AA58" s="1282"/>
      <c r="AB58" s="1286"/>
      <c r="AC58" s="1284"/>
      <c r="AD58" s="1285"/>
      <c r="AE58" s="1282"/>
      <c r="AF58" s="1286"/>
      <c r="AG58" s="1284"/>
      <c r="AH58" s="1285"/>
      <c r="AI58" s="1282"/>
      <c r="AJ58" s="1287"/>
      <c r="AK58" s="1283"/>
      <c r="AL58" s="170" t="str">
        <f>CB58&amp;CC58&amp;CD58&amp;CE58</f>
        <v/>
      </c>
      <c r="CB58" s="2553" t="str">
        <f>IF(AND(AK58="",B58&gt;0)," * No olvide digitar la variable Beneficiarios. Si no tiene digite CERO.","")</f>
        <v/>
      </c>
      <c r="CC58" s="2553" t="str">
        <f>IF(AK58&gt;B58," * El campo Beneficiario No puede ser mayor al Total de consultas","")</f>
        <v/>
      </c>
      <c r="CG58" s="2554">
        <f>IF(AND(AK58="",B58&gt;0),1,0)</f>
        <v>0</v>
      </c>
      <c r="CH58" s="2554">
        <f>IF(AK58&gt;B58,1,0)</f>
        <v>0</v>
      </c>
    </row>
    <row r="59" spans="1:86" s="1134" customFormat="1" ht="18" customHeight="1" x14ac:dyDescent="0.15">
      <c r="A59" s="14" t="s">
        <v>1037</v>
      </c>
    </row>
    <row r="60" spans="1:86" s="170" customFormat="1" ht="15" customHeight="1" x14ac:dyDescent="0.15">
      <c r="A60" s="7869" t="s">
        <v>61</v>
      </c>
      <c r="B60" s="7883" t="s">
        <v>24</v>
      </c>
      <c r="C60" s="6988"/>
      <c r="D60" s="7869"/>
      <c r="E60" s="7921" t="s">
        <v>30</v>
      </c>
      <c r="F60" s="7922"/>
      <c r="G60" s="7922"/>
      <c r="H60" s="7922"/>
      <c r="I60" s="7922"/>
      <c r="J60" s="7922"/>
      <c r="K60" s="7922"/>
      <c r="L60" s="7922"/>
      <c r="M60" s="7922"/>
      <c r="N60" s="7922"/>
      <c r="O60" s="7922"/>
      <c r="P60" s="7922"/>
      <c r="Q60" s="7922"/>
      <c r="R60" s="7922"/>
      <c r="S60" s="7922"/>
      <c r="T60" s="7922"/>
      <c r="U60" s="7922"/>
      <c r="V60" s="7922"/>
      <c r="W60" s="7922"/>
      <c r="X60" s="7922"/>
      <c r="Y60" s="7922"/>
      <c r="Z60" s="7922"/>
      <c r="AA60" s="7922"/>
      <c r="AB60" s="7922"/>
      <c r="AC60" s="7922"/>
      <c r="AD60" s="7922"/>
      <c r="AE60" s="7922"/>
      <c r="AF60" s="7922"/>
      <c r="AG60" s="7922"/>
      <c r="AH60" s="7922"/>
      <c r="AI60" s="7922"/>
      <c r="AJ60" s="7932"/>
      <c r="AK60" s="7879" t="s">
        <v>67</v>
      </c>
    </row>
    <row r="61" spans="1:86" s="170" customFormat="1" ht="15" customHeight="1" x14ac:dyDescent="0.15">
      <c r="A61" s="6813"/>
      <c r="B61" s="7931"/>
      <c r="C61" s="7901"/>
      <c r="D61" s="6813"/>
      <c r="E61" s="7884" t="s">
        <v>682</v>
      </c>
      <c r="F61" s="7869"/>
      <c r="G61" s="7934" t="s">
        <v>1001</v>
      </c>
      <c r="H61" s="7934"/>
      <c r="I61" s="7935" t="s">
        <v>1002</v>
      </c>
      <c r="J61" s="7936"/>
      <c r="K61" s="7934" t="s">
        <v>38</v>
      </c>
      <c r="L61" s="7934"/>
      <c r="M61" s="7935" t="s">
        <v>4</v>
      </c>
      <c r="N61" s="7936"/>
      <c r="O61" s="7937" t="s">
        <v>5</v>
      </c>
      <c r="P61" s="7934"/>
      <c r="Q61" s="7935" t="s">
        <v>1003</v>
      </c>
      <c r="R61" s="7936"/>
      <c r="S61" s="7934" t="s">
        <v>9</v>
      </c>
      <c r="T61" s="7934"/>
      <c r="U61" s="7935" t="s">
        <v>10</v>
      </c>
      <c r="V61" s="7936"/>
      <c r="W61" s="7934" t="s">
        <v>11</v>
      </c>
      <c r="X61" s="7934"/>
      <c r="Y61" s="7935" t="s">
        <v>18</v>
      </c>
      <c r="Z61" s="7936"/>
      <c r="AA61" s="7934" t="s">
        <v>19</v>
      </c>
      <c r="AB61" s="7934"/>
      <c r="AC61" s="7935" t="s">
        <v>20</v>
      </c>
      <c r="AD61" s="7936"/>
      <c r="AE61" s="7934" t="s">
        <v>70</v>
      </c>
      <c r="AF61" s="7934"/>
      <c r="AG61" s="7935" t="s">
        <v>71</v>
      </c>
      <c r="AH61" s="7936"/>
      <c r="AI61" s="7935" t="s">
        <v>32</v>
      </c>
      <c r="AJ61" s="7938"/>
      <c r="AK61" s="6924"/>
    </row>
    <row r="62" spans="1:86" s="170" customFormat="1" ht="15" customHeight="1" x14ac:dyDescent="0.15">
      <c r="A62" s="7930"/>
      <c r="B62" s="1278" t="s">
        <v>26</v>
      </c>
      <c r="C62" s="1279" t="s">
        <v>22</v>
      </c>
      <c r="D62" s="1185" t="s">
        <v>27</v>
      </c>
      <c r="E62" s="1136" t="s">
        <v>22</v>
      </c>
      <c r="F62" s="1137" t="s">
        <v>27</v>
      </c>
      <c r="G62" s="1135" t="s">
        <v>22</v>
      </c>
      <c r="H62" s="1085" t="s">
        <v>27</v>
      </c>
      <c r="I62" s="1136" t="s">
        <v>22</v>
      </c>
      <c r="J62" s="1137" t="s">
        <v>27</v>
      </c>
      <c r="K62" s="1135" t="s">
        <v>22</v>
      </c>
      <c r="L62" s="1085" t="s">
        <v>27</v>
      </c>
      <c r="M62" s="1136" t="s">
        <v>22</v>
      </c>
      <c r="N62" s="1137" t="s">
        <v>27</v>
      </c>
      <c r="O62" s="1135" t="s">
        <v>22</v>
      </c>
      <c r="P62" s="1085" t="s">
        <v>27</v>
      </c>
      <c r="Q62" s="1136" t="s">
        <v>22</v>
      </c>
      <c r="R62" s="1137" t="s">
        <v>27</v>
      </c>
      <c r="S62" s="1135" t="s">
        <v>22</v>
      </c>
      <c r="T62" s="1085" t="s">
        <v>27</v>
      </c>
      <c r="U62" s="1136" t="s">
        <v>22</v>
      </c>
      <c r="V62" s="1137" t="s">
        <v>27</v>
      </c>
      <c r="W62" s="1135" t="s">
        <v>22</v>
      </c>
      <c r="X62" s="1085" t="s">
        <v>27</v>
      </c>
      <c r="Y62" s="1136" t="s">
        <v>22</v>
      </c>
      <c r="Z62" s="1137" t="s">
        <v>27</v>
      </c>
      <c r="AA62" s="1135" t="s">
        <v>22</v>
      </c>
      <c r="AB62" s="1085" t="s">
        <v>27</v>
      </c>
      <c r="AC62" s="1136" t="s">
        <v>22</v>
      </c>
      <c r="AD62" s="1137" t="s">
        <v>27</v>
      </c>
      <c r="AE62" s="1135" t="s">
        <v>22</v>
      </c>
      <c r="AF62" s="1085" t="s">
        <v>27</v>
      </c>
      <c r="AG62" s="1136" t="s">
        <v>22</v>
      </c>
      <c r="AH62" s="1137" t="s">
        <v>27</v>
      </c>
      <c r="AI62" s="1136" t="s">
        <v>22</v>
      </c>
      <c r="AJ62" s="2544" t="s">
        <v>27</v>
      </c>
      <c r="AK62" s="7933"/>
    </row>
    <row r="63" spans="1:86" s="170" customFormat="1" ht="15" customHeight="1" x14ac:dyDescent="0.15">
      <c r="A63" s="1288" t="s">
        <v>74</v>
      </c>
      <c r="B63" s="1289">
        <f>SUM(C63+D63)</f>
        <v>0</v>
      </c>
      <c r="C63" s="1290">
        <f t="shared" ref="C63:D65" si="30">SUM(E63+G63+I63+K63+M63+O63+Q63+S63+U63+W63+Y63+AA63+AC63+AE63+AG63+AI63)</f>
        <v>0</v>
      </c>
      <c r="D63" s="1291">
        <f t="shared" si="30"/>
        <v>0</v>
      </c>
      <c r="E63" s="1292"/>
      <c r="F63" s="1293"/>
      <c r="G63" s="1294"/>
      <c r="H63" s="1295"/>
      <c r="I63" s="1292"/>
      <c r="J63" s="1296"/>
      <c r="K63" s="1294"/>
      <c r="L63" s="1295"/>
      <c r="M63" s="1292"/>
      <c r="N63" s="1296"/>
      <c r="O63" s="1294"/>
      <c r="P63" s="1295"/>
      <c r="Q63" s="1292"/>
      <c r="R63" s="1296"/>
      <c r="S63" s="1294"/>
      <c r="T63" s="1295"/>
      <c r="U63" s="1292"/>
      <c r="V63" s="1296"/>
      <c r="W63" s="1294"/>
      <c r="X63" s="1295"/>
      <c r="Y63" s="1292"/>
      <c r="Z63" s="1296"/>
      <c r="AA63" s="1294"/>
      <c r="AB63" s="1295"/>
      <c r="AC63" s="1292"/>
      <c r="AD63" s="1296"/>
      <c r="AE63" s="1294"/>
      <c r="AF63" s="1295"/>
      <c r="AG63" s="1292"/>
      <c r="AH63" s="1296"/>
      <c r="AI63" s="1297"/>
      <c r="AJ63" s="1298"/>
      <c r="AK63" s="1299"/>
      <c r="AL63" s="170" t="str">
        <f t="shared" ref="AL63:AL65" si="31">CB63&amp;CC63&amp;CD63&amp;CE63</f>
        <v/>
      </c>
      <c r="CB63" s="2553" t="str">
        <f>IF(AND(AK63="",B63&gt;0)," * No olvide digitar la columna Beneficiarios. Si no tiene digite CERO.","")</f>
        <v/>
      </c>
      <c r="CC63" s="2553" t="str">
        <f>IF(AK63&gt;B63," * El campo Beneficiario No puede ser mayor al Total de consultas","")</f>
        <v/>
      </c>
      <c r="CG63" s="2554">
        <f>IF(AND(AK63="",B63&gt;0),1,0)</f>
        <v>0</v>
      </c>
      <c r="CH63" s="2554">
        <f>IF(AK63&gt;B63,1,0)</f>
        <v>0</v>
      </c>
    </row>
    <row r="64" spans="1:86" s="170" customFormat="1" ht="15" customHeight="1" x14ac:dyDescent="0.15">
      <c r="A64" s="1300" t="s">
        <v>76</v>
      </c>
      <c r="B64" s="1265">
        <f>SUM(C64+D64)</f>
        <v>0</v>
      </c>
      <c r="C64" s="1266">
        <f t="shared" si="30"/>
        <v>0</v>
      </c>
      <c r="D64" s="31">
        <f t="shared" si="30"/>
        <v>0</v>
      </c>
      <c r="E64" s="1113"/>
      <c r="F64" s="8"/>
      <c r="G64" s="1115"/>
      <c r="H64" s="1301"/>
      <c r="I64" s="1113"/>
      <c r="J64" s="1117"/>
      <c r="K64" s="1115"/>
      <c r="L64" s="1301"/>
      <c r="M64" s="1113"/>
      <c r="N64" s="1117"/>
      <c r="O64" s="1115"/>
      <c r="P64" s="1301"/>
      <c r="Q64" s="1113"/>
      <c r="R64" s="1117"/>
      <c r="S64" s="1115"/>
      <c r="T64" s="1301"/>
      <c r="U64" s="1113"/>
      <c r="V64" s="1117"/>
      <c r="W64" s="1115"/>
      <c r="X64" s="1301"/>
      <c r="Y64" s="1113"/>
      <c r="Z64" s="1117"/>
      <c r="AA64" s="1115"/>
      <c r="AB64" s="1301"/>
      <c r="AC64" s="1113"/>
      <c r="AD64" s="1117"/>
      <c r="AE64" s="1115"/>
      <c r="AF64" s="1301"/>
      <c r="AG64" s="1113"/>
      <c r="AH64" s="1117"/>
      <c r="AI64" s="1302"/>
      <c r="AJ64" s="1118"/>
      <c r="AK64" s="8"/>
      <c r="AL64" s="170" t="str">
        <f t="shared" si="31"/>
        <v/>
      </c>
      <c r="CB64" s="2553" t="str">
        <f t="shared" ref="CB64:CB65" si="32">IF(AND(AK64="",B64&gt;0)," * No olvide digitar la columna Beneficiarios. Si no tiene digite CERO.","")</f>
        <v/>
      </c>
      <c r="CC64" s="2553" t="str">
        <f t="shared" ref="CC64:CC65" si="33">IF(AK64&gt;B64," * El campo Beneficiario No puede ser mayor al Total de consultas","")</f>
        <v/>
      </c>
      <c r="CG64" s="2554">
        <f t="shared" ref="CG64:CG65" si="34">IF(AND(AK64="",B64&gt;0),1,0)</f>
        <v>0</v>
      </c>
      <c r="CH64" s="2554">
        <f t="shared" ref="CH64:CH65" si="35">IF(AK64&gt;B64,1,0)</f>
        <v>0</v>
      </c>
    </row>
    <row r="65" spans="1:90" s="170" customFormat="1" ht="15" customHeight="1" x14ac:dyDescent="0.15">
      <c r="A65" s="1127" t="s">
        <v>277</v>
      </c>
      <c r="B65" s="649">
        <f>SUM(C65+D65)</f>
        <v>0</v>
      </c>
      <c r="C65" s="1303">
        <f t="shared" si="30"/>
        <v>0</v>
      </c>
      <c r="D65" s="37">
        <f t="shared" si="30"/>
        <v>0</v>
      </c>
      <c r="E65" s="9"/>
      <c r="F65" s="11"/>
      <c r="G65" s="24"/>
      <c r="H65" s="1304"/>
      <c r="I65" s="9"/>
      <c r="J65" s="25"/>
      <c r="K65" s="24"/>
      <c r="L65" s="1304"/>
      <c r="M65" s="9"/>
      <c r="N65" s="25"/>
      <c r="O65" s="24"/>
      <c r="P65" s="1304"/>
      <c r="Q65" s="9"/>
      <c r="R65" s="25"/>
      <c r="S65" s="24"/>
      <c r="T65" s="1304"/>
      <c r="U65" s="9"/>
      <c r="V65" s="25"/>
      <c r="W65" s="24"/>
      <c r="X65" s="1304"/>
      <c r="Y65" s="9"/>
      <c r="Z65" s="25"/>
      <c r="AA65" s="24"/>
      <c r="AB65" s="1304"/>
      <c r="AC65" s="9"/>
      <c r="AD65" s="25"/>
      <c r="AE65" s="24"/>
      <c r="AF65" s="1304"/>
      <c r="AG65" s="9"/>
      <c r="AH65" s="25"/>
      <c r="AI65" s="48"/>
      <c r="AJ65" s="23"/>
      <c r="AK65" s="1305"/>
      <c r="AL65" s="170" t="str">
        <f t="shared" si="31"/>
        <v/>
      </c>
      <c r="CB65" s="2553" t="str">
        <f t="shared" si="32"/>
        <v/>
      </c>
      <c r="CC65" s="2553" t="str">
        <f t="shared" si="33"/>
        <v/>
      </c>
      <c r="CG65" s="2554">
        <f t="shared" si="34"/>
        <v>0</v>
      </c>
      <c r="CH65" s="2554">
        <f t="shared" si="35"/>
        <v>0</v>
      </c>
    </row>
    <row r="66" spans="1:90" s="170" customFormat="1" ht="15" customHeight="1" x14ac:dyDescent="0.15">
      <c r="A66" s="1306" t="s">
        <v>24</v>
      </c>
      <c r="B66" s="1236">
        <f t="shared" ref="B66:K66" si="36">SUM(B63:B65)</f>
        <v>0</v>
      </c>
      <c r="C66" s="1180">
        <f t="shared" si="36"/>
        <v>0</v>
      </c>
      <c r="D66" s="1178">
        <f t="shared" si="36"/>
        <v>0</v>
      </c>
      <c r="E66" s="1307">
        <f t="shared" si="36"/>
        <v>0</v>
      </c>
      <c r="F66" s="1308">
        <f t="shared" si="36"/>
        <v>0</v>
      </c>
      <c r="G66" s="1309">
        <f t="shared" si="36"/>
        <v>0</v>
      </c>
      <c r="H66" s="1310">
        <f t="shared" si="36"/>
        <v>0</v>
      </c>
      <c r="I66" s="1307">
        <f t="shared" si="36"/>
        <v>0</v>
      </c>
      <c r="J66" s="1311">
        <f t="shared" si="36"/>
        <v>0</v>
      </c>
      <c r="K66" s="1309">
        <f t="shared" si="36"/>
        <v>0</v>
      </c>
      <c r="L66" s="1310">
        <f t="shared" ref="L66:AK66" si="37">SUM(L63:L65)</f>
        <v>0</v>
      </c>
      <c r="M66" s="1307">
        <f t="shared" si="37"/>
        <v>0</v>
      </c>
      <c r="N66" s="1311">
        <f t="shared" si="37"/>
        <v>0</v>
      </c>
      <c r="O66" s="1309">
        <f t="shared" si="37"/>
        <v>0</v>
      </c>
      <c r="P66" s="1310">
        <f t="shared" si="37"/>
        <v>0</v>
      </c>
      <c r="Q66" s="1307">
        <f t="shared" si="37"/>
        <v>0</v>
      </c>
      <c r="R66" s="1311">
        <f t="shared" si="37"/>
        <v>0</v>
      </c>
      <c r="S66" s="1309">
        <f t="shared" si="37"/>
        <v>0</v>
      </c>
      <c r="T66" s="1310">
        <f t="shared" si="37"/>
        <v>0</v>
      </c>
      <c r="U66" s="1307">
        <f t="shared" si="37"/>
        <v>0</v>
      </c>
      <c r="V66" s="1311">
        <f t="shared" si="37"/>
        <v>0</v>
      </c>
      <c r="W66" s="1309">
        <f t="shared" si="37"/>
        <v>0</v>
      </c>
      <c r="X66" s="1310">
        <f t="shared" si="37"/>
        <v>0</v>
      </c>
      <c r="Y66" s="1307">
        <f t="shared" si="37"/>
        <v>0</v>
      </c>
      <c r="Z66" s="1311">
        <f t="shared" si="37"/>
        <v>0</v>
      </c>
      <c r="AA66" s="1309">
        <f t="shared" si="37"/>
        <v>0</v>
      </c>
      <c r="AB66" s="1310">
        <f t="shared" si="37"/>
        <v>0</v>
      </c>
      <c r="AC66" s="1307">
        <f t="shared" si="37"/>
        <v>0</v>
      </c>
      <c r="AD66" s="1311">
        <f t="shared" si="37"/>
        <v>0</v>
      </c>
      <c r="AE66" s="1309">
        <f t="shared" si="37"/>
        <v>0</v>
      </c>
      <c r="AF66" s="1310">
        <f t="shared" si="37"/>
        <v>0</v>
      </c>
      <c r="AG66" s="1307">
        <f t="shared" si="37"/>
        <v>0</v>
      </c>
      <c r="AH66" s="1311">
        <f t="shared" si="37"/>
        <v>0</v>
      </c>
      <c r="AI66" s="1312">
        <f t="shared" si="37"/>
        <v>0</v>
      </c>
      <c r="AJ66" s="2559">
        <f t="shared" si="37"/>
        <v>0</v>
      </c>
      <c r="AK66" s="1308">
        <f t="shared" si="37"/>
        <v>0</v>
      </c>
    </row>
    <row r="67" spans="1:90" s="1134" customFormat="1" ht="18" customHeight="1" x14ac:dyDescent="0.15">
      <c r="A67" s="14" t="s">
        <v>1038</v>
      </c>
    </row>
    <row r="68" spans="1:90" s="170" customFormat="1" ht="15" customHeight="1" x14ac:dyDescent="0.15">
      <c r="A68" s="7869" t="s">
        <v>61</v>
      </c>
      <c r="B68" s="7883" t="s">
        <v>24</v>
      </c>
      <c r="C68" s="6988"/>
      <c r="D68" s="7869"/>
      <c r="E68" s="7935" t="s">
        <v>30</v>
      </c>
      <c r="F68" s="7934"/>
      <c r="G68" s="7934"/>
      <c r="H68" s="7934"/>
      <c r="I68" s="7934"/>
      <c r="J68" s="7934"/>
      <c r="K68" s="7934"/>
      <c r="L68" s="7934"/>
      <c r="M68" s="7934"/>
      <c r="N68" s="7934"/>
      <c r="O68" s="7934"/>
      <c r="P68" s="7934"/>
      <c r="Q68" s="7934"/>
      <c r="R68" s="7934"/>
      <c r="S68" s="7934"/>
      <c r="T68" s="7934"/>
      <c r="U68" s="7934"/>
      <c r="V68" s="7934"/>
      <c r="W68" s="7934"/>
      <c r="X68" s="7934"/>
      <c r="Y68" s="7934"/>
      <c r="Z68" s="7934"/>
      <c r="AA68" s="7934"/>
      <c r="AB68" s="7934"/>
      <c r="AC68" s="7934"/>
      <c r="AD68" s="7934"/>
      <c r="AE68" s="7934"/>
      <c r="AF68" s="7934"/>
      <c r="AG68" s="7934"/>
      <c r="AH68" s="7934"/>
      <c r="AI68" s="7934"/>
      <c r="AJ68" s="7938"/>
      <c r="AK68" s="7942" t="s">
        <v>67</v>
      </c>
      <c r="AL68" s="7790" t="s">
        <v>267</v>
      </c>
    </row>
    <row r="69" spans="1:90" s="170" customFormat="1" ht="15" customHeight="1" x14ac:dyDescent="0.15">
      <c r="A69" s="6813"/>
      <c r="B69" s="7946"/>
      <c r="C69" s="7947"/>
      <c r="D69" s="7930"/>
      <c r="E69" s="7884" t="s">
        <v>682</v>
      </c>
      <c r="F69" s="7869"/>
      <c r="G69" s="7935" t="s">
        <v>1001</v>
      </c>
      <c r="H69" s="7936"/>
      <c r="I69" s="7935" t="s">
        <v>1002</v>
      </c>
      <c r="J69" s="7936"/>
      <c r="K69" s="7945" t="s">
        <v>38</v>
      </c>
      <c r="L69" s="7936"/>
      <c r="M69" s="7935" t="s">
        <v>4</v>
      </c>
      <c r="N69" s="7936"/>
      <c r="O69" s="7935" t="s">
        <v>5</v>
      </c>
      <c r="P69" s="7936"/>
      <c r="Q69" s="7935" t="s">
        <v>1003</v>
      </c>
      <c r="R69" s="7936"/>
      <c r="S69" s="7935" t="s">
        <v>9</v>
      </c>
      <c r="T69" s="7936"/>
      <c r="U69" s="7935" t="s">
        <v>10</v>
      </c>
      <c r="V69" s="7936"/>
      <c r="W69" s="7935" t="s">
        <v>11</v>
      </c>
      <c r="X69" s="7936"/>
      <c r="Y69" s="7935" t="s">
        <v>18</v>
      </c>
      <c r="Z69" s="7936"/>
      <c r="AA69" s="7935" t="s">
        <v>19</v>
      </c>
      <c r="AB69" s="7936"/>
      <c r="AC69" s="7935" t="s">
        <v>20</v>
      </c>
      <c r="AD69" s="7936"/>
      <c r="AE69" s="7935" t="s">
        <v>70</v>
      </c>
      <c r="AF69" s="7936"/>
      <c r="AG69" s="7935" t="s">
        <v>71</v>
      </c>
      <c r="AH69" s="7936"/>
      <c r="AI69" s="7935" t="s">
        <v>32</v>
      </c>
      <c r="AJ69" s="7938"/>
      <c r="AK69" s="7073"/>
      <c r="AL69" s="7881"/>
    </row>
    <row r="70" spans="1:90" s="170" customFormat="1" ht="15" customHeight="1" x14ac:dyDescent="0.15">
      <c r="A70" s="7930"/>
      <c r="B70" s="1278" t="s">
        <v>26</v>
      </c>
      <c r="C70" s="1279" t="s">
        <v>22</v>
      </c>
      <c r="D70" s="1185" t="s">
        <v>27</v>
      </c>
      <c r="E70" s="1313" t="s">
        <v>22</v>
      </c>
      <c r="F70" s="1314" t="s">
        <v>27</v>
      </c>
      <c r="G70" s="1315" t="s">
        <v>22</v>
      </c>
      <c r="H70" s="2547" t="s">
        <v>27</v>
      </c>
      <c r="I70" s="1313" t="s">
        <v>22</v>
      </c>
      <c r="J70" s="1314" t="s">
        <v>27</v>
      </c>
      <c r="K70" s="1313" t="s">
        <v>22</v>
      </c>
      <c r="L70" s="1314" t="s">
        <v>27</v>
      </c>
      <c r="M70" s="1315" t="s">
        <v>22</v>
      </c>
      <c r="N70" s="2547" t="s">
        <v>27</v>
      </c>
      <c r="O70" s="1313" t="s">
        <v>22</v>
      </c>
      <c r="P70" s="1314" t="s">
        <v>27</v>
      </c>
      <c r="Q70" s="1315" t="s">
        <v>22</v>
      </c>
      <c r="R70" s="2547" t="s">
        <v>27</v>
      </c>
      <c r="S70" s="1313" t="s">
        <v>22</v>
      </c>
      <c r="T70" s="1314" t="s">
        <v>27</v>
      </c>
      <c r="U70" s="1315" t="s">
        <v>22</v>
      </c>
      <c r="V70" s="2547" t="s">
        <v>27</v>
      </c>
      <c r="W70" s="1313" t="s">
        <v>22</v>
      </c>
      <c r="X70" s="1314" t="s">
        <v>27</v>
      </c>
      <c r="Y70" s="1315" t="s">
        <v>22</v>
      </c>
      <c r="Z70" s="2547" t="s">
        <v>27</v>
      </c>
      <c r="AA70" s="1313" t="s">
        <v>22</v>
      </c>
      <c r="AB70" s="1314" t="s">
        <v>27</v>
      </c>
      <c r="AC70" s="1315" t="s">
        <v>22</v>
      </c>
      <c r="AD70" s="2547" t="s">
        <v>27</v>
      </c>
      <c r="AE70" s="1313" t="s">
        <v>22</v>
      </c>
      <c r="AF70" s="1314" t="s">
        <v>27</v>
      </c>
      <c r="AG70" s="1315" t="s">
        <v>22</v>
      </c>
      <c r="AH70" s="2547" t="s">
        <v>27</v>
      </c>
      <c r="AI70" s="1313" t="s">
        <v>22</v>
      </c>
      <c r="AJ70" s="1316" t="s">
        <v>27</v>
      </c>
      <c r="AK70" s="7943"/>
      <c r="AL70" s="7944"/>
    </row>
    <row r="71" spans="1:90" s="170" customFormat="1" ht="15" customHeight="1" x14ac:dyDescent="0.15">
      <c r="A71" s="1317" t="s">
        <v>76</v>
      </c>
      <c r="B71" s="652">
        <f>SUM(C71+D71)</f>
        <v>0</v>
      </c>
      <c r="C71" s="1263">
        <f>SUM(E71+G71+I71+K71+M71+O71+Q71+S71+U71+W71+Y71+AA71+AC71+AE71+AG71+AI71)</f>
        <v>0</v>
      </c>
      <c r="D71" s="33">
        <f>SUM(F71+H71+J71+L71+N71+P71+R71+T71+V71+X71+Z71+AB71+AD71+AF71+AH71+AJ71)</f>
        <v>0</v>
      </c>
      <c r="E71" s="1318"/>
      <c r="F71" s="1107"/>
      <c r="G71" s="1120"/>
      <c r="H71" s="1319"/>
      <c r="I71" s="1318"/>
      <c r="J71" s="1320"/>
      <c r="K71" s="1318"/>
      <c r="L71" s="1320"/>
      <c r="M71" s="1120"/>
      <c r="N71" s="1319"/>
      <c r="O71" s="1318"/>
      <c r="P71" s="1320"/>
      <c r="Q71" s="1120"/>
      <c r="R71" s="1319"/>
      <c r="S71" s="1318"/>
      <c r="T71" s="1320"/>
      <c r="U71" s="1120"/>
      <c r="V71" s="1319"/>
      <c r="W71" s="1318"/>
      <c r="X71" s="1320"/>
      <c r="Y71" s="1120"/>
      <c r="Z71" s="1319"/>
      <c r="AA71" s="1318"/>
      <c r="AB71" s="1320"/>
      <c r="AC71" s="1120"/>
      <c r="AD71" s="1319"/>
      <c r="AE71" s="1318"/>
      <c r="AF71" s="1320"/>
      <c r="AG71" s="1120"/>
      <c r="AH71" s="1319"/>
      <c r="AI71" s="1321"/>
      <c r="AJ71" s="1322"/>
      <c r="AK71" s="1107"/>
      <c r="AL71" s="1119"/>
      <c r="AM71" s="170" t="str">
        <f>CB71&amp;CC71&amp;CD71</f>
        <v/>
      </c>
      <c r="CB71" s="2553" t="str">
        <f>IF(AND(AK71="",B71&gt;0)," * No olvide digitar la variable Beneficiarios. Si no tiene digite CERO.","")</f>
        <v/>
      </c>
      <c r="CD71" s="2553" t="str">
        <f>IF(AK71&gt;B71," * La variable Beneficiarios no puede ser mayor que el Total.","")</f>
        <v/>
      </c>
      <c r="CG71" s="2554">
        <f>IF(AND(AK71="",B71&gt;0),1,0)</f>
        <v>0</v>
      </c>
      <c r="CI71" s="2554">
        <f>IF(AK71&gt;B71,1,0)</f>
        <v>0</v>
      </c>
    </row>
    <row r="72" spans="1:90" s="170" customFormat="1" ht="15" customHeight="1" x14ac:dyDescent="0.15">
      <c r="A72" s="1323" t="s">
        <v>277</v>
      </c>
      <c r="B72" s="1268">
        <f>SUM(C72+D72)</f>
        <v>0</v>
      </c>
      <c r="C72" s="1269">
        <f>SUM(E72+G72+I72+K72+M72+O72+Q72+S72+U72+W72+Y72+AA72+AC72+AE72+AG72+AI72)</f>
        <v>0</v>
      </c>
      <c r="D72" s="1324">
        <f>SUM(F72+H72+J72+L72+N72+P72+R72+T72+V72+X72+Z72+AB72+AD72+AF72+AH72+AJ72)</f>
        <v>0</v>
      </c>
      <c r="E72" s="9"/>
      <c r="F72" s="11"/>
      <c r="G72" s="24"/>
      <c r="H72" s="1304"/>
      <c r="I72" s="9"/>
      <c r="J72" s="25"/>
      <c r="K72" s="9"/>
      <c r="L72" s="25"/>
      <c r="M72" s="24"/>
      <c r="N72" s="1304"/>
      <c r="O72" s="9"/>
      <c r="P72" s="25"/>
      <c r="Q72" s="24"/>
      <c r="R72" s="1304"/>
      <c r="S72" s="9"/>
      <c r="T72" s="25"/>
      <c r="U72" s="24"/>
      <c r="V72" s="1304"/>
      <c r="W72" s="9"/>
      <c r="X72" s="25"/>
      <c r="Y72" s="24"/>
      <c r="Z72" s="1304"/>
      <c r="AA72" s="9"/>
      <c r="AB72" s="25"/>
      <c r="AC72" s="24"/>
      <c r="AD72" s="1304"/>
      <c r="AE72" s="3"/>
      <c r="AF72" s="6"/>
      <c r="AG72" s="24"/>
      <c r="AH72" s="1304"/>
      <c r="AI72" s="48"/>
      <c r="AJ72" s="23"/>
      <c r="AK72" s="1305"/>
      <c r="AL72" s="1325"/>
      <c r="AM72" s="170" t="str">
        <f>CB72&amp;CC72&amp;CD72&amp;CE72</f>
        <v/>
      </c>
      <c r="CB72" s="2553" t="str">
        <f>IF(AND(AK72="",B72&gt;0)," * No olvide digitar la variable Beneficiarios. Si no tiene digite CERO.","")</f>
        <v/>
      </c>
      <c r="CC72" s="2553" t="str">
        <f>IF(AND(AL72="",B72&gt;0)," * No olvide digitar la variable Por campaña de Invierno. Si no tiene digite CERO.","")</f>
        <v/>
      </c>
      <c r="CD72" s="2553" t="str">
        <f>IF(AL72&gt;B72," * La variable 'Por campaña de invierno' no puede ser mayor al Total.","")</f>
        <v/>
      </c>
      <c r="CE72" s="2553" t="str">
        <f>IF(AK72&gt;B72," * La variable Beneficiarios no puede ser mayor que el Total.","")</f>
        <v/>
      </c>
      <c r="CF72" s="6042"/>
      <c r="CG72" s="2554">
        <f>IF(AND(AK72="",B72&gt;0),1,0)</f>
        <v>0</v>
      </c>
      <c r="CH72" s="2554">
        <f>IF(AND(AL72="",B72&gt;0),1,0)</f>
        <v>0</v>
      </c>
      <c r="CI72" s="2554">
        <f>IF(AK72&gt;B72,1,0)</f>
        <v>0</v>
      </c>
      <c r="CJ72" s="2554">
        <f>IF(AL72&gt;B72,1,0)</f>
        <v>0</v>
      </c>
      <c r="CL72" s="6042"/>
    </row>
    <row r="73" spans="1:90" s="170" customFormat="1" ht="15" customHeight="1" x14ac:dyDescent="0.15">
      <c r="A73" s="1326" t="s">
        <v>24</v>
      </c>
      <c r="B73" s="1236">
        <f t="shared" ref="B73:AK73" si="38">SUM(B71:B72)</f>
        <v>0</v>
      </c>
      <c r="C73" s="1180">
        <f>SUM(C71:C72)</f>
        <v>0</v>
      </c>
      <c r="D73" s="1178">
        <f t="shared" si="38"/>
        <v>0</v>
      </c>
      <c r="E73" s="1307">
        <f>SUM(E71:E72)</f>
        <v>0</v>
      </c>
      <c r="F73" s="1308">
        <f t="shared" si="38"/>
        <v>0</v>
      </c>
      <c r="G73" s="1309">
        <f t="shared" si="38"/>
        <v>0</v>
      </c>
      <c r="H73" s="1310">
        <f t="shared" si="38"/>
        <v>0</v>
      </c>
      <c r="I73" s="1307">
        <f t="shared" si="38"/>
        <v>0</v>
      </c>
      <c r="J73" s="1311">
        <f t="shared" si="38"/>
        <v>0</v>
      </c>
      <c r="K73" s="1307">
        <f t="shared" si="38"/>
        <v>0</v>
      </c>
      <c r="L73" s="1311">
        <f t="shared" si="38"/>
        <v>0</v>
      </c>
      <c r="M73" s="1309">
        <f t="shared" si="38"/>
        <v>0</v>
      </c>
      <c r="N73" s="1310">
        <f t="shared" si="38"/>
        <v>0</v>
      </c>
      <c r="O73" s="1307">
        <f t="shared" si="38"/>
        <v>0</v>
      </c>
      <c r="P73" s="1311">
        <f t="shared" si="38"/>
        <v>0</v>
      </c>
      <c r="Q73" s="1309">
        <f t="shared" si="38"/>
        <v>0</v>
      </c>
      <c r="R73" s="1310">
        <f t="shared" si="38"/>
        <v>0</v>
      </c>
      <c r="S73" s="1307">
        <f t="shared" si="38"/>
        <v>0</v>
      </c>
      <c r="T73" s="1311">
        <f t="shared" si="38"/>
        <v>0</v>
      </c>
      <c r="U73" s="1309">
        <f t="shared" si="38"/>
        <v>0</v>
      </c>
      <c r="V73" s="1310">
        <f t="shared" si="38"/>
        <v>0</v>
      </c>
      <c r="W73" s="1307">
        <f t="shared" si="38"/>
        <v>0</v>
      </c>
      <c r="X73" s="1311">
        <f t="shared" si="38"/>
        <v>0</v>
      </c>
      <c r="Y73" s="1309">
        <f t="shared" si="38"/>
        <v>0</v>
      </c>
      <c r="Z73" s="1310">
        <f t="shared" si="38"/>
        <v>0</v>
      </c>
      <c r="AA73" s="1307">
        <f t="shared" si="38"/>
        <v>0</v>
      </c>
      <c r="AB73" s="1311">
        <f t="shared" si="38"/>
        <v>0</v>
      </c>
      <c r="AC73" s="1309">
        <f t="shared" si="38"/>
        <v>0</v>
      </c>
      <c r="AD73" s="2560">
        <f t="shared" si="38"/>
        <v>0</v>
      </c>
      <c r="AE73" s="2560">
        <f t="shared" si="38"/>
        <v>0</v>
      </c>
      <c r="AF73" s="2560">
        <f t="shared" si="38"/>
        <v>0</v>
      </c>
      <c r="AG73" s="2560">
        <f t="shared" si="38"/>
        <v>0</v>
      </c>
      <c r="AH73" s="1310">
        <f t="shared" si="38"/>
        <v>0</v>
      </c>
      <c r="AI73" s="1312">
        <f t="shared" si="38"/>
        <v>0</v>
      </c>
      <c r="AJ73" s="2559">
        <f t="shared" si="38"/>
        <v>0</v>
      </c>
      <c r="AK73" s="1308">
        <f t="shared" si="38"/>
        <v>0</v>
      </c>
      <c r="AL73" s="1281">
        <f>SUM(AL71:AL72)</f>
        <v>0</v>
      </c>
    </row>
    <row r="74" spans="1:90" s="1134" customFormat="1" ht="18" customHeight="1" x14ac:dyDescent="0.15">
      <c r="A74" s="14" t="s">
        <v>1039</v>
      </c>
    </row>
    <row r="75" spans="1:90" s="170" customFormat="1" ht="15" customHeight="1" x14ac:dyDescent="0.15">
      <c r="A75" s="7869" t="s">
        <v>999</v>
      </c>
      <c r="B75" s="7883" t="s">
        <v>24</v>
      </c>
      <c r="C75" s="6988"/>
      <c r="D75" s="7869"/>
      <c r="E75" s="7921" t="s">
        <v>30</v>
      </c>
      <c r="F75" s="7922"/>
      <c r="G75" s="7922"/>
      <c r="H75" s="7922"/>
      <c r="I75" s="7922"/>
      <c r="J75" s="7922"/>
      <c r="K75" s="7922"/>
      <c r="L75" s="7922"/>
      <c r="M75" s="7922"/>
      <c r="N75" s="7922"/>
      <c r="O75" s="7922"/>
      <c r="P75" s="7922"/>
      <c r="Q75" s="7922"/>
      <c r="R75" s="7922"/>
      <c r="S75" s="7922"/>
      <c r="T75" s="7922"/>
      <c r="U75" s="7922"/>
      <c r="V75" s="7922"/>
      <c r="W75" s="7922"/>
      <c r="X75" s="7922"/>
      <c r="Y75" s="7922"/>
      <c r="Z75" s="7922"/>
      <c r="AA75" s="7922"/>
      <c r="AB75" s="7922"/>
      <c r="AC75" s="7922"/>
      <c r="AD75" s="7922"/>
      <c r="AE75" s="7922"/>
      <c r="AF75" s="7922"/>
      <c r="AG75" s="7922"/>
      <c r="AH75" s="7922"/>
      <c r="AI75" s="7922"/>
      <c r="AJ75" s="7941"/>
    </row>
    <row r="76" spans="1:90" s="170" customFormat="1" ht="15" customHeight="1" x14ac:dyDescent="0.15">
      <c r="A76" s="6813"/>
      <c r="B76" s="7946"/>
      <c r="C76" s="7947"/>
      <c r="D76" s="7930"/>
      <c r="E76" s="7884" t="s">
        <v>682</v>
      </c>
      <c r="F76" s="7869"/>
      <c r="G76" s="7934" t="s">
        <v>1001</v>
      </c>
      <c r="H76" s="7934"/>
      <c r="I76" s="7935" t="s">
        <v>1002</v>
      </c>
      <c r="J76" s="7936"/>
      <c r="K76" s="7934" t="s">
        <v>38</v>
      </c>
      <c r="L76" s="7934"/>
      <c r="M76" s="7935" t="s">
        <v>4</v>
      </c>
      <c r="N76" s="7936"/>
      <c r="O76" s="6988" t="s">
        <v>5</v>
      </c>
      <c r="P76" s="6988"/>
      <c r="Q76" s="7883" t="s">
        <v>1003</v>
      </c>
      <c r="R76" s="7869"/>
      <c r="S76" s="7883" t="s">
        <v>9</v>
      </c>
      <c r="T76" s="7869"/>
      <c r="U76" s="6988" t="s">
        <v>10</v>
      </c>
      <c r="V76" s="6988"/>
      <c r="W76" s="7883" t="s">
        <v>11</v>
      </c>
      <c r="X76" s="7869"/>
      <c r="Y76" s="6988" t="s">
        <v>18</v>
      </c>
      <c r="Z76" s="6988"/>
      <c r="AA76" s="7883" t="s">
        <v>19</v>
      </c>
      <c r="AB76" s="7869"/>
      <c r="AC76" s="6988" t="s">
        <v>20</v>
      </c>
      <c r="AD76" s="6988"/>
      <c r="AE76" s="7883" t="s">
        <v>70</v>
      </c>
      <c r="AF76" s="7869"/>
      <c r="AG76" s="6988" t="s">
        <v>71</v>
      </c>
      <c r="AH76" s="6988"/>
      <c r="AI76" s="7935" t="s">
        <v>32</v>
      </c>
      <c r="AJ76" s="7936"/>
    </row>
    <row r="77" spans="1:90" s="170" customFormat="1" ht="15" customHeight="1" x14ac:dyDescent="0.15">
      <c r="A77" s="7930"/>
      <c r="B77" s="1278" t="s">
        <v>26</v>
      </c>
      <c r="C77" s="1279" t="s">
        <v>22</v>
      </c>
      <c r="D77" s="2545" t="s">
        <v>27</v>
      </c>
      <c r="E77" s="1183" t="s">
        <v>22</v>
      </c>
      <c r="F77" s="1185" t="s">
        <v>27</v>
      </c>
      <c r="G77" s="1279" t="s">
        <v>22</v>
      </c>
      <c r="H77" s="1280" t="s">
        <v>27</v>
      </c>
      <c r="I77" s="1183" t="s">
        <v>22</v>
      </c>
      <c r="J77" s="1185" t="s">
        <v>27</v>
      </c>
      <c r="K77" s="1279" t="s">
        <v>22</v>
      </c>
      <c r="L77" s="1280" t="s">
        <v>27</v>
      </c>
      <c r="M77" s="1183" t="s">
        <v>22</v>
      </c>
      <c r="N77" s="1185" t="s">
        <v>27</v>
      </c>
      <c r="O77" s="1279" t="s">
        <v>22</v>
      </c>
      <c r="P77" s="1280" t="s">
        <v>27</v>
      </c>
      <c r="Q77" s="1183" t="s">
        <v>22</v>
      </c>
      <c r="R77" s="1185" t="s">
        <v>27</v>
      </c>
      <c r="S77" s="1183" t="s">
        <v>22</v>
      </c>
      <c r="T77" s="1185" t="s">
        <v>27</v>
      </c>
      <c r="U77" s="1279" t="s">
        <v>22</v>
      </c>
      <c r="V77" s="1280" t="s">
        <v>27</v>
      </c>
      <c r="W77" s="1183" t="s">
        <v>22</v>
      </c>
      <c r="X77" s="1185" t="s">
        <v>27</v>
      </c>
      <c r="Y77" s="1279" t="s">
        <v>22</v>
      </c>
      <c r="Z77" s="1280" t="s">
        <v>27</v>
      </c>
      <c r="AA77" s="1183" t="s">
        <v>22</v>
      </c>
      <c r="AB77" s="1185" t="s">
        <v>27</v>
      </c>
      <c r="AC77" s="1279" t="s">
        <v>22</v>
      </c>
      <c r="AD77" s="1280" t="s">
        <v>27</v>
      </c>
      <c r="AE77" s="1183" t="s">
        <v>22</v>
      </c>
      <c r="AF77" s="1185" t="s">
        <v>27</v>
      </c>
      <c r="AG77" s="1279" t="s">
        <v>22</v>
      </c>
      <c r="AH77" s="1280" t="s">
        <v>27</v>
      </c>
      <c r="AI77" s="1183" t="s">
        <v>22</v>
      </c>
      <c r="AJ77" s="1185" t="s">
        <v>27</v>
      </c>
    </row>
    <row r="78" spans="1:90" s="170" customFormat="1" ht="15" customHeight="1" x14ac:dyDescent="0.15">
      <c r="A78" s="1327" t="s">
        <v>1040</v>
      </c>
      <c r="B78" s="652">
        <f t="shared" ref="B78:B83" si="39">SUM(C78+D78)</f>
        <v>0</v>
      </c>
      <c r="C78" s="1263">
        <f>SUM(E78+G78)</f>
        <v>0</v>
      </c>
      <c r="D78" s="31">
        <f>SUM(F78+H78)</f>
        <v>0</v>
      </c>
      <c r="E78" s="1292"/>
      <c r="F78" s="1293"/>
      <c r="G78" s="1294"/>
      <c r="H78" s="1295"/>
      <c r="I78" s="1211"/>
      <c r="J78" s="1328"/>
      <c r="K78" s="1329"/>
      <c r="L78" s="1330"/>
      <c r="M78" s="1211"/>
      <c r="N78" s="1328"/>
      <c r="O78" s="1329"/>
      <c r="P78" s="1330"/>
      <c r="Q78" s="1211"/>
      <c r="R78" s="1328"/>
      <c r="S78" s="1211"/>
      <c r="T78" s="1328"/>
      <c r="U78" s="1329"/>
      <c r="V78" s="1330"/>
      <c r="W78" s="1211"/>
      <c r="X78" s="1328"/>
      <c r="Y78" s="1329"/>
      <c r="Z78" s="1330"/>
      <c r="AA78" s="1211"/>
      <c r="AB78" s="1328"/>
      <c r="AC78" s="1329"/>
      <c r="AD78" s="1330"/>
      <c r="AE78" s="1211"/>
      <c r="AF78" s="1328"/>
      <c r="AG78" s="1329"/>
      <c r="AH78" s="1330"/>
      <c r="AI78" s="1331"/>
      <c r="AJ78" s="1328"/>
    </row>
    <row r="79" spans="1:90" s="170" customFormat="1" ht="15" customHeight="1" x14ac:dyDescent="0.15">
      <c r="A79" s="1109" t="s">
        <v>1026</v>
      </c>
      <c r="B79" s="1265">
        <f t="shared" si="39"/>
        <v>0</v>
      </c>
      <c r="C79" s="1266">
        <f>SUM(E79+G79+I79+K79+M79+O79+Q79+S79+U79+W79+Y79+AA79+AC79+AE79+AG79+AI79)</f>
        <v>0</v>
      </c>
      <c r="D79" s="31">
        <f>SUM(F79+H79+J79+L79+N79+P79+R79+T79+V79+X79+Z79+AB79+AD79+AF79+AH79+AJ79)</f>
        <v>0</v>
      </c>
      <c r="E79" s="1113"/>
      <c r="F79" s="8"/>
      <c r="G79" s="1115"/>
      <c r="H79" s="1301"/>
      <c r="I79" s="1113"/>
      <c r="J79" s="1117"/>
      <c r="K79" s="1115"/>
      <c r="L79" s="1301"/>
      <c r="M79" s="1113"/>
      <c r="N79" s="1117"/>
      <c r="O79" s="1115"/>
      <c r="P79" s="1301"/>
      <c r="Q79" s="1113"/>
      <c r="R79" s="1117"/>
      <c r="S79" s="1113"/>
      <c r="T79" s="1117"/>
      <c r="U79" s="1115"/>
      <c r="V79" s="1301"/>
      <c r="W79" s="1113"/>
      <c r="X79" s="1117"/>
      <c r="Y79" s="1115"/>
      <c r="Z79" s="1301"/>
      <c r="AA79" s="1113"/>
      <c r="AB79" s="1117"/>
      <c r="AC79" s="1115"/>
      <c r="AD79" s="1301"/>
      <c r="AE79" s="1113"/>
      <c r="AF79" s="1117"/>
      <c r="AG79" s="1115"/>
      <c r="AH79" s="1301"/>
      <c r="AI79" s="1302"/>
      <c r="AJ79" s="1117"/>
    </row>
    <row r="80" spans="1:90" s="170" customFormat="1" ht="15" customHeight="1" x14ac:dyDescent="0.15">
      <c r="A80" s="1109" t="s">
        <v>1027</v>
      </c>
      <c r="B80" s="1265">
        <f t="shared" si="39"/>
        <v>0</v>
      </c>
      <c r="C80" s="1266">
        <f>SUM(E80+G80+I80+K80+M80+O80+Q80+S80+U80+W80+Y80+AA80+AC80+AE80+AG80+AI80)</f>
        <v>0</v>
      </c>
      <c r="D80" s="31">
        <f>SUM(F80+H80+J80+L80+N80+P80+R80+T80+V80+X80+Z80+AB80+AD80+AF80+AH80+AJ80)</f>
        <v>0</v>
      </c>
      <c r="E80" s="1113"/>
      <c r="F80" s="8"/>
      <c r="G80" s="1115"/>
      <c r="H80" s="1301"/>
      <c r="I80" s="1113"/>
      <c r="J80" s="1117"/>
      <c r="K80" s="1115"/>
      <c r="L80" s="1301"/>
      <c r="M80" s="1113"/>
      <c r="N80" s="1117"/>
      <c r="O80" s="1115"/>
      <c r="P80" s="1301"/>
      <c r="Q80" s="1113"/>
      <c r="R80" s="1117"/>
      <c r="S80" s="1113"/>
      <c r="T80" s="1117"/>
      <c r="U80" s="1115"/>
      <c r="V80" s="1301"/>
      <c r="W80" s="1113"/>
      <c r="X80" s="1117"/>
      <c r="Y80" s="1115"/>
      <c r="Z80" s="1301"/>
      <c r="AA80" s="1113"/>
      <c r="AB80" s="1117"/>
      <c r="AC80" s="1115"/>
      <c r="AD80" s="1301"/>
      <c r="AE80" s="1113"/>
      <c r="AF80" s="1117"/>
      <c r="AG80" s="1115"/>
      <c r="AH80" s="1301"/>
      <c r="AI80" s="1302"/>
      <c r="AJ80" s="1117"/>
    </row>
    <row r="81" spans="1:36" s="170" customFormat="1" ht="15" customHeight="1" x14ac:dyDescent="0.15">
      <c r="A81" s="1109" t="s">
        <v>1041</v>
      </c>
      <c r="B81" s="1265">
        <f t="shared" si="39"/>
        <v>0</v>
      </c>
      <c r="C81" s="1266">
        <f>SUM(G81+I81+K81+M81+O81+Q81+S81+U81+W81+Y81+AA81+AC81+AE81+AG81+AI81)</f>
        <v>0</v>
      </c>
      <c r="D81" s="31">
        <f>SUM(H81+J81+L81+N81+P81+R81+T81+V81+X81+Z81+AB81+AD81+AF81+AH81+AJ81)</f>
        <v>0</v>
      </c>
      <c r="E81" s="1214"/>
      <c r="F81" s="1215"/>
      <c r="G81" s="1115"/>
      <c r="H81" s="1301"/>
      <c r="I81" s="1113"/>
      <c r="J81" s="1117"/>
      <c r="K81" s="1115"/>
      <c r="L81" s="1301"/>
      <c r="M81" s="1113"/>
      <c r="N81" s="1117"/>
      <c r="O81" s="1115"/>
      <c r="P81" s="1301"/>
      <c r="Q81" s="1113"/>
      <c r="R81" s="1117"/>
      <c r="S81" s="1113"/>
      <c r="T81" s="1117"/>
      <c r="U81" s="1115"/>
      <c r="V81" s="1301"/>
      <c r="W81" s="1113"/>
      <c r="X81" s="1117"/>
      <c r="Y81" s="1115"/>
      <c r="Z81" s="1301"/>
      <c r="AA81" s="1113"/>
      <c r="AB81" s="1117"/>
      <c r="AC81" s="1115"/>
      <c r="AD81" s="1301"/>
      <c r="AE81" s="1113"/>
      <c r="AF81" s="1117"/>
      <c r="AG81" s="1115"/>
      <c r="AH81" s="1301"/>
      <c r="AI81" s="1302"/>
      <c r="AJ81" s="1117"/>
    </row>
    <row r="82" spans="1:36" s="170" customFormat="1" ht="15" customHeight="1" x14ac:dyDescent="0.15">
      <c r="A82" s="1109" t="s">
        <v>1042</v>
      </c>
      <c r="B82" s="1265">
        <f t="shared" si="39"/>
        <v>0</v>
      </c>
      <c r="C82" s="1266">
        <f>SUM(S82+U82+W82+Y82+AA82+AC82+AE82+AG82+AI82)</f>
        <v>0</v>
      </c>
      <c r="D82" s="31">
        <f>SUM(T82+V82+X82+Z82+AB82+AD82+AF82+AH82+AJ82)</f>
        <v>0</v>
      </c>
      <c r="E82" s="1214"/>
      <c r="F82" s="1215"/>
      <c r="G82" s="1332"/>
      <c r="H82" s="1333"/>
      <c r="I82" s="1214"/>
      <c r="J82" s="1334"/>
      <c r="K82" s="1332"/>
      <c r="L82" s="1333"/>
      <c r="M82" s="1214"/>
      <c r="N82" s="1334"/>
      <c r="O82" s="1332"/>
      <c r="P82" s="1333"/>
      <c r="Q82" s="1214"/>
      <c r="R82" s="1334"/>
      <c r="S82" s="1113"/>
      <c r="T82" s="1117"/>
      <c r="U82" s="1115"/>
      <c r="V82" s="1301"/>
      <c r="W82" s="1113"/>
      <c r="X82" s="1117"/>
      <c r="Y82" s="1115"/>
      <c r="Z82" s="1301"/>
      <c r="AA82" s="1113"/>
      <c r="AB82" s="1117"/>
      <c r="AC82" s="1115"/>
      <c r="AD82" s="1301"/>
      <c r="AE82" s="1113"/>
      <c r="AF82" s="1117"/>
      <c r="AG82" s="1115"/>
      <c r="AH82" s="1301"/>
      <c r="AI82" s="1302"/>
      <c r="AJ82" s="1117"/>
    </row>
    <row r="83" spans="1:36" s="170" customFormat="1" ht="15" customHeight="1" x14ac:dyDescent="0.15">
      <c r="A83" s="1335" t="s">
        <v>1030</v>
      </c>
      <c r="B83" s="1336">
        <f t="shared" si="39"/>
        <v>0</v>
      </c>
      <c r="C83" s="1337">
        <f>SUM(E83+G83+I83+K83+M83+O83+Q83+S83+U83+W83+Y83+AA83+AC83+AE83+AG83+AI83)</f>
        <v>0</v>
      </c>
      <c r="D83" s="31">
        <f>SUM(F83+H83+J83+L83+N83+P83+R83+T83+V83+X83+Z83+AB83+AD83+AF83+AH83+AJ83)</f>
        <v>0</v>
      </c>
      <c r="E83" s="3"/>
      <c r="F83" s="12"/>
      <c r="G83" s="21"/>
      <c r="H83" s="1338"/>
      <c r="I83" s="3"/>
      <c r="J83" s="6"/>
      <c r="K83" s="21"/>
      <c r="L83" s="1338"/>
      <c r="M83" s="3"/>
      <c r="N83" s="6"/>
      <c r="O83" s="21"/>
      <c r="P83" s="1338"/>
      <c r="Q83" s="3"/>
      <c r="R83" s="6"/>
      <c r="S83" s="3"/>
      <c r="T83" s="6"/>
      <c r="U83" s="21"/>
      <c r="V83" s="1338"/>
      <c r="W83" s="3"/>
      <c r="X83" s="6"/>
      <c r="Y83" s="21"/>
      <c r="Z83" s="1338"/>
      <c r="AA83" s="3"/>
      <c r="AB83" s="6"/>
      <c r="AC83" s="21"/>
      <c r="AD83" s="1338"/>
      <c r="AE83" s="3"/>
      <c r="AF83" s="6"/>
      <c r="AG83" s="21"/>
      <c r="AH83" s="1338"/>
      <c r="AI83" s="22"/>
      <c r="AJ83" s="6"/>
    </row>
    <row r="84" spans="1:36" s="170" customFormat="1" ht="15" customHeight="1" x14ac:dyDescent="0.15">
      <c r="A84" s="1326" t="s">
        <v>24</v>
      </c>
      <c r="B84" s="1236">
        <f t="shared" ref="B84:AJ84" si="40">SUM(B78:B83)</f>
        <v>0</v>
      </c>
      <c r="C84" s="1180">
        <f t="shared" si="40"/>
        <v>0</v>
      </c>
      <c r="D84" s="1178">
        <f t="shared" si="40"/>
        <v>0</v>
      </c>
      <c r="E84" s="1307">
        <f>SUM(E78:E83)</f>
        <v>0</v>
      </c>
      <c r="F84" s="1308">
        <f t="shared" si="40"/>
        <v>0</v>
      </c>
      <c r="G84" s="1309">
        <f t="shared" si="40"/>
        <v>0</v>
      </c>
      <c r="H84" s="1310">
        <f t="shared" si="40"/>
        <v>0</v>
      </c>
      <c r="I84" s="1307">
        <f t="shared" si="40"/>
        <v>0</v>
      </c>
      <c r="J84" s="1311">
        <f t="shared" si="40"/>
        <v>0</v>
      </c>
      <c r="K84" s="1309">
        <f t="shared" si="40"/>
        <v>0</v>
      </c>
      <c r="L84" s="1310">
        <f t="shared" si="40"/>
        <v>0</v>
      </c>
      <c r="M84" s="1307">
        <f t="shared" si="40"/>
        <v>0</v>
      </c>
      <c r="N84" s="1311">
        <f t="shared" si="40"/>
        <v>0</v>
      </c>
      <c r="O84" s="1309">
        <f t="shared" si="40"/>
        <v>0</v>
      </c>
      <c r="P84" s="1310">
        <f t="shared" si="40"/>
        <v>0</v>
      </c>
      <c r="Q84" s="1307">
        <f t="shared" si="40"/>
        <v>0</v>
      </c>
      <c r="R84" s="1311">
        <f t="shared" si="40"/>
        <v>0</v>
      </c>
      <c r="S84" s="1307">
        <f t="shared" si="40"/>
        <v>0</v>
      </c>
      <c r="T84" s="1311">
        <f t="shared" si="40"/>
        <v>0</v>
      </c>
      <c r="U84" s="1309">
        <f t="shared" si="40"/>
        <v>0</v>
      </c>
      <c r="V84" s="1310">
        <f t="shared" si="40"/>
        <v>0</v>
      </c>
      <c r="W84" s="1307">
        <f t="shared" si="40"/>
        <v>0</v>
      </c>
      <c r="X84" s="1311">
        <f t="shared" si="40"/>
        <v>0</v>
      </c>
      <c r="Y84" s="1309">
        <f t="shared" si="40"/>
        <v>0</v>
      </c>
      <c r="Z84" s="1310">
        <f t="shared" si="40"/>
        <v>0</v>
      </c>
      <c r="AA84" s="1307">
        <f t="shared" si="40"/>
        <v>0</v>
      </c>
      <c r="AB84" s="1311">
        <f t="shared" si="40"/>
        <v>0</v>
      </c>
      <c r="AC84" s="1309">
        <f t="shared" si="40"/>
        <v>0</v>
      </c>
      <c r="AD84" s="1310">
        <f t="shared" si="40"/>
        <v>0</v>
      </c>
      <c r="AE84" s="1307">
        <f t="shared" si="40"/>
        <v>0</v>
      </c>
      <c r="AF84" s="1311">
        <f t="shared" si="40"/>
        <v>0</v>
      </c>
      <c r="AG84" s="1309">
        <f t="shared" si="40"/>
        <v>0</v>
      </c>
      <c r="AH84" s="1310">
        <f t="shared" si="40"/>
        <v>0</v>
      </c>
      <c r="AI84" s="1312">
        <f t="shared" si="40"/>
        <v>0</v>
      </c>
      <c r="AJ84" s="1311">
        <f t="shared" si="40"/>
        <v>0</v>
      </c>
    </row>
    <row r="85" spans="1:36" s="1134" customFormat="1" ht="18" customHeight="1" x14ac:dyDescent="0.15">
      <c r="A85" s="7" t="s">
        <v>1043</v>
      </c>
    </row>
    <row r="86" spans="1:36" s="170" customFormat="1" ht="21" x14ac:dyDescent="0.15">
      <c r="A86" s="7911" t="s">
        <v>61</v>
      </c>
      <c r="B86" s="7911"/>
      <c r="C86" s="1278" t="s">
        <v>24</v>
      </c>
      <c r="D86" s="4972" t="s">
        <v>130</v>
      </c>
      <c r="E86" s="4973" t="s">
        <v>1044</v>
      </c>
    </row>
    <row r="87" spans="1:36" s="170" customFormat="1" ht="15" customHeight="1" x14ac:dyDescent="0.15">
      <c r="A87" s="7939" t="s">
        <v>74</v>
      </c>
      <c r="B87" s="7940"/>
      <c r="C87" s="1149">
        <f>SUM(D87+E87)</f>
        <v>0</v>
      </c>
      <c r="D87" s="661"/>
      <c r="E87" s="4971"/>
    </row>
    <row r="88" spans="1:36" s="170" customFormat="1" ht="15" customHeight="1" x14ac:dyDescent="0.15">
      <c r="A88" s="7898" t="s">
        <v>277</v>
      </c>
      <c r="B88" s="7027"/>
      <c r="C88" s="1149">
        <f>SUM(D88+E88)</f>
        <v>0</v>
      </c>
      <c r="D88" s="1152"/>
      <c r="E88" s="1153"/>
    </row>
    <row r="89" spans="1:36" s="170" customFormat="1" ht="15" customHeight="1" x14ac:dyDescent="0.15">
      <c r="A89" s="7909" t="s">
        <v>76</v>
      </c>
      <c r="B89" s="7910"/>
      <c r="C89" s="1149">
        <f>SUM(D89+E89)</f>
        <v>0</v>
      </c>
      <c r="D89" s="1152"/>
      <c r="E89" s="1153"/>
    </row>
    <row r="90" spans="1:36" s="170" customFormat="1" ht="15" customHeight="1" x14ac:dyDescent="0.15">
      <c r="A90" s="7921" t="s">
        <v>24</v>
      </c>
      <c r="B90" s="7941"/>
      <c r="C90" s="1339">
        <f>SUM(C87:C89)</f>
        <v>0</v>
      </c>
      <c r="D90" s="1177">
        <f>SUM(D87:D89)</f>
        <v>0</v>
      </c>
      <c r="E90" s="1179">
        <f>SUM(E87:E89)</f>
        <v>0</v>
      </c>
    </row>
    <row r="91" spans="1:36" s="1134" customFormat="1" ht="18" customHeight="1" x14ac:dyDescent="0.15">
      <c r="A91" s="1340" t="s">
        <v>1045</v>
      </c>
    </row>
    <row r="92" spans="1:36" s="170" customFormat="1" ht="15" customHeight="1" x14ac:dyDescent="0.15">
      <c r="A92" s="7869" t="s">
        <v>1046</v>
      </c>
      <c r="B92" s="7903" t="s">
        <v>24</v>
      </c>
      <c r="C92" s="7904"/>
      <c r="D92" s="7905"/>
      <c r="E92" s="7886" t="s">
        <v>30</v>
      </c>
      <c r="F92" s="7887"/>
      <c r="G92" s="7887"/>
      <c r="H92" s="7887"/>
      <c r="I92" s="7887"/>
      <c r="J92" s="7887"/>
      <c r="K92" s="7887"/>
      <c r="L92" s="7887"/>
      <c r="M92" s="7887"/>
      <c r="N92" s="7887"/>
      <c r="O92" s="7887"/>
      <c r="P92" s="7887"/>
      <c r="Q92" s="7887"/>
      <c r="R92" s="7887"/>
      <c r="S92" s="7887"/>
      <c r="T92" s="7887"/>
      <c r="U92" s="7887"/>
      <c r="V92" s="7887"/>
      <c r="W92" s="7887"/>
      <c r="X92" s="7887"/>
      <c r="Y92" s="7887"/>
      <c r="Z92" s="7887"/>
      <c r="AA92" s="7887"/>
      <c r="AB92" s="7887"/>
      <c r="AC92" s="7887"/>
      <c r="AD92" s="7887"/>
      <c r="AE92" s="7887"/>
      <c r="AF92" s="7887"/>
      <c r="AG92" s="7887"/>
      <c r="AH92" s="7887"/>
      <c r="AI92" s="7887"/>
      <c r="AJ92" s="7951"/>
    </row>
    <row r="93" spans="1:36" s="170" customFormat="1" ht="15" customHeight="1" x14ac:dyDescent="0.15">
      <c r="A93" s="6813"/>
      <c r="B93" s="7948"/>
      <c r="C93" s="7949"/>
      <c r="D93" s="7950"/>
      <c r="E93" s="7884" t="s">
        <v>682</v>
      </c>
      <c r="F93" s="7869"/>
      <c r="G93" s="7935" t="s">
        <v>1001</v>
      </c>
      <c r="H93" s="7936"/>
      <c r="I93" s="7935" t="s">
        <v>1002</v>
      </c>
      <c r="J93" s="7936"/>
      <c r="K93" s="7934" t="s">
        <v>38</v>
      </c>
      <c r="L93" s="7934"/>
      <c r="M93" s="7935" t="s">
        <v>4</v>
      </c>
      <c r="N93" s="7936"/>
      <c r="O93" s="7934" t="s">
        <v>5</v>
      </c>
      <c r="P93" s="7934"/>
      <c r="Q93" s="7935" t="s">
        <v>1003</v>
      </c>
      <c r="R93" s="7936"/>
      <c r="S93" s="7934" t="s">
        <v>9</v>
      </c>
      <c r="T93" s="7934"/>
      <c r="U93" s="7935" t="s">
        <v>10</v>
      </c>
      <c r="V93" s="7936"/>
      <c r="W93" s="7934" t="s">
        <v>11</v>
      </c>
      <c r="X93" s="7934"/>
      <c r="Y93" s="7935" t="s">
        <v>18</v>
      </c>
      <c r="Z93" s="7936"/>
      <c r="AA93" s="7934" t="s">
        <v>19</v>
      </c>
      <c r="AB93" s="7934"/>
      <c r="AC93" s="7935" t="s">
        <v>20</v>
      </c>
      <c r="AD93" s="7936"/>
      <c r="AE93" s="7934" t="s">
        <v>70</v>
      </c>
      <c r="AF93" s="7934"/>
      <c r="AG93" s="7935" t="s">
        <v>71</v>
      </c>
      <c r="AH93" s="7936"/>
      <c r="AI93" s="7935" t="s">
        <v>32</v>
      </c>
      <c r="AJ93" s="7936"/>
    </row>
    <row r="94" spans="1:36" s="170" customFormat="1" ht="15" customHeight="1" x14ac:dyDescent="0.15">
      <c r="A94" s="7930"/>
      <c r="B94" s="1278" t="s">
        <v>26</v>
      </c>
      <c r="C94" s="1279" t="s">
        <v>22</v>
      </c>
      <c r="D94" s="1185" t="s">
        <v>27</v>
      </c>
      <c r="E94" s="1183" t="s">
        <v>22</v>
      </c>
      <c r="F94" s="1185" t="s">
        <v>27</v>
      </c>
      <c r="G94" s="1183" t="s">
        <v>22</v>
      </c>
      <c r="H94" s="1185" t="s">
        <v>27</v>
      </c>
      <c r="I94" s="1183" t="s">
        <v>22</v>
      </c>
      <c r="J94" s="1185" t="s">
        <v>27</v>
      </c>
      <c r="K94" s="1279" t="s">
        <v>22</v>
      </c>
      <c r="L94" s="1280" t="s">
        <v>27</v>
      </c>
      <c r="M94" s="1183" t="s">
        <v>22</v>
      </c>
      <c r="N94" s="1185" t="s">
        <v>27</v>
      </c>
      <c r="O94" s="1279" t="s">
        <v>22</v>
      </c>
      <c r="P94" s="1280" t="s">
        <v>27</v>
      </c>
      <c r="Q94" s="1183" t="s">
        <v>22</v>
      </c>
      <c r="R94" s="1185" t="s">
        <v>27</v>
      </c>
      <c r="S94" s="1279" t="s">
        <v>22</v>
      </c>
      <c r="T94" s="1280" t="s">
        <v>27</v>
      </c>
      <c r="U94" s="1183" t="s">
        <v>22</v>
      </c>
      <c r="V94" s="1185" t="s">
        <v>27</v>
      </c>
      <c r="W94" s="1279" t="s">
        <v>22</v>
      </c>
      <c r="X94" s="1280" t="s">
        <v>27</v>
      </c>
      <c r="Y94" s="1183" t="s">
        <v>22</v>
      </c>
      <c r="Z94" s="1185" t="s">
        <v>27</v>
      </c>
      <c r="AA94" s="1279" t="s">
        <v>22</v>
      </c>
      <c r="AB94" s="1280" t="s">
        <v>27</v>
      </c>
      <c r="AC94" s="1183" t="s">
        <v>22</v>
      </c>
      <c r="AD94" s="1185" t="s">
        <v>27</v>
      </c>
      <c r="AE94" s="1279" t="s">
        <v>22</v>
      </c>
      <c r="AF94" s="1280" t="s">
        <v>27</v>
      </c>
      <c r="AG94" s="1183" t="s">
        <v>22</v>
      </c>
      <c r="AH94" s="1185" t="s">
        <v>27</v>
      </c>
      <c r="AI94" s="1183" t="s">
        <v>22</v>
      </c>
      <c r="AJ94" s="1185" t="s">
        <v>27</v>
      </c>
    </row>
    <row r="95" spans="1:36" s="170" customFormat="1" ht="15" customHeight="1" x14ac:dyDescent="0.15">
      <c r="A95" s="1327" t="s">
        <v>1047</v>
      </c>
      <c r="B95" s="1289">
        <f t="shared" ref="B95:B103" si="41">SUM(C95+D95)</f>
        <v>0</v>
      </c>
      <c r="C95" s="1290">
        <f t="shared" ref="C95:D101" si="42">SUM(I95+K95+M95+O95+Q95+S95+U95+W95+Y95+AA95+AC95+AE95+AG95+AI95)</f>
        <v>0</v>
      </c>
      <c r="D95" s="1291">
        <f t="shared" si="42"/>
        <v>0</v>
      </c>
      <c r="E95" s="1221"/>
      <c r="F95" s="1341"/>
      <c r="G95" s="1221"/>
      <c r="H95" s="1341"/>
      <c r="I95" s="1143"/>
      <c r="J95" s="1145"/>
      <c r="K95" s="1146"/>
      <c r="L95" s="1147"/>
      <c r="M95" s="1143"/>
      <c r="N95" s="1145"/>
      <c r="O95" s="1146"/>
      <c r="P95" s="1147"/>
      <c r="Q95" s="1143"/>
      <c r="R95" s="1145"/>
      <c r="S95" s="1146"/>
      <c r="T95" s="1147"/>
      <c r="U95" s="1143"/>
      <c r="V95" s="1145"/>
      <c r="W95" s="1146"/>
      <c r="X95" s="1147"/>
      <c r="Y95" s="1143"/>
      <c r="Z95" s="1145"/>
      <c r="AA95" s="1146"/>
      <c r="AB95" s="1147"/>
      <c r="AC95" s="1143"/>
      <c r="AD95" s="1145"/>
      <c r="AE95" s="1146"/>
      <c r="AF95" s="1147"/>
      <c r="AG95" s="1143"/>
      <c r="AH95" s="1145"/>
      <c r="AI95" s="1148"/>
      <c r="AJ95" s="1145"/>
    </row>
    <row r="96" spans="1:36" s="170" customFormat="1" ht="15" customHeight="1" x14ac:dyDescent="0.15">
      <c r="A96" s="1109" t="s">
        <v>1048</v>
      </c>
      <c r="B96" s="652">
        <f t="shared" si="41"/>
        <v>0</v>
      </c>
      <c r="C96" s="1263">
        <f t="shared" si="42"/>
        <v>0</v>
      </c>
      <c r="D96" s="33">
        <f t="shared" si="42"/>
        <v>0</v>
      </c>
      <c r="E96" s="1192"/>
      <c r="F96" s="1342"/>
      <c r="G96" s="1192"/>
      <c r="H96" s="1342"/>
      <c r="I96" s="661"/>
      <c r="J96" s="1191"/>
      <c r="K96" s="1343"/>
      <c r="L96" s="1344"/>
      <c r="M96" s="661"/>
      <c r="N96" s="1191"/>
      <c r="O96" s="1343"/>
      <c r="P96" s="1344"/>
      <c r="Q96" s="661"/>
      <c r="R96" s="1191"/>
      <c r="S96" s="1343"/>
      <c r="T96" s="1344"/>
      <c r="U96" s="661"/>
      <c r="V96" s="1191"/>
      <c r="W96" s="1343"/>
      <c r="X96" s="1344"/>
      <c r="Y96" s="661"/>
      <c r="Z96" s="1191"/>
      <c r="AA96" s="1343"/>
      <c r="AB96" s="1344"/>
      <c r="AC96" s="661"/>
      <c r="AD96" s="1191"/>
      <c r="AE96" s="1343"/>
      <c r="AF96" s="1344"/>
      <c r="AG96" s="661"/>
      <c r="AH96" s="1191"/>
      <c r="AI96" s="1345"/>
      <c r="AJ96" s="1191"/>
    </row>
    <row r="97" spans="1:36" s="170" customFormat="1" ht="15" customHeight="1" x14ac:dyDescent="0.15">
      <c r="A97" s="1109" t="s">
        <v>1049</v>
      </c>
      <c r="B97" s="1265">
        <f t="shared" si="41"/>
        <v>0</v>
      </c>
      <c r="C97" s="1266">
        <f t="shared" si="42"/>
        <v>0</v>
      </c>
      <c r="D97" s="31">
        <f>SUM(J97+L97+N97+P97+R97+T97+V97+X97+Z97+AB97+AD97+AF97+AH97+AJ97)</f>
        <v>0</v>
      </c>
      <c r="E97" s="1192"/>
      <c r="F97" s="1342"/>
      <c r="G97" s="1192"/>
      <c r="H97" s="1342"/>
      <c r="I97" s="661"/>
      <c r="J97" s="1191"/>
      <c r="K97" s="1343"/>
      <c r="L97" s="1344"/>
      <c r="M97" s="661"/>
      <c r="N97" s="1191"/>
      <c r="O97" s="1343"/>
      <c r="P97" s="1344"/>
      <c r="Q97" s="661"/>
      <c r="R97" s="1191"/>
      <c r="S97" s="1343"/>
      <c r="T97" s="1344"/>
      <c r="U97" s="661"/>
      <c r="V97" s="1191"/>
      <c r="W97" s="1343"/>
      <c r="X97" s="1344"/>
      <c r="Y97" s="661"/>
      <c r="Z97" s="1191"/>
      <c r="AA97" s="1343"/>
      <c r="AB97" s="1344"/>
      <c r="AC97" s="661"/>
      <c r="AD97" s="1191"/>
      <c r="AE97" s="1343"/>
      <c r="AF97" s="1344"/>
      <c r="AG97" s="661"/>
      <c r="AH97" s="1191"/>
      <c r="AI97" s="1345"/>
      <c r="AJ97" s="1191"/>
    </row>
    <row r="98" spans="1:36" s="170" customFormat="1" ht="15" customHeight="1" x14ac:dyDescent="0.15">
      <c r="A98" s="1109" t="s">
        <v>1050</v>
      </c>
      <c r="B98" s="1265">
        <f t="shared" si="41"/>
        <v>0</v>
      </c>
      <c r="C98" s="1266">
        <f>SUM(I98+K98+M98+O98+Q98+S98+U98+W98+Y98+AA98+AC98+AE98+AG98+AI98)</f>
        <v>0</v>
      </c>
      <c r="D98" s="31">
        <f t="shared" si="42"/>
        <v>0</v>
      </c>
      <c r="E98" s="1192"/>
      <c r="F98" s="1342"/>
      <c r="G98" s="1192"/>
      <c r="H98" s="1342"/>
      <c r="I98" s="661"/>
      <c r="J98" s="1191"/>
      <c r="K98" s="1343"/>
      <c r="L98" s="1344"/>
      <c r="M98" s="661"/>
      <c r="N98" s="1191"/>
      <c r="O98" s="1343"/>
      <c r="P98" s="1344"/>
      <c r="Q98" s="661"/>
      <c r="R98" s="1191"/>
      <c r="S98" s="1343"/>
      <c r="T98" s="1344"/>
      <c r="U98" s="661"/>
      <c r="V98" s="1191"/>
      <c r="W98" s="1343"/>
      <c r="X98" s="1344"/>
      <c r="Y98" s="661"/>
      <c r="Z98" s="1191"/>
      <c r="AA98" s="1343"/>
      <c r="AB98" s="1344"/>
      <c r="AC98" s="661"/>
      <c r="AD98" s="1191"/>
      <c r="AE98" s="1343"/>
      <c r="AF98" s="1344"/>
      <c r="AG98" s="661"/>
      <c r="AH98" s="1191"/>
      <c r="AI98" s="1345"/>
      <c r="AJ98" s="1191"/>
    </row>
    <row r="99" spans="1:36" s="170" customFormat="1" ht="15" customHeight="1" x14ac:dyDescent="0.15">
      <c r="A99" s="1109" t="s">
        <v>1051</v>
      </c>
      <c r="B99" s="1265">
        <f t="shared" si="41"/>
        <v>0</v>
      </c>
      <c r="C99" s="1266">
        <f>SUM(I99+K99+M99+O99+Q99+S99+U99+W99+Y99+AA99+AC99+AE99+AG99+AI99)</f>
        <v>0</v>
      </c>
      <c r="D99" s="31">
        <f t="shared" si="42"/>
        <v>0</v>
      </c>
      <c r="E99" s="1162"/>
      <c r="F99" s="1168"/>
      <c r="G99" s="1162"/>
      <c r="H99" s="1168"/>
      <c r="I99" s="1152"/>
      <c r="J99" s="1153"/>
      <c r="K99" s="1154"/>
      <c r="L99" s="1155"/>
      <c r="M99" s="1152"/>
      <c r="N99" s="1153"/>
      <c r="O99" s="1154"/>
      <c r="P99" s="1155"/>
      <c r="Q99" s="1152"/>
      <c r="R99" s="1153"/>
      <c r="S99" s="1154"/>
      <c r="T99" s="1155"/>
      <c r="U99" s="1152"/>
      <c r="V99" s="1153"/>
      <c r="W99" s="1154"/>
      <c r="X99" s="1155"/>
      <c r="Y99" s="1152"/>
      <c r="Z99" s="1153"/>
      <c r="AA99" s="1154"/>
      <c r="AB99" s="1155"/>
      <c r="AC99" s="1152"/>
      <c r="AD99" s="1153"/>
      <c r="AE99" s="1154"/>
      <c r="AF99" s="1155"/>
      <c r="AG99" s="1152"/>
      <c r="AH99" s="1153"/>
      <c r="AI99" s="67"/>
      <c r="AJ99" s="1153"/>
    </row>
    <row r="100" spans="1:36" s="170" customFormat="1" ht="15" customHeight="1" x14ac:dyDescent="0.15">
      <c r="A100" s="1109" t="s">
        <v>1052</v>
      </c>
      <c r="B100" s="1265">
        <f t="shared" si="41"/>
        <v>0</v>
      </c>
      <c r="C100" s="1266">
        <f t="shared" si="42"/>
        <v>0</v>
      </c>
      <c r="D100" s="31">
        <f t="shared" si="42"/>
        <v>0</v>
      </c>
      <c r="E100" s="1162"/>
      <c r="F100" s="1168"/>
      <c r="G100" s="1162"/>
      <c r="H100" s="1168"/>
      <c r="I100" s="1152"/>
      <c r="J100" s="1153"/>
      <c r="K100" s="1154"/>
      <c r="L100" s="1155"/>
      <c r="M100" s="1152"/>
      <c r="N100" s="1153"/>
      <c r="O100" s="1154"/>
      <c r="P100" s="1155"/>
      <c r="Q100" s="1152"/>
      <c r="R100" s="1153"/>
      <c r="S100" s="1154"/>
      <c r="T100" s="1155"/>
      <c r="U100" s="1152"/>
      <c r="V100" s="1153"/>
      <c r="W100" s="1154"/>
      <c r="X100" s="1155"/>
      <c r="Y100" s="1152"/>
      <c r="Z100" s="1153"/>
      <c r="AA100" s="1154"/>
      <c r="AB100" s="1155"/>
      <c r="AC100" s="1152"/>
      <c r="AD100" s="1153"/>
      <c r="AE100" s="1154"/>
      <c r="AF100" s="1155"/>
      <c r="AG100" s="1152"/>
      <c r="AH100" s="1153"/>
      <c r="AI100" s="67"/>
      <c r="AJ100" s="1153"/>
    </row>
    <row r="101" spans="1:36" s="170" customFormat="1" ht="15" customHeight="1" x14ac:dyDescent="0.15">
      <c r="A101" s="1109" t="s">
        <v>1053</v>
      </c>
      <c r="B101" s="1265">
        <f t="shared" si="41"/>
        <v>0</v>
      </c>
      <c r="C101" s="1266">
        <f t="shared" si="42"/>
        <v>0</v>
      </c>
      <c r="D101" s="31">
        <f t="shared" si="42"/>
        <v>0</v>
      </c>
      <c r="E101" s="1162"/>
      <c r="F101" s="1168"/>
      <c r="G101" s="1162"/>
      <c r="H101" s="1168"/>
      <c r="I101" s="1152"/>
      <c r="J101" s="1153"/>
      <c r="K101" s="1154"/>
      <c r="L101" s="1155"/>
      <c r="M101" s="1152"/>
      <c r="N101" s="1153"/>
      <c r="O101" s="1154"/>
      <c r="P101" s="1155"/>
      <c r="Q101" s="1152"/>
      <c r="R101" s="1153"/>
      <c r="S101" s="1154"/>
      <c r="T101" s="1155"/>
      <c r="U101" s="1152"/>
      <c r="V101" s="1153"/>
      <c r="W101" s="1154"/>
      <c r="X101" s="1155"/>
      <c r="Y101" s="1152"/>
      <c r="Z101" s="1153"/>
      <c r="AA101" s="1154"/>
      <c r="AB101" s="1155"/>
      <c r="AC101" s="1152"/>
      <c r="AD101" s="1153"/>
      <c r="AE101" s="1154"/>
      <c r="AF101" s="1155"/>
      <c r="AG101" s="1152"/>
      <c r="AH101" s="1153"/>
      <c r="AI101" s="67"/>
      <c r="AJ101" s="1153"/>
    </row>
    <row r="102" spans="1:36" s="170" customFormat="1" ht="15" customHeight="1" x14ac:dyDescent="0.15">
      <c r="A102" s="1346" t="s">
        <v>1054</v>
      </c>
      <c r="B102" s="1265">
        <f t="shared" si="41"/>
        <v>0</v>
      </c>
      <c r="C102" s="1347">
        <f>SUM(E102+G102+I102+K102+M102+O102+Q102+S102+U102+W102+Y102+AA102+AC102+AE102+AG102+AI102)</f>
        <v>0</v>
      </c>
      <c r="D102" s="31">
        <f>SUM(F102+H102+J102+L102+N102+P102+R102+T102+V102+X102+Z102+AB102+AD102+AF102+AH102+AJ102)</f>
        <v>0</v>
      </c>
      <c r="E102" s="1348"/>
      <c r="F102" s="1349"/>
      <c r="G102" s="1348"/>
      <c r="H102" s="1349"/>
      <c r="I102" s="1348"/>
      <c r="J102" s="1349"/>
      <c r="K102" s="1350"/>
      <c r="L102" s="1351"/>
      <c r="M102" s="1348"/>
      <c r="N102" s="1349"/>
      <c r="O102" s="1350"/>
      <c r="P102" s="1351"/>
      <c r="Q102" s="1348"/>
      <c r="R102" s="1349"/>
      <c r="S102" s="1350"/>
      <c r="T102" s="1351"/>
      <c r="U102" s="1348"/>
      <c r="V102" s="1349"/>
      <c r="W102" s="1350"/>
      <c r="X102" s="1351"/>
      <c r="Y102" s="1348"/>
      <c r="Z102" s="1349"/>
      <c r="AA102" s="1350"/>
      <c r="AB102" s="1351"/>
      <c r="AC102" s="1348"/>
      <c r="AD102" s="1349"/>
      <c r="AE102" s="1350"/>
      <c r="AF102" s="1351"/>
      <c r="AG102" s="1348"/>
      <c r="AH102" s="1349"/>
      <c r="AI102" s="1352"/>
      <c r="AJ102" s="1349"/>
    </row>
    <row r="103" spans="1:36" s="170" customFormat="1" ht="15" customHeight="1" x14ac:dyDescent="0.15">
      <c r="A103" s="1353" t="s">
        <v>1055</v>
      </c>
      <c r="B103" s="1354">
        <f t="shared" si="41"/>
        <v>0</v>
      </c>
      <c r="C103" s="1355">
        <f>SUM(E103+G103+I103+K103+M103+O103+Q103+S103+U103+W103+Y103+AA103+AC103+AE103+AG103+AI103)</f>
        <v>0</v>
      </c>
      <c r="D103" s="37">
        <f>SUM(F103+H103+J103+L103+N103+P103+R103+T103+V103+X103+Z103+AB103+AD103+AF103+AH103+AJ103)</f>
        <v>0</v>
      </c>
      <c r="E103" s="64"/>
      <c r="F103" s="1172"/>
      <c r="G103" s="64"/>
      <c r="H103" s="1172"/>
      <c r="I103" s="64"/>
      <c r="J103" s="1172"/>
      <c r="K103" s="658"/>
      <c r="L103" s="656"/>
      <c r="M103" s="64"/>
      <c r="N103" s="1172"/>
      <c r="O103" s="658"/>
      <c r="P103" s="656"/>
      <c r="Q103" s="64"/>
      <c r="R103" s="1172"/>
      <c r="S103" s="658"/>
      <c r="T103" s="656"/>
      <c r="U103" s="64"/>
      <c r="V103" s="1172"/>
      <c r="W103" s="658"/>
      <c r="X103" s="656"/>
      <c r="Y103" s="64"/>
      <c r="Z103" s="1172"/>
      <c r="AA103" s="658"/>
      <c r="AB103" s="656"/>
      <c r="AC103" s="64"/>
      <c r="AD103" s="1172"/>
      <c r="AE103" s="658"/>
      <c r="AF103" s="656"/>
      <c r="AG103" s="64"/>
      <c r="AH103" s="1172"/>
      <c r="AI103" s="1173"/>
      <c r="AJ103" s="1172"/>
    </row>
    <row r="104" spans="1:36" s="1134" customFormat="1" ht="18" customHeight="1" x14ac:dyDescent="0.15">
      <c r="A104" s="42" t="s">
        <v>1056</v>
      </c>
    </row>
    <row r="105" spans="1:36" s="170" customFormat="1" ht="15" customHeight="1" x14ac:dyDescent="0.15">
      <c r="A105" s="7869" t="s">
        <v>1057</v>
      </c>
      <c r="B105" s="7903" t="s">
        <v>24</v>
      </c>
      <c r="C105" s="7904"/>
      <c r="D105" s="7905"/>
      <c r="E105" s="7886" t="s">
        <v>30</v>
      </c>
      <c r="F105" s="7887"/>
      <c r="G105" s="7887"/>
      <c r="H105" s="7887"/>
      <c r="I105" s="7887"/>
      <c r="J105" s="7887"/>
      <c r="K105" s="7887"/>
      <c r="L105" s="7887"/>
      <c r="M105" s="7887"/>
      <c r="N105" s="7887"/>
      <c r="O105" s="7887"/>
      <c r="P105" s="7887"/>
      <c r="Q105" s="7887"/>
      <c r="R105" s="7887"/>
      <c r="S105" s="7887"/>
      <c r="T105" s="7887"/>
      <c r="U105" s="7887"/>
      <c r="V105" s="7887"/>
      <c r="W105" s="7887"/>
      <c r="X105" s="7887"/>
      <c r="Y105" s="7887"/>
      <c r="Z105" s="7887"/>
      <c r="AA105" s="7887"/>
      <c r="AB105" s="7887"/>
      <c r="AC105" s="7887"/>
      <c r="AD105" s="7887"/>
      <c r="AE105" s="7887"/>
      <c r="AF105" s="7887"/>
      <c r="AG105" s="7887"/>
      <c r="AH105" s="7887"/>
      <c r="AI105" s="7887"/>
      <c r="AJ105" s="7951"/>
    </row>
    <row r="106" spans="1:36" s="170" customFormat="1" ht="15" customHeight="1" x14ac:dyDescent="0.15">
      <c r="A106" s="6813"/>
      <c r="B106" s="7948"/>
      <c r="C106" s="7949"/>
      <c r="D106" s="7950"/>
      <c r="E106" s="7884" t="s">
        <v>682</v>
      </c>
      <c r="F106" s="7869"/>
      <c r="G106" s="7935" t="s">
        <v>1001</v>
      </c>
      <c r="H106" s="7936"/>
      <c r="I106" s="7935" t="s">
        <v>1002</v>
      </c>
      <c r="J106" s="7936"/>
      <c r="K106" s="7934" t="s">
        <v>38</v>
      </c>
      <c r="L106" s="7934"/>
      <c r="M106" s="7935" t="s">
        <v>4</v>
      </c>
      <c r="N106" s="7936"/>
      <c r="O106" s="7934" t="s">
        <v>5</v>
      </c>
      <c r="P106" s="7934"/>
      <c r="Q106" s="7935" t="s">
        <v>1003</v>
      </c>
      <c r="R106" s="7936"/>
      <c r="S106" s="7934" t="s">
        <v>9</v>
      </c>
      <c r="T106" s="7934"/>
      <c r="U106" s="7935" t="s">
        <v>10</v>
      </c>
      <c r="V106" s="7936"/>
      <c r="W106" s="7934" t="s">
        <v>11</v>
      </c>
      <c r="X106" s="7934"/>
      <c r="Y106" s="7935" t="s">
        <v>18</v>
      </c>
      <c r="Z106" s="7936"/>
      <c r="AA106" s="7934" t="s">
        <v>19</v>
      </c>
      <c r="AB106" s="7934"/>
      <c r="AC106" s="7935" t="s">
        <v>20</v>
      </c>
      <c r="AD106" s="7936"/>
      <c r="AE106" s="7934" t="s">
        <v>70</v>
      </c>
      <c r="AF106" s="7934"/>
      <c r="AG106" s="7935" t="s">
        <v>71</v>
      </c>
      <c r="AH106" s="7936"/>
      <c r="AI106" s="7935" t="s">
        <v>32</v>
      </c>
      <c r="AJ106" s="7936"/>
    </row>
    <row r="107" spans="1:36" s="170" customFormat="1" ht="15" customHeight="1" x14ac:dyDescent="0.15">
      <c r="A107" s="7930"/>
      <c r="B107" s="1278" t="s">
        <v>26</v>
      </c>
      <c r="C107" s="1279" t="s">
        <v>22</v>
      </c>
      <c r="D107" s="1185" t="s">
        <v>27</v>
      </c>
      <c r="E107" s="1183" t="s">
        <v>22</v>
      </c>
      <c r="F107" s="1185" t="s">
        <v>27</v>
      </c>
      <c r="G107" s="1183" t="s">
        <v>22</v>
      </c>
      <c r="H107" s="1185" t="s">
        <v>27</v>
      </c>
      <c r="I107" s="1183" t="s">
        <v>22</v>
      </c>
      <c r="J107" s="1185" t="s">
        <v>27</v>
      </c>
      <c r="K107" s="1279" t="s">
        <v>22</v>
      </c>
      <c r="L107" s="1280" t="s">
        <v>27</v>
      </c>
      <c r="M107" s="1183" t="s">
        <v>22</v>
      </c>
      <c r="N107" s="1185" t="s">
        <v>27</v>
      </c>
      <c r="O107" s="1279" t="s">
        <v>22</v>
      </c>
      <c r="P107" s="1280" t="s">
        <v>27</v>
      </c>
      <c r="Q107" s="1183" t="s">
        <v>22</v>
      </c>
      <c r="R107" s="1185" t="s">
        <v>27</v>
      </c>
      <c r="S107" s="1279" t="s">
        <v>22</v>
      </c>
      <c r="T107" s="1280" t="s">
        <v>27</v>
      </c>
      <c r="U107" s="1183" t="s">
        <v>22</v>
      </c>
      <c r="V107" s="1185" t="s">
        <v>27</v>
      </c>
      <c r="W107" s="1279" t="s">
        <v>22</v>
      </c>
      <c r="X107" s="1280" t="s">
        <v>27</v>
      </c>
      <c r="Y107" s="1183" t="s">
        <v>22</v>
      </c>
      <c r="Z107" s="1185" t="s">
        <v>27</v>
      </c>
      <c r="AA107" s="1279" t="s">
        <v>22</v>
      </c>
      <c r="AB107" s="1280" t="s">
        <v>27</v>
      </c>
      <c r="AC107" s="1183" t="s">
        <v>22</v>
      </c>
      <c r="AD107" s="1185" t="s">
        <v>27</v>
      </c>
      <c r="AE107" s="1279" t="s">
        <v>22</v>
      </c>
      <c r="AF107" s="1280" t="s">
        <v>27</v>
      </c>
      <c r="AG107" s="1183" t="s">
        <v>22</v>
      </c>
      <c r="AH107" s="1185" t="s">
        <v>27</v>
      </c>
      <c r="AI107" s="1279" t="s">
        <v>22</v>
      </c>
      <c r="AJ107" s="1185" t="s">
        <v>27</v>
      </c>
    </row>
    <row r="108" spans="1:36" s="170" customFormat="1" ht="15" customHeight="1" x14ac:dyDescent="0.15">
      <c r="A108" s="1356" t="s">
        <v>1058</v>
      </c>
      <c r="B108" s="1140">
        <f>SUM(C108:D108)</f>
        <v>0</v>
      </c>
      <c r="C108" s="1141">
        <f t="shared" ref="C108:D110" si="43">+E108+G108+I108+K108+M108+O108+Q108+S108+U108+W108+Y108+AA108+AC108+AE108+AG108+AI108</f>
        <v>0</v>
      </c>
      <c r="D108" s="1151">
        <f t="shared" si="43"/>
        <v>0</v>
      </c>
      <c r="E108" s="661"/>
      <c r="F108" s="1191"/>
      <c r="G108" s="661"/>
      <c r="H108" s="1191"/>
      <c r="I108" s="661"/>
      <c r="J108" s="1191"/>
      <c r="K108" s="661"/>
      <c r="L108" s="1191"/>
      <c r="M108" s="661"/>
      <c r="N108" s="1191"/>
      <c r="O108" s="661"/>
      <c r="P108" s="1191"/>
      <c r="Q108" s="661"/>
      <c r="R108" s="1191"/>
      <c r="S108" s="661"/>
      <c r="T108" s="1191"/>
      <c r="U108" s="661"/>
      <c r="V108" s="1191"/>
      <c r="W108" s="661"/>
      <c r="X108" s="1191"/>
      <c r="Y108" s="661"/>
      <c r="Z108" s="1191"/>
      <c r="AA108" s="661"/>
      <c r="AB108" s="1191"/>
      <c r="AC108" s="661"/>
      <c r="AD108" s="1191"/>
      <c r="AE108" s="661"/>
      <c r="AF108" s="1191"/>
      <c r="AG108" s="661"/>
      <c r="AH108" s="1191"/>
      <c r="AI108" s="661"/>
      <c r="AJ108" s="1191"/>
    </row>
    <row r="109" spans="1:36" s="170" customFormat="1" ht="15" customHeight="1" x14ac:dyDescent="0.15">
      <c r="A109" s="1157" t="s">
        <v>1059</v>
      </c>
      <c r="B109" s="1149">
        <f>SUM(C109:D109)</f>
        <v>0</v>
      </c>
      <c r="C109" s="1150">
        <f t="shared" si="43"/>
        <v>0</v>
      </c>
      <c r="D109" s="1151">
        <f t="shared" si="43"/>
        <v>0</v>
      </c>
      <c r="E109" s="661"/>
      <c r="F109" s="1191"/>
      <c r="G109" s="661"/>
      <c r="H109" s="1191"/>
      <c r="I109" s="661"/>
      <c r="J109" s="1191"/>
      <c r="K109" s="661"/>
      <c r="L109" s="1191"/>
      <c r="M109" s="661"/>
      <c r="N109" s="1191"/>
      <c r="O109" s="661"/>
      <c r="P109" s="1191"/>
      <c r="Q109" s="661"/>
      <c r="R109" s="1191"/>
      <c r="S109" s="661"/>
      <c r="T109" s="1191"/>
      <c r="U109" s="661"/>
      <c r="V109" s="1191"/>
      <c r="W109" s="661"/>
      <c r="X109" s="1191"/>
      <c r="Y109" s="661"/>
      <c r="Z109" s="1191"/>
      <c r="AA109" s="661"/>
      <c r="AB109" s="1191"/>
      <c r="AC109" s="661"/>
      <c r="AD109" s="1191"/>
      <c r="AE109" s="661"/>
      <c r="AF109" s="1191"/>
      <c r="AG109" s="661"/>
      <c r="AH109" s="1191"/>
      <c r="AI109" s="661"/>
      <c r="AJ109" s="1191"/>
    </row>
    <row r="110" spans="1:36" s="170" customFormat="1" ht="15" customHeight="1" x14ac:dyDescent="0.15">
      <c r="A110" s="1323" t="s">
        <v>1060</v>
      </c>
      <c r="B110" s="1357">
        <f>SUM(C110:D110)</f>
        <v>0</v>
      </c>
      <c r="C110" s="1358">
        <f t="shared" si="43"/>
        <v>0</v>
      </c>
      <c r="D110" s="1171">
        <f t="shared" si="43"/>
        <v>0</v>
      </c>
      <c r="E110" s="64"/>
      <c r="F110" s="1172"/>
      <c r="G110" s="64"/>
      <c r="H110" s="1172"/>
      <c r="I110" s="64"/>
      <c r="J110" s="1172"/>
      <c r="K110" s="64"/>
      <c r="L110" s="1172"/>
      <c r="M110" s="64"/>
      <c r="N110" s="1172"/>
      <c r="O110" s="64"/>
      <c r="P110" s="1172"/>
      <c r="Q110" s="64"/>
      <c r="R110" s="1172"/>
      <c r="S110" s="64"/>
      <c r="T110" s="1172"/>
      <c r="U110" s="64"/>
      <c r="V110" s="1172"/>
      <c r="W110" s="64"/>
      <c r="X110" s="1172"/>
      <c r="Y110" s="64"/>
      <c r="Z110" s="1172"/>
      <c r="AA110" s="64"/>
      <c r="AB110" s="1172"/>
      <c r="AC110" s="64"/>
      <c r="AD110" s="1172"/>
      <c r="AE110" s="64"/>
      <c r="AF110" s="1172"/>
      <c r="AG110" s="64"/>
      <c r="AH110" s="1172"/>
      <c r="AI110" s="64"/>
      <c r="AJ110" s="1172"/>
    </row>
    <row r="111" spans="1:36" s="1134" customFormat="1" ht="18" customHeight="1" x14ac:dyDescent="0.15">
      <c r="A111" s="42" t="s">
        <v>1061</v>
      </c>
    </row>
    <row r="112" spans="1:36" s="170" customFormat="1" ht="15" customHeight="1" x14ac:dyDescent="0.15">
      <c r="A112" s="7869" t="s">
        <v>1057</v>
      </c>
      <c r="B112" s="7903" t="s">
        <v>24</v>
      </c>
      <c r="C112" s="7904"/>
      <c r="D112" s="7905"/>
      <c r="E112" s="7886" t="s">
        <v>30</v>
      </c>
      <c r="F112" s="7887"/>
      <c r="G112" s="7887"/>
      <c r="H112" s="7887"/>
      <c r="I112" s="7887"/>
      <c r="J112" s="7887"/>
      <c r="K112" s="7887"/>
      <c r="L112" s="7887"/>
      <c r="M112" s="7887"/>
      <c r="N112" s="7887"/>
      <c r="O112" s="7887"/>
      <c r="P112" s="7887"/>
      <c r="Q112" s="7887"/>
      <c r="R112" s="7887"/>
      <c r="S112" s="7887"/>
      <c r="T112" s="7887"/>
      <c r="U112" s="7887"/>
      <c r="V112" s="7887"/>
      <c r="W112" s="7887"/>
      <c r="X112" s="7887"/>
      <c r="Y112" s="7887"/>
      <c r="Z112" s="7887"/>
      <c r="AA112" s="7887"/>
      <c r="AB112" s="7887"/>
      <c r="AC112" s="7887"/>
      <c r="AD112" s="7887"/>
      <c r="AE112" s="7887"/>
      <c r="AF112" s="7887"/>
      <c r="AG112" s="7887"/>
      <c r="AH112" s="7887"/>
      <c r="AI112" s="7887"/>
      <c r="AJ112" s="7951"/>
    </row>
    <row r="113" spans="1:88" s="170" customFormat="1" ht="15" customHeight="1" x14ac:dyDescent="0.15">
      <c r="A113" s="6813"/>
      <c r="B113" s="7948"/>
      <c r="C113" s="7949"/>
      <c r="D113" s="7950"/>
      <c r="E113" s="7935" t="s">
        <v>1000</v>
      </c>
      <c r="F113" s="7936"/>
      <c r="G113" s="7935" t="s">
        <v>1001</v>
      </c>
      <c r="H113" s="7936"/>
      <c r="I113" s="7935" t="s">
        <v>1002</v>
      </c>
      <c r="J113" s="7936"/>
      <c r="K113" s="7935" t="s">
        <v>38</v>
      </c>
      <c r="L113" s="7936"/>
      <c r="M113" s="7935" t="s">
        <v>4</v>
      </c>
      <c r="N113" s="7936"/>
      <c r="O113" s="7937" t="s">
        <v>5</v>
      </c>
      <c r="P113" s="7934"/>
      <c r="Q113" s="7935" t="s">
        <v>1003</v>
      </c>
      <c r="R113" s="7936"/>
      <c r="S113" s="7934" t="s">
        <v>9</v>
      </c>
      <c r="T113" s="7934"/>
      <c r="U113" s="7935" t="s">
        <v>10</v>
      </c>
      <c r="V113" s="7936"/>
      <c r="W113" s="7934" t="s">
        <v>11</v>
      </c>
      <c r="X113" s="7934"/>
      <c r="Y113" s="7935" t="s">
        <v>18</v>
      </c>
      <c r="Z113" s="7936"/>
      <c r="AA113" s="7934" t="s">
        <v>19</v>
      </c>
      <c r="AB113" s="7934"/>
      <c r="AC113" s="7935" t="s">
        <v>20</v>
      </c>
      <c r="AD113" s="7936"/>
      <c r="AE113" s="7934" t="s">
        <v>70</v>
      </c>
      <c r="AF113" s="7934"/>
      <c r="AG113" s="7935" t="s">
        <v>71</v>
      </c>
      <c r="AH113" s="7936"/>
      <c r="AI113" s="7952" t="s">
        <v>32</v>
      </c>
      <c r="AJ113" s="7953"/>
    </row>
    <row r="114" spans="1:88" s="170" customFormat="1" ht="15" customHeight="1" x14ac:dyDescent="0.15">
      <c r="A114" s="7930"/>
      <c r="B114" s="1278" t="s">
        <v>26</v>
      </c>
      <c r="C114" s="1279" t="s">
        <v>22</v>
      </c>
      <c r="D114" s="1185" t="s">
        <v>27</v>
      </c>
      <c r="E114" s="1183" t="s">
        <v>22</v>
      </c>
      <c r="F114" s="1185" t="s">
        <v>27</v>
      </c>
      <c r="G114" s="1183" t="s">
        <v>22</v>
      </c>
      <c r="H114" s="1185" t="s">
        <v>27</v>
      </c>
      <c r="I114" s="1183" t="s">
        <v>22</v>
      </c>
      <c r="J114" s="1185" t="s">
        <v>27</v>
      </c>
      <c r="K114" s="1279" t="s">
        <v>22</v>
      </c>
      <c r="L114" s="1280" t="s">
        <v>27</v>
      </c>
      <c r="M114" s="1183" t="s">
        <v>22</v>
      </c>
      <c r="N114" s="1185" t="s">
        <v>27</v>
      </c>
      <c r="O114" s="1279" t="s">
        <v>22</v>
      </c>
      <c r="P114" s="1280" t="s">
        <v>27</v>
      </c>
      <c r="Q114" s="1183" t="s">
        <v>22</v>
      </c>
      <c r="R114" s="1185" t="s">
        <v>27</v>
      </c>
      <c r="S114" s="1279" t="s">
        <v>22</v>
      </c>
      <c r="T114" s="1280" t="s">
        <v>27</v>
      </c>
      <c r="U114" s="1183" t="s">
        <v>22</v>
      </c>
      <c r="V114" s="1185" t="s">
        <v>27</v>
      </c>
      <c r="W114" s="1279" t="s">
        <v>22</v>
      </c>
      <c r="X114" s="1280" t="s">
        <v>27</v>
      </c>
      <c r="Y114" s="1183" t="s">
        <v>22</v>
      </c>
      <c r="Z114" s="1185" t="s">
        <v>27</v>
      </c>
      <c r="AA114" s="1279" t="s">
        <v>22</v>
      </c>
      <c r="AB114" s="1280" t="s">
        <v>27</v>
      </c>
      <c r="AC114" s="1183" t="s">
        <v>22</v>
      </c>
      <c r="AD114" s="1185" t="s">
        <v>27</v>
      </c>
      <c r="AE114" s="1279" t="s">
        <v>22</v>
      </c>
      <c r="AF114" s="1280" t="s">
        <v>27</v>
      </c>
      <c r="AG114" s="1183" t="s">
        <v>22</v>
      </c>
      <c r="AH114" s="1185" t="s">
        <v>27</v>
      </c>
      <c r="AI114" s="1279" t="s">
        <v>22</v>
      </c>
      <c r="AJ114" s="1185" t="s">
        <v>27</v>
      </c>
    </row>
    <row r="115" spans="1:88" s="170" customFormat="1" ht="15" customHeight="1" x14ac:dyDescent="0.15">
      <c r="A115" s="1356" t="s">
        <v>1058</v>
      </c>
      <c r="B115" s="1359">
        <f>SUM(C115+D115)</f>
        <v>0</v>
      </c>
      <c r="C115" s="1150">
        <f>+E115+G115+I115+K115+M115+O115+Q115+S115+U115+W115+Y115+AA115+AC115+AE115+AG115+AI115</f>
        <v>0</v>
      </c>
      <c r="D115" s="1151">
        <f>+F115+H115+J115+L115+N115+P115+R115+T115+V115+X115+Z115+AB115+AD115+AF115+AH115+AJ115</f>
        <v>0</v>
      </c>
      <c r="E115" s="1143"/>
      <c r="F115" s="1144"/>
      <c r="G115" s="1143"/>
      <c r="H115" s="1144"/>
      <c r="I115" s="1143"/>
      <c r="J115" s="1144"/>
      <c r="K115" s="1143"/>
      <c r="L115" s="1144"/>
      <c r="M115" s="1143"/>
      <c r="N115" s="1144"/>
      <c r="O115" s="1143"/>
      <c r="P115" s="1144"/>
      <c r="Q115" s="1143"/>
      <c r="R115" s="1144"/>
      <c r="S115" s="1143"/>
      <c r="T115" s="1144"/>
      <c r="U115" s="1143"/>
      <c r="V115" s="1144"/>
      <c r="W115" s="1143"/>
      <c r="X115" s="1144"/>
      <c r="Y115" s="1143"/>
      <c r="Z115" s="1144"/>
      <c r="AA115" s="1143"/>
      <c r="AB115" s="1144"/>
      <c r="AC115" s="1143"/>
      <c r="AD115" s="1144"/>
      <c r="AE115" s="1143"/>
      <c r="AF115" s="1144"/>
      <c r="AG115" s="1143"/>
      <c r="AH115" s="1144"/>
      <c r="AI115" s="1143"/>
      <c r="AJ115" s="1144"/>
    </row>
    <row r="116" spans="1:88" s="170" customFormat="1" ht="15" customHeight="1" x14ac:dyDescent="0.15">
      <c r="A116" s="1157" t="s">
        <v>1062</v>
      </c>
      <c r="B116" s="1149">
        <f>SUM(C116+D116)</f>
        <v>0</v>
      </c>
      <c r="C116" s="1150">
        <f t="shared" ref="C116:D119" si="44">+E116+G116+I116+K116+M116+O116+Q116+S116+U116+W116+Y116+AA116+AC116+AE116+AG116+AI116</f>
        <v>0</v>
      </c>
      <c r="D116" s="1151">
        <f t="shared" si="44"/>
        <v>0</v>
      </c>
      <c r="E116" s="1152"/>
      <c r="F116" s="62"/>
      <c r="G116" s="1152"/>
      <c r="H116" s="62"/>
      <c r="I116" s="1152"/>
      <c r="J116" s="62"/>
      <c r="K116" s="1152"/>
      <c r="L116" s="62"/>
      <c r="M116" s="1152"/>
      <c r="N116" s="62"/>
      <c r="O116" s="1152"/>
      <c r="P116" s="62"/>
      <c r="Q116" s="1152"/>
      <c r="R116" s="62"/>
      <c r="S116" s="1152"/>
      <c r="T116" s="62"/>
      <c r="U116" s="1152"/>
      <c r="V116" s="62"/>
      <c r="W116" s="1152"/>
      <c r="X116" s="62"/>
      <c r="Y116" s="1152"/>
      <c r="Z116" s="62"/>
      <c r="AA116" s="1152"/>
      <c r="AB116" s="62"/>
      <c r="AC116" s="1152"/>
      <c r="AD116" s="62"/>
      <c r="AE116" s="1152"/>
      <c r="AF116" s="62"/>
      <c r="AG116" s="1152"/>
      <c r="AH116" s="62"/>
      <c r="AI116" s="1152"/>
      <c r="AJ116" s="62"/>
    </row>
    <row r="117" spans="1:88" s="170" customFormat="1" ht="15" customHeight="1" x14ac:dyDescent="0.15">
      <c r="A117" s="1157" t="s">
        <v>1063</v>
      </c>
      <c r="B117" s="1149">
        <f>SUM(C117+D117)</f>
        <v>0</v>
      </c>
      <c r="C117" s="1150">
        <f t="shared" si="44"/>
        <v>0</v>
      </c>
      <c r="D117" s="1151">
        <f t="shared" si="44"/>
        <v>0</v>
      </c>
      <c r="E117" s="1348"/>
      <c r="F117" s="1208"/>
      <c r="G117" s="1348"/>
      <c r="H117" s="1208"/>
      <c r="I117" s="1348"/>
      <c r="J117" s="1208"/>
      <c r="K117" s="1348"/>
      <c r="L117" s="1208"/>
      <c r="M117" s="1348"/>
      <c r="N117" s="1208"/>
      <c r="O117" s="1348"/>
      <c r="P117" s="1208"/>
      <c r="Q117" s="1348"/>
      <c r="R117" s="1208"/>
      <c r="S117" s="1348"/>
      <c r="T117" s="1208"/>
      <c r="U117" s="1348"/>
      <c r="V117" s="1208"/>
      <c r="W117" s="1348"/>
      <c r="X117" s="1208"/>
      <c r="Y117" s="1348"/>
      <c r="Z117" s="1208"/>
      <c r="AA117" s="1348"/>
      <c r="AB117" s="1208"/>
      <c r="AC117" s="1348"/>
      <c r="AD117" s="1208"/>
      <c r="AE117" s="1348"/>
      <c r="AF117" s="1208"/>
      <c r="AG117" s="1348"/>
      <c r="AH117" s="1208"/>
      <c r="AI117" s="1348"/>
      <c r="AJ117" s="1208"/>
    </row>
    <row r="118" spans="1:88" s="170" customFormat="1" ht="15" customHeight="1" x14ac:dyDescent="0.15">
      <c r="A118" s="1360" t="s">
        <v>1060</v>
      </c>
      <c r="B118" s="1149">
        <f>SUM(C118+D118)</f>
        <v>0</v>
      </c>
      <c r="C118" s="1150">
        <f t="shared" si="44"/>
        <v>0</v>
      </c>
      <c r="D118" s="1151">
        <f t="shared" si="44"/>
        <v>0</v>
      </c>
      <c r="E118" s="1348"/>
      <c r="F118" s="1208"/>
      <c r="G118" s="1348"/>
      <c r="H118" s="1208"/>
      <c r="I118" s="1348"/>
      <c r="J118" s="1208"/>
      <c r="K118" s="1348"/>
      <c r="L118" s="1208"/>
      <c r="M118" s="1348"/>
      <c r="N118" s="1208"/>
      <c r="O118" s="1348"/>
      <c r="P118" s="1208"/>
      <c r="Q118" s="1348"/>
      <c r="R118" s="1208"/>
      <c r="S118" s="1348"/>
      <c r="T118" s="1208"/>
      <c r="U118" s="1348"/>
      <c r="V118" s="1208"/>
      <c r="W118" s="1348"/>
      <c r="X118" s="1208"/>
      <c r="Y118" s="1348"/>
      <c r="Z118" s="1208"/>
      <c r="AA118" s="1348"/>
      <c r="AB118" s="1208"/>
      <c r="AC118" s="1348"/>
      <c r="AD118" s="1208"/>
      <c r="AE118" s="1348"/>
      <c r="AF118" s="1208"/>
      <c r="AG118" s="1348"/>
      <c r="AH118" s="1208"/>
      <c r="AI118" s="1348"/>
      <c r="AJ118" s="1208"/>
    </row>
    <row r="119" spans="1:88" s="170" customFormat="1" ht="15" customHeight="1" x14ac:dyDescent="0.15">
      <c r="A119" s="1361" t="s">
        <v>950</v>
      </c>
      <c r="B119" s="1362">
        <f>SUM(C119+D119)</f>
        <v>0</v>
      </c>
      <c r="C119" s="1234">
        <f t="shared" si="44"/>
        <v>0</v>
      </c>
      <c r="D119" s="1171">
        <f t="shared" si="44"/>
        <v>0</v>
      </c>
      <c r="E119" s="64"/>
      <c r="F119" s="65"/>
      <c r="G119" s="64"/>
      <c r="H119" s="65"/>
      <c r="I119" s="64"/>
      <c r="J119" s="65"/>
      <c r="K119" s="64"/>
      <c r="L119" s="65"/>
      <c r="M119" s="64"/>
      <c r="N119" s="65"/>
      <c r="O119" s="64"/>
      <c r="P119" s="65"/>
      <c r="Q119" s="64"/>
      <c r="R119" s="65"/>
      <c r="S119" s="64"/>
      <c r="T119" s="65"/>
      <c r="U119" s="64"/>
      <c r="V119" s="65"/>
      <c r="W119" s="64"/>
      <c r="X119" s="65"/>
      <c r="Y119" s="64"/>
      <c r="Z119" s="65"/>
      <c r="AA119" s="64"/>
      <c r="AB119" s="65"/>
      <c r="AC119" s="64"/>
      <c r="AD119" s="65"/>
      <c r="AE119" s="64"/>
      <c r="AF119" s="65"/>
      <c r="AG119" s="64"/>
      <c r="AH119" s="65"/>
      <c r="AI119" s="64"/>
      <c r="AJ119" s="65"/>
    </row>
    <row r="120" spans="1:88" s="1134" customFormat="1" ht="18" customHeight="1" x14ac:dyDescent="0.15">
      <c r="A120" s="7" t="s">
        <v>1064</v>
      </c>
    </row>
    <row r="121" spans="1:88" s="170" customFormat="1" ht="15" customHeight="1" x14ac:dyDescent="0.15">
      <c r="A121" s="7955" t="s">
        <v>999</v>
      </c>
      <c r="B121" s="6988" t="s">
        <v>24</v>
      </c>
      <c r="C121" s="6988"/>
      <c r="D121" s="7869"/>
      <c r="E121" s="7935" t="s">
        <v>30</v>
      </c>
      <c r="F121" s="7934"/>
      <c r="G121" s="7934"/>
      <c r="H121" s="7934"/>
      <c r="I121" s="7934"/>
      <c r="J121" s="7934"/>
      <c r="K121" s="7934"/>
      <c r="L121" s="7934"/>
      <c r="M121" s="7934"/>
      <c r="N121" s="7934"/>
      <c r="O121" s="7934"/>
      <c r="P121" s="7934"/>
      <c r="Q121" s="7934"/>
      <c r="R121" s="7934"/>
      <c r="S121" s="7934"/>
      <c r="T121" s="7934"/>
      <c r="U121" s="7934"/>
      <c r="V121" s="7934"/>
      <c r="W121" s="7934"/>
      <c r="X121" s="7934"/>
      <c r="Y121" s="7934"/>
      <c r="Z121" s="7934"/>
      <c r="AA121" s="7934"/>
      <c r="AB121" s="7934"/>
      <c r="AC121" s="7934"/>
      <c r="AD121" s="7934"/>
      <c r="AE121" s="7934"/>
      <c r="AF121" s="7934"/>
      <c r="AG121" s="7934"/>
      <c r="AH121" s="7934"/>
      <c r="AI121" s="7934"/>
      <c r="AJ121" s="7934"/>
      <c r="AK121" s="7942" t="s">
        <v>267</v>
      </c>
    </row>
    <row r="122" spans="1:88" s="170" customFormat="1" ht="15" customHeight="1" x14ac:dyDescent="0.15">
      <c r="A122" s="7956"/>
      <c r="B122" s="7947"/>
      <c r="C122" s="7947"/>
      <c r="D122" s="7930"/>
      <c r="E122" s="7884" t="s">
        <v>682</v>
      </c>
      <c r="F122" s="7869"/>
      <c r="G122" s="7935" t="s">
        <v>1001</v>
      </c>
      <c r="H122" s="7936"/>
      <c r="I122" s="7934" t="s">
        <v>1002</v>
      </c>
      <c r="J122" s="7934"/>
      <c r="K122" s="7935" t="s">
        <v>38</v>
      </c>
      <c r="L122" s="7936"/>
      <c r="M122" s="7935" t="s">
        <v>4</v>
      </c>
      <c r="N122" s="7936"/>
      <c r="O122" s="7883" t="s">
        <v>5</v>
      </c>
      <c r="P122" s="7869"/>
      <c r="Q122" s="6988" t="s">
        <v>1003</v>
      </c>
      <c r="R122" s="6988"/>
      <c r="S122" s="7883" t="s">
        <v>9</v>
      </c>
      <c r="T122" s="7869"/>
      <c r="U122" s="6988" t="s">
        <v>10</v>
      </c>
      <c r="V122" s="6988"/>
      <c r="W122" s="7883" t="s">
        <v>11</v>
      </c>
      <c r="X122" s="7869"/>
      <c r="Y122" s="6988" t="s">
        <v>18</v>
      </c>
      <c r="Z122" s="6988"/>
      <c r="AA122" s="7883" t="s">
        <v>19</v>
      </c>
      <c r="AB122" s="7869"/>
      <c r="AC122" s="6988" t="s">
        <v>20</v>
      </c>
      <c r="AD122" s="6988"/>
      <c r="AE122" s="7883" t="s">
        <v>70</v>
      </c>
      <c r="AF122" s="7869"/>
      <c r="AG122" s="6988" t="s">
        <v>71</v>
      </c>
      <c r="AH122" s="6988"/>
      <c r="AI122" s="7935" t="s">
        <v>32</v>
      </c>
      <c r="AJ122" s="7938"/>
      <c r="AK122" s="7073"/>
    </row>
    <row r="123" spans="1:88" s="170" customFormat="1" ht="15" customHeight="1" x14ac:dyDescent="0.15">
      <c r="A123" s="7957"/>
      <c r="B123" s="1278" t="s">
        <v>26</v>
      </c>
      <c r="C123" s="1279" t="s">
        <v>22</v>
      </c>
      <c r="D123" s="1185" t="s">
        <v>27</v>
      </c>
      <c r="E123" s="1183" t="s">
        <v>22</v>
      </c>
      <c r="F123" s="1185" t="s">
        <v>27</v>
      </c>
      <c r="G123" s="1183" t="s">
        <v>22</v>
      </c>
      <c r="H123" s="1185" t="s">
        <v>27</v>
      </c>
      <c r="I123" s="1279" t="s">
        <v>22</v>
      </c>
      <c r="J123" s="1280" t="s">
        <v>27</v>
      </c>
      <c r="K123" s="1183" t="s">
        <v>22</v>
      </c>
      <c r="L123" s="1185" t="s">
        <v>27</v>
      </c>
      <c r="M123" s="1279" t="s">
        <v>22</v>
      </c>
      <c r="N123" s="1280" t="s">
        <v>27</v>
      </c>
      <c r="O123" s="1183" t="s">
        <v>22</v>
      </c>
      <c r="P123" s="1185" t="s">
        <v>27</v>
      </c>
      <c r="Q123" s="1279" t="s">
        <v>22</v>
      </c>
      <c r="R123" s="1280" t="s">
        <v>27</v>
      </c>
      <c r="S123" s="1183" t="s">
        <v>22</v>
      </c>
      <c r="T123" s="1185" t="s">
        <v>27</v>
      </c>
      <c r="U123" s="1279" t="s">
        <v>22</v>
      </c>
      <c r="V123" s="1280" t="s">
        <v>27</v>
      </c>
      <c r="W123" s="1183" t="s">
        <v>22</v>
      </c>
      <c r="X123" s="1185" t="s">
        <v>27</v>
      </c>
      <c r="Y123" s="1279" t="s">
        <v>22</v>
      </c>
      <c r="Z123" s="1280" t="s">
        <v>27</v>
      </c>
      <c r="AA123" s="1183" t="s">
        <v>22</v>
      </c>
      <c r="AB123" s="1185" t="s">
        <v>27</v>
      </c>
      <c r="AC123" s="1279" t="s">
        <v>22</v>
      </c>
      <c r="AD123" s="1280" t="s">
        <v>27</v>
      </c>
      <c r="AE123" s="1183" t="s">
        <v>22</v>
      </c>
      <c r="AF123" s="1185" t="s">
        <v>27</v>
      </c>
      <c r="AG123" s="1279" t="s">
        <v>22</v>
      </c>
      <c r="AH123" s="1280" t="s">
        <v>27</v>
      </c>
      <c r="AI123" s="1183" t="s">
        <v>22</v>
      </c>
      <c r="AJ123" s="1280" t="s">
        <v>27</v>
      </c>
      <c r="AK123" s="7943"/>
    </row>
    <row r="124" spans="1:88" s="170" customFormat="1" ht="15" customHeight="1" x14ac:dyDescent="0.15">
      <c r="A124" s="1366" t="s">
        <v>1065</v>
      </c>
      <c r="B124" s="1367">
        <f t="shared" ref="B124:B129" si="45">SUM(C124+D124)</f>
        <v>0</v>
      </c>
      <c r="C124" s="1347">
        <f>SUM(E124+G124+I124+K124+M124+O124+Q124+S124+U124+W124+Y124+AA124+AC124+AE124+AG124+AI124)</f>
        <v>0</v>
      </c>
      <c r="D124" s="1368">
        <f>SUM(F124+H124+J124+L124+N124+P124+R124+T124+V124+X124+Z124+AB124+AD124+AF124+AH124+AJ124)</f>
        <v>0</v>
      </c>
      <c r="E124" s="1143"/>
      <c r="F124" s="1144"/>
      <c r="G124" s="1143"/>
      <c r="H124" s="1145"/>
      <c r="I124" s="1146"/>
      <c r="J124" s="1147"/>
      <c r="K124" s="1143"/>
      <c r="L124" s="1145"/>
      <c r="M124" s="1146"/>
      <c r="N124" s="1147"/>
      <c r="O124" s="1143"/>
      <c r="P124" s="1145"/>
      <c r="Q124" s="1146"/>
      <c r="R124" s="1147"/>
      <c r="S124" s="1143"/>
      <c r="T124" s="1145"/>
      <c r="U124" s="1146"/>
      <c r="V124" s="1147"/>
      <c r="W124" s="1143"/>
      <c r="X124" s="1145"/>
      <c r="Y124" s="1146"/>
      <c r="Z124" s="1147"/>
      <c r="AA124" s="1143"/>
      <c r="AB124" s="1145"/>
      <c r="AC124" s="1146"/>
      <c r="AD124" s="1147"/>
      <c r="AE124" s="1213"/>
      <c r="AF124" s="1145"/>
      <c r="AG124" s="1146"/>
      <c r="AH124" s="1147"/>
      <c r="AI124" s="1213"/>
      <c r="AJ124" s="1147"/>
      <c r="AK124" s="1369"/>
      <c r="AL124" s="170" t="str">
        <f>CB124&amp;CC124</f>
        <v/>
      </c>
      <c r="CB124" s="2553" t="str">
        <f>IF(AK124&gt;B124," * La variable 'Por campaña de invierno' No puede ser mayor al Total","")</f>
        <v/>
      </c>
      <c r="CC124" s="2553" t="str">
        <f>IF(AND(AK124="",B124&gt;0)," * No olvide digitar la variable Por campaña de Invierno. Si no tiene digite CERO.","")</f>
        <v/>
      </c>
      <c r="CG124" s="2554">
        <f>IF(AK124&gt;B124,1,0)</f>
        <v>0</v>
      </c>
      <c r="CH124" s="2554">
        <f>IF(AND(AK124="",B124&gt;0),1,0)</f>
        <v>0</v>
      </c>
      <c r="CI124" s="2554"/>
      <c r="CJ124" s="2554"/>
    </row>
    <row r="125" spans="1:88" s="170" customFormat="1" ht="15" customHeight="1" x14ac:dyDescent="0.15">
      <c r="A125" s="1370" t="s">
        <v>1066</v>
      </c>
      <c r="B125" s="1371">
        <f t="shared" si="45"/>
        <v>0</v>
      </c>
      <c r="C125" s="1372">
        <f>SUM(E125+G125)</f>
        <v>0</v>
      </c>
      <c r="D125" s="1368">
        <f>SUM(F125+H125)</f>
        <v>0</v>
      </c>
      <c r="E125" s="1152"/>
      <c r="F125" s="62"/>
      <c r="G125" s="1152"/>
      <c r="H125" s="1153"/>
      <c r="I125" s="1164"/>
      <c r="J125" s="1165"/>
      <c r="K125" s="1162"/>
      <c r="L125" s="1163"/>
      <c r="M125" s="1164"/>
      <c r="N125" s="1165"/>
      <c r="O125" s="1162"/>
      <c r="P125" s="1163"/>
      <c r="Q125" s="1164"/>
      <c r="R125" s="1165"/>
      <c r="S125" s="1162"/>
      <c r="T125" s="1163"/>
      <c r="U125" s="1164"/>
      <c r="V125" s="1165"/>
      <c r="W125" s="1162"/>
      <c r="X125" s="1163"/>
      <c r="Y125" s="1164"/>
      <c r="Z125" s="1165"/>
      <c r="AA125" s="1162"/>
      <c r="AB125" s="1163"/>
      <c r="AC125" s="1164"/>
      <c r="AD125" s="1165"/>
      <c r="AE125" s="1373"/>
      <c r="AF125" s="1163"/>
      <c r="AG125" s="1164"/>
      <c r="AH125" s="1165"/>
      <c r="AI125" s="1373"/>
      <c r="AJ125" s="1165"/>
      <c r="AK125" s="1374"/>
      <c r="AL125" s="170" t="str">
        <f t="shared" ref="AL125:AL129" si="46">CB125&amp;CC125</f>
        <v/>
      </c>
      <c r="CB125" s="2553" t="str">
        <f t="shared" ref="CB125:CB129" si="47">IF(AK125&gt;B125," * La variable 'Por campaña de invierno' No puede ser mayor al Total","")</f>
        <v/>
      </c>
      <c r="CC125" s="2553" t="str">
        <f t="shared" ref="CC125:CC129" si="48">IF(AND(AK125="",B125&gt;0)," * No olvide digitar la variable Por campaña de Invierno. Si no tiene digite CERO.","")</f>
        <v/>
      </c>
      <c r="CG125" s="2554">
        <f t="shared" ref="CG125:CG127" si="49">IF(AK125&gt;B125,1,0)</f>
        <v>0</v>
      </c>
      <c r="CH125" s="2554">
        <f t="shared" ref="CH125:CH129" si="50">IF(AND(AK125="",B125&gt;0),1,0)</f>
        <v>0</v>
      </c>
      <c r="CI125" s="2554"/>
      <c r="CJ125" s="2554"/>
    </row>
    <row r="126" spans="1:88" s="170" customFormat="1" ht="15" customHeight="1" x14ac:dyDescent="0.15">
      <c r="A126" s="1370" t="s">
        <v>1067</v>
      </c>
      <c r="B126" s="1371">
        <f t="shared" si="45"/>
        <v>0</v>
      </c>
      <c r="C126" s="1372">
        <f>SUM(G126+I126+K126+M126+O126+Q126+S126+U126+W126+Y126+AA126+AC126+AE126+AG126+AI126)</f>
        <v>0</v>
      </c>
      <c r="D126" s="1368">
        <f>SUM(H126+J126+L126+N126+P126+R126+T126+V126+X126+Z126+AB126+AD126+AF126+AH126+AJ126)</f>
        <v>0</v>
      </c>
      <c r="E126" s="1214"/>
      <c r="F126" s="1215"/>
      <c r="G126" s="1152"/>
      <c r="H126" s="1153"/>
      <c r="I126" s="1154"/>
      <c r="J126" s="1155"/>
      <c r="K126" s="1152"/>
      <c r="L126" s="1153"/>
      <c r="M126" s="1154"/>
      <c r="N126" s="1155"/>
      <c r="O126" s="1152"/>
      <c r="P126" s="1153"/>
      <c r="Q126" s="1154"/>
      <c r="R126" s="1155"/>
      <c r="S126" s="1152"/>
      <c r="T126" s="1153"/>
      <c r="U126" s="1154"/>
      <c r="V126" s="1155"/>
      <c r="W126" s="1152"/>
      <c r="X126" s="1153"/>
      <c r="Y126" s="1154"/>
      <c r="Z126" s="1155"/>
      <c r="AA126" s="1152"/>
      <c r="AB126" s="1153"/>
      <c r="AC126" s="1154"/>
      <c r="AD126" s="1155"/>
      <c r="AE126" s="1231"/>
      <c r="AF126" s="1153"/>
      <c r="AG126" s="1154"/>
      <c r="AH126" s="1155"/>
      <c r="AI126" s="1231"/>
      <c r="AJ126" s="1155"/>
      <c r="AK126" s="1374"/>
      <c r="AL126" s="170" t="str">
        <f t="shared" si="46"/>
        <v/>
      </c>
      <c r="CB126" s="2553" t="str">
        <f t="shared" si="47"/>
        <v/>
      </c>
      <c r="CC126" s="2553" t="str">
        <f t="shared" si="48"/>
        <v/>
      </c>
      <c r="CG126" s="2554">
        <f t="shared" si="49"/>
        <v>0</v>
      </c>
      <c r="CH126" s="2554">
        <f t="shared" si="50"/>
        <v>0</v>
      </c>
      <c r="CI126" s="2554"/>
      <c r="CJ126" s="2554"/>
    </row>
    <row r="127" spans="1:88" s="170" customFormat="1" ht="15" customHeight="1" x14ac:dyDescent="0.15">
      <c r="A127" s="1370" t="s">
        <v>1068</v>
      </c>
      <c r="B127" s="1371">
        <f t="shared" si="45"/>
        <v>0</v>
      </c>
      <c r="C127" s="1372">
        <f>SUM(E127+G127+I127+K127+M127+O127+Q127+S127+U127+W127+Y127+AA127+AC127+AE127+AG127+AI127)</f>
        <v>0</v>
      </c>
      <c r="D127" s="1368">
        <f>SUM(F127+H127+J127+L127+N127+P127+R127+T127+V127+X127+Z127+AB127+AD127+AF127+AH127+AJ127)</f>
        <v>0</v>
      </c>
      <c r="E127" s="1152"/>
      <c r="F127" s="62"/>
      <c r="G127" s="1152"/>
      <c r="H127" s="1153"/>
      <c r="I127" s="1154"/>
      <c r="J127" s="1155"/>
      <c r="K127" s="1152"/>
      <c r="L127" s="1153"/>
      <c r="M127" s="1154"/>
      <c r="N127" s="1155"/>
      <c r="O127" s="1152"/>
      <c r="P127" s="1153"/>
      <c r="Q127" s="1154"/>
      <c r="R127" s="1155"/>
      <c r="S127" s="1152"/>
      <c r="T127" s="1153"/>
      <c r="U127" s="1154"/>
      <c r="V127" s="1155"/>
      <c r="W127" s="1152"/>
      <c r="X127" s="1153"/>
      <c r="Y127" s="1154"/>
      <c r="Z127" s="1155"/>
      <c r="AA127" s="1152"/>
      <c r="AB127" s="1153"/>
      <c r="AC127" s="1154"/>
      <c r="AD127" s="1155"/>
      <c r="AE127" s="1231"/>
      <c r="AF127" s="1153"/>
      <c r="AG127" s="1154"/>
      <c r="AH127" s="1155"/>
      <c r="AI127" s="1231"/>
      <c r="AJ127" s="1155"/>
      <c r="AK127" s="1374"/>
      <c r="AL127" s="170" t="str">
        <f t="shared" si="46"/>
        <v/>
      </c>
      <c r="CB127" s="2553" t="str">
        <f t="shared" si="47"/>
        <v/>
      </c>
      <c r="CC127" s="2553" t="str">
        <f t="shared" si="48"/>
        <v/>
      </c>
      <c r="CG127" s="2554">
        <f t="shared" si="49"/>
        <v>0</v>
      </c>
      <c r="CH127" s="2554">
        <f t="shared" si="50"/>
        <v>0</v>
      </c>
      <c r="CI127" s="2554"/>
      <c r="CJ127" s="2554"/>
    </row>
    <row r="128" spans="1:88" s="170" customFormat="1" ht="15" customHeight="1" x14ac:dyDescent="0.15">
      <c r="A128" s="1370" t="s">
        <v>1069</v>
      </c>
      <c r="B128" s="1371">
        <f t="shared" si="45"/>
        <v>0</v>
      </c>
      <c r="C128" s="1372">
        <f>SUM(S128+U128+W128+Y128+AA128+AC128+AE128+AG128+AI128)</f>
        <v>0</v>
      </c>
      <c r="D128" s="1368">
        <f>SUM(T128+V128+X128+Z128+AB128+AD128+AF128+AH128+AJ128)</f>
        <v>0</v>
      </c>
      <c r="E128" s="1162"/>
      <c r="F128" s="1168"/>
      <c r="G128" s="1162"/>
      <c r="H128" s="1163"/>
      <c r="I128" s="1164"/>
      <c r="J128" s="1165"/>
      <c r="K128" s="1162"/>
      <c r="L128" s="1163"/>
      <c r="M128" s="1164"/>
      <c r="N128" s="1165"/>
      <c r="O128" s="1162"/>
      <c r="P128" s="1163"/>
      <c r="Q128" s="1164"/>
      <c r="R128" s="1165"/>
      <c r="S128" s="1152"/>
      <c r="T128" s="1153"/>
      <c r="U128" s="1154"/>
      <c r="V128" s="1155"/>
      <c r="W128" s="1152"/>
      <c r="X128" s="1153"/>
      <c r="Y128" s="1154"/>
      <c r="Z128" s="1155"/>
      <c r="AA128" s="1152"/>
      <c r="AB128" s="1153"/>
      <c r="AC128" s="1154"/>
      <c r="AD128" s="1155"/>
      <c r="AE128" s="1231"/>
      <c r="AF128" s="1153"/>
      <c r="AG128" s="1154"/>
      <c r="AH128" s="1155"/>
      <c r="AI128" s="1231"/>
      <c r="AJ128" s="1155"/>
      <c r="AK128" s="1374"/>
      <c r="AL128" s="170" t="str">
        <f t="shared" si="46"/>
        <v/>
      </c>
      <c r="CB128" s="2553" t="str">
        <f t="shared" si="47"/>
        <v/>
      </c>
      <c r="CC128" s="2553" t="str">
        <f t="shared" si="48"/>
        <v/>
      </c>
      <c r="CG128" s="2554">
        <f>IF(AK128&gt;B128,1,0)</f>
        <v>0</v>
      </c>
      <c r="CH128" s="2554">
        <f t="shared" si="50"/>
        <v>0</v>
      </c>
      <c r="CI128" s="2554"/>
      <c r="CJ128" s="2554"/>
    </row>
    <row r="129" spans="1:88" s="170" customFormat="1" ht="15" customHeight="1" x14ac:dyDescent="0.15">
      <c r="A129" s="1375" t="s">
        <v>1070</v>
      </c>
      <c r="B129" s="1371">
        <f t="shared" si="45"/>
        <v>0</v>
      </c>
      <c r="C129" s="1372">
        <f>SUM(E129+G129+I129+K129+M129+O129+Q129+S129+U129+W129+Y129+AA129+AC129+AE129+AG129+AI129)</f>
        <v>0</v>
      </c>
      <c r="D129" s="1368">
        <f>SUM(F129+H129+J129+L129+N129+P129+R129+T129+V129+X129+Z129+AB129+AD129+AF129+AH129+AJ129)</f>
        <v>0</v>
      </c>
      <c r="E129" s="64"/>
      <c r="F129" s="65"/>
      <c r="G129" s="64"/>
      <c r="H129" s="1172"/>
      <c r="I129" s="658"/>
      <c r="J129" s="656"/>
      <c r="K129" s="64"/>
      <c r="L129" s="1172"/>
      <c r="M129" s="658"/>
      <c r="N129" s="656"/>
      <c r="O129" s="64"/>
      <c r="P129" s="1172"/>
      <c r="Q129" s="658"/>
      <c r="R129" s="656"/>
      <c r="S129" s="64"/>
      <c r="T129" s="1172"/>
      <c r="U129" s="658"/>
      <c r="V129" s="656"/>
      <c r="W129" s="64"/>
      <c r="X129" s="1172"/>
      <c r="Y129" s="658"/>
      <c r="Z129" s="656"/>
      <c r="AA129" s="64"/>
      <c r="AB129" s="1172"/>
      <c r="AC129" s="658"/>
      <c r="AD129" s="656"/>
      <c r="AE129" s="1220"/>
      <c r="AF129" s="1172"/>
      <c r="AG129" s="658"/>
      <c r="AH129" s="656"/>
      <c r="AI129" s="1220"/>
      <c r="AJ129" s="656"/>
      <c r="AK129" s="1376"/>
      <c r="AL129" s="170" t="str">
        <f t="shared" si="46"/>
        <v/>
      </c>
      <c r="CB129" s="2553" t="str">
        <f t="shared" si="47"/>
        <v/>
      </c>
      <c r="CC129" s="2553" t="str">
        <f t="shared" si="48"/>
        <v/>
      </c>
      <c r="CG129" s="2554">
        <f>IF(AK129&gt;B129,1,0)</f>
        <v>0</v>
      </c>
      <c r="CH129" s="2554">
        <f t="shared" si="50"/>
        <v>0</v>
      </c>
      <c r="CI129" s="2554"/>
      <c r="CJ129" s="2554"/>
    </row>
    <row r="130" spans="1:88" s="170" customFormat="1" ht="15" customHeight="1" x14ac:dyDescent="0.15">
      <c r="A130" s="2546" t="s">
        <v>24</v>
      </c>
      <c r="B130" s="1236">
        <f t="shared" ref="B130:AJ130" si="51">SUM(B124:B129)</f>
        <v>0</v>
      </c>
      <c r="C130" s="1180">
        <f t="shared" si="51"/>
        <v>0</v>
      </c>
      <c r="D130" s="1178">
        <f t="shared" si="51"/>
        <v>0</v>
      </c>
      <c r="E130" s="1177">
        <f>SUM(E124:E129)</f>
        <v>0</v>
      </c>
      <c r="F130" s="1178">
        <f t="shared" si="51"/>
        <v>0</v>
      </c>
      <c r="G130" s="1177">
        <f>SUM(G124:G129)</f>
        <v>0</v>
      </c>
      <c r="H130" s="1178">
        <f t="shared" si="51"/>
        <v>0</v>
      </c>
      <c r="I130" s="1180">
        <f t="shared" si="51"/>
        <v>0</v>
      </c>
      <c r="J130" s="1181">
        <f t="shared" si="51"/>
        <v>0</v>
      </c>
      <c r="K130" s="1177">
        <f t="shared" si="51"/>
        <v>0</v>
      </c>
      <c r="L130" s="1179">
        <f t="shared" si="51"/>
        <v>0</v>
      </c>
      <c r="M130" s="1180">
        <f t="shared" si="51"/>
        <v>0</v>
      </c>
      <c r="N130" s="1179">
        <f t="shared" si="51"/>
        <v>0</v>
      </c>
      <c r="O130" s="1180">
        <f t="shared" si="51"/>
        <v>0</v>
      </c>
      <c r="P130" s="1179">
        <f t="shared" si="51"/>
        <v>0</v>
      </c>
      <c r="Q130" s="1180">
        <f t="shared" si="51"/>
        <v>0</v>
      </c>
      <c r="R130" s="1181">
        <f t="shared" si="51"/>
        <v>0</v>
      </c>
      <c r="S130" s="1177">
        <f t="shared" si="51"/>
        <v>0</v>
      </c>
      <c r="T130" s="1179">
        <f t="shared" si="51"/>
        <v>0</v>
      </c>
      <c r="U130" s="1180">
        <f t="shared" si="51"/>
        <v>0</v>
      </c>
      <c r="V130" s="1181">
        <f t="shared" si="51"/>
        <v>0</v>
      </c>
      <c r="W130" s="1177">
        <f t="shared" si="51"/>
        <v>0</v>
      </c>
      <c r="X130" s="1179">
        <f t="shared" si="51"/>
        <v>0</v>
      </c>
      <c r="Y130" s="1180">
        <f t="shared" si="51"/>
        <v>0</v>
      </c>
      <c r="Z130" s="1181">
        <f t="shared" si="51"/>
        <v>0</v>
      </c>
      <c r="AA130" s="1177">
        <f t="shared" si="51"/>
        <v>0</v>
      </c>
      <c r="AB130" s="1179">
        <f t="shared" si="51"/>
        <v>0</v>
      </c>
      <c r="AC130" s="1180">
        <f t="shared" si="51"/>
        <v>0</v>
      </c>
      <c r="AD130" s="1181">
        <f t="shared" si="51"/>
        <v>0</v>
      </c>
      <c r="AE130" s="1177">
        <f t="shared" si="51"/>
        <v>0</v>
      </c>
      <c r="AF130" s="1179">
        <f t="shared" si="51"/>
        <v>0</v>
      </c>
      <c r="AG130" s="1180">
        <f t="shared" si="51"/>
        <v>0</v>
      </c>
      <c r="AH130" s="1181">
        <f t="shared" si="51"/>
        <v>0</v>
      </c>
      <c r="AI130" s="2556">
        <f t="shared" si="51"/>
        <v>0</v>
      </c>
      <c r="AJ130" s="1181">
        <f t="shared" si="51"/>
        <v>0</v>
      </c>
      <c r="AK130" s="2561">
        <f>SUM(AK124:AK129)</f>
        <v>0</v>
      </c>
    </row>
    <row r="131" spans="1:88" s="1134" customFormat="1" ht="18" customHeight="1" x14ac:dyDescent="0.15">
      <c r="A131" s="49" t="s">
        <v>1071</v>
      </c>
      <c r="B131" s="49"/>
      <c r="C131" s="49"/>
      <c r="D131" s="49"/>
      <c r="E131" s="2562"/>
    </row>
    <row r="132" spans="1:88" s="1134" customFormat="1" ht="18" customHeight="1" x14ac:dyDescent="0.15">
      <c r="A132" s="7954" t="s">
        <v>1072</v>
      </c>
      <c r="B132" s="7954"/>
      <c r="C132" s="7954"/>
      <c r="D132" s="7954"/>
      <c r="E132" s="7954"/>
    </row>
    <row r="133" spans="1:88" s="170" customFormat="1" ht="15" customHeight="1" x14ac:dyDescent="0.15">
      <c r="A133" s="7869" t="s">
        <v>1057</v>
      </c>
      <c r="B133" s="7904" t="s">
        <v>24</v>
      </c>
      <c r="C133" s="7904"/>
      <c r="D133" s="7905"/>
      <c r="E133" s="7935" t="s">
        <v>30</v>
      </c>
      <c r="F133" s="7934"/>
      <c r="G133" s="7934"/>
      <c r="H133" s="7934"/>
      <c r="I133" s="7934"/>
      <c r="J133" s="7934"/>
      <c r="K133" s="7934"/>
      <c r="L133" s="7934"/>
      <c r="M133" s="7934"/>
      <c r="N133" s="7934"/>
      <c r="O133" s="7934"/>
      <c r="P133" s="7934"/>
      <c r="Q133" s="7934"/>
      <c r="R133" s="7934"/>
      <c r="S133" s="7934"/>
      <c r="T133" s="7934"/>
      <c r="U133" s="7934"/>
      <c r="V133" s="7934"/>
      <c r="W133" s="7934"/>
      <c r="X133" s="7934"/>
      <c r="Y133" s="7934"/>
      <c r="Z133" s="7934"/>
      <c r="AA133" s="7934"/>
      <c r="AB133" s="7934"/>
      <c r="AC133" s="7934"/>
      <c r="AD133" s="7934"/>
      <c r="AE133" s="7934"/>
      <c r="AF133" s="7934"/>
      <c r="AG133" s="7934"/>
      <c r="AH133" s="7934"/>
      <c r="AI133" s="7934"/>
      <c r="AJ133" s="7936"/>
    </row>
    <row r="134" spans="1:88" s="170" customFormat="1" ht="15" customHeight="1" x14ac:dyDescent="0.15">
      <c r="A134" s="6813"/>
      <c r="B134" s="7949"/>
      <c r="C134" s="7949"/>
      <c r="D134" s="7950"/>
      <c r="E134" s="7884" t="s">
        <v>682</v>
      </c>
      <c r="F134" s="7869"/>
      <c r="G134" s="7935" t="s">
        <v>1001</v>
      </c>
      <c r="H134" s="7936"/>
      <c r="I134" s="7934" t="s">
        <v>1002</v>
      </c>
      <c r="J134" s="7934"/>
      <c r="K134" s="7935" t="s">
        <v>38</v>
      </c>
      <c r="L134" s="7936"/>
      <c r="M134" s="7935" t="s">
        <v>4</v>
      </c>
      <c r="N134" s="7936"/>
      <c r="O134" s="7883" t="s">
        <v>5</v>
      </c>
      <c r="P134" s="7869"/>
      <c r="Q134" s="6988" t="s">
        <v>1003</v>
      </c>
      <c r="R134" s="6988"/>
      <c r="S134" s="7883" t="s">
        <v>9</v>
      </c>
      <c r="T134" s="7869"/>
      <c r="U134" s="6988" t="s">
        <v>10</v>
      </c>
      <c r="V134" s="6988"/>
      <c r="W134" s="7883" t="s">
        <v>11</v>
      </c>
      <c r="X134" s="7869"/>
      <c r="Y134" s="6988" t="s">
        <v>18</v>
      </c>
      <c r="Z134" s="6988"/>
      <c r="AA134" s="7883" t="s">
        <v>19</v>
      </c>
      <c r="AB134" s="7869"/>
      <c r="AC134" s="6988" t="s">
        <v>20</v>
      </c>
      <c r="AD134" s="6988"/>
      <c r="AE134" s="7883" t="s">
        <v>70</v>
      </c>
      <c r="AF134" s="7869"/>
      <c r="AG134" s="6988" t="s">
        <v>71</v>
      </c>
      <c r="AH134" s="6988"/>
      <c r="AI134" s="7935" t="s">
        <v>32</v>
      </c>
      <c r="AJ134" s="7936"/>
    </row>
    <row r="135" spans="1:88" s="170" customFormat="1" ht="15" customHeight="1" x14ac:dyDescent="0.15">
      <c r="A135" s="7930"/>
      <c r="B135" s="1185" t="s">
        <v>26</v>
      </c>
      <c r="C135" s="1279" t="s">
        <v>22</v>
      </c>
      <c r="D135" s="1185" t="s">
        <v>27</v>
      </c>
      <c r="E135" s="1183" t="s">
        <v>22</v>
      </c>
      <c r="F135" s="1185" t="s">
        <v>27</v>
      </c>
      <c r="G135" s="1183" t="s">
        <v>22</v>
      </c>
      <c r="H135" s="1185" t="s">
        <v>27</v>
      </c>
      <c r="I135" s="1279" t="s">
        <v>22</v>
      </c>
      <c r="J135" s="1280" t="s">
        <v>27</v>
      </c>
      <c r="K135" s="1183" t="s">
        <v>22</v>
      </c>
      <c r="L135" s="1185" t="s">
        <v>27</v>
      </c>
      <c r="M135" s="1279" t="s">
        <v>22</v>
      </c>
      <c r="N135" s="1280" t="s">
        <v>27</v>
      </c>
      <c r="O135" s="1183" t="s">
        <v>22</v>
      </c>
      <c r="P135" s="1185" t="s">
        <v>27</v>
      </c>
      <c r="Q135" s="1279" t="s">
        <v>22</v>
      </c>
      <c r="R135" s="1280" t="s">
        <v>27</v>
      </c>
      <c r="S135" s="1183" t="s">
        <v>22</v>
      </c>
      <c r="T135" s="1185" t="s">
        <v>27</v>
      </c>
      <c r="U135" s="1279" t="s">
        <v>22</v>
      </c>
      <c r="V135" s="1280" t="s">
        <v>27</v>
      </c>
      <c r="W135" s="1183" t="s">
        <v>22</v>
      </c>
      <c r="X135" s="1185" t="s">
        <v>27</v>
      </c>
      <c r="Y135" s="1279" t="s">
        <v>22</v>
      </c>
      <c r="Z135" s="1280" t="s">
        <v>27</v>
      </c>
      <c r="AA135" s="1183" t="s">
        <v>22</v>
      </c>
      <c r="AB135" s="1185" t="s">
        <v>27</v>
      </c>
      <c r="AC135" s="1279" t="s">
        <v>22</v>
      </c>
      <c r="AD135" s="1280" t="s">
        <v>27</v>
      </c>
      <c r="AE135" s="1183" t="s">
        <v>22</v>
      </c>
      <c r="AF135" s="1185" t="s">
        <v>27</v>
      </c>
      <c r="AG135" s="1279" t="s">
        <v>22</v>
      </c>
      <c r="AH135" s="1280" t="s">
        <v>27</v>
      </c>
      <c r="AI135" s="1183" t="s">
        <v>22</v>
      </c>
      <c r="AJ135" s="1185" t="s">
        <v>27</v>
      </c>
    </row>
    <row r="136" spans="1:88" s="170" customFormat="1" ht="15" customHeight="1" x14ac:dyDescent="0.15">
      <c r="A136" s="1377" t="s">
        <v>1073</v>
      </c>
      <c r="B136" s="1378">
        <f t="shared" ref="B136:B141" si="52">SUM(C136+D136)</f>
        <v>0</v>
      </c>
      <c r="C136" s="1372">
        <f t="shared" ref="C136:D141" si="53">SUM(E136+G136+I136+K136+M136+O136+Q136+S136+U136+W136+Y136+AA136+AC136+AE136+AG136+AI136)</f>
        <v>0</v>
      </c>
      <c r="D136" s="1368">
        <f t="shared" si="53"/>
        <v>0</v>
      </c>
      <c r="E136" s="1379"/>
      <c r="F136" s="1305"/>
      <c r="G136" s="1379"/>
      <c r="H136" s="1305"/>
      <c r="I136" s="1379"/>
      <c r="J136" s="1305"/>
      <c r="K136" s="1379"/>
      <c r="L136" s="1305"/>
      <c r="M136" s="1379"/>
      <c r="N136" s="1305"/>
      <c r="O136" s="1379"/>
      <c r="P136" s="1305"/>
      <c r="Q136" s="1379"/>
      <c r="R136" s="1305"/>
      <c r="S136" s="1379"/>
      <c r="T136" s="1305"/>
      <c r="U136" s="1379"/>
      <c r="V136" s="1305"/>
      <c r="W136" s="1379"/>
      <c r="X136" s="1305"/>
      <c r="Y136" s="1379"/>
      <c r="Z136" s="1305"/>
      <c r="AA136" s="1379"/>
      <c r="AB136" s="1305"/>
      <c r="AC136" s="1379"/>
      <c r="AD136" s="1305"/>
      <c r="AE136" s="1379"/>
      <c r="AF136" s="1305"/>
      <c r="AG136" s="1379"/>
      <c r="AH136" s="1305"/>
      <c r="AI136" s="1379"/>
      <c r="AJ136" s="1305"/>
    </row>
    <row r="137" spans="1:88" s="170" customFormat="1" ht="15" customHeight="1" x14ac:dyDescent="0.15">
      <c r="A137" s="1112" t="s">
        <v>1074</v>
      </c>
      <c r="B137" s="1380">
        <f t="shared" si="52"/>
        <v>0</v>
      </c>
      <c r="C137" s="1372">
        <f t="shared" si="53"/>
        <v>0</v>
      </c>
      <c r="D137" s="1368">
        <f t="shared" si="53"/>
        <v>0</v>
      </c>
      <c r="E137" s="9"/>
      <c r="F137" s="11"/>
      <c r="G137" s="9"/>
      <c r="H137" s="11"/>
      <c r="I137" s="9"/>
      <c r="J137" s="11"/>
      <c r="K137" s="9"/>
      <c r="L137" s="11"/>
      <c r="M137" s="9"/>
      <c r="N137" s="11"/>
      <c r="O137" s="9"/>
      <c r="P137" s="11"/>
      <c r="Q137" s="9"/>
      <c r="R137" s="11"/>
      <c r="S137" s="9"/>
      <c r="T137" s="11"/>
      <c r="U137" s="9"/>
      <c r="V137" s="11"/>
      <c r="W137" s="9"/>
      <c r="X137" s="11"/>
      <c r="Y137" s="9"/>
      <c r="Z137" s="11"/>
      <c r="AA137" s="9"/>
      <c r="AB137" s="11"/>
      <c r="AC137" s="9"/>
      <c r="AD137" s="11"/>
      <c r="AE137" s="9"/>
      <c r="AF137" s="11"/>
      <c r="AG137" s="9"/>
      <c r="AH137" s="11"/>
      <c r="AI137" s="9"/>
      <c r="AJ137" s="11"/>
    </row>
    <row r="138" spans="1:88" s="170" customFormat="1" ht="15" customHeight="1" x14ac:dyDescent="0.15">
      <c r="A138" s="1123" t="s">
        <v>1075</v>
      </c>
      <c r="B138" s="1380">
        <f t="shared" si="52"/>
        <v>0</v>
      </c>
      <c r="C138" s="1372">
        <f t="shared" si="53"/>
        <v>0</v>
      </c>
      <c r="D138" s="1368">
        <f t="shared" si="53"/>
        <v>0</v>
      </c>
      <c r="E138" s="9"/>
      <c r="F138" s="11"/>
      <c r="G138" s="9"/>
      <c r="H138" s="11"/>
      <c r="I138" s="9"/>
      <c r="J138" s="11"/>
      <c r="K138" s="9"/>
      <c r="L138" s="11"/>
      <c r="M138" s="9"/>
      <c r="N138" s="11"/>
      <c r="O138" s="9"/>
      <c r="P138" s="11"/>
      <c r="Q138" s="9"/>
      <c r="R138" s="11"/>
      <c r="S138" s="9"/>
      <c r="T138" s="11"/>
      <c r="U138" s="9"/>
      <c r="V138" s="11"/>
      <c r="W138" s="9"/>
      <c r="X138" s="11"/>
      <c r="Y138" s="9"/>
      <c r="Z138" s="11"/>
      <c r="AA138" s="9"/>
      <c r="AB138" s="11"/>
      <c r="AC138" s="9"/>
      <c r="AD138" s="11"/>
      <c r="AE138" s="9"/>
      <c r="AF138" s="11"/>
      <c r="AG138" s="9"/>
      <c r="AH138" s="1117"/>
      <c r="AI138" s="9"/>
      <c r="AJ138" s="11"/>
    </row>
    <row r="139" spans="1:88" s="170" customFormat="1" ht="15" customHeight="1" x14ac:dyDescent="0.15">
      <c r="A139" s="1112" t="s">
        <v>1076</v>
      </c>
      <c r="B139" s="1380">
        <f t="shared" si="52"/>
        <v>0</v>
      </c>
      <c r="C139" s="1372">
        <f t="shared" si="53"/>
        <v>0</v>
      </c>
      <c r="D139" s="1368">
        <f t="shared" si="53"/>
        <v>0</v>
      </c>
      <c r="E139" s="9"/>
      <c r="F139" s="11"/>
      <c r="G139" s="9"/>
      <c r="H139" s="11"/>
      <c r="I139" s="9"/>
      <c r="J139" s="11"/>
      <c r="K139" s="9"/>
      <c r="L139" s="11"/>
      <c r="M139" s="9"/>
      <c r="N139" s="11"/>
      <c r="O139" s="9"/>
      <c r="P139" s="11"/>
      <c r="Q139" s="9"/>
      <c r="R139" s="11"/>
      <c r="S139" s="9"/>
      <c r="T139" s="11"/>
      <c r="U139" s="9"/>
      <c r="V139" s="11"/>
      <c r="W139" s="9"/>
      <c r="X139" s="11"/>
      <c r="Y139" s="9"/>
      <c r="Z139" s="11"/>
      <c r="AA139" s="9"/>
      <c r="AB139" s="11"/>
      <c r="AC139" s="9"/>
      <c r="AD139" s="11"/>
      <c r="AE139" s="9"/>
      <c r="AF139" s="11"/>
      <c r="AG139" s="9"/>
      <c r="AH139" s="11"/>
      <c r="AI139" s="9"/>
      <c r="AJ139" s="11"/>
    </row>
    <row r="140" spans="1:88" s="170" customFormat="1" ht="15" customHeight="1" x14ac:dyDescent="0.15">
      <c r="A140" s="1112" t="s">
        <v>1077</v>
      </c>
      <c r="B140" s="1380">
        <f t="shared" si="52"/>
        <v>0</v>
      </c>
      <c r="C140" s="1372">
        <f t="shared" si="53"/>
        <v>0</v>
      </c>
      <c r="D140" s="1368">
        <f t="shared" si="53"/>
        <v>0</v>
      </c>
      <c r="E140" s="9"/>
      <c r="F140" s="11"/>
      <c r="G140" s="9"/>
      <c r="H140" s="11"/>
      <c r="I140" s="9"/>
      <c r="J140" s="11"/>
      <c r="K140" s="9"/>
      <c r="L140" s="11"/>
      <c r="M140" s="9"/>
      <c r="N140" s="11"/>
      <c r="O140" s="9"/>
      <c r="P140" s="11"/>
      <c r="Q140" s="9"/>
      <c r="R140" s="11"/>
      <c r="S140" s="9"/>
      <c r="T140" s="11"/>
      <c r="U140" s="9"/>
      <c r="V140" s="11"/>
      <c r="W140" s="9"/>
      <c r="X140" s="11"/>
      <c r="Y140" s="9"/>
      <c r="Z140" s="11"/>
      <c r="AA140" s="9"/>
      <c r="AB140" s="11"/>
      <c r="AC140" s="9"/>
      <c r="AD140" s="11"/>
      <c r="AE140" s="9"/>
      <c r="AF140" s="11"/>
      <c r="AG140" s="9"/>
      <c r="AH140" s="11"/>
      <c r="AI140" s="9"/>
      <c r="AJ140" s="11"/>
    </row>
    <row r="141" spans="1:88" s="170" customFormat="1" ht="15" customHeight="1" x14ac:dyDescent="0.15">
      <c r="A141" s="1124" t="s">
        <v>44</v>
      </c>
      <c r="B141" s="1380">
        <f t="shared" si="52"/>
        <v>0</v>
      </c>
      <c r="C141" s="1372">
        <f t="shared" si="53"/>
        <v>0</v>
      </c>
      <c r="D141" s="1368">
        <f t="shared" si="53"/>
        <v>0</v>
      </c>
      <c r="E141" s="9"/>
      <c r="F141" s="11"/>
      <c r="G141" s="9"/>
      <c r="H141" s="11"/>
      <c r="I141" s="9"/>
      <c r="J141" s="11"/>
      <c r="K141" s="9"/>
      <c r="L141" s="11"/>
      <c r="M141" s="9"/>
      <c r="N141" s="11"/>
      <c r="O141" s="9"/>
      <c r="P141" s="11"/>
      <c r="Q141" s="9"/>
      <c r="R141" s="11"/>
      <c r="S141" s="9"/>
      <c r="T141" s="11"/>
      <c r="U141" s="9"/>
      <c r="V141" s="11"/>
      <c r="W141" s="9"/>
      <c r="X141" s="11"/>
      <c r="Y141" s="9"/>
      <c r="Z141" s="11"/>
      <c r="AA141" s="9"/>
      <c r="AB141" s="11"/>
      <c r="AC141" s="9"/>
      <c r="AD141" s="11"/>
      <c r="AE141" s="9"/>
      <c r="AF141" s="11"/>
      <c r="AG141" s="9"/>
      <c r="AH141" s="11"/>
      <c r="AI141" s="9"/>
      <c r="AJ141" s="11"/>
    </row>
    <row r="142" spans="1:88" s="170" customFormat="1" ht="15" customHeight="1" x14ac:dyDescent="0.15">
      <c r="A142" s="1306" t="s">
        <v>24</v>
      </c>
      <c r="B142" s="1308">
        <f>SUM(B136:B141)</f>
        <v>0</v>
      </c>
      <c r="C142" s="1307">
        <f>SUM(C136:C141)</f>
        <v>0</v>
      </c>
      <c r="D142" s="1308">
        <f>SUM(D136:D141)</f>
        <v>0</v>
      </c>
      <c r="E142" s="1307">
        <f>SUM(E136:E141)</f>
        <v>0</v>
      </c>
      <c r="F142" s="1311">
        <f t="shared" ref="F142:AJ142" si="54">SUM(F136:F141)</f>
        <v>0</v>
      </c>
      <c r="G142" s="1307">
        <f t="shared" si="54"/>
        <v>0</v>
      </c>
      <c r="H142" s="1311">
        <f t="shared" si="54"/>
        <v>0</v>
      </c>
      <c r="I142" s="1307">
        <f t="shared" si="54"/>
        <v>0</v>
      </c>
      <c r="J142" s="1311">
        <f t="shared" si="54"/>
        <v>0</v>
      </c>
      <c r="K142" s="1307">
        <f t="shared" si="54"/>
        <v>0</v>
      </c>
      <c r="L142" s="1311">
        <f t="shared" si="54"/>
        <v>0</v>
      </c>
      <c r="M142" s="1307">
        <f t="shared" si="54"/>
        <v>0</v>
      </c>
      <c r="N142" s="1311">
        <f t="shared" si="54"/>
        <v>0</v>
      </c>
      <c r="O142" s="1307">
        <f t="shared" si="54"/>
        <v>0</v>
      </c>
      <c r="P142" s="1311">
        <f t="shared" si="54"/>
        <v>0</v>
      </c>
      <c r="Q142" s="1307">
        <f t="shared" si="54"/>
        <v>0</v>
      </c>
      <c r="R142" s="1311">
        <f t="shared" si="54"/>
        <v>0</v>
      </c>
      <c r="S142" s="1307">
        <f t="shared" si="54"/>
        <v>0</v>
      </c>
      <c r="T142" s="1311">
        <f t="shared" si="54"/>
        <v>0</v>
      </c>
      <c r="U142" s="1307">
        <f t="shared" si="54"/>
        <v>0</v>
      </c>
      <c r="V142" s="1311">
        <f t="shared" si="54"/>
        <v>0</v>
      </c>
      <c r="W142" s="1307">
        <f t="shared" si="54"/>
        <v>0</v>
      </c>
      <c r="X142" s="1311">
        <f t="shared" si="54"/>
        <v>0</v>
      </c>
      <c r="Y142" s="1307">
        <f t="shared" si="54"/>
        <v>0</v>
      </c>
      <c r="Z142" s="1311">
        <f t="shared" si="54"/>
        <v>0</v>
      </c>
      <c r="AA142" s="1307">
        <f t="shared" si="54"/>
        <v>0</v>
      </c>
      <c r="AB142" s="1311">
        <f t="shared" si="54"/>
        <v>0</v>
      </c>
      <c r="AC142" s="1307">
        <f t="shared" si="54"/>
        <v>0</v>
      </c>
      <c r="AD142" s="1311">
        <f t="shared" si="54"/>
        <v>0</v>
      </c>
      <c r="AE142" s="1307">
        <f t="shared" si="54"/>
        <v>0</v>
      </c>
      <c r="AF142" s="1311">
        <f t="shared" si="54"/>
        <v>0</v>
      </c>
      <c r="AG142" s="1307">
        <f t="shared" si="54"/>
        <v>0</v>
      </c>
      <c r="AH142" s="1311">
        <f t="shared" si="54"/>
        <v>0</v>
      </c>
      <c r="AI142" s="1307">
        <f t="shared" si="54"/>
        <v>0</v>
      </c>
      <c r="AJ142" s="1311">
        <f t="shared" si="54"/>
        <v>0</v>
      </c>
    </row>
    <row r="143" spans="1:88" s="1134" customFormat="1" ht="18" customHeight="1" x14ac:dyDescent="0.15">
      <c r="A143" s="7" t="s">
        <v>1078</v>
      </c>
    </row>
    <row r="144" spans="1:88" s="170" customFormat="1" ht="15" customHeight="1" x14ac:dyDescent="0.15">
      <c r="A144" s="7958" t="s">
        <v>1079</v>
      </c>
      <c r="B144" s="7959"/>
      <c r="C144" s="1381" t="s">
        <v>1080</v>
      </c>
      <c r="D144" s="1382" t="s">
        <v>655</v>
      </c>
    </row>
    <row r="145" spans="1:36" s="170" customFormat="1" ht="15" customHeight="1" x14ac:dyDescent="0.15">
      <c r="A145" s="7960" t="s">
        <v>1081</v>
      </c>
      <c r="B145" s="1383" t="s">
        <v>1082</v>
      </c>
      <c r="C145" s="1143"/>
      <c r="D145" s="1145"/>
    </row>
    <row r="146" spans="1:36" s="170" customFormat="1" ht="15" customHeight="1" x14ac:dyDescent="0.15">
      <c r="A146" s="7961"/>
      <c r="B146" s="1384" t="s">
        <v>1083</v>
      </c>
      <c r="C146" s="1152"/>
      <c r="D146" s="1153"/>
    </row>
    <row r="147" spans="1:36" s="170" customFormat="1" ht="15" customHeight="1" x14ac:dyDescent="0.15">
      <c r="A147" s="7961"/>
      <c r="B147" s="1384" t="s">
        <v>569</v>
      </c>
      <c r="C147" s="1152"/>
      <c r="D147" s="1153"/>
    </row>
    <row r="148" spans="1:36" s="170" customFormat="1" ht="15" customHeight="1" x14ac:dyDescent="0.15">
      <c r="A148" s="7962"/>
      <c r="B148" s="1385" t="s">
        <v>1084</v>
      </c>
      <c r="C148" s="64"/>
      <c r="D148" s="1172"/>
    </row>
    <row r="149" spans="1:36" s="170" customFormat="1" ht="15" customHeight="1" x14ac:dyDescent="0.15">
      <c r="A149" s="7960" t="s">
        <v>1073</v>
      </c>
      <c r="B149" s="1383" t="s">
        <v>1082</v>
      </c>
      <c r="C149" s="661"/>
      <c r="D149" s="1191"/>
    </row>
    <row r="150" spans="1:36" s="170" customFormat="1" ht="15" customHeight="1" x14ac:dyDescent="0.15">
      <c r="A150" s="7961"/>
      <c r="B150" s="1384" t="s">
        <v>1083</v>
      </c>
      <c r="C150" s="1152"/>
      <c r="D150" s="1153"/>
    </row>
    <row r="151" spans="1:36" s="170" customFormat="1" ht="15" customHeight="1" x14ac:dyDescent="0.15">
      <c r="A151" s="7961"/>
      <c r="B151" s="1384" t="s">
        <v>569</v>
      </c>
      <c r="C151" s="1152"/>
      <c r="D151" s="1153"/>
    </row>
    <row r="152" spans="1:36" s="170" customFormat="1" ht="15" customHeight="1" x14ac:dyDescent="0.15">
      <c r="A152" s="7962"/>
      <c r="B152" s="1385" t="s">
        <v>1084</v>
      </c>
      <c r="C152" s="64"/>
      <c r="D152" s="1172"/>
    </row>
    <row r="153" spans="1:36" s="170" customFormat="1" ht="15" customHeight="1" x14ac:dyDescent="0.15">
      <c r="A153" s="7963" t="s">
        <v>24</v>
      </c>
      <c r="B153" s="7964"/>
      <c r="C153" s="1386">
        <f>SUM(C145:C152)</f>
        <v>0</v>
      </c>
      <c r="D153" s="1387">
        <f>SUM(D145:D152)</f>
        <v>0</v>
      </c>
    </row>
    <row r="154" spans="1:36" s="1134" customFormat="1" ht="18" customHeight="1" x14ac:dyDescent="0.15">
      <c r="A154" s="53" t="s">
        <v>1085</v>
      </c>
    </row>
    <row r="155" spans="1:36" s="170" customFormat="1" ht="15" customHeight="1" x14ac:dyDescent="0.15">
      <c r="A155" s="7965" t="s">
        <v>1086</v>
      </c>
      <c r="B155" s="7904" t="s">
        <v>24</v>
      </c>
      <c r="C155" s="7904"/>
      <c r="D155" s="7905"/>
      <c r="E155" s="7886" t="s">
        <v>30</v>
      </c>
      <c r="F155" s="7887"/>
      <c r="G155" s="7887"/>
      <c r="H155" s="7887"/>
      <c r="I155" s="7887"/>
      <c r="J155" s="7887"/>
      <c r="K155" s="7887"/>
      <c r="L155" s="7887"/>
      <c r="M155" s="7887"/>
      <c r="N155" s="7887"/>
      <c r="O155" s="7887"/>
      <c r="P155" s="7887"/>
      <c r="Q155" s="7887"/>
      <c r="R155" s="7887"/>
      <c r="S155" s="7887"/>
      <c r="T155" s="7887"/>
      <c r="U155" s="7887"/>
      <c r="V155" s="7887"/>
      <c r="W155" s="7887"/>
      <c r="X155" s="7887"/>
      <c r="Y155" s="7887"/>
      <c r="Z155" s="7887"/>
      <c r="AA155" s="7887"/>
      <c r="AB155" s="7887"/>
      <c r="AC155" s="7887"/>
      <c r="AD155" s="7887"/>
      <c r="AE155" s="7887"/>
      <c r="AF155" s="7887"/>
      <c r="AG155" s="7887"/>
      <c r="AH155" s="7887"/>
      <c r="AI155" s="7887"/>
      <c r="AJ155" s="7951"/>
    </row>
    <row r="156" spans="1:36" s="170" customFormat="1" ht="15" customHeight="1" x14ac:dyDescent="0.15">
      <c r="A156" s="7966"/>
      <c r="B156" s="7949"/>
      <c r="C156" s="7949"/>
      <c r="D156" s="7950"/>
      <c r="E156" s="7884" t="s">
        <v>682</v>
      </c>
      <c r="F156" s="7869"/>
      <c r="G156" s="7934" t="s">
        <v>1001</v>
      </c>
      <c r="H156" s="7934"/>
      <c r="I156" s="7935" t="s">
        <v>1002</v>
      </c>
      <c r="J156" s="7936"/>
      <c r="K156" s="7935" t="s">
        <v>38</v>
      </c>
      <c r="L156" s="7936"/>
      <c r="M156" s="7935" t="s">
        <v>4</v>
      </c>
      <c r="N156" s="7936"/>
      <c r="O156" s="6988" t="s">
        <v>5</v>
      </c>
      <c r="P156" s="6988"/>
      <c r="Q156" s="7883" t="s">
        <v>1003</v>
      </c>
      <c r="R156" s="7869"/>
      <c r="S156" s="7883" t="s">
        <v>9</v>
      </c>
      <c r="T156" s="7869"/>
      <c r="U156" s="6988" t="s">
        <v>10</v>
      </c>
      <c r="V156" s="6988"/>
      <c r="W156" s="7883" t="s">
        <v>11</v>
      </c>
      <c r="X156" s="7869"/>
      <c r="Y156" s="6988" t="s">
        <v>18</v>
      </c>
      <c r="Z156" s="6988"/>
      <c r="AA156" s="7883" t="s">
        <v>19</v>
      </c>
      <c r="AB156" s="7869"/>
      <c r="AC156" s="6988" t="s">
        <v>20</v>
      </c>
      <c r="AD156" s="6988"/>
      <c r="AE156" s="7883" t="s">
        <v>70</v>
      </c>
      <c r="AF156" s="7869"/>
      <c r="AG156" s="6988" t="s">
        <v>71</v>
      </c>
      <c r="AH156" s="6988"/>
      <c r="AI156" s="7935" t="s">
        <v>32</v>
      </c>
      <c r="AJ156" s="7936"/>
    </row>
    <row r="157" spans="1:36" s="170" customFormat="1" ht="15" customHeight="1" x14ac:dyDescent="0.15">
      <c r="A157" s="7967"/>
      <c r="B157" s="1365" t="s">
        <v>26</v>
      </c>
      <c r="C157" s="1364" t="s">
        <v>22</v>
      </c>
      <c r="D157" s="1388" t="s">
        <v>27</v>
      </c>
      <c r="E157" s="1279" t="s">
        <v>22</v>
      </c>
      <c r="F157" s="1389" t="s">
        <v>27</v>
      </c>
      <c r="G157" s="1279" t="s">
        <v>22</v>
      </c>
      <c r="H157" s="1389" t="s">
        <v>27</v>
      </c>
      <c r="I157" s="1279" t="s">
        <v>22</v>
      </c>
      <c r="J157" s="1389" t="s">
        <v>27</v>
      </c>
      <c r="K157" s="1279" t="s">
        <v>22</v>
      </c>
      <c r="L157" s="1389" t="s">
        <v>27</v>
      </c>
      <c r="M157" s="1279" t="s">
        <v>22</v>
      </c>
      <c r="N157" s="1389" t="s">
        <v>27</v>
      </c>
      <c r="O157" s="1279" t="s">
        <v>22</v>
      </c>
      <c r="P157" s="1389" t="s">
        <v>27</v>
      </c>
      <c r="Q157" s="1279" t="s">
        <v>22</v>
      </c>
      <c r="R157" s="1389" t="s">
        <v>27</v>
      </c>
      <c r="S157" s="1279" t="s">
        <v>22</v>
      </c>
      <c r="T157" s="1389" t="s">
        <v>27</v>
      </c>
      <c r="U157" s="1279" t="s">
        <v>22</v>
      </c>
      <c r="V157" s="1389" t="s">
        <v>27</v>
      </c>
      <c r="W157" s="1279" t="s">
        <v>22</v>
      </c>
      <c r="X157" s="1389" t="s">
        <v>27</v>
      </c>
      <c r="Y157" s="1279" t="s">
        <v>22</v>
      </c>
      <c r="Z157" s="1389" t="s">
        <v>27</v>
      </c>
      <c r="AA157" s="1279" t="s">
        <v>22</v>
      </c>
      <c r="AB157" s="1389" t="s">
        <v>27</v>
      </c>
      <c r="AC157" s="1279" t="s">
        <v>22</v>
      </c>
      <c r="AD157" s="1389" t="s">
        <v>27</v>
      </c>
      <c r="AE157" s="1279" t="s">
        <v>22</v>
      </c>
      <c r="AF157" s="1389" t="s">
        <v>27</v>
      </c>
      <c r="AG157" s="1279" t="s">
        <v>22</v>
      </c>
      <c r="AH157" s="1389" t="s">
        <v>27</v>
      </c>
      <c r="AI157" s="1279" t="s">
        <v>22</v>
      </c>
      <c r="AJ157" s="1185" t="s">
        <v>27</v>
      </c>
    </row>
    <row r="158" spans="1:36" s="170" customFormat="1" ht="15" customHeight="1" x14ac:dyDescent="0.15">
      <c r="A158" s="1390" t="s">
        <v>1087</v>
      </c>
      <c r="B158" s="1391">
        <f>SUM(C158:D158)</f>
        <v>0</v>
      </c>
      <c r="C158" s="1392">
        <f t="shared" ref="C158:D162" si="55">+E158+G158+I158+K158+M158+O158+Q158+S158+U158+W158+Y158+AA158+AC158+AE158+AG158+AI158</f>
        <v>0</v>
      </c>
      <c r="D158" s="1393">
        <f t="shared" si="55"/>
        <v>0</v>
      </c>
      <c r="E158" s="1146"/>
      <c r="F158" s="1191"/>
      <c r="G158" s="1146"/>
      <c r="H158" s="1191"/>
      <c r="I158" s="1146"/>
      <c r="J158" s="1191"/>
      <c r="K158" s="1146"/>
      <c r="L158" s="1191"/>
      <c r="M158" s="1146"/>
      <c r="N158" s="1191"/>
      <c r="O158" s="1146"/>
      <c r="P158" s="1191"/>
      <c r="Q158" s="1146"/>
      <c r="R158" s="1191"/>
      <c r="S158" s="1146"/>
      <c r="T158" s="1191"/>
      <c r="U158" s="1146"/>
      <c r="V158" s="1191"/>
      <c r="W158" s="1146"/>
      <c r="X158" s="1191"/>
      <c r="Y158" s="1146"/>
      <c r="Z158" s="1191"/>
      <c r="AA158" s="1146"/>
      <c r="AB158" s="1191"/>
      <c r="AC158" s="1146"/>
      <c r="AD158" s="1191"/>
      <c r="AE158" s="1146"/>
      <c r="AF158" s="1191"/>
      <c r="AG158" s="1146"/>
      <c r="AH158" s="1191"/>
      <c r="AI158" s="1343"/>
      <c r="AJ158" s="1191"/>
    </row>
    <row r="159" spans="1:36" s="170" customFormat="1" ht="15" customHeight="1" x14ac:dyDescent="0.15">
      <c r="A159" s="1394" t="s">
        <v>1088</v>
      </c>
      <c r="B159" s="1395">
        <f>SUM(C159:D159)</f>
        <v>0</v>
      </c>
      <c r="C159" s="1396">
        <f t="shared" si="55"/>
        <v>0</v>
      </c>
      <c r="D159" s="1397">
        <f t="shared" si="55"/>
        <v>0</v>
      </c>
      <c r="E159" s="1154"/>
      <c r="F159" s="1153"/>
      <c r="G159" s="1154"/>
      <c r="H159" s="1153"/>
      <c r="I159" s="1154"/>
      <c r="J159" s="1153"/>
      <c r="K159" s="1154"/>
      <c r="L159" s="1153"/>
      <c r="M159" s="1154"/>
      <c r="N159" s="1153"/>
      <c r="O159" s="1154"/>
      <c r="P159" s="1153"/>
      <c r="Q159" s="1154"/>
      <c r="R159" s="1153"/>
      <c r="S159" s="1154"/>
      <c r="T159" s="1153"/>
      <c r="U159" s="1154"/>
      <c r="V159" s="1153"/>
      <c r="W159" s="1154"/>
      <c r="X159" s="1153"/>
      <c r="Y159" s="1154"/>
      <c r="Z159" s="1153"/>
      <c r="AA159" s="1154"/>
      <c r="AB159" s="1153"/>
      <c r="AC159" s="1154"/>
      <c r="AD159" s="1153"/>
      <c r="AE159" s="1154"/>
      <c r="AF159" s="1153"/>
      <c r="AG159" s="1154"/>
      <c r="AH159" s="1153"/>
      <c r="AI159" s="1154"/>
      <c r="AJ159" s="1153"/>
    </row>
    <row r="160" spans="1:36" s="170" customFormat="1" ht="15" customHeight="1" x14ac:dyDescent="0.15">
      <c r="A160" s="1346" t="s">
        <v>1089</v>
      </c>
      <c r="B160" s="1395">
        <f>SUM(C160:D160)</f>
        <v>0</v>
      </c>
      <c r="C160" s="1398">
        <f t="shared" si="55"/>
        <v>0</v>
      </c>
      <c r="D160" s="1399">
        <f t="shared" si="55"/>
        <v>0</v>
      </c>
      <c r="E160" s="1350"/>
      <c r="F160" s="1349"/>
      <c r="G160" s="1350"/>
      <c r="H160" s="1349"/>
      <c r="I160" s="1350"/>
      <c r="J160" s="1349"/>
      <c r="K160" s="1350"/>
      <c r="L160" s="1349"/>
      <c r="M160" s="1350"/>
      <c r="N160" s="1349"/>
      <c r="O160" s="1350"/>
      <c r="P160" s="1349"/>
      <c r="Q160" s="1350"/>
      <c r="R160" s="1349"/>
      <c r="S160" s="1350"/>
      <c r="T160" s="1349"/>
      <c r="U160" s="1350"/>
      <c r="V160" s="1349"/>
      <c r="W160" s="1350"/>
      <c r="X160" s="1349"/>
      <c r="Y160" s="1350"/>
      <c r="Z160" s="1349"/>
      <c r="AA160" s="1350"/>
      <c r="AB160" s="1349"/>
      <c r="AC160" s="1350"/>
      <c r="AD160" s="1349"/>
      <c r="AE160" s="1350"/>
      <c r="AF160" s="1349"/>
      <c r="AG160" s="1350"/>
      <c r="AH160" s="1349"/>
      <c r="AI160" s="1350"/>
      <c r="AJ160" s="1349"/>
    </row>
    <row r="161" spans="1:36" s="170" customFormat="1" ht="15" customHeight="1" x14ac:dyDescent="0.15">
      <c r="A161" s="1346" t="s">
        <v>1090</v>
      </c>
      <c r="B161" s="1395">
        <f>SUM(C161:D161)</f>
        <v>0</v>
      </c>
      <c r="C161" s="1398">
        <f t="shared" si="55"/>
        <v>0</v>
      </c>
      <c r="D161" s="1399">
        <f t="shared" si="55"/>
        <v>0</v>
      </c>
      <c r="E161" s="1350"/>
      <c r="F161" s="1349"/>
      <c r="G161" s="1350"/>
      <c r="H161" s="1349"/>
      <c r="I161" s="1350"/>
      <c r="J161" s="1349"/>
      <c r="K161" s="1350"/>
      <c r="L161" s="1349"/>
      <c r="M161" s="1350"/>
      <c r="N161" s="1349"/>
      <c r="O161" s="1350"/>
      <c r="P161" s="1349"/>
      <c r="Q161" s="1350"/>
      <c r="R161" s="1349"/>
      <c r="S161" s="1350"/>
      <c r="T161" s="1349"/>
      <c r="U161" s="1350"/>
      <c r="V161" s="1349"/>
      <c r="W161" s="1350"/>
      <c r="X161" s="1349"/>
      <c r="Y161" s="1350"/>
      <c r="Z161" s="1349"/>
      <c r="AA161" s="1350"/>
      <c r="AB161" s="1349"/>
      <c r="AC161" s="1350"/>
      <c r="AD161" s="1349"/>
      <c r="AE161" s="1350"/>
      <c r="AF161" s="1349"/>
      <c r="AG161" s="1350"/>
      <c r="AH161" s="1349"/>
      <c r="AI161" s="1350"/>
      <c r="AJ161" s="1349"/>
    </row>
    <row r="162" spans="1:36" s="170" customFormat="1" ht="15" customHeight="1" x14ac:dyDescent="0.15">
      <c r="A162" s="1361" t="s">
        <v>1091</v>
      </c>
      <c r="B162" s="1354">
        <f>SUM(C162:D162)</f>
        <v>0</v>
      </c>
      <c r="C162" s="1400">
        <f t="shared" si="55"/>
        <v>0</v>
      </c>
      <c r="D162" s="1401">
        <f t="shared" si="55"/>
        <v>0</v>
      </c>
      <c r="E162" s="658"/>
      <c r="F162" s="1172"/>
      <c r="G162" s="658"/>
      <c r="H162" s="1172"/>
      <c r="I162" s="658"/>
      <c r="J162" s="1172"/>
      <c r="K162" s="658"/>
      <c r="L162" s="1172"/>
      <c r="M162" s="658"/>
      <c r="N162" s="1172"/>
      <c r="O162" s="658"/>
      <c r="P162" s="1172"/>
      <c r="Q162" s="658"/>
      <c r="R162" s="1172"/>
      <c r="S162" s="658"/>
      <c r="T162" s="1172"/>
      <c r="U162" s="658"/>
      <c r="V162" s="1172"/>
      <c r="W162" s="658"/>
      <c r="X162" s="1172"/>
      <c r="Y162" s="658"/>
      <c r="Z162" s="1172"/>
      <c r="AA162" s="658"/>
      <c r="AB162" s="1172"/>
      <c r="AC162" s="658"/>
      <c r="AD162" s="1172"/>
      <c r="AE162" s="658"/>
      <c r="AF162" s="1172"/>
      <c r="AG162" s="658"/>
      <c r="AH162" s="1172"/>
      <c r="AI162" s="658"/>
      <c r="AJ162" s="1172"/>
    </row>
    <row r="163" spans="1:36" s="1134" customFormat="1" ht="18" customHeight="1" x14ac:dyDescent="0.15">
      <c r="A163" s="7968" t="s">
        <v>1092</v>
      </c>
      <c r="B163" s="7968"/>
      <c r="C163" s="7968"/>
    </row>
    <row r="164" spans="1:36" s="170" customFormat="1" ht="21" x14ac:dyDescent="0.15">
      <c r="A164" s="7969" t="s">
        <v>137</v>
      </c>
      <c r="B164" s="7969"/>
      <c r="C164" s="1402" t="s">
        <v>571</v>
      </c>
      <c r="D164" s="1403" t="s">
        <v>1093</v>
      </c>
      <c r="E164" s="1403" t="s">
        <v>1094</v>
      </c>
      <c r="F164" s="1403" t="s">
        <v>1041</v>
      </c>
      <c r="G164" s="1403" t="s">
        <v>28</v>
      </c>
    </row>
    <row r="165" spans="1:36" s="170" customFormat="1" ht="15" customHeight="1" x14ac:dyDescent="0.15">
      <c r="A165" s="7970" t="s">
        <v>1095</v>
      </c>
      <c r="B165" s="1404" t="s">
        <v>1096</v>
      </c>
      <c r="C165" s="1405">
        <f t="shared" ref="C165:C170" si="56">SUM(D165:G165)</f>
        <v>0</v>
      </c>
      <c r="D165" s="1406"/>
      <c r="E165" s="1406"/>
      <c r="F165" s="1406"/>
      <c r="G165" s="1406"/>
    </row>
    <row r="166" spans="1:36" s="170" customFormat="1" ht="15" customHeight="1" x14ac:dyDescent="0.15">
      <c r="A166" s="7971"/>
      <c r="B166" s="1407" t="s">
        <v>1097</v>
      </c>
      <c r="C166" s="1408">
        <f t="shared" si="56"/>
        <v>0</v>
      </c>
      <c r="D166" s="1409"/>
      <c r="E166" s="1409"/>
      <c r="F166" s="1409"/>
      <c r="G166" s="1409"/>
    </row>
    <row r="167" spans="1:36" s="170" customFormat="1" ht="15" customHeight="1" x14ac:dyDescent="0.15">
      <c r="A167" s="7972"/>
      <c r="B167" s="1410" t="s">
        <v>1098</v>
      </c>
      <c r="C167" s="1411">
        <f t="shared" si="56"/>
        <v>0</v>
      </c>
      <c r="D167" s="659"/>
      <c r="E167" s="659"/>
      <c r="F167" s="659"/>
      <c r="G167" s="659"/>
    </row>
    <row r="168" spans="1:36" s="170" customFormat="1" ht="15" customHeight="1" x14ac:dyDescent="0.15">
      <c r="A168" s="7970" t="s">
        <v>1099</v>
      </c>
      <c r="B168" s="1404" t="s">
        <v>1100</v>
      </c>
      <c r="C168" s="1412">
        <f t="shared" si="56"/>
        <v>0</v>
      </c>
      <c r="D168" s="1413"/>
      <c r="E168" s="1413"/>
      <c r="F168" s="1413"/>
      <c r="G168" s="1413"/>
    </row>
    <row r="169" spans="1:36" s="170" customFormat="1" ht="15" customHeight="1" x14ac:dyDescent="0.15">
      <c r="A169" s="7971"/>
      <c r="B169" s="1407" t="s">
        <v>1101</v>
      </c>
      <c r="C169" s="1412">
        <f t="shared" si="56"/>
        <v>0</v>
      </c>
      <c r="D169" s="1409"/>
      <c r="E169" s="1409"/>
      <c r="F169" s="1409"/>
      <c r="G169" s="1409"/>
    </row>
    <row r="170" spans="1:36" s="170" customFormat="1" ht="15" customHeight="1" x14ac:dyDescent="0.15">
      <c r="A170" s="7972"/>
      <c r="B170" s="1414" t="s">
        <v>1102</v>
      </c>
      <c r="C170" s="1411">
        <f t="shared" si="56"/>
        <v>0</v>
      </c>
      <c r="D170" s="659"/>
      <c r="E170" s="659"/>
      <c r="F170" s="659"/>
      <c r="G170" s="659"/>
    </row>
    <row r="171" spans="1:36" s="1134" customFormat="1" ht="18" customHeight="1" x14ac:dyDescent="0.15">
      <c r="A171" s="7968" t="s">
        <v>1103</v>
      </c>
      <c r="B171" s="7968"/>
      <c r="C171" s="7973"/>
    </row>
    <row r="172" spans="1:36" s="170" customFormat="1" ht="15" customHeight="1" x14ac:dyDescent="0.15">
      <c r="A172" s="7904" t="s">
        <v>137</v>
      </c>
      <c r="B172" s="7905"/>
      <c r="C172" s="7903" t="s">
        <v>24</v>
      </c>
      <c r="D172" s="7904"/>
      <c r="E172" s="7905"/>
      <c r="F172" s="7935" t="s">
        <v>30</v>
      </c>
      <c r="G172" s="7934"/>
      <c r="H172" s="7934"/>
      <c r="I172" s="7934"/>
      <c r="J172" s="7934"/>
      <c r="K172" s="7936"/>
    </row>
    <row r="173" spans="1:36" s="170" customFormat="1" ht="15" customHeight="1" x14ac:dyDescent="0.15">
      <c r="A173" s="7907"/>
      <c r="B173" s="7908"/>
      <c r="C173" s="7948"/>
      <c r="D173" s="7949"/>
      <c r="E173" s="7950"/>
      <c r="F173" s="7934" t="s">
        <v>1319</v>
      </c>
      <c r="G173" s="7936"/>
      <c r="H173" s="7935" t="s">
        <v>3725</v>
      </c>
      <c r="I173" s="7936"/>
      <c r="J173" s="7887" t="s">
        <v>945</v>
      </c>
      <c r="K173" s="7951"/>
    </row>
    <row r="174" spans="1:36" s="170" customFormat="1" ht="15" customHeight="1" x14ac:dyDescent="0.15">
      <c r="A174" s="7949"/>
      <c r="B174" s="7950"/>
      <c r="C174" s="4501" t="s">
        <v>26</v>
      </c>
      <c r="D174" s="4552" t="s">
        <v>22</v>
      </c>
      <c r="E174" s="4552" t="s">
        <v>27</v>
      </c>
      <c r="F174" s="1415" t="s">
        <v>22</v>
      </c>
      <c r="G174" s="1365" t="s">
        <v>27</v>
      </c>
      <c r="H174" s="1415" t="s">
        <v>22</v>
      </c>
      <c r="I174" s="1365" t="s">
        <v>27</v>
      </c>
      <c r="J174" s="1364" t="s">
        <v>22</v>
      </c>
      <c r="K174" s="1365" t="s">
        <v>27</v>
      </c>
    </row>
    <row r="175" spans="1:36" s="170" customFormat="1" ht="15" customHeight="1" x14ac:dyDescent="0.15">
      <c r="A175" s="7791" t="s">
        <v>1104</v>
      </c>
      <c r="B175" s="1416" t="s">
        <v>1100</v>
      </c>
      <c r="C175" s="1417">
        <f>SUM(D175:E175)</f>
        <v>0</v>
      </c>
      <c r="D175" s="1412">
        <f t="shared" ref="D175:E178" si="57">SUM(F175+H175+J175)</f>
        <v>0</v>
      </c>
      <c r="E175" s="1412">
        <f t="shared" si="57"/>
        <v>0</v>
      </c>
      <c r="F175" s="653"/>
      <c r="G175" s="1202"/>
      <c r="H175" s="653"/>
      <c r="I175" s="1202"/>
      <c r="J175" s="654"/>
      <c r="K175" s="1202"/>
    </row>
    <row r="176" spans="1:36" s="170" customFormat="1" ht="15" customHeight="1" x14ac:dyDescent="0.15">
      <c r="A176" s="7900"/>
      <c r="B176" s="1416" t="s">
        <v>1096</v>
      </c>
      <c r="C176" s="1417">
        <f>SUM(D176:E176)</f>
        <v>0</v>
      </c>
      <c r="D176" s="1412">
        <f t="shared" si="57"/>
        <v>0</v>
      </c>
      <c r="E176" s="1412">
        <f t="shared" si="57"/>
        <v>0</v>
      </c>
      <c r="F176" s="1348"/>
      <c r="G176" s="1208"/>
      <c r="H176" s="1348"/>
      <c r="I176" s="1208"/>
      <c r="J176" s="1350"/>
      <c r="K176" s="1208"/>
    </row>
    <row r="177" spans="1:88" s="170" customFormat="1" ht="15" customHeight="1" x14ac:dyDescent="0.15">
      <c r="A177" s="7900"/>
      <c r="B177" s="1416" t="s">
        <v>1097</v>
      </c>
      <c r="C177" s="1417">
        <f>SUM(D177:E177)</f>
        <v>0</v>
      </c>
      <c r="D177" s="1412">
        <f t="shared" si="57"/>
        <v>0</v>
      </c>
      <c r="E177" s="1412">
        <f t="shared" si="57"/>
        <v>0</v>
      </c>
      <c r="F177" s="1348"/>
      <c r="G177" s="1208"/>
      <c r="H177" s="1348"/>
      <c r="I177" s="1208"/>
      <c r="J177" s="1350"/>
      <c r="K177" s="1208"/>
    </row>
    <row r="178" spans="1:88" s="170" customFormat="1" ht="15" customHeight="1" x14ac:dyDescent="0.15">
      <c r="A178" s="7974"/>
      <c r="B178" s="55" t="s">
        <v>1105</v>
      </c>
      <c r="C178" s="1411">
        <f>SUM(D178:E178)</f>
        <v>0</v>
      </c>
      <c r="D178" s="1411">
        <f t="shared" si="57"/>
        <v>0</v>
      </c>
      <c r="E178" s="1411">
        <f t="shared" si="57"/>
        <v>0</v>
      </c>
      <c r="F178" s="64"/>
      <c r="G178" s="65"/>
      <c r="H178" s="64"/>
      <c r="I178" s="65"/>
      <c r="J178" s="658"/>
      <c r="K178" s="65"/>
    </row>
    <row r="179" spans="1:88" s="1134" customFormat="1" ht="18" customHeight="1" x14ac:dyDescent="0.15">
      <c r="A179" s="49" t="s">
        <v>1106</v>
      </c>
    </row>
    <row r="180" spans="1:88" s="170" customFormat="1" ht="15" customHeight="1" x14ac:dyDescent="0.15">
      <c r="A180" s="7983" t="s">
        <v>1107</v>
      </c>
      <c r="B180" s="7983"/>
      <c r="C180" s="7986" t="s">
        <v>1108</v>
      </c>
      <c r="D180" s="7904" t="s">
        <v>24</v>
      </c>
      <c r="E180" s="7904"/>
      <c r="F180" s="7905"/>
      <c r="G180" s="7887" t="s">
        <v>30</v>
      </c>
      <c r="H180" s="7887"/>
      <c r="I180" s="7887"/>
      <c r="J180" s="7887"/>
      <c r="K180" s="7887"/>
      <c r="L180" s="7887"/>
      <c r="M180" s="7887"/>
      <c r="N180" s="7887"/>
      <c r="O180" s="7887"/>
      <c r="P180" s="7887"/>
      <c r="Q180" s="7887"/>
      <c r="R180" s="7887"/>
      <c r="S180" s="7887"/>
      <c r="T180" s="7887"/>
      <c r="U180" s="7887"/>
      <c r="V180" s="7887"/>
      <c r="W180" s="7887"/>
      <c r="X180" s="7887"/>
      <c r="Y180" s="7887"/>
      <c r="Z180" s="7887"/>
      <c r="AA180" s="7887"/>
      <c r="AB180" s="7887"/>
      <c r="AC180" s="7887"/>
      <c r="AD180" s="7887"/>
      <c r="AE180" s="7887"/>
      <c r="AF180" s="7887"/>
      <c r="AG180" s="7887"/>
      <c r="AH180" s="7887"/>
      <c r="AI180" s="7887"/>
      <c r="AJ180" s="7887"/>
      <c r="AK180" s="7887"/>
      <c r="AL180" s="7951"/>
    </row>
    <row r="181" spans="1:88" s="170" customFormat="1" ht="15" customHeight="1" x14ac:dyDescent="0.15">
      <c r="A181" s="7984"/>
      <c r="B181" s="7984"/>
      <c r="C181" s="7986"/>
      <c r="D181" s="7949"/>
      <c r="E181" s="7949"/>
      <c r="F181" s="7950"/>
      <c r="G181" s="7884" t="s">
        <v>682</v>
      </c>
      <c r="H181" s="7869"/>
      <c r="I181" s="7934" t="s">
        <v>1001</v>
      </c>
      <c r="J181" s="7934"/>
      <c r="K181" s="7935" t="s">
        <v>1002</v>
      </c>
      <c r="L181" s="7936"/>
      <c r="M181" s="7935" t="s">
        <v>38</v>
      </c>
      <c r="N181" s="7936"/>
      <c r="O181" s="7935" t="s">
        <v>4</v>
      </c>
      <c r="P181" s="7936"/>
      <c r="Q181" s="6988" t="s">
        <v>5</v>
      </c>
      <c r="R181" s="6988"/>
      <c r="S181" s="7883" t="s">
        <v>1003</v>
      </c>
      <c r="T181" s="7869"/>
      <c r="U181" s="7883" t="s">
        <v>9</v>
      </c>
      <c r="V181" s="7869"/>
      <c r="W181" s="6988" t="s">
        <v>10</v>
      </c>
      <c r="X181" s="6988"/>
      <c r="Y181" s="7883" t="s">
        <v>11</v>
      </c>
      <c r="Z181" s="7869"/>
      <c r="AA181" s="6988" t="s">
        <v>18</v>
      </c>
      <c r="AB181" s="6988"/>
      <c r="AC181" s="7883" t="s">
        <v>19</v>
      </c>
      <c r="AD181" s="7869"/>
      <c r="AE181" s="6988" t="s">
        <v>20</v>
      </c>
      <c r="AF181" s="6988"/>
      <c r="AG181" s="7883" t="s">
        <v>70</v>
      </c>
      <c r="AH181" s="7869"/>
      <c r="AI181" s="6988" t="s">
        <v>71</v>
      </c>
      <c r="AJ181" s="6988"/>
      <c r="AK181" s="7935" t="s">
        <v>32</v>
      </c>
      <c r="AL181" s="7936"/>
    </row>
    <row r="182" spans="1:88" s="170" customFormat="1" ht="15" customHeight="1" x14ac:dyDescent="0.15">
      <c r="A182" s="7985"/>
      <c r="B182" s="7985"/>
      <c r="C182" s="7986"/>
      <c r="D182" s="1363" t="s">
        <v>26</v>
      </c>
      <c r="E182" s="1415" t="s">
        <v>22</v>
      </c>
      <c r="F182" s="1365" t="s">
        <v>27</v>
      </c>
      <c r="G182" s="1279" t="s">
        <v>22</v>
      </c>
      <c r="H182" s="1389" t="s">
        <v>27</v>
      </c>
      <c r="I182" s="1279" t="s">
        <v>22</v>
      </c>
      <c r="J182" s="1389" t="s">
        <v>27</v>
      </c>
      <c r="K182" s="1279" t="s">
        <v>22</v>
      </c>
      <c r="L182" s="1389" t="s">
        <v>27</v>
      </c>
      <c r="M182" s="1279" t="s">
        <v>22</v>
      </c>
      <c r="N182" s="1389" t="s">
        <v>27</v>
      </c>
      <c r="O182" s="1279" t="s">
        <v>22</v>
      </c>
      <c r="P182" s="1389" t="s">
        <v>27</v>
      </c>
      <c r="Q182" s="1279" t="s">
        <v>22</v>
      </c>
      <c r="R182" s="1389" t="s">
        <v>27</v>
      </c>
      <c r="S182" s="1279" t="s">
        <v>22</v>
      </c>
      <c r="T182" s="1389" t="s">
        <v>27</v>
      </c>
      <c r="U182" s="1279" t="s">
        <v>22</v>
      </c>
      <c r="V182" s="1389" t="s">
        <v>27</v>
      </c>
      <c r="W182" s="1279" t="s">
        <v>22</v>
      </c>
      <c r="X182" s="1389" t="s">
        <v>27</v>
      </c>
      <c r="Y182" s="1279" t="s">
        <v>22</v>
      </c>
      <c r="Z182" s="1389" t="s">
        <v>27</v>
      </c>
      <c r="AA182" s="1279" t="s">
        <v>22</v>
      </c>
      <c r="AB182" s="1389" t="s">
        <v>27</v>
      </c>
      <c r="AC182" s="1279" t="s">
        <v>22</v>
      </c>
      <c r="AD182" s="1389" t="s">
        <v>27</v>
      </c>
      <c r="AE182" s="1279" t="s">
        <v>22</v>
      </c>
      <c r="AF182" s="1389" t="s">
        <v>27</v>
      </c>
      <c r="AG182" s="1279" t="s">
        <v>22</v>
      </c>
      <c r="AH182" s="1389" t="s">
        <v>27</v>
      </c>
      <c r="AI182" s="1279" t="s">
        <v>22</v>
      </c>
      <c r="AJ182" s="1389" t="s">
        <v>27</v>
      </c>
      <c r="AK182" s="1279" t="s">
        <v>22</v>
      </c>
      <c r="AL182" s="1185" t="s">
        <v>27</v>
      </c>
    </row>
    <row r="183" spans="1:88" s="170" customFormat="1" ht="15" customHeight="1" x14ac:dyDescent="0.15">
      <c r="A183" s="7981" t="s">
        <v>590</v>
      </c>
      <c r="B183" s="7981"/>
      <c r="C183" s="1404" t="s">
        <v>1109</v>
      </c>
      <c r="D183" s="1390">
        <f t="shared" ref="D183:D188" si="58">SUM(E183:F183)</f>
        <v>0</v>
      </c>
      <c r="E183" s="1418">
        <f>SUM(G183+I183+K183+M183+O183+Q183+S183+U183+W183+Y183+AA183+AC183+AE183+AG183+AI183+AK183)</f>
        <v>0</v>
      </c>
      <c r="F183" s="1419">
        <f>SUM(H183+J183+L183+N183+P183+R183+T183+V183+X183+Z183+AB183+AD183+AF183+AH183+AJ183+AL183)</f>
        <v>0</v>
      </c>
      <c r="G183" s="1143"/>
      <c r="H183" s="1145"/>
      <c r="I183" s="1143"/>
      <c r="J183" s="1145"/>
      <c r="K183" s="1143"/>
      <c r="L183" s="1145"/>
      <c r="M183" s="1143"/>
      <c r="N183" s="1145"/>
      <c r="O183" s="1143"/>
      <c r="P183" s="1145"/>
      <c r="Q183" s="1143"/>
      <c r="R183" s="1145"/>
      <c r="S183" s="1143"/>
      <c r="T183" s="1145"/>
      <c r="U183" s="1143"/>
      <c r="V183" s="1145"/>
      <c r="W183" s="1143"/>
      <c r="X183" s="1145"/>
      <c r="Y183" s="1143"/>
      <c r="Z183" s="1145"/>
      <c r="AA183" s="1143"/>
      <c r="AB183" s="1145"/>
      <c r="AC183" s="1143"/>
      <c r="AD183" s="1145"/>
      <c r="AE183" s="1143"/>
      <c r="AF183" s="1145"/>
      <c r="AG183" s="1143"/>
      <c r="AH183" s="1145"/>
      <c r="AI183" s="1143"/>
      <c r="AJ183" s="1145"/>
      <c r="AK183" s="1143"/>
      <c r="AL183" s="1145"/>
    </row>
    <row r="184" spans="1:88" s="170" customFormat="1" ht="15" customHeight="1" x14ac:dyDescent="0.15">
      <c r="A184" s="7982"/>
      <c r="B184" s="7982"/>
      <c r="C184" s="1410" t="s">
        <v>1110</v>
      </c>
      <c r="D184" s="1420">
        <f t="shared" si="58"/>
        <v>0</v>
      </c>
      <c r="E184" s="1421">
        <f>SUM(G184+I184+K184+M184+O184+Q184+S184+U184+W184+Y184+AA184+AC184+AE184+AG184+AI184+AK184)</f>
        <v>0</v>
      </c>
      <c r="F184" s="1422">
        <f>SUM(H184+J184+L184+N184+P184+R184+T184+V184+X184+Z184+AB184+AD184+AF184+AH184+AJ184+AL184)</f>
        <v>0</v>
      </c>
      <c r="G184" s="64"/>
      <c r="H184" s="1172"/>
      <c r="I184" s="64"/>
      <c r="J184" s="1172"/>
      <c r="K184" s="64"/>
      <c r="L184" s="1172"/>
      <c r="M184" s="64"/>
      <c r="N184" s="1172"/>
      <c r="O184" s="64"/>
      <c r="P184" s="1172"/>
      <c r="Q184" s="64"/>
      <c r="R184" s="1172"/>
      <c r="S184" s="64"/>
      <c r="T184" s="1172"/>
      <c r="U184" s="64"/>
      <c r="V184" s="1172"/>
      <c r="W184" s="64"/>
      <c r="X184" s="1172"/>
      <c r="Y184" s="64"/>
      <c r="Z184" s="1172"/>
      <c r="AA184" s="64"/>
      <c r="AB184" s="1172"/>
      <c r="AC184" s="64"/>
      <c r="AD184" s="1172"/>
      <c r="AE184" s="64"/>
      <c r="AF184" s="1172"/>
      <c r="AG184" s="64"/>
      <c r="AH184" s="1172"/>
      <c r="AI184" s="64"/>
      <c r="AJ184" s="1172"/>
      <c r="AK184" s="64"/>
      <c r="AL184" s="1172"/>
    </row>
    <row r="185" spans="1:88" s="170" customFormat="1" ht="15" customHeight="1" x14ac:dyDescent="0.15">
      <c r="A185" s="7975" t="s">
        <v>1041</v>
      </c>
      <c r="B185" s="7975"/>
      <c r="C185" s="1404" t="s">
        <v>1109</v>
      </c>
      <c r="D185" s="1390">
        <f t="shared" si="58"/>
        <v>0</v>
      </c>
      <c r="E185" s="1418">
        <f t="shared" ref="E185:F188" si="59">SUM(G185+I185+K185+M185+O185+Q185+S185+U185+W185+Y185+AA185+AC185+AE185+AG185+AI185+AK185)</f>
        <v>0</v>
      </c>
      <c r="F185" s="1419">
        <f t="shared" si="59"/>
        <v>0</v>
      </c>
      <c r="G185" s="1143"/>
      <c r="H185" s="1145"/>
      <c r="I185" s="1143"/>
      <c r="J185" s="1145"/>
      <c r="K185" s="1143"/>
      <c r="L185" s="1145"/>
      <c r="M185" s="1143"/>
      <c r="N185" s="1145"/>
      <c r="O185" s="1143"/>
      <c r="P185" s="1145"/>
      <c r="Q185" s="1143"/>
      <c r="R185" s="1145"/>
      <c r="S185" s="1143"/>
      <c r="T185" s="1145"/>
      <c r="U185" s="1143"/>
      <c r="V185" s="1145"/>
      <c r="W185" s="1143"/>
      <c r="X185" s="1145"/>
      <c r="Y185" s="1143"/>
      <c r="Z185" s="1145"/>
      <c r="AA185" s="1143"/>
      <c r="AB185" s="1145"/>
      <c r="AC185" s="1143"/>
      <c r="AD185" s="1145"/>
      <c r="AE185" s="1143"/>
      <c r="AF185" s="1145"/>
      <c r="AG185" s="1143"/>
      <c r="AH185" s="1145"/>
      <c r="AI185" s="1143"/>
      <c r="AJ185" s="1145"/>
      <c r="AK185" s="1143"/>
      <c r="AL185" s="1145"/>
    </row>
    <row r="186" spans="1:88" s="170" customFormat="1" ht="15" customHeight="1" x14ac:dyDescent="0.15">
      <c r="A186" s="7976"/>
      <c r="B186" s="7976"/>
      <c r="C186" s="1410" t="s">
        <v>1110</v>
      </c>
      <c r="D186" s="1420">
        <f t="shared" si="58"/>
        <v>0</v>
      </c>
      <c r="E186" s="1421">
        <f t="shared" si="59"/>
        <v>0</v>
      </c>
      <c r="F186" s="1422">
        <f t="shared" si="59"/>
        <v>0</v>
      </c>
      <c r="G186" s="64"/>
      <c r="H186" s="1172"/>
      <c r="I186" s="64"/>
      <c r="J186" s="1172"/>
      <c r="K186" s="64"/>
      <c r="L186" s="1172"/>
      <c r="M186" s="64"/>
      <c r="N186" s="1172"/>
      <c r="O186" s="64"/>
      <c r="P186" s="1172"/>
      <c r="Q186" s="64"/>
      <c r="R186" s="1172"/>
      <c r="S186" s="64"/>
      <c r="T186" s="1172"/>
      <c r="U186" s="64"/>
      <c r="V186" s="1172"/>
      <c r="W186" s="64"/>
      <c r="X186" s="1172"/>
      <c r="Y186" s="64"/>
      <c r="Z186" s="1172"/>
      <c r="AA186" s="64"/>
      <c r="AB186" s="1172"/>
      <c r="AC186" s="64"/>
      <c r="AD186" s="1172"/>
      <c r="AE186" s="64"/>
      <c r="AF186" s="1172"/>
      <c r="AG186" s="64"/>
      <c r="AH186" s="1172"/>
      <c r="AI186" s="64"/>
      <c r="AJ186" s="1172"/>
      <c r="AK186" s="64"/>
      <c r="AL186" s="1172"/>
    </row>
    <row r="187" spans="1:88" s="170" customFormat="1" ht="15" customHeight="1" x14ac:dyDescent="0.15">
      <c r="A187" s="7977" t="s">
        <v>1111</v>
      </c>
      <c r="B187" s="7978"/>
      <c r="C187" s="1423" t="s">
        <v>1109</v>
      </c>
      <c r="D187" s="1424">
        <f t="shared" si="58"/>
        <v>0</v>
      </c>
      <c r="E187" s="1425">
        <f t="shared" si="59"/>
        <v>0</v>
      </c>
      <c r="F187" s="1426">
        <f t="shared" si="59"/>
        <v>0</v>
      </c>
      <c r="G187" s="661"/>
      <c r="H187" s="1191"/>
      <c r="I187" s="661"/>
      <c r="J187" s="1191"/>
      <c r="K187" s="661"/>
      <c r="L187" s="1191"/>
      <c r="M187" s="661"/>
      <c r="N187" s="1191"/>
      <c r="O187" s="661"/>
      <c r="P187" s="1191"/>
      <c r="Q187" s="661"/>
      <c r="R187" s="1191"/>
      <c r="S187" s="661"/>
      <c r="T187" s="1191"/>
      <c r="U187" s="661"/>
      <c r="V187" s="1191"/>
      <c r="W187" s="661"/>
      <c r="X187" s="1191"/>
      <c r="Y187" s="661"/>
      <c r="Z187" s="1191"/>
      <c r="AA187" s="661"/>
      <c r="AB187" s="1191"/>
      <c r="AC187" s="661"/>
      <c r="AD187" s="1191"/>
      <c r="AE187" s="661"/>
      <c r="AF187" s="1191"/>
      <c r="AG187" s="661"/>
      <c r="AH187" s="1191"/>
      <c r="AI187" s="661"/>
      <c r="AJ187" s="1191"/>
      <c r="AK187" s="661"/>
      <c r="AL187" s="1191"/>
    </row>
    <row r="188" spans="1:88" s="170" customFormat="1" ht="15" customHeight="1" x14ac:dyDescent="0.15">
      <c r="A188" s="7979"/>
      <c r="B188" s="7980"/>
      <c r="C188" s="1410" t="s">
        <v>1110</v>
      </c>
      <c r="D188" s="1420">
        <f t="shared" si="58"/>
        <v>0</v>
      </c>
      <c r="E188" s="1421">
        <f t="shared" si="59"/>
        <v>0</v>
      </c>
      <c r="F188" s="1422">
        <f t="shared" si="59"/>
        <v>0</v>
      </c>
      <c r="G188" s="64"/>
      <c r="H188" s="1172"/>
      <c r="I188" s="64"/>
      <c r="J188" s="1172"/>
      <c r="K188" s="64"/>
      <c r="L188" s="1172"/>
      <c r="M188" s="64"/>
      <c r="N188" s="1172"/>
      <c r="O188" s="64"/>
      <c r="P188" s="1172"/>
      <c r="Q188" s="64"/>
      <c r="R188" s="1172"/>
      <c r="S188" s="64"/>
      <c r="T188" s="1172"/>
      <c r="U188" s="64"/>
      <c r="V188" s="1172"/>
      <c r="W188" s="64"/>
      <c r="X188" s="1172"/>
      <c r="Y188" s="64"/>
      <c r="Z188" s="1172"/>
      <c r="AA188" s="64"/>
      <c r="AB188" s="1172"/>
      <c r="AC188" s="64"/>
      <c r="AD188" s="1172"/>
      <c r="AE188" s="64"/>
      <c r="AF188" s="1172"/>
      <c r="AG188" s="64"/>
      <c r="AH188" s="1172"/>
      <c r="AI188" s="64"/>
      <c r="AJ188" s="1172"/>
      <c r="AK188" s="64"/>
      <c r="AL188" s="1172"/>
    </row>
    <row r="189" spans="1:88" x14ac:dyDescent="0.25">
      <c r="CB189"/>
      <c r="CC189"/>
      <c r="CD189"/>
      <c r="CE189"/>
      <c r="CG189"/>
      <c r="CH189"/>
      <c r="CI189"/>
      <c r="CJ189"/>
    </row>
    <row r="190" spans="1:88" x14ac:dyDescent="0.25">
      <c r="CB190"/>
      <c r="CC190"/>
      <c r="CD190"/>
      <c r="CE190"/>
      <c r="CG190"/>
      <c r="CH190"/>
      <c r="CI190"/>
      <c r="CJ190"/>
    </row>
    <row r="191" spans="1:88" x14ac:dyDescent="0.25">
      <c r="CB191"/>
      <c r="CC191"/>
      <c r="CD191"/>
      <c r="CE191"/>
      <c r="CG191"/>
      <c r="CH191"/>
      <c r="CI191"/>
      <c r="CJ191"/>
    </row>
    <row r="192" spans="1:88" x14ac:dyDescent="0.25">
      <c r="CB192"/>
      <c r="CC192"/>
      <c r="CD192"/>
      <c r="CE192"/>
      <c r="CG192"/>
      <c r="CH192"/>
      <c r="CI192"/>
      <c r="CJ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spans="1:88" x14ac:dyDescent="0.25">
      <c r="CB209"/>
      <c r="CC209"/>
      <c r="CD209"/>
      <c r="CE209"/>
      <c r="CG209"/>
      <c r="CH209"/>
      <c r="CI209"/>
      <c r="CJ209"/>
    </row>
    <row r="210" spans="1:88" x14ac:dyDescent="0.25">
      <c r="CB210"/>
      <c r="CC210"/>
      <c r="CD210"/>
      <c r="CE210"/>
      <c r="CG210"/>
      <c r="CH210"/>
      <c r="CI210"/>
      <c r="CJ210"/>
    </row>
    <row r="211" spans="1:88" x14ac:dyDescent="0.25">
      <c r="CB211"/>
      <c r="CC211"/>
      <c r="CD211"/>
      <c r="CE211"/>
      <c r="CG211"/>
      <c r="CH211"/>
      <c r="CI211"/>
      <c r="CJ211"/>
    </row>
    <row r="212" spans="1:88" x14ac:dyDescent="0.25">
      <c r="CB212"/>
      <c r="CC212"/>
      <c r="CD212"/>
      <c r="CE212"/>
      <c r="CG212"/>
      <c r="CH212"/>
      <c r="CI212"/>
      <c r="CJ212"/>
    </row>
    <row r="213" spans="1:88" x14ac:dyDescent="0.25">
      <c r="CB213"/>
      <c r="CC213"/>
      <c r="CD213"/>
      <c r="CE213"/>
      <c r="CG213"/>
      <c r="CH213"/>
      <c r="CI213"/>
      <c r="CJ213"/>
    </row>
    <row r="214" spans="1:88" x14ac:dyDescent="0.25">
      <c r="CB214"/>
      <c r="CC214"/>
      <c r="CD214"/>
      <c r="CE214"/>
      <c r="CG214"/>
      <c r="CH214"/>
      <c r="CI214"/>
      <c r="CJ214"/>
    </row>
    <row r="215" spans="1:88" hidden="1" x14ac:dyDescent="0.25">
      <c r="A215" s="4565">
        <f>SUM(B12:D23,C28:E41,B46:D53,B58,B63:B66,B71:B73,B78:B84,C87:C90,B95:B103,B108:B110,B115:B119,B124:B130,B136:B142,C153:D153,B158:B162,C165:C170,C175:C178,D183:D188)</f>
        <v>0</v>
      </c>
      <c r="B215" s="4564">
        <f>SUM(CG12:CK188)</f>
        <v>0</v>
      </c>
      <c r="CB215"/>
      <c r="CC215"/>
      <c r="CD215"/>
      <c r="CE215"/>
      <c r="CG215"/>
      <c r="CH215"/>
      <c r="CI215"/>
      <c r="CJ215"/>
    </row>
    <row r="216" spans="1:88" x14ac:dyDescent="0.25">
      <c r="CB216"/>
      <c r="CC216"/>
      <c r="CD216"/>
      <c r="CE216"/>
      <c r="CG216"/>
      <c r="CH216"/>
      <c r="CI216"/>
      <c r="CJ216"/>
    </row>
    <row r="217" spans="1:88" x14ac:dyDescent="0.25">
      <c r="CB217"/>
      <c r="CC217"/>
      <c r="CD217"/>
      <c r="CE217"/>
      <c r="CG217"/>
      <c r="CH217"/>
      <c r="CI217"/>
      <c r="CJ217"/>
    </row>
    <row r="218" spans="1:88" x14ac:dyDescent="0.25">
      <c r="CB218"/>
      <c r="CC218"/>
      <c r="CD218"/>
      <c r="CE218"/>
      <c r="CG218"/>
      <c r="CH218"/>
      <c r="CI218"/>
      <c r="CJ218"/>
    </row>
    <row r="219" spans="1:88" x14ac:dyDescent="0.25">
      <c r="CB219"/>
      <c r="CC219"/>
      <c r="CD219"/>
      <c r="CE219"/>
      <c r="CG219"/>
      <c r="CH219"/>
      <c r="CI219"/>
      <c r="CJ219"/>
    </row>
    <row r="220" spans="1:88" x14ac:dyDescent="0.25">
      <c r="CB220"/>
      <c r="CC220"/>
      <c r="CD220"/>
      <c r="CE220"/>
      <c r="CG220"/>
      <c r="CH220"/>
      <c r="CI220"/>
      <c r="CJ220"/>
    </row>
    <row r="221" spans="1:88" x14ac:dyDescent="0.25">
      <c r="CB221"/>
      <c r="CC221"/>
      <c r="CD221"/>
      <c r="CE221"/>
      <c r="CG221"/>
      <c r="CH221"/>
      <c r="CI221"/>
      <c r="CJ221"/>
    </row>
    <row r="222" spans="1:88" x14ac:dyDescent="0.25">
      <c r="CB222"/>
      <c r="CC222"/>
      <c r="CD222"/>
      <c r="CE222"/>
      <c r="CG222"/>
      <c r="CH222"/>
      <c r="CI222"/>
      <c r="CJ222"/>
    </row>
    <row r="223" spans="1:88" x14ac:dyDescent="0.25">
      <c r="CB223"/>
      <c r="CC223"/>
      <c r="CD223"/>
      <c r="CE223"/>
      <c r="CG223"/>
      <c r="CH223"/>
      <c r="CI223"/>
      <c r="CJ223"/>
    </row>
    <row r="224" spans="1:88" x14ac:dyDescent="0.25">
      <c r="CB224"/>
      <c r="CC224"/>
      <c r="CD224"/>
      <c r="CE224"/>
      <c r="CG224"/>
      <c r="CH224"/>
      <c r="CI224"/>
      <c r="CJ224"/>
    </row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</sheetData>
  <sheetProtection algorithmName="SHA-512" hashValue="8ryGoaK+QkOX1N9n5v0kTdlFBqyx3fLN5K5zKmP4Xuy+rRsJ1XtZdY5WYDPMHE9sFob6DlW1vEYYdUvWda1sJQ==" saltValue="qPWohM26nLvfNuHI/Hycsw==" spinCount="100000" sheet="1" objects="1" scenarios="1"/>
  <mergeCells count="314">
    <mergeCell ref="A185:B186"/>
    <mergeCell ref="A187:B188"/>
    <mergeCell ref="AC181:AD181"/>
    <mergeCell ref="AE181:AF181"/>
    <mergeCell ref="AG181:AH181"/>
    <mergeCell ref="AI181:AJ181"/>
    <mergeCell ref="AK181:AL181"/>
    <mergeCell ref="A183:B184"/>
    <mergeCell ref="Q181:R181"/>
    <mergeCell ref="S181:T181"/>
    <mergeCell ref="U181:V181"/>
    <mergeCell ref="W181:X181"/>
    <mergeCell ref="Y181:Z181"/>
    <mergeCell ref="AA181:AB181"/>
    <mergeCell ref="A180:B182"/>
    <mergeCell ref="C180:C182"/>
    <mergeCell ref="D180:F181"/>
    <mergeCell ref="G180:AL180"/>
    <mergeCell ref="G181:H181"/>
    <mergeCell ref="I181:J181"/>
    <mergeCell ref="K181:L181"/>
    <mergeCell ref="M181:N181"/>
    <mergeCell ref="O181:P181"/>
    <mergeCell ref="A168:A170"/>
    <mergeCell ref="A171:C171"/>
    <mergeCell ref="A172:B174"/>
    <mergeCell ref="C172:E173"/>
    <mergeCell ref="F172:K172"/>
    <mergeCell ref="F173:G173"/>
    <mergeCell ref="H173:I173"/>
    <mergeCell ref="J173:K173"/>
    <mergeCell ref="A175:A178"/>
    <mergeCell ref="A163:C163"/>
    <mergeCell ref="A164:B164"/>
    <mergeCell ref="Q156:R156"/>
    <mergeCell ref="S156:T156"/>
    <mergeCell ref="U156:V156"/>
    <mergeCell ref="W156:X156"/>
    <mergeCell ref="Y156:Z156"/>
    <mergeCell ref="AA156:AB156"/>
    <mergeCell ref="A165:A167"/>
    <mergeCell ref="A153:B153"/>
    <mergeCell ref="A155:A157"/>
    <mergeCell ref="B155:D156"/>
    <mergeCell ref="E155:AJ155"/>
    <mergeCell ref="E156:F156"/>
    <mergeCell ref="G156:H156"/>
    <mergeCell ref="I156:J156"/>
    <mergeCell ref="K156:L156"/>
    <mergeCell ref="M156:N156"/>
    <mergeCell ref="O156:P156"/>
    <mergeCell ref="AC156:AD156"/>
    <mergeCell ref="AE156:AF156"/>
    <mergeCell ref="AG156:AH156"/>
    <mergeCell ref="AI156:AJ156"/>
    <mergeCell ref="AE134:AF134"/>
    <mergeCell ref="AG134:AH134"/>
    <mergeCell ref="AI134:AJ134"/>
    <mergeCell ref="A144:B144"/>
    <mergeCell ref="A145:A148"/>
    <mergeCell ref="A149:A152"/>
    <mergeCell ref="S134:T134"/>
    <mergeCell ref="U134:V134"/>
    <mergeCell ref="W134:X134"/>
    <mergeCell ref="Y134:Z134"/>
    <mergeCell ref="AA134:AB134"/>
    <mergeCell ref="AC134:AD134"/>
    <mergeCell ref="A133:A135"/>
    <mergeCell ref="B133:D134"/>
    <mergeCell ref="E133:AJ133"/>
    <mergeCell ref="E134:F134"/>
    <mergeCell ref="G134:H134"/>
    <mergeCell ref="I134:J134"/>
    <mergeCell ref="K134:L134"/>
    <mergeCell ref="M134:N134"/>
    <mergeCell ref="O134:P134"/>
    <mergeCell ref="Q134:R134"/>
    <mergeCell ref="Q113:R113"/>
    <mergeCell ref="S113:T113"/>
    <mergeCell ref="U113:V113"/>
    <mergeCell ref="AA122:AB122"/>
    <mergeCell ref="AC122:AD122"/>
    <mergeCell ref="AE122:AF122"/>
    <mergeCell ref="AG122:AH122"/>
    <mergeCell ref="AI122:AJ122"/>
    <mergeCell ref="A132:E132"/>
    <mergeCell ref="O122:P122"/>
    <mergeCell ref="Q122:R122"/>
    <mergeCell ref="S122:T122"/>
    <mergeCell ref="U122:V122"/>
    <mergeCell ref="W122:X122"/>
    <mergeCell ref="Y122:Z122"/>
    <mergeCell ref="A121:A123"/>
    <mergeCell ref="B121:D122"/>
    <mergeCell ref="E121:AJ121"/>
    <mergeCell ref="AC113:AD113"/>
    <mergeCell ref="AE113:AF113"/>
    <mergeCell ref="AG113:AH113"/>
    <mergeCell ref="K113:L113"/>
    <mergeCell ref="M113:N113"/>
    <mergeCell ref="O113:P113"/>
    <mergeCell ref="AK121:AK123"/>
    <mergeCell ref="E122:F122"/>
    <mergeCell ref="G122:H122"/>
    <mergeCell ref="I122:J122"/>
    <mergeCell ref="K122:L122"/>
    <mergeCell ref="M122:N122"/>
    <mergeCell ref="AG106:AH106"/>
    <mergeCell ref="AI106:AJ106"/>
    <mergeCell ref="A112:A114"/>
    <mergeCell ref="B112:D113"/>
    <mergeCell ref="E112:AJ112"/>
    <mergeCell ref="E113:F113"/>
    <mergeCell ref="G113:H113"/>
    <mergeCell ref="I113:J113"/>
    <mergeCell ref="Q106:R106"/>
    <mergeCell ref="S106:T106"/>
    <mergeCell ref="U106:V106"/>
    <mergeCell ref="W106:X106"/>
    <mergeCell ref="Y106:Z106"/>
    <mergeCell ref="AA106:AB106"/>
    <mergeCell ref="AI113:AJ113"/>
    <mergeCell ref="W113:X113"/>
    <mergeCell ref="Y113:Z113"/>
    <mergeCell ref="AA113:AB113"/>
    <mergeCell ref="K93:L93"/>
    <mergeCell ref="M93:N93"/>
    <mergeCell ref="O93:P93"/>
    <mergeCell ref="Q93:R93"/>
    <mergeCell ref="S93:T93"/>
    <mergeCell ref="U93:V93"/>
    <mergeCell ref="AI93:AJ93"/>
    <mergeCell ref="A105:A107"/>
    <mergeCell ref="B105:D106"/>
    <mergeCell ref="E105:AJ105"/>
    <mergeCell ref="E106:F106"/>
    <mergeCell ref="G106:H106"/>
    <mergeCell ref="I106:J106"/>
    <mergeCell ref="K106:L106"/>
    <mergeCell ref="M106:N106"/>
    <mergeCell ref="O106:P106"/>
    <mergeCell ref="W93:X93"/>
    <mergeCell ref="Y93:Z93"/>
    <mergeCell ref="AA93:AB93"/>
    <mergeCell ref="AC93:AD93"/>
    <mergeCell ref="AE93:AF93"/>
    <mergeCell ref="AG93:AH93"/>
    <mergeCell ref="AC106:AD106"/>
    <mergeCell ref="AE106:AF106"/>
    <mergeCell ref="A92:A94"/>
    <mergeCell ref="B92:D93"/>
    <mergeCell ref="AG76:AH76"/>
    <mergeCell ref="AI76:AJ76"/>
    <mergeCell ref="A86:B86"/>
    <mergeCell ref="U76:V76"/>
    <mergeCell ref="W76:X76"/>
    <mergeCell ref="Y76:Z76"/>
    <mergeCell ref="AA76:AB76"/>
    <mergeCell ref="AC76:AD76"/>
    <mergeCell ref="AE76:AF76"/>
    <mergeCell ref="I76:J76"/>
    <mergeCell ref="K76:L76"/>
    <mergeCell ref="M76:N76"/>
    <mergeCell ref="O76:P76"/>
    <mergeCell ref="Q76:R76"/>
    <mergeCell ref="S76:T76"/>
    <mergeCell ref="E92:AJ92"/>
    <mergeCell ref="E93:F93"/>
    <mergeCell ref="G93:H93"/>
    <mergeCell ref="I93:J93"/>
    <mergeCell ref="A75:A77"/>
    <mergeCell ref="B75:D76"/>
    <mergeCell ref="E75:AJ75"/>
    <mergeCell ref="E76:F76"/>
    <mergeCell ref="G76:H76"/>
    <mergeCell ref="A87:B87"/>
    <mergeCell ref="A88:B88"/>
    <mergeCell ref="A89:B89"/>
    <mergeCell ref="A90:B90"/>
    <mergeCell ref="AK68:AK70"/>
    <mergeCell ref="AL68:AL70"/>
    <mergeCell ref="E69:F69"/>
    <mergeCell ref="G69:H69"/>
    <mergeCell ref="I69:J69"/>
    <mergeCell ref="K69:L69"/>
    <mergeCell ref="M69:N69"/>
    <mergeCell ref="O69:P69"/>
    <mergeCell ref="Q69:R69"/>
    <mergeCell ref="S69:T69"/>
    <mergeCell ref="AA69:AB69"/>
    <mergeCell ref="AC69:AD69"/>
    <mergeCell ref="AE69:AF69"/>
    <mergeCell ref="AG69:AH69"/>
    <mergeCell ref="AI69:AJ69"/>
    <mergeCell ref="A68:A70"/>
    <mergeCell ref="B68:D69"/>
    <mergeCell ref="E68:AJ68"/>
    <mergeCell ref="U69:V69"/>
    <mergeCell ref="W69:X69"/>
    <mergeCell ref="Y69:Z69"/>
    <mergeCell ref="Q61:R61"/>
    <mergeCell ref="S61:T61"/>
    <mergeCell ref="U61:V61"/>
    <mergeCell ref="W61:X61"/>
    <mergeCell ref="Y61:Z61"/>
    <mergeCell ref="AA61:AB61"/>
    <mergeCell ref="AK60:AK62"/>
    <mergeCell ref="E61:F61"/>
    <mergeCell ref="G61:H61"/>
    <mergeCell ref="I61:J61"/>
    <mergeCell ref="K61:L61"/>
    <mergeCell ref="M61:N61"/>
    <mergeCell ref="O61:P61"/>
    <mergeCell ref="AC61:AD61"/>
    <mergeCell ref="AE61:AF61"/>
    <mergeCell ref="AG61:AH61"/>
    <mergeCell ref="AI61:AJ61"/>
    <mergeCell ref="O56:P56"/>
    <mergeCell ref="Q56:R56"/>
    <mergeCell ref="S56:T56"/>
    <mergeCell ref="U56:V56"/>
    <mergeCell ref="W56:X56"/>
    <mergeCell ref="A60:A62"/>
    <mergeCell ref="B60:D61"/>
    <mergeCell ref="E60:AJ60"/>
    <mergeCell ref="A55:A57"/>
    <mergeCell ref="B55:D56"/>
    <mergeCell ref="E55:AJ55"/>
    <mergeCell ref="AK55:AK57"/>
    <mergeCell ref="E56:F56"/>
    <mergeCell ref="G56:H56"/>
    <mergeCell ref="I56:J56"/>
    <mergeCell ref="K56:L56"/>
    <mergeCell ref="Y44:Z44"/>
    <mergeCell ref="AA44:AB44"/>
    <mergeCell ref="AC44:AD44"/>
    <mergeCell ref="AE44:AF44"/>
    <mergeCell ref="AG44:AH44"/>
    <mergeCell ref="AI44:AJ44"/>
    <mergeCell ref="M44:N44"/>
    <mergeCell ref="O44:P44"/>
    <mergeCell ref="Q44:R44"/>
    <mergeCell ref="S44:T44"/>
    <mergeCell ref="U44:V44"/>
    <mergeCell ref="W44:X44"/>
    <mergeCell ref="Y56:Z56"/>
    <mergeCell ref="AA56:AB56"/>
    <mergeCell ref="AC56:AD56"/>
    <mergeCell ref="AE56:AF56"/>
    <mergeCell ref="AG56:AH56"/>
    <mergeCell ref="AI56:AJ56"/>
    <mergeCell ref="M56:N56"/>
    <mergeCell ref="A40:B40"/>
    <mergeCell ref="A41:B41"/>
    <mergeCell ref="A43:A45"/>
    <mergeCell ref="B43:D44"/>
    <mergeCell ref="E43:AJ43"/>
    <mergeCell ref="AK43:AL44"/>
    <mergeCell ref="E44:F44"/>
    <mergeCell ref="G44:H44"/>
    <mergeCell ref="I44:J44"/>
    <mergeCell ref="K44:L44"/>
    <mergeCell ref="A31:A33"/>
    <mergeCell ref="A34:A35"/>
    <mergeCell ref="A36:B36"/>
    <mergeCell ref="A37:B37"/>
    <mergeCell ref="A38:B38"/>
    <mergeCell ref="A39:B39"/>
    <mergeCell ref="AB26:AC26"/>
    <mergeCell ref="AD26:AE26"/>
    <mergeCell ref="AF26:AG26"/>
    <mergeCell ref="A28:A30"/>
    <mergeCell ref="A25:B27"/>
    <mergeCell ref="C25:E26"/>
    <mergeCell ref="AL25:AL27"/>
    <mergeCell ref="AM25:AM27"/>
    <mergeCell ref="AN25:AN27"/>
    <mergeCell ref="F26:G26"/>
    <mergeCell ref="H26:I26"/>
    <mergeCell ref="J26:K26"/>
    <mergeCell ref="L26:M26"/>
    <mergeCell ref="N26:O26"/>
    <mergeCell ref="P26:Q26"/>
    <mergeCell ref="R26:S26"/>
    <mergeCell ref="F25:AK25"/>
    <mergeCell ref="T26:U26"/>
    <mergeCell ref="V26:W26"/>
    <mergeCell ref="X26:Y26"/>
    <mergeCell ref="Z26:AA26"/>
    <mergeCell ref="AH26:AI26"/>
    <mergeCell ref="AJ26:AK26"/>
    <mergeCell ref="AM9:AM11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AE10:AF10"/>
    <mergeCell ref="AG10:AH10"/>
    <mergeCell ref="AI10:AJ10"/>
    <mergeCell ref="A6:V6"/>
    <mergeCell ref="A9:A11"/>
    <mergeCell ref="B9:D10"/>
    <mergeCell ref="E9:AJ9"/>
    <mergeCell ref="AK9:AK11"/>
    <mergeCell ref="AL9:AL11"/>
    <mergeCell ref="W10:X10"/>
    <mergeCell ref="Y10:Z10"/>
    <mergeCell ref="AA10:AB10"/>
    <mergeCell ref="AC10:AD10"/>
  </mergeCells>
  <dataValidations count="2">
    <dataValidation type="whole" operator="greaterThanOrEqual" allowBlank="1" showInputMessage="1" showErrorMessage="1" sqref="F28:AN40 E46:AL53 E58:AK58 E63:AK65 E71:AL72 E78:AJ83 D87:E89 E95:AJ103 E108:AJ110 E115:AJ119 E124:AK129 E136:AJ141 C145:D152 E158:AJ162 D165:G170 F175:K178 G183:AL188" xr:uid="{00000000-0002-0000-0F00-000000000000}">
      <formula1>0</formula1>
    </dataValidation>
    <dataValidation type="whole" operator="greaterThanOrEqual" allowBlank="1" showInputMessage="1" showErrorMessage="1" errorTitle="Ingrese Sólo Números" error="Ingrese Sólo Números" sqref="E12:AM22" xr:uid="{00000000-0002-0000-0F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CX160"/>
  <sheetViews>
    <sheetView showGridLines="0" zoomScaleNormal="100" workbookViewId="0"/>
  </sheetViews>
  <sheetFormatPr baseColWidth="10" defaultRowHeight="15" x14ac:dyDescent="0.25"/>
  <cols>
    <col min="1" max="1" width="53.5703125" customWidth="1"/>
    <col min="2" max="2" width="23.42578125" bestFit="1" customWidth="1"/>
    <col min="3" max="7" width="14" customWidth="1"/>
    <col min="8" max="8" width="15" customWidth="1"/>
    <col min="9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8" width="11.28515625" customWidth="1"/>
    <col min="55" max="55" width="20.28515625" bestFit="1" customWidth="1"/>
    <col min="65" max="65" width="20.28515625" bestFit="1" customWidth="1"/>
    <col min="78" max="78" width="11.42578125" customWidth="1"/>
    <col min="79" max="80" width="11.85546875" style="1134" hidden="1" customWidth="1"/>
    <col min="81" max="90" width="11.42578125" style="1134" hidden="1" customWidth="1"/>
    <col min="91" max="91" width="20.28515625" style="1134" hidden="1" customWidth="1"/>
    <col min="92" max="94" width="11.42578125" style="1134" hidden="1" customWidth="1"/>
    <col min="95" max="95" width="20.28515625" style="1134" hidden="1" customWidth="1"/>
    <col min="96" max="96" width="11.42578125" style="1134" customWidth="1"/>
    <col min="97" max="100" width="11.5703125" style="1134"/>
  </cols>
  <sheetData>
    <row r="1" spans="1:100" x14ac:dyDescent="0.25">
      <c r="A1" s="779" t="s">
        <v>3878</v>
      </c>
    </row>
    <row r="2" spans="1:100" x14ac:dyDescent="0.25">
      <c r="A2" s="779" t="str">
        <f>CONCATENATE("COMUNA: ",NOMBRE!B2," - ","( ",NOMBRE!C2,NOMBRE!D2,NOMBRE!E2,NOMBRE!F2,NOMBRE!G2," )")</f>
        <v>COMUNA:  - (  )</v>
      </c>
    </row>
    <row r="3" spans="1:100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00" x14ac:dyDescent="0.25">
      <c r="A4" s="779" t="str">
        <f>CONCATENATE("MES: ",NOMBRE!B6," - ","( ",NOMBRE!C6,NOMBRE!D6," )")</f>
        <v>MES:  - (  )</v>
      </c>
    </row>
    <row r="5" spans="1:100" x14ac:dyDescent="0.25">
      <c r="A5" s="779" t="str">
        <f>CONCATENATE("AÑO: ",NOMBRE!B7)</f>
        <v>AÑO: 2024</v>
      </c>
    </row>
    <row r="6" spans="1:100" ht="18" customHeight="1" x14ac:dyDescent="0.25">
      <c r="A6" s="6447" t="s">
        <v>2982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</row>
    <row r="8" spans="1:100" s="1134" customFormat="1" ht="18" customHeight="1" x14ac:dyDescent="0.15">
      <c r="A8" s="3847" t="s">
        <v>2983</v>
      </c>
      <c r="B8" s="564"/>
      <c r="C8" s="564"/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101"/>
      <c r="Q8" s="101"/>
      <c r="R8" s="101"/>
      <c r="S8" s="101"/>
      <c r="T8" s="101"/>
      <c r="U8" s="101"/>
      <c r="V8" s="101"/>
      <c r="W8" s="140"/>
      <c r="X8" s="140"/>
      <c r="Y8" s="140"/>
      <c r="Z8" s="140"/>
      <c r="AA8" s="140"/>
      <c r="AB8" s="140"/>
    </row>
    <row r="9" spans="1:100" ht="15" customHeight="1" x14ac:dyDescent="0.25">
      <c r="A9" s="6493" t="s">
        <v>2984</v>
      </c>
      <c r="B9" s="6469"/>
      <c r="C9" s="8085" t="s">
        <v>24</v>
      </c>
      <c r="D9" s="8087" t="s">
        <v>2985</v>
      </c>
      <c r="E9" s="8088"/>
      <c r="F9" s="8088"/>
      <c r="G9" s="8089"/>
      <c r="H9" s="6887" t="s">
        <v>2986</v>
      </c>
      <c r="I9" s="7813"/>
      <c r="J9" s="7813"/>
      <c r="K9" s="7814"/>
      <c r="L9" s="8090" t="s">
        <v>2987</v>
      </c>
      <c r="M9" s="6887" t="s">
        <v>2988</v>
      </c>
      <c r="N9" s="7813"/>
      <c r="O9" s="7813"/>
      <c r="P9" s="7813"/>
      <c r="Q9" s="7813"/>
      <c r="R9" s="7813"/>
      <c r="S9" s="8078" t="s">
        <v>2989</v>
      </c>
      <c r="T9" s="8011"/>
      <c r="U9" s="8011"/>
      <c r="V9" s="8079"/>
      <c r="W9" s="6469" t="s">
        <v>2990</v>
      </c>
      <c r="X9" s="6493" t="s">
        <v>2991</v>
      </c>
      <c r="Y9" s="6526" t="s">
        <v>2</v>
      </c>
      <c r="Z9" s="8080" t="s">
        <v>3</v>
      </c>
      <c r="AA9" s="6468" t="s">
        <v>48</v>
      </c>
      <c r="AB9" s="6469"/>
    </row>
    <row r="10" spans="1:100" ht="27.75" customHeight="1" x14ac:dyDescent="0.25">
      <c r="A10" s="6600"/>
      <c r="B10" s="6472"/>
      <c r="C10" s="6589"/>
      <c r="D10" s="8066" t="s">
        <v>2992</v>
      </c>
      <c r="E10" s="8068" t="s">
        <v>4</v>
      </c>
      <c r="F10" s="8068" t="s">
        <v>524</v>
      </c>
      <c r="G10" s="8070" t="s">
        <v>2993</v>
      </c>
      <c r="H10" s="8071" t="s">
        <v>2994</v>
      </c>
      <c r="I10" s="8073" t="s">
        <v>2995</v>
      </c>
      <c r="J10" s="8073" t="s">
        <v>2996</v>
      </c>
      <c r="K10" s="8074" t="s">
        <v>2997</v>
      </c>
      <c r="L10" s="8090"/>
      <c r="M10" s="8076" t="s">
        <v>2998</v>
      </c>
      <c r="N10" s="8083" t="s">
        <v>2999</v>
      </c>
      <c r="O10" s="8083" t="s">
        <v>3000</v>
      </c>
      <c r="P10" s="8083" t="s">
        <v>3001</v>
      </c>
      <c r="Q10" s="8083" t="s">
        <v>3002</v>
      </c>
      <c r="R10" s="8091" t="s">
        <v>3003</v>
      </c>
      <c r="S10" s="8078" t="s">
        <v>3004</v>
      </c>
      <c r="T10" s="8012"/>
      <c r="U10" s="8011" t="s">
        <v>3005</v>
      </c>
      <c r="V10" s="8079"/>
      <c r="W10" s="6472"/>
      <c r="X10" s="6600"/>
      <c r="Y10" s="6539"/>
      <c r="Z10" s="8081"/>
      <c r="AA10" s="6471"/>
      <c r="AB10" s="6472"/>
    </row>
    <row r="11" spans="1:100" ht="42" x14ac:dyDescent="0.25">
      <c r="A11" s="6601"/>
      <c r="B11" s="6602"/>
      <c r="C11" s="8086"/>
      <c r="D11" s="8067"/>
      <c r="E11" s="8069"/>
      <c r="F11" s="8069"/>
      <c r="G11" s="6566"/>
      <c r="H11" s="8072"/>
      <c r="I11" s="8069"/>
      <c r="J11" s="8069"/>
      <c r="K11" s="8075"/>
      <c r="L11" s="8090"/>
      <c r="M11" s="8077"/>
      <c r="N11" s="8084"/>
      <c r="O11" s="8084"/>
      <c r="P11" s="8084"/>
      <c r="Q11" s="8084"/>
      <c r="R11" s="8092"/>
      <c r="S11" s="3850" t="s">
        <v>3006</v>
      </c>
      <c r="T11" s="3840" t="s">
        <v>3007</v>
      </c>
      <c r="U11" s="2705" t="s">
        <v>3006</v>
      </c>
      <c r="V11" s="2706" t="s">
        <v>3007</v>
      </c>
      <c r="W11" s="6602"/>
      <c r="X11" s="6601"/>
      <c r="Y11" s="6527"/>
      <c r="Z11" s="8082"/>
      <c r="AA11" s="2705" t="s">
        <v>41</v>
      </c>
      <c r="AB11" s="3840" t="s">
        <v>42</v>
      </c>
    </row>
    <row r="12" spans="1:100" s="170" customFormat="1" ht="15" customHeight="1" x14ac:dyDescent="0.15">
      <c r="A12" s="3851" t="s">
        <v>3008</v>
      </c>
      <c r="B12" s="3852"/>
      <c r="C12" s="4556">
        <f>SUM(C13:C16)</f>
        <v>0</v>
      </c>
      <c r="D12" s="4557">
        <f t="shared" ref="D12:Z12" si="0">SUM(D13:D16)</f>
        <v>0</v>
      </c>
      <c r="E12" s="4558">
        <f t="shared" si="0"/>
        <v>0</v>
      </c>
      <c r="F12" s="4559">
        <f t="shared" si="0"/>
        <v>0</v>
      </c>
      <c r="G12" s="4560">
        <f t="shared" si="0"/>
        <v>0</v>
      </c>
      <c r="H12" s="3853">
        <f t="shared" si="0"/>
        <v>0</v>
      </c>
      <c r="I12" s="3854">
        <f t="shared" si="0"/>
        <v>0</v>
      </c>
      <c r="J12" s="3857">
        <f t="shared" si="0"/>
        <v>0</v>
      </c>
      <c r="K12" s="3858">
        <f t="shared" si="0"/>
        <v>0</v>
      </c>
      <c r="L12" s="3859">
        <f t="shared" si="0"/>
        <v>0</v>
      </c>
      <c r="M12" s="3853">
        <f t="shared" si="0"/>
        <v>0</v>
      </c>
      <c r="N12" s="3854">
        <f t="shared" si="0"/>
        <v>0</v>
      </c>
      <c r="O12" s="3857">
        <f t="shared" si="0"/>
        <v>0</v>
      </c>
      <c r="P12" s="3854">
        <f t="shared" si="0"/>
        <v>0</v>
      </c>
      <c r="Q12" s="3857">
        <f t="shared" si="0"/>
        <v>0</v>
      </c>
      <c r="R12" s="3857">
        <f t="shared" si="0"/>
        <v>0</v>
      </c>
      <c r="S12" s="3860">
        <f t="shared" si="0"/>
        <v>0</v>
      </c>
      <c r="T12" s="3856">
        <f t="shared" si="0"/>
        <v>0</v>
      </c>
      <c r="U12" s="3853">
        <f t="shared" si="0"/>
        <v>0</v>
      </c>
      <c r="V12" s="3861">
        <f t="shared" si="0"/>
        <v>0</v>
      </c>
      <c r="W12" s="3856">
        <f t="shared" si="0"/>
        <v>0</v>
      </c>
      <c r="X12" s="3862">
        <f t="shared" si="0"/>
        <v>0</v>
      </c>
      <c r="Y12" s="3863">
        <f t="shared" si="0"/>
        <v>0</v>
      </c>
      <c r="Z12" s="3864">
        <f t="shared" si="0"/>
        <v>0</v>
      </c>
      <c r="AA12" s="3855">
        <f>SUM(AA13:AA16)</f>
        <v>0</v>
      </c>
      <c r="AB12" s="6193">
        <f>SUM(AB13:AB16)</f>
        <v>0</v>
      </c>
      <c r="CA12" s="1134"/>
      <c r="CB12" s="1134"/>
      <c r="CC12" s="1134"/>
      <c r="CD12" s="1134"/>
      <c r="CE12" s="1134"/>
      <c r="CF12" s="1134"/>
      <c r="CG12" s="1134"/>
      <c r="CH12" s="1134"/>
      <c r="CI12" s="1134"/>
      <c r="CJ12" s="1134"/>
      <c r="CK12" s="1134"/>
      <c r="CL12" s="1134"/>
      <c r="CM12" s="1134"/>
      <c r="CN12" s="1134"/>
      <c r="CO12" s="1134"/>
      <c r="CP12" s="1134"/>
      <c r="CQ12" s="1134"/>
      <c r="CR12" s="1134"/>
      <c r="CS12" s="1134"/>
      <c r="CT12" s="1134"/>
      <c r="CU12" s="1134"/>
      <c r="CV12" s="1134"/>
    </row>
    <row r="13" spans="1:100" s="170" customFormat="1" ht="15" customHeight="1" x14ac:dyDescent="0.25">
      <c r="A13" s="8064" t="s">
        <v>3009</v>
      </c>
      <c r="B13" s="8065"/>
      <c r="C13" s="5610"/>
      <c r="D13" s="5418"/>
      <c r="E13" s="5475"/>
      <c r="F13" s="5475"/>
      <c r="G13" s="5422"/>
      <c r="H13" s="5418"/>
      <c r="I13" s="5419"/>
      <c r="J13" s="5419"/>
      <c r="K13" s="5422"/>
      <c r="L13" s="5464"/>
      <c r="M13" s="5419"/>
      <c r="N13" s="5419"/>
      <c r="O13" s="5419"/>
      <c r="P13" s="5419"/>
      <c r="Q13" s="5419"/>
      <c r="R13" s="5474"/>
      <c r="S13" s="5611"/>
      <c r="T13" s="5448"/>
      <c r="U13" s="5475"/>
      <c r="V13" s="5420"/>
      <c r="W13" s="5422"/>
      <c r="X13" s="5474"/>
      <c r="Y13" s="5421"/>
      <c r="Z13" s="5612"/>
      <c r="AA13" s="5475"/>
      <c r="AB13" s="6194"/>
      <c r="AC13" s="3658" t="str">
        <f>$CA13&amp;CB13&amp;CC13&amp;CD13&amp;CE13&amp;CF13</f>
        <v/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235" t="str">
        <f>IF(AND(C13&gt;0,Y13="")," * No olvide digitar la variable Pueblos originarios. Digite Cero si no tiene.",IF(Y13&gt;C13," * La variable Pueblos originarios no puede ser mayor al Total.",""))</f>
        <v/>
      </c>
      <c r="CB13" s="3235" t="str">
        <f>IF(AND(C13&gt;0,Z13="")," * No olvide digitar la variable Migrantes. Digite Cero si no tiene.",IF(Z13&gt;C13," * La variable Migrantes no puede ser mayor al Total.",""))</f>
        <v/>
      </c>
      <c r="CC13" s="3235" t="str">
        <f>IF(AND(C13&gt;0,OR(AA13=""))," * No olvide digitar la variable Trans Masculino . Digite Cero si no tiene.",IF(OR(AA13&gt;C13)," * La variable Trans Masculino no puede ser mayor al Total.",""))</f>
        <v/>
      </c>
      <c r="CD13" s="603"/>
      <c r="CE13" s="6043"/>
      <c r="CF13" s="603"/>
      <c r="CG13" s="163"/>
      <c r="CH13" s="163"/>
      <c r="CI13" s="163"/>
      <c r="CJ13" s="163"/>
      <c r="CK13" s="163"/>
      <c r="CL13" s="1793">
        <f>IF(AND(C13&gt;0,Y13=""),1,IF(Y13&gt;C13,1,0))</f>
        <v>0</v>
      </c>
      <c r="CM13" s="1793">
        <f>IF(AND(C13&gt;0,Z13=""),1,IF(Z13&gt;C13,1,0))</f>
        <v>0</v>
      </c>
      <c r="CN13" s="1793">
        <f>IF(AND(C13&gt;0,OR(AA13="")),1,IF(OR(AA13&gt;C13),1,0))</f>
        <v>0</v>
      </c>
      <c r="CO13"/>
      <c r="CP13" s="6044"/>
      <c r="CQ13" s="1134"/>
      <c r="CR13" s="1134"/>
      <c r="CS13" s="1134"/>
      <c r="CT13" s="1134"/>
      <c r="CU13" s="1134"/>
      <c r="CV13" s="1134"/>
    </row>
    <row r="14" spans="1:100" s="170" customFormat="1" ht="15" customHeight="1" x14ac:dyDescent="0.25">
      <c r="A14" s="6596" t="s">
        <v>3010</v>
      </c>
      <c r="B14" s="7297"/>
      <c r="C14" s="3329"/>
      <c r="D14" s="1089"/>
      <c r="E14" s="3232"/>
      <c r="F14" s="3232"/>
      <c r="G14" s="3166"/>
      <c r="H14" s="1089"/>
      <c r="I14" s="621"/>
      <c r="J14" s="621"/>
      <c r="K14" s="3166"/>
      <c r="L14" s="3234"/>
      <c r="M14" s="621"/>
      <c r="N14" s="621"/>
      <c r="O14" s="621"/>
      <c r="P14" s="621"/>
      <c r="Q14" s="621"/>
      <c r="R14" s="5613"/>
      <c r="S14" s="933"/>
      <c r="T14" s="630"/>
      <c r="U14" s="3232"/>
      <c r="V14" s="3233"/>
      <c r="W14" s="3166"/>
      <c r="X14" s="5613"/>
      <c r="Y14" s="622"/>
      <c r="Z14" s="628"/>
      <c r="AA14" s="3232"/>
      <c r="AB14" s="6195"/>
      <c r="AC14" s="3658" t="str">
        <f t="shared" ref="AC14:AC22" si="1">$CA14&amp;CB14&amp;CC14&amp;CD14&amp;CE14&amp;CF14</f>
        <v/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235" t="str">
        <f t="shared" ref="CA14:CA22" si="2">IF(AND(C14&gt;0,Y14="")," * No olvide digitar la variable Pueblos originarios. Digite Cero si no tiene.",IF(Y14&gt;C14," * La variable Pueblos originarios no puede ser mayor al Total.",""))</f>
        <v/>
      </c>
      <c r="CB14" s="3235" t="str">
        <f>IF(AND(C14&gt;0,Z14="")," * No olvide digitar la variable Migrantes. Digite Cero si no tiene.",IF(Z14&gt;C14," * La variable Migrantes no puede ser mayor al Total.",""))</f>
        <v/>
      </c>
      <c r="CC14" s="3235" t="str">
        <f t="shared" ref="CC14:CC22" si="3">IF(AND(C14&gt;0,OR(AA14=""))," * No olvide digitar la variable Trans Masculino . Digite Cero si no tiene.",IF(OR(AA14&gt;C14)," * La variable Trans Masculino no puede ser mayor al Total.",""))</f>
        <v/>
      </c>
      <c r="CD14" s="603"/>
      <c r="CE14" s="6043"/>
      <c r="CF14" s="603"/>
      <c r="CG14" s="163"/>
      <c r="CH14" s="163"/>
      <c r="CI14" s="163"/>
      <c r="CJ14" s="163"/>
      <c r="CK14" s="163"/>
      <c r="CL14" s="1793">
        <f t="shared" ref="CL14:CL22" si="4">IF(AND(C14&gt;0,Y14=""),1,IF(Y14&gt;C14,1,0))</f>
        <v>0</v>
      </c>
      <c r="CM14" s="1793">
        <f>IF(AND(C14&gt;0,Z14=""),1,IF(Z14&gt;C14,1,0))</f>
        <v>0</v>
      </c>
      <c r="CN14" s="1793">
        <f t="shared" ref="CN14:CN22" si="5">IF(AND(C14&gt;0,OR(AA14="")),1,IF(OR(AA14&gt;C14),1,0))</f>
        <v>0</v>
      </c>
      <c r="CO14"/>
      <c r="CP14" s="6044"/>
      <c r="CQ14" s="1134"/>
      <c r="CR14" s="1134"/>
      <c r="CS14" s="1134"/>
      <c r="CT14" s="1134"/>
      <c r="CU14" s="1134"/>
      <c r="CV14" s="1134"/>
    </row>
    <row r="15" spans="1:100" s="170" customFormat="1" ht="15" customHeight="1" x14ac:dyDescent="0.25">
      <c r="A15" s="6596" t="s">
        <v>3011</v>
      </c>
      <c r="B15" s="7297"/>
      <c r="C15" s="3329"/>
      <c r="D15" s="1089"/>
      <c r="E15" s="3232"/>
      <c r="F15" s="3232"/>
      <c r="G15" s="3166"/>
      <c r="H15" s="1089"/>
      <c r="I15" s="621"/>
      <c r="J15" s="621"/>
      <c r="K15" s="3166"/>
      <c r="L15" s="3234"/>
      <c r="M15" s="621"/>
      <c r="N15" s="621"/>
      <c r="O15" s="621"/>
      <c r="P15" s="621"/>
      <c r="Q15" s="621"/>
      <c r="R15" s="5613"/>
      <c r="S15" s="933"/>
      <c r="T15" s="630"/>
      <c r="U15" s="3232"/>
      <c r="V15" s="3233"/>
      <c r="W15" s="3166"/>
      <c r="X15" s="5613"/>
      <c r="Y15" s="622"/>
      <c r="Z15" s="628"/>
      <c r="AA15" s="3232"/>
      <c r="AB15" s="6195"/>
      <c r="AC15" s="3658" t="str">
        <f t="shared" si="1"/>
        <v/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235" t="str">
        <f t="shared" si="2"/>
        <v/>
      </c>
      <c r="CB15" s="3235" t="str">
        <f>IF(AND(C15&gt;0,Z15="")," * No olvide digitar la variable Migrantes. Digite Cero si no tiene.",IF(Z15&gt;C15," * La variable Migrantes no puede ser mayor al Total.",""))</f>
        <v/>
      </c>
      <c r="CC15" s="3235" t="str">
        <f t="shared" si="3"/>
        <v/>
      </c>
      <c r="CD15" s="603"/>
      <c r="CE15" s="6043"/>
      <c r="CF15" s="603"/>
      <c r="CG15" s="163"/>
      <c r="CH15" s="163"/>
      <c r="CI15" s="163"/>
      <c r="CJ15" s="163"/>
      <c r="CK15" s="163"/>
      <c r="CL15" s="1793">
        <f t="shared" si="4"/>
        <v>0</v>
      </c>
      <c r="CM15" s="1793">
        <f>IF(AND(C15&gt;0,Z15=""),1,IF(Z15&gt;C15,1,0))</f>
        <v>0</v>
      </c>
      <c r="CN15" s="1793">
        <f t="shared" si="5"/>
        <v>0</v>
      </c>
      <c r="CO15"/>
      <c r="CP15" s="6044"/>
      <c r="CQ15" s="1134"/>
      <c r="CR15" s="1134"/>
      <c r="CS15" s="1134"/>
      <c r="CT15" s="1134"/>
      <c r="CU15" s="1134"/>
      <c r="CV15" s="1134"/>
    </row>
    <row r="16" spans="1:100" s="170" customFormat="1" ht="15" customHeight="1" x14ac:dyDescent="0.25">
      <c r="A16" s="7300" t="s">
        <v>3012</v>
      </c>
      <c r="B16" s="8044"/>
      <c r="C16" s="118"/>
      <c r="D16" s="3112"/>
      <c r="E16" s="121"/>
      <c r="F16" s="121"/>
      <c r="G16" s="2889"/>
      <c r="H16" s="3112"/>
      <c r="I16" s="3109"/>
      <c r="J16" s="3109"/>
      <c r="K16" s="2889"/>
      <c r="L16" s="153"/>
      <c r="M16" s="3109"/>
      <c r="N16" s="3109"/>
      <c r="O16" s="3109"/>
      <c r="P16" s="3109"/>
      <c r="Q16" s="3109"/>
      <c r="R16" s="3333"/>
      <c r="S16" s="3869"/>
      <c r="T16" s="3124"/>
      <c r="U16" s="121"/>
      <c r="V16" s="774"/>
      <c r="W16" s="2889"/>
      <c r="X16" s="3333"/>
      <c r="Y16" s="3244"/>
      <c r="Z16" s="3169"/>
      <c r="AA16" s="121"/>
      <c r="AB16" s="6196"/>
      <c r="AC16" s="3658" t="str">
        <f t="shared" si="1"/>
        <v/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235" t="str">
        <f t="shared" si="2"/>
        <v/>
      </c>
      <c r="CB16" s="3235" t="str">
        <f t="shared" ref="CB16:CB22" si="6">IF(AND(C16&gt;0,Z16="")," * No olvide digitar la variable Migrantes. Digite Cero si no tiene.",IF(Z16&gt;C16," * La variable Migrantes no puede ser mayor al Total.",""))</f>
        <v/>
      </c>
      <c r="CC16" s="3235" t="str">
        <f t="shared" si="3"/>
        <v/>
      </c>
      <c r="CD16" s="603"/>
      <c r="CE16" s="6043"/>
      <c r="CF16" s="603"/>
      <c r="CG16" s="163"/>
      <c r="CH16" s="163"/>
      <c r="CI16" s="163"/>
      <c r="CJ16" s="163"/>
      <c r="CK16" s="163"/>
      <c r="CL16" s="1793">
        <f t="shared" si="4"/>
        <v>0</v>
      </c>
      <c r="CM16" s="1793">
        <f t="shared" ref="CM16:CM22" si="7">IF(AND(C16&gt;0,Z16=""),1,IF(Z16&gt;C16,1,0))</f>
        <v>0</v>
      </c>
      <c r="CN16" s="1793">
        <f t="shared" si="5"/>
        <v>0</v>
      </c>
      <c r="CO16"/>
      <c r="CP16" s="6044"/>
      <c r="CQ16" s="1134"/>
      <c r="CR16" s="1134"/>
      <c r="CS16" s="1134"/>
      <c r="CT16" s="1134"/>
      <c r="CU16" s="1134"/>
      <c r="CV16" s="1134"/>
    </row>
    <row r="17" spans="1:100" s="170" customFormat="1" ht="15" customHeight="1" x14ac:dyDescent="0.25">
      <c r="A17" s="8061" t="s">
        <v>3013</v>
      </c>
      <c r="B17" s="8062"/>
      <c r="C17" s="5610"/>
      <c r="D17" s="5418"/>
      <c r="E17" s="5475"/>
      <c r="F17" s="5475"/>
      <c r="G17" s="5422"/>
      <c r="H17" s="5418"/>
      <c r="I17" s="5419"/>
      <c r="J17" s="5419"/>
      <c r="K17" s="5422"/>
      <c r="L17" s="5464"/>
      <c r="M17" s="5419"/>
      <c r="N17" s="5419"/>
      <c r="O17" s="5419"/>
      <c r="P17" s="5419"/>
      <c r="Q17" s="5419"/>
      <c r="R17" s="5474"/>
      <c r="S17" s="5611"/>
      <c r="T17" s="5448"/>
      <c r="U17" s="5475"/>
      <c r="V17" s="5420"/>
      <c r="W17" s="5422"/>
      <c r="X17" s="5474"/>
      <c r="Y17" s="5421"/>
      <c r="Z17" s="5612"/>
      <c r="AA17" s="5475"/>
      <c r="AB17" s="6194"/>
      <c r="AC17" s="3658" t="str">
        <f t="shared" si="1"/>
        <v/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235" t="str">
        <f t="shared" si="2"/>
        <v/>
      </c>
      <c r="CB17" s="3235" t="str">
        <f t="shared" si="6"/>
        <v/>
      </c>
      <c r="CC17" s="3235" t="str">
        <f t="shared" si="3"/>
        <v/>
      </c>
      <c r="CD17" s="603"/>
      <c r="CE17" s="6043"/>
      <c r="CF17" s="603"/>
      <c r="CG17" s="163"/>
      <c r="CH17" s="163"/>
      <c r="CI17" s="163"/>
      <c r="CJ17" s="163"/>
      <c r="CK17" s="163"/>
      <c r="CL17" s="1793">
        <f t="shared" si="4"/>
        <v>0</v>
      </c>
      <c r="CM17" s="1793">
        <f t="shared" si="7"/>
        <v>0</v>
      </c>
      <c r="CN17" s="1793">
        <f t="shared" si="5"/>
        <v>0</v>
      </c>
      <c r="CO17"/>
      <c r="CP17" s="6044"/>
      <c r="CQ17" s="1134"/>
      <c r="CR17" s="1134"/>
      <c r="CS17" s="1134"/>
      <c r="CT17" s="1134"/>
      <c r="CU17" s="1134"/>
      <c r="CV17" s="1134"/>
    </row>
    <row r="18" spans="1:100" s="170" customFormat="1" ht="15" customHeight="1" x14ac:dyDescent="0.25">
      <c r="A18" s="6570" t="s">
        <v>3014</v>
      </c>
      <c r="B18" s="8063"/>
      <c r="C18" s="5615"/>
      <c r="D18" s="5616"/>
      <c r="E18" s="5617"/>
      <c r="F18" s="5617"/>
      <c r="G18" s="5618"/>
      <c r="H18" s="5616"/>
      <c r="I18" s="5619"/>
      <c r="J18" s="5619"/>
      <c r="K18" s="5618"/>
      <c r="L18" s="5620"/>
      <c r="M18" s="5619"/>
      <c r="N18" s="5619"/>
      <c r="O18" s="5619"/>
      <c r="P18" s="5619"/>
      <c r="Q18" s="5619"/>
      <c r="R18" s="5621"/>
      <c r="S18" s="5622"/>
      <c r="T18" s="4948"/>
      <c r="U18" s="5617"/>
      <c r="V18" s="5623"/>
      <c r="W18" s="5618"/>
      <c r="X18" s="5621"/>
      <c r="Y18" s="5624"/>
      <c r="Z18" s="5625"/>
      <c r="AA18" s="5617"/>
      <c r="AB18" s="5755"/>
      <c r="AC18" s="3658" t="str">
        <f t="shared" si="1"/>
        <v/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235" t="str">
        <f t="shared" si="2"/>
        <v/>
      </c>
      <c r="CB18" s="3235" t="str">
        <f t="shared" si="6"/>
        <v/>
      </c>
      <c r="CC18" s="3235" t="str">
        <f t="shared" si="3"/>
        <v/>
      </c>
      <c r="CD18" s="603"/>
      <c r="CE18" s="6043"/>
      <c r="CF18" s="603"/>
      <c r="CG18" s="163"/>
      <c r="CH18" s="163"/>
      <c r="CI18" s="163"/>
      <c r="CJ18" s="163"/>
      <c r="CK18" s="163"/>
      <c r="CL18" s="1793">
        <f t="shared" si="4"/>
        <v>0</v>
      </c>
      <c r="CM18" s="1793">
        <f t="shared" si="7"/>
        <v>0</v>
      </c>
      <c r="CN18" s="1793">
        <f t="shared" si="5"/>
        <v>0</v>
      </c>
      <c r="CO18"/>
      <c r="CP18" s="6044"/>
      <c r="CQ18" s="1134"/>
      <c r="CR18" s="1134"/>
      <c r="CS18" s="1134"/>
      <c r="CT18" s="1134"/>
      <c r="CU18" s="1134"/>
      <c r="CV18" s="1134"/>
    </row>
    <row r="19" spans="1:100" s="170" customFormat="1" ht="15" customHeight="1" x14ac:dyDescent="0.25">
      <c r="A19" s="8064" t="s">
        <v>3015</v>
      </c>
      <c r="B19" s="8065"/>
      <c r="C19" s="5610"/>
      <c r="D19" s="5418"/>
      <c r="E19" s="5419"/>
      <c r="F19" s="5419"/>
      <c r="G19" s="5448"/>
      <c r="H19" s="5627"/>
      <c r="I19" s="5628"/>
      <c r="J19" s="5628"/>
      <c r="K19" s="5629"/>
      <c r="L19" s="5550"/>
      <c r="M19" s="5628"/>
      <c r="N19" s="5628"/>
      <c r="O19" s="5628"/>
      <c r="P19" s="5628"/>
      <c r="Q19" s="5628"/>
      <c r="R19" s="5630"/>
      <c r="S19" s="5631"/>
      <c r="T19" s="5632"/>
      <c r="U19" s="5633"/>
      <c r="V19" s="5634"/>
      <c r="W19" s="5629"/>
      <c r="X19" s="5630"/>
      <c r="Y19" s="5635"/>
      <c r="Z19" s="5636"/>
      <c r="AA19" s="5633"/>
      <c r="AB19" s="6197"/>
      <c r="AC19" s="3658" t="str">
        <f t="shared" si="1"/>
        <v/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235" t="str">
        <f t="shared" si="2"/>
        <v/>
      </c>
      <c r="CB19" s="3235" t="str">
        <f t="shared" si="6"/>
        <v/>
      </c>
      <c r="CC19" s="3235" t="str">
        <f t="shared" si="3"/>
        <v/>
      </c>
      <c r="CD19" s="603"/>
      <c r="CE19" s="6043"/>
      <c r="CF19" s="603"/>
      <c r="CG19" s="163"/>
      <c r="CH19" s="163"/>
      <c r="CI19" s="163"/>
      <c r="CJ19" s="163"/>
      <c r="CK19" s="163"/>
      <c r="CL19" s="1793">
        <f t="shared" si="4"/>
        <v>0</v>
      </c>
      <c r="CM19" s="1793">
        <f t="shared" si="7"/>
        <v>0</v>
      </c>
      <c r="CN19" s="1793">
        <f t="shared" si="5"/>
        <v>0</v>
      </c>
      <c r="CO19"/>
      <c r="CP19" s="6044"/>
      <c r="CQ19" s="1134"/>
      <c r="CR19" s="1134"/>
      <c r="CS19" s="1134"/>
      <c r="CT19" s="1134"/>
      <c r="CU19" s="1134"/>
      <c r="CV19" s="1134"/>
    </row>
    <row r="20" spans="1:100" s="170" customFormat="1" ht="15" customHeight="1" x14ac:dyDescent="0.25">
      <c r="A20" s="7300" t="s">
        <v>3016</v>
      </c>
      <c r="B20" s="8044"/>
      <c r="C20" s="118"/>
      <c r="D20" s="3112"/>
      <c r="E20" s="3109"/>
      <c r="F20" s="3109"/>
      <c r="G20" s="3124"/>
      <c r="H20" s="3112"/>
      <c r="I20" s="3109"/>
      <c r="J20" s="3109"/>
      <c r="K20" s="2889"/>
      <c r="L20" s="153"/>
      <c r="M20" s="3109"/>
      <c r="N20" s="3109"/>
      <c r="O20" s="3109"/>
      <c r="P20" s="3109"/>
      <c r="Q20" s="3109"/>
      <c r="R20" s="3333"/>
      <c r="S20" s="3869"/>
      <c r="T20" s="3124"/>
      <c r="U20" s="121"/>
      <c r="V20" s="774"/>
      <c r="W20" s="2889"/>
      <c r="X20" s="3333"/>
      <c r="Y20" s="3244"/>
      <c r="Z20" s="3169"/>
      <c r="AA20" s="121"/>
      <c r="AB20" s="6196"/>
      <c r="AC20" s="3658" t="str">
        <f t="shared" si="1"/>
        <v/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235" t="str">
        <f t="shared" si="2"/>
        <v/>
      </c>
      <c r="CB20" s="3235" t="str">
        <f t="shared" si="6"/>
        <v/>
      </c>
      <c r="CC20" s="3235" t="str">
        <f t="shared" si="3"/>
        <v/>
      </c>
      <c r="CD20" s="603"/>
      <c r="CE20" s="6043"/>
      <c r="CF20" s="603"/>
      <c r="CG20" s="163"/>
      <c r="CH20" s="163"/>
      <c r="CI20" s="163"/>
      <c r="CJ20" s="163"/>
      <c r="CK20" s="163"/>
      <c r="CL20" s="1793">
        <f t="shared" si="4"/>
        <v>0</v>
      </c>
      <c r="CM20" s="1793">
        <f t="shared" si="7"/>
        <v>0</v>
      </c>
      <c r="CN20" s="1793">
        <f t="shared" si="5"/>
        <v>0</v>
      </c>
      <c r="CO20"/>
      <c r="CP20" s="6044"/>
      <c r="CQ20" s="1134"/>
      <c r="CR20" s="1134"/>
      <c r="CS20" s="1134"/>
      <c r="CT20" s="1134"/>
      <c r="CU20" s="1134"/>
      <c r="CV20" s="1134"/>
    </row>
    <row r="21" spans="1:100" s="170" customFormat="1" ht="15" customHeight="1" x14ac:dyDescent="0.25">
      <c r="A21" s="6579" t="s">
        <v>3017</v>
      </c>
      <c r="B21" s="5626" t="s">
        <v>3018</v>
      </c>
      <c r="C21" s="3454"/>
      <c r="D21" s="131"/>
      <c r="E21" s="4562"/>
      <c r="F21" s="4562"/>
      <c r="G21" s="878"/>
      <c r="H21" s="131"/>
      <c r="I21" s="5614"/>
      <c r="J21" s="5614"/>
      <c r="K21" s="878"/>
      <c r="L21" s="3867"/>
      <c r="M21" s="5614"/>
      <c r="N21" s="5614"/>
      <c r="O21" s="5614"/>
      <c r="P21" s="5614"/>
      <c r="Q21" s="5614"/>
      <c r="R21" s="1520"/>
      <c r="S21" s="5524"/>
      <c r="T21" s="5238"/>
      <c r="U21" s="4562"/>
      <c r="V21" s="3119"/>
      <c r="W21" s="878"/>
      <c r="X21" s="1520"/>
      <c r="Y21" s="877"/>
      <c r="Z21" s="3175"/>
      <c r="AA21" s="4562"/>
      <c r="AB21" s="6198"/>
      <c r="AC21" s="3658" t="str">
        <f t="shared" si="1"/>
        <v/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235" t="str">
        <f t="shared" si="2"/>
        <v/>
      </c>
      <c r="CB21" s="3235" t="str">
        <f t="shared" si="6"/>
        <v/>
      </c>
      <c r="CC21" s="3235" t="str">
        <f t="shared" si="3"/>
        <v/>
      </c>
      <c r="CD21" s="603"/>
      <c r="CE21" s="6043"/>
      <c r="CF21" s="603"/>
      <c r="CG21" s="163"/>
      <c r="CH21" s="163"/>
      <c r="CI21" s="163"/>
      <c r="CJ21" s="163"/>
      <c r="CK21" s="163"/>
      <c r="CL21" s="1793">
        <f t="shared" si="4"/>
        <v>0</v>
      </c>
      <c r="CM21" s="1793">
        <f t="shared" si="7"/>
        <v>0</v>
      </c>
      <c r="CN21" s="1793">
        <f t="shared" si="5"/>
        <v>0</v>
      </c>
      <c r="CO21"/>
      <c r="CP21" s="6044"/>
      <c r="CQ21" s="1134"/>
      <c r="CR21" s="1134"/>
      <c r="CS21" s="1134"/>
      <c r="CT21" s="1134"/>
      <c r="CU21" s="1134"/>
      <c r="CV21" s="1134"/>
    </row>
    <row r="22" spans="1:100" s="170" customFormat="1" ht="15" customHeight="1" x14ac:dyDescent="0.25">
      <c r="A22" s="8055"/>
      <c r="B22" s="2903" t="s">
        <v>3019</v>
      </c>
      <c r="C22" s="118"/>
      <c r="D22" s="118"/>
      <c r="E22" s="3109"/>
      <c r="F22" s="3109"/>
      <c r="G22" s="2889"/>
      <c r="H22" s="3112"/>
      <c r="I22" s="3109"/>
      <c r="J22" s="3109"/>
      <c r="K22" s="2889"/>
      <c r="L22" s="153"/>
      <c r="M22" s="3109"/>
      <c r="N22" s="3109"/>
      <c r="O22" s="3109"/>
      <c r="P22" s="3109"/>
      <c r="Q22" s="3109"/>
      <c r="R22" s="3333"/>
      <c r="S22" s="3869"/>
      <c r="T22" s="3124"/>
      <c r="U22" s="121"/>
      <c r="V22" s="774"/>
      <c r="W22" s="2889"/>
      <c r="X22" s="3333"/>
      <c r="Y22" s="3244"/>
      <c r="Z22" s="3169"/>
      <c r="AA22" s="121"/>
      <c r="AB22" s="6196"/>
      <c r="AC22" s="3658" t="str">
        <f t="shared" si="1"/>
        <v/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235" t="str">
        <f t="shared" si="2"/>
        <v/>
      </c>
      <c r="CB22" s="3235" t="str">
        <f t="shared" si="6"/>
        <v/>
      </c>
      <c r="CC22" s="3235" t="str">
        <f t="shared" si="3"/>
        <v/>
      </c>
      <c r="CD22" s="603"/>
      <c r="CE22" s="6043"/>
      <c r="CF22" s="603"/>
      <c r="CG22" s="163"/>
      <c r="CH22" s="163"/>
      <c r="CI22" s="163"/>
      <c r="CJ22" s="163"/>
      <c r="CK22" s="163"/>
      <c r="CL22" s="1793">
        <f t="shared" si="4"/>
        <v>0</v>
      </c>
      <c r="CM22" s="1793">
        <f t="shared" si="7"/>
        <v>0</v>
      </c>
      <c r="CN22" s="1793">
        <f t="shared" si="5"/>
        <v>0</v>
      </c>
      <c r="CO22"/>
      <c r="CP22" s="6044"/>
      <c r="CQ22" s="1134"/>
      <c r="CR22" s="1134"/>
      <c r="CS22" s="1134"/>
      <c r="CT22" s="1134"/>
      <c r="CU22" s="1134"/>
      <c r="CV22" s="1134"/>
    </row>
    <row r="23" spans="1:100" s="1134" customFormat="1" ht="18" customHeight="1" x14ac:dyDescent="0.15">
      <c r="A23" s="564" t="s">
        <v>3020</v>
      </c>
      <c r="B23" s="564"/>
      <c r="C23" s="3870"/>
      <c r="D23" s="3871"/>
      <c r="E23" s="3871"/>
      <c r="F23" s="3872"/>
    </row>
    <row r="24" spans="1:100" s="170" customFormat="1" ht="21" x14ac:dyDescent="0.15">
      <c r="A24" s="6891" t="s">
        <v>3021</v>
      </c>
      <c r="B24" s="8058"/>
      <c r="C24" s="3873" t="s">
        <v>24</v>
      </c>
      <c r="D24" s="3874" t="s">
        <v>3022</v>
      </c>
      <c r="E24" s="3874" t="s">
        <v>3730</v>
      </c>
      <c r="F24" s="3874" t="s">
        <v>3023</v>
      </c>
      <c r="CA24" s="1134"/>
      <c r="CB24" s="1134"/>
      <c r="CC24" s="1134"/>
      <c r="CD24" s="1134"/>
      <c r="CE24" s="1134"/>
      <c r="CF24" s="1134"/>
      <c r="CG24" s="1134"/>
      <c r="CH24" s="1134"/>
      <c r="CI24" s="1134"/>
      <c r="CJ24" s="1134"/>
      <c r="CK24" s="1134"/>
      <c r="CL24" s="1134"/>
      <c r="CM24" s="1134"/>
      <c r="CN24" s="1134"/>
      <c r="CO24" s="1134"/>
      <c r="CP24" s="1134"/>
      <c r="CQ24" s="1134"/>
      <c r="CR24" s="1134"/>
      <c r="CS24" s="1134"/>
      <c r="CT24" s="1134"/>
      <c r="CU24" s="1134"/>
      <c r="CV24" s="1134"/>
    </row>
    <row r="25" spans="1:100" s="170" customFormat="1" ht="15" customHeight="1" x14ac:dyDescent="0.15">
      <c r="A25" s="8059" t="s">
        <v>3024</v>
      </c>
      <c r="B25" s="8060"/>
      <c r="C25" s="3875">
        <f t="shared" ref="C25:C35" si="8">SUM(D25:F25)</f>
        <v>0</v>
      </c>
      <c r="D25" s="3876"/>
      <c r="E25" s="3876"/>
      <c r="F25" s="3876"/>
      <c r="CA25" s="1134"/>
      <c r="CB25" s="1134"/>
      <c r="CC25" s="1134"/>
      <c r="CD25" s="1134"/>
      <c r="CE25" s="1134"/>
      <c r="CF25" s="1134"/>
      <c r="CG25" s="1134"/>
      <c r="CH25" s="1134"/>
      <c r="CI25" s="1134"/>
      <c r="CJ25" s="1134"/>
      <c r="CK25" s="1134"/>
      <c r="CL25" s="1134"/>
      <c r="CM25" s="1134"/>
      <c r="CN25" s="1134"/>
      <c r="CO25" s="1134"/>
      <c r="CP25" s="1134"/>
      <c r="CQ25" s="1134"/>
      <c r="CR25" s="1134"/>
      <c r="CS25" s="1134"/>
      <c r="CT25" s="1134"/>
      <c r="CU25" s="1134"/>
      <c r="CV25" s="1134"/>
    </row>
    <row r="26" spans="1:100" s="170" customFormat="1" ht="15" customHeight="1" x14ac:dyDescent="0.15">
      <c r="A26" s="8051" t="s">
        <v>3025</v>
      </c>
      <c r="B26" s="3877" t="s">
        <v>3026</v>
      </c>
      <c r="C26" s="3878">
        <f t="shared" si="8"/>
        <v>0</v>
      </c>
      <c r="D26" s="3879"/>
      <c r="E26" s="3879"/>
      <c r="F26" s="3879"/>
      <c r="CA26" s="1134"/>
      <c r="CB26" s="1134"/>
      <c r="CC26" s="1134"/>
      <c r="CD26" s="1134"/>
      <c r="CE26" s="1134"/>
      <c r="CF26" s="1134"/>
      <c r="CG26" s="1134"/>
      <c r="CH26" s="1134"/>
      <c r="CI26" s="1134"/>
      <c r="CJ26" s="1134"/>
      <c r="CK26" s="1134"/>
      <c r="CL26" s="1134"/>
      <c r="CM26" s="1134"/>
      <c r="CN26" s="1134"/>
      <c r="CO26" s="1134"/>
      <c r="CP26" s="1134"/>
      <c r="CQ26" s="1134"/>
      <c r="CR26" s="1134"/>
      <c r="CS26" s="1134"/>
      <c r="CT26" s="1134"/>
      <c r="CU26" s="1134"/>
      <c r="CV26" s="1134"/>
    </row>
    <row r="27" spans="1:100" s="170" customFormat="1" ht="15" customHeight="1" x14ac:dyDescent="0.15">
      <c r="A27" s="8053"/>
      <c r="B27" s="3880" t="s">
        <v>3027</v>
      </c>
      <c r="C27" s="150">
        <f t="shared" si="8"/>
        <v>0</v>
      </c>
      <c r="D27" s="3881"/>
      <c r="E27" s="3881"/>
      <c r="F27" s="3881"/>
      <c r="CA27" s="1134"/>
      <c r="CB27" s="1134"/>
      <c r="CC27" s="1134"/>
      <c r="CD27" s="1134"/>
      <c r="CE27" s="1134"/>
      <c r="CF27" s="1134"/>
      <c r="CG27" s="1134"/>
      <c r="CH27" s="1134"/>
      <c r="CI27" s="1134"/>
      <c r="CJ27" s="1134"/>
      <c r="CK27" s="1134"/>
      <c r="CL27" s="1134"/>
      <c r="CM27" s="1134"/>
      <c r="CN27" s="1134"/>
      <c r="CO27" s="1134"/>
      <c r="CP27" s="1134"/>
      <c r="CQ27" s="1134"/>
      <c r="CR27" s="1134"/>
      <c r="CS27" s="1134"/>
      <c r="CT27" s="1134"/>
      <c r="CU27" s="1134"/>
      <c r="CV27" s="1134"/>
    </row>
    <row r="28" spans="1:100" s="170" customFormat="1" ht="15" customHeight="1" x14ac:dyDescent="0.15">
      <c r="A28" s="8027" t="s">
        <v>3028</v>
      </c>
      <c r="B28" s="8028"/>
      <c r="C28" s="3878">
        <f t="shared" si="8"/>
        <v>0</v>
      </c>
      <c r="D28" s="3879"/>
      <c r="E28" s="3879"/>
      <c r="F28" s="3879"/>
      <c r="CA28" s="1134"/>
      <c r="CB28" s="1134"/>
      <c r="CC28" s="1134"/>
      <c r="CD28" s="1134"/>
      <c r="CE28" s="1134"/>
      <c r="CF28" s="1134"/>
      <c r="CG28" s="1134"/>
      <c r="CH28" s="1134"/>
      <c r="CI28" s="1134"/>
      <c r="CJ28" s="1134"/>
      <c r="CK28" s="1134"/>
      <c r="CL28" s="1134"/>
      <c r="CM28" s="1134"/>
      <c r="CN28" s="1134"/>
      <c r="CO28" s="1134"/>
      <c r="CP28" s="1134"/>
      <c r="CQ28" s="1134"/>
      <c r="CR28" s="1134"/>
      <c r="CS28" s="1134"/>
      <c r="CT28" s="1134"/>
      <c r="CU28" s="1134"/>
      <c r="CV28" s="1134"/>
    </row>
    <row r="29" spans="1:100" s="170" customFormat="1" ht="15" customHeight="1" x14ac:dyDescent="0.15">
      <c r="A29" s="6596" t="s">
        <v>3029</v>
      </c>
      <c r="B29" s="7297"/>
      <c r="C29" s="3135">
        <f t="shared" si="8"/>
        <v>0</v>
      </c>
      <c r="D29" s="3882"/>
      <c r="E29" s="3882"/>
      <c r="F29" s="3882"/>
      <c r="CA29" s="1134"/>
      <c r="CB29" s="1134"/>
      <c r="CC29" s="1134"/>
      <c r="CD29" s="1134"/>
      <c r="CE29" s="1134"/>
      <c r="CF29" s="1134"/>
      <c r="CG29" s="1134"/>
      <c r="CH29" s="1134"/>
      <c r="CI29" s="1134"/>
      <c r="CJ29" s="1134"/>
      <c r="CK29" s="1134"/>
      <c r="CL29" s="1134"/>
      <c r="CM29" s="1134"/>
      <c r="CN29" s="1134"/>
      <c r="CO29" s="1134"/>
      <c r="CP29" s="1134"/>
      <c r="CQ29" s="1134"/>
      <c r="CR29" s="1134"/>
      <c r="CS29" s="1134"/>
      <c r="CT29" s="1134"/>
      <c r="CU29" s="1134"/>
      <c r="CV29" s="1134"/>
    </row>
    <row r="30" spans="1:100" s="170" customFormat="1" ht="15" customHeight="1" x14ac:dyDescent="0.15">
      <c r="A30" s="7300" t="s">
        <v>3030</v>
      </c>
      <c r="B30" s="8044"/>
      <c r="C30" s="150">
        <f t="shared" si="8"/>
        <v>0</v>
      </c>
      <c r="D30" s="3881"/>
      <c r="E30" s="3881"/>
      <c r="F30" s="3881"/>
      <c r="CA30" s="1134"/>
      <c r="CB30" s="1134"/>
      <c r="CC30" s="1134"/>
      <c r="CD30" s="1134"/>
      <c r="CE30" s="1134"/>
      <c r="CF30" s="1134"/>
      <c r="CG30" s="1134"/>
      <c r="CH30" s="1134"/>
      <c r="CI30" s="1134"/>
      <c r="CJ30" s="1134"/>
      <c r="CK30" s="1134"/>
      <c r="CL30" s="1134"/>
      <c r="CM30" s="1134"/>
      <c r="CN30" s="1134"/>
      <c r="CO30" s="1134"/>
      <c r="CP30" s="1134"/>
      <c r="CQ30" s="1134"/>
      <c r="CR30" s="1134"/>
      <c r="CS30" s="1134"/>
      <c r="CT30" s="1134"/>
      <c r="CU30" s="1134"/>
      <c r="CV30" s="1134"/>
    </row>
    <row r="31" spans="1:100" s="170" customFormat="1" ht="15" customHeight="1" x14ac:dyDescent="0.15">
      <c r="A31" s="6488" t="s">
        <v>3031</v>
      </c>
      <c r="B31" s="3883" t="s">
        <v>3032</v>
      </c>
      <c r="C31" s="3878">
        <f t="shared" si="8"/>
        <v>0</v>
      </c>
      <c r="D31" s="3879"/>
      <c r="E31" s="3879"/>
      <c r="F31" s="3879"/>
      <c r="CA31" s="1134"/>
      <c r="CB31" s="1134"/>
      <c r="CC31" s="1134"/>
      <c r="CD31" s="1134"/>
      <c r="CE31" s="1134"/>
      <c r="CF31" s="1134"/>
      <c r="CG31" s="1134"/>
      <c r="CH31" s="1134"/>
      <c r="CI31" s="1134"/>
      <c r="CJ31" s="1134"/>
      <c r="CK31" s="1134"/>
      <c r="CL31" s="1134"/>
      <c r="CM31" s="1134"/>
      <c r="CN31" s="1134"/>
      <c r="CO31" s="1134"/>
      <c r="CP31" s="1134"/>
      <c r="CQ31" s="1134"/>
      <c r="CR31" s="1134"/>
      <c r="CS31" s="1134"/>
      <c r="CT31" s="1134"/>
      <c r="CU31" s="1134"/>
      <c r="CV31" s="1134"/>
    </row>
    <row r="32" spans="1:100" s="170" customFormat="1" ht="15" customHeight="1" x14ac:dyDescent="0.15">
      <c r="A32" s="8055"/>
      <c r="B32" s="3471" t="s">
        <v>3033</v>
      </c>
      <c r="C32" s="150">
        <f t="shared" si="8"/>
        <v>0</v>
      </c>
      <c r="D32" s="3881"/>
      <c r="E32" s="3881"/>
      <c r="F32" s="3881"/>
      <c r="CA32" s="1134"/>
      <c r="CB32" s="1134"/>
      <c r="CC32" s="1134"/>
      <c r="CD32" s="1134"/>
      <c r="CE32" s="1134"/>
      <c r="CF32" s="1134"/>
      <c r="CG32" s="1134"/>
      <c r="CH32" s="1134"/>
      <c r="CI32" s="1134"/>
      <c r="CJ32" s="1134"/>
      <c r="CK32" s="1134"/>
      <c r="CL32" s="1134"/>
      <c r="CM32" s="1134"/>
      <c r="CN32" s="1134"/>
      <c r="CO32" s="1134"/>
      <c r="CP32" s="1134"/>
      <c r="CQ32" s="1134"/>
      <c r="CR32" s="1134"/>
      <c r="CS32" s="1134"/>
      <c r="CT32" s="1134"/>
      <c r="CU32" s="1134"/>
      <c r="CV32" s="1134"/>
    </row>
    <row r="33" spans="1:100" s="170" customFormat="1" ht="15" customHeight="1" x14ac:dyDescent="0.15">
      <c r="A33" s="8056" t="s">
        <v>3034</v>
      </c>
      <c r="B33" s="8057"/>
      <c r="C33" s="3884">
        <f t="shared" si="8"/>
        <v>0</v>
      </c>
      <c r="D33" s="3876"/>
      <c r="E33" s="3876"/>
      <c r="F33" s="3876"/>
      <c r="CA33" s="1134"/>
      <c r="CB33" s="1134"/>
      <c r="CC33" s="1134"/>
      <c r="CD33" s="1134"/>
      <c r="CE33" s="1134"/>
      <c r="CF33" s="1134"/>
      <c r="CG33" s="1134"/>
      <c r="CH33" s="1134"/>
      <c r="CI33" s="1134"/>
      <c r="CJ33" s="1134"/>
      <c r="CK33" s="1134"/>
      <c r="CL33" s="1134"/>
      <c r="CM33" s="1134"/>
      <c r="CN33" s="1134"/>
      <c r="CO33" s="1134"/>
      <c r="CP33" s="1134"/>
      <c r="CQ33" s="1134"/>
      <c r="CR33" s="1134"/>
      <c r="CS33" s="1134"/>
      <c r="CT33" s="1134"/>
      <c r="CU33" s="1134"/>
      <c r="CV33" s="1134"/>
    </row>
    <row r="34" spans="1:100" s="170" customFormat="1" ht="15" customHeight="1" x14ac:dyDescent="0.15">
      <c r="A34" s="6488" t="s">
        <v>3035</v>
      </c>
      <c r="B34" s="3885" t="s">
        <v>3036</v>
      </c>
      <c r="C34" s="1760">
        <f t="shared" si="8"/>
        <v>0</v>
      </c>
      <c r="D34" s="3879"/>
      <c r="E34" s="3879"/>
      <c r="F34" s="3879"/>
      <c r="CA34" s="1134"/>
      <c r="CB34" s="1134"/>
      <c r="CC34" s="1134"/>
      <c r="CD34" s="1134"/>
      <c r="CE34" s="1134"/>
      <c r="CF34" s="1134"/>
      <c r="CG34" s="1134"/>
      <c r="CH34" s="1134"/>
      <c r="CI34" s="1134"/>
      <c r="CJ34" s="1134"/>
      <c r="CK34" s="1134"/>
      <c r="CL34" s="1134"/>
      <c r="CM34" s="1134"/>
      <c r="CN34" s="1134"/>
      <c r="CO34" s="1134"/>
      <c r="CP34" s="1134"/>
      <c r="CQ34" s="1134"/>
      <c r="CR34" s="1134"/>
      <c r="CS34" s="1134"/>
      <c r="CT34" s="1134"/>
      <c r="CU34" s="1134"/>
      <c r="CV34" s="1134"/>
    </row>
    <row r="35" spans="1:100" s="170" customFormat="1" ht="15" customHeight="1" x14ac:dyDescent="0.15">
      <c r="A35" s="8055"/>
      <c r="B35" s="3880" t="s">
        <v>3037</v>
      </c>
      <c r="C35" s="150">
        <f t="shared" si="8"/>
        <v>0</v>
      </c>
      <c r="D35" s="3881"/>
      <c r="E35" s="3881"/>
      <c r="F35" s="3881"/>
      <c r="CA35" s="1134"/>
      <c r="CB35" s="1134"/>
      <c r="CC35" s="1134"/>
      <c r="CD35" s="1134"/>
      <c r="CE35" s="1134"/>
      <c r="CF35" s="1134"/>
      <c r="CG35" s="1134"/>
      <c r="CH35" s="1134"/>
      <c r="CI35" s="1134"/>
      <c r="CJ35" s="1134"/>
      <c r="CK35" s="1134"/>
      <c r="CL35" s="1134"/>
      <c r="CM35" s="1134"/>
      <c r="CN35" s="1134"/>
      <c r="CO35" s="1134"/>
      <c r="CP35" s="1134"/>
      <c r="CQ35" s="1134"/>
      <c r="CR35" s="1134"/>
      <c r="CS35" s="1134"/>
      <c r="CT35" s="1134"/>
      <c r="CU35" s="1134"/>
      <c r="CV35" s="1134"/>
    </row>
    <row r="36" spans="1:100" s="1434" customFormat="1" ht="15" customHeight="1" x14ac:dyDescent="0.2">
      <c r="A36" s="1912" t="s">
        <v>3038</v>
      </c>
      <c r="CA36" s="1134"/>
      <c r="CB36" s="1134"/>
      <c r="CC36" s="1134"/>
      <c r="CD36" s="1134"/>
      <c r="CE36" s="1134"/>
      <c r="CF36" s="1134"/>
      <c r="CG36" s="1134"/>
      <c r="CH36" s="1134"/>
      <c r="CI36" s="1134"/>
      <c r="CJ36" s="1134"/>
      <c r="CK36" s="1134"/>
      <c r="CL36" s="1134"/>
      <c r="CM36" s="1134"/>
      <c r="CN36" s="1134"/>
      <c r="CO36" s="1134"/>
      <c r="CP36" s="1134"/>
      <c r="CQ36" s="1134"/>
      <c r="CR36" s="1134"/>
      <c r="CS36" s="1134"/>
      <c r="CT36" s="1134"/>
      <c r="CU36" s="1134"/>
      <c r="CV36" s="1134"/>
    </row>
    <row r="37" spans="1:100" s="1134" customFormat="1" ht="18" customHeight="1" x14ac:dyDescent="0.15">
      <c r="A37" s="783" t="s">
        <v>3039</v>
      </c>
      <c r="B37" s="3886"/>
      <c r="C37" s="3887"/>
      <c r="D37" s="3888"/>
    </row>
    <row r="38" spans="1:100" x14ac:dyDescent="0.25">
      <c r="A38" s="8049" t="s">
        <v>3040</v>
      </c>
      <c r="B38" s="8050"/>
      <c r="C38" s="3889" t="s">
        <v>3041</v>
      </c>
      <c r="D38" s="3889" t="s">
        <v>221</v>
      </c>
    </row>
    <row r="39" spans="1:100" ht="15" customHeight="1" x14ac:dyDescent="0.25">
      <c r="A39" s="8045" t="s">
        <v>3042</v>
      </c>
      <c r="B39" s="8046"/>
      <c r="C39" s="3890"/>
      <c r="D39" s="3890"/>
    </row>
    <row r="40" spans="1:100" ht="15" customHeight="1" x14ac:dyDescent="0.25">
      <c r="A40" s="7999" t="s">
        <v>3043</v>
      </c>
      <c r="B40" s="3891" t="s">
        <v>3044</v>
      </c>
      <c r="C40" s="590"/>
      <c r="D40" s="590"/>
    </row>
    <row r="41" spans="1:100" ht="15" customHeight="1" x14ac:dyDescent="0.25">
      <c r="A41" s="8054"/>
      <c r="B41" s="900" t="s">
        <v>3045</v>
      </c>
      <c r="C41" s="3124"/>
      <c r="D41" s="3124"/>
    </row>
    <row r="42" spans="1:100" ht="24.95" customHeight="1" x14ac:dyDescent="0.25">
      <c r="A42" s="8045" t="s">
        <v>3046</v>
      </c>
      <c r="B42" s="8046"/>
      <c r="C42" s="3890"/>
      <c r="D42" s="3890"/>
    </row>
    <row r="43" spans="1:100" ht="24.95" customHeight="1" x14ac:dyDescent="0.25">
      <c r="A43" s="8045" t="s">
        <v>3047</v>
      </c>
      <c r="B43" s="8046"/>
      <c r="C43" s="3893"/>
      <c r="D43" s="3013"/>
    </row>
    <row r="44" spans="1:100" ht="15" customHeight="1" x14ac:dyDescent="0.25">
      <c r="A44" s="7999" t="s">
        <v>3048</v>
      </c>
      <c r="B44" s="3894" t="s">
        <v>3049</v>
      </c>
      <c r="C44" s="590"/>
      <c r="D44" s="590"/>
    </row>
    <row r="45" spans="1:100" ht="21" x14ac:dyDescent="0.25">
      <c r="A45" s="8054"/>
      <c r="B45" s="3892" t="s">
        <v>3050</v>
      </c>
      <c r="C45" s="153"/>
      <c r="D45" s="3124"/>
    </row>
    <row r="46" spans="1:100" ht="24.95" customHeight="1" x14ac:dyDescent="0.25">
      <c r="A46" s="8045" t="s">
        <v>3051</v>
      </c>
      <c r="B46" s="8046"/>
      <c r="C46" s="3890"/>
      <c r="D46" s="3890"/>
    </row>
    <row r="47" spans="1:100" ht="15" customHeight="1" x14ac:dyDescent="0.25">
      <c r="A47" s="8045" t="s">
        <v>3052</v>
      </c>
      <c r="B47" s="8046"/>
      <c r="C47" s="3890"/>
      <c r="D47" s="3890"/>
    </row>
    <row r="48" spans="1:100" ht="24.95" customHeight="1" x14ac:dyDescent="0.25">
      <c r="A48" s="8045" t="s">
        <v>3053</v>
      </c>
      <c r="B48" s="8046"/>
      <c r="C48" s="3890"/>
      <c r="D48" s="3890"/>
    </row>
    <row r="49" spans="1:4" ht="24.95" customHeight="1" x14ac:dyDescent="0.25">
      <c r="A49" s="8045" t="s">
        <v>3054</v>
      </c>
      <c r="B49" s="8046"/>
      <c r="C49" s="3890"/>
      <c r="D49" s="3890"/>
    </row>
    <row r="50" spans="1:4" ht="24.75" customHeight="1" x14ac:dyDescent="0.25">
      <c r="A50" s="8047" t="s">
        <v>3055</v>
      </c>
      <c r="B50" s="8048"/>
      <c r="C50" s="5810"/>
      <c r="D50" s="5810"/>
    </row>
    <row r="51" spans="1:4" ht="15" customHeight="1" x14ac:dyDescent="0.25">
      <c r="A51" s="8032" t="s">
        <v>3056</v>
      </c>
      <c r="B51" s="8032"/>
      <c r="C51" s="3893"/>
      <c r="D51" s="3013"/>
    </row>
    <row r="52" spans="1:4" s="1134" customFormat="1" ht="18" customHeight="1" x14ac:dyDescent="0.15">
      <c r="A52" s="783" t="s">
        <v>3057</v>
      </c>
      <c r="B52" s="3886"/>
      <c r="C52" s="3887"/>
      <c r="D52" s="3888"/>
    </row>
    <row r="53" spans="1:4" ht="24.95" customHeight="1" x14ac:dyDescent="0.25">
      <c r="A53" s="8049" t="s">
        <v>3058</v>
      </c>
      <c r="B53" s="8050"/>
      <c r="C53" s="3889" t="s">
        <v>3059</v>
      </c>
      <c r="D53" s="3849" t="s">
        <v>3017</v>
      </c>
    </row>
    <row r="54" spans="1:4" ht="15" customHeight="1" x14ac:dyDescent="0.25">
      <c r="A54" s="8051" t="s">
        <v>3060</v>
      </c>
      <c r="B54" s="3895" t="s">
        <v>3061</v>
      </c>
      <c r="C54" s="148"/>
      <c r="D54" s="148"/>
    </row>
    <row r="55" spans="1:4" ht="15" customHeight="1" x14ac:dyDescent="0.25">
      <c r="A55" s="8052"/>
      <c r="B55" s="4553" t="s">
        <v>3062</v>
      </c>
      <c r="C55" s="148"/>
      <c r="D55" s="148"/>
    </row>
    <row r="56" spans="1:4" ht="15" customHeight="1" x14ac:dyDescent="0.25">
      <c r="A56" s="8052"/>
      <c r="B56" s="4553" t="s">
        <v>3063</v>
      </c>
      <c r="C56" s="148"/>
      <c r="D56" s="148"/>
    </row>
    <row r="57" spans="1:4" ht="15" customHeight="1" x14ac:dyDescent="0.25">
      <c r="A57" s="8052"/>
      <c r="B57" s="4553" t="s">
        <v>3064</v>
      </c>
      <c r="C57" s="148"/>
      <c r="D57" s="148"/>
    </row>
    <row r="58" spans="1:4" ht="21" x14ac:dyDescent="0.25">
      <c r="A58" s="8053"/>
      <c r="B58" s="4554" t="s">
        <v>3065</v>
      </c>
      <c r="C58" s="3893"/>
      <c r="D58" s="3893"/>
    </row>
    <row r="59" spans="1:4" ht="15" customHeight="1" x14ac:dyDescent="0.25">
      <c r="A59" s="8027" t="s">
        <v>3066</v>
      </c>
      <c r="B59" s="8028"/>
      <c r="C59" s="148"/>
      <c r="D59" s="148"/>
    </row>
    <row r="60" spans="1:4" ht="15" customHeight="1" x14ac:dyDescent="0.25">
      <c r="A60" s="6596" t="s">
        <v>346</v>
      </c>
      <c r="B60" s="7297"/>
      <c r="C60" s="148"/>
      <c r="D60" s="148"/>
    </row>
    <row r="61" spans="1:4" ht="15" customHeight="1" x14ac:dyDescent="0.25">
      <c r="A61" s="6596" t="s">
        <v>3067</v>
      </c>
      <c r="B61" s="7297"/>
      <c r="C61" s="148"/>
      <c r="D61" s="148"/>
    </row>
    <row r="62" spans="1:4" ht="15" customHeight="1" x14ac:dyDescent="0.25">
      <c r="A62" s="8042" t="s">
        <v>194</v>
      </c>
      <c r="B62" s="8043"/>
      <c r="C62" s="153"/>
      <c r="D62" s="153"/>
    </row>
    <row r="63" spans="1:4" ht="15" customHeight="1" x14ac:dyDescent="0.25">
      <c r="A63" s="7402" t="s">
        <v>3068</v>
      </c>
      <c r="B63" s="7403"/>
      <c r="C63" s="789"/>
      <c r="D63" s="789"/>
    </row>
    <row r="64" spans="1:4" ht="15" customHeight="1" x14ac:dyDescent="0.25">
      <c r="A64" s="6596" t="s">
        <v>3069</v>
      </c>
      <c r="B64" s="7297"/>
      <c r="C64" s="148"/>
      <c r="D64" s="148"/>
    </row>
    <row r="65" spans="1:102" ht="15" customHeight="1" x14ac:dyDescent="0.25">
      <c r="A65" s="7300" t="s">
        <v>3070</v>
      </c>
      <c r="B65" s="8044"/>
      <c r="C65" s="153"/>
      <c r="D65" s="153"/>
    </row>
    <row r="66" spans="1:102" s="1134" customFormat="1" ht="18" customHeight="1" x14ac:dyDescent="0.15">
      <c r="A66" s="3886" t="s">
        <v>3071</v>
      </c>
      <c r="B66" s="3870"/>
      <c r="C66" s="3871"/>
      <c r="D66" s="3871"/>
      <c r="E66" s="3872"/>
      <c r="F66" s="3871"/>
      <c r="G66" s="3871"/>
      <c r="H66" s="3871"/>
      <c r="I66" s="3871"/>
      <c r="J66" s="3872"/>
      <c r="K66" s="3871"/>
      <c r="L66" s="3871"/>
      <c r="M66" s="124"/>
      <c r="N66" s="101"/>
      <c r="O66" s="101"/>
      <c r="P66" s="101"/>
      <c r="Q66" s="101"/>
      <c r="R66" s="101"/>
      <c r="S66" s="101"/>
      <c r="T66" s="101"/>
    </row>
    <row r="67" spans="1:102" x14ac:dyDescent="0.25">
      <c r="A67" s="8040" t="s">
        <v>3072</v>
      </c>
      <c r="B67" s="6891" t="s">
        <v>12</v>
      </c>
      <c r="C67" s="6897"/>
      <c r="D67" s="6897"/>
      <c r="E67" s="6897"/>
      <c r="F67" s="6897"/>
      <c r="G67" s="6897"/>
      <c r="H67" s="6897"/>
      <c r="I67" s="6897"/>
      <c r="J67" s="6898"/>
      <c r="K67" s="7813" t="s">
        <v>3073</v>
      </c>
      <c r="L67" s="7813"/>
      <c r="M67" s="7814"/>
      <c r="N67" s="6887" t="s">
        <v>3074</v>
      </c>
      <c r="O67" s="8026"/>
      <c r="P67" s="6469" t="s">
        <v>3075</v>
      </c>
      <c r="Q67" s="6484" t="s">
        <v>2</v>
      </c>
      <c r="R67" s="6588" t="s">
        <v>3</v>
      </c>
      <c r="S67" s="6887" t="s">
        <v>48</v>
      </c>
      <c r="T67" s="7814" t="s">
        <v>48</v>
      </c>
    </row>
    <row r="68" spans="1:102" ht="42" x14ac:dyDescent="0.25">
      <c r="A68" s="8041"/>
      <c r="B68" s="2703" t="s">
        <v>3076</v>
      </c>
      <c r="C68" s="2815" t="s">
        <v>3731</v>
      </c>
      <c r="D68" s="2815" t="s">
        <v>5</v>
      </c>
      <c r="E68" s="2705" t="s">
        <v>6</v>
      </c>
      <c r="F68" s="2815" t="s">
        <v>7</v>
      </c>
      <c r="G68" s="2815" t="s">
        <v>8</v>
      </c>
      <c r="H68" s="2705" t="s">
        <v>9</v>
      </c>
      <c r="I68" s="2815" t="s">
        <v>10</v>
      </c>
      <c r="J68" s="2706" t="s">
        <v>3077</v>
      </c>
      <c r="K68" s="2705" t="s">
        <v>3078</v>
      </c>
      <c r="L68" s="2815" t="s">
        <v>3079</v>
      </c>
      <c r="M68" s="2820" t="s">
        <v>3080</v>
      </c>
      <c r="N68" s="3426" t="s">
        <v>3081</v>
      </c>
      <c r="O68" s="2816" t="s">
        <v>3082</v>
      </c>
      <c r="P68" s="6602"/>
      <c r="Q68" s="8007"/>
      <c r="R68" s="8033"/>
      <c r="S68" s="2703" t="s">
        <v>41</v>
      </c>
      <c r="T68" s="3840" t="s">
        <v>42</v>
      </c>
    </row>
    <row r="69" spans="1:102" x14ac:dyDescent="0.25">
      <c r="A69" s="4340" t="s">
        <v>24</v>
      </c>
      <c r="B69" s="3896">
        <f t="shared" ref="B69:L69" si="9">SUM(B70:B72)</f>
        <v>0</v>
      </c>
      <c r="C69" s="3897">
        <f t="shared" si="9"/>
        <v>0</v>
      </c>
      <c r="D69" s="3897">
        <f t="shared" si="9"/>
        <v>0</v>
      </c>
      <c r="E69" s="3897">
        <f t="shared" si="9"/>
        <v>0</v>
      </c>
      <c r="F69" s="3897">
        <f t="shared" si="9"/>
        <v>0</v>
      </c>
      <c r="G69" s="3897">
        <f t="shared" si="9"/>
        <v>0</v>
      </c>
      <c r="H69" s="3897">
        <f t="shared" si="9"/>
        <v>0</v>
      </c>
      <c r="I69" s="3897">
        <f t="shared" si="9"/>
        <v>0</v>
      </c>
      <c r="J69" s="3898">
        <f t="shared" si="9"/>
        <v>0</v>
      </c>
      <c r="K69" s="3899">
        <f t="shared" si="9"/>
        <v>0</v>
      </c>
      <c r="L69" s="3897">
        <f t="shared" si="9"/>
        <v>0</v>
      </c>
      <c r="M69" s="3900">
        <f>SUM(M70:M71)</f>
        <v>0</v>
      </c>
      <c r="N69" s="3901">
        <f>SUM(N70:N71)</f>
        <v>0</v>
      </c>
      <c r="O69" s="3898">
        <f>SUM(O70:O71)</f>
        <v>0</v>
      </c>
      <c r="P69" s="3515">
        <f t="shared" ref="P69:T69" si="10">SUM(P70:P72)</f>
        <v>0</v>
      </c>
      <c r="Q69" s="3902">
        <f t="shared" si="10"/>
        <v>0</v>
      </c>
      <c r="R69" s="3903">
        <f t="shared" si="10"/>
        <v>0</v>
      </c>
      <c r="S69" s="3896">
        <f t="shared" si="10"/>
        <v>0</v>
      </c>
      <c r="T69" s="6199">
        <f t="shared" si="10"/>
        <v>0</v>
      </c>
    </row>
    <row r="70" spans="1:102" ht="15" customHeight="1" x14ac:dyDescent="0.25">
      <c r="A70" s="3877" t="s">
        <v>3083</v>
      </c>
      <c r="B70" s="3904"/>
      <c r="C70" s="3349"/>
      <c r="D70" s="320"/>
      <c r="E70" s="3349"/>
      <c r="F70" s="320"/>
      <c r="G70" s="320"/>
      <c r="H70" s="3349"/>
      <c r="I70" s="320"/>
      <c r="J70" s="3663"/>
      <c r="K70" s="3349"/>
      <c r="L70" s="320"/>
      <c r="M70" s="3905"/>
      <c r="N70" s="3904"/>
      <c r="O70" s="3906"/>
      <c r="P70" s="3907"/>
      <c r="Q70" s="3908"/>
      <c r="R70" s="3907"/>
      <c r="S70" s="3904"/>
      <c r="T70" s="6200"/>
      <c r="U70" s="3658" t="str">
        <f>$CA70&amp;CB70&amp;CC70&amp;CD70&amp;CE70</f>
        <v/>
      </c>
      <c r="CA70" s="3235" t="str">
        <f>IF(AND(SUM(B70:J70)&gt;0,P70="")," * No olvide digitar la variable Beneficiarias. Digite cero si tiene.",IF(P70&gt;SUM(B70:J70)," * La variable Beneficiarias no puede ser mayor al total.",""))</f>
        <v/>
      </c>
      <c r="CB70" s="3235" t="str">
        <f>IF(AND(SUM(B70:J70)&gt;0,Q70="")," * No olvide digitar la variable Pueblos originarios. Digite cero si tiene.",IF(Q70&gt;SUM(B70:J70)," * La variable Pueblos originarios no puede ser mayor al total.",""))</f>
        <v/>
      </c>
      <c r="CC70" s="3235" t="str">
        <f>IF(AND(SUM(B70:J70)&gt;0,R70="")," * No olvide digitar la variable  Migrantes. Digite cero si tiene.",IF(R70&gt;SUM(B70:J70)," * La variable Migrantes no puede ser mayor al total.",""))</f>
        <v/>
      </c>
      <c r="CD70" s="3235" t="str">
        <f>IF(AND(SUM(B70:J70)&gt;0,OR(S70=""))," * No olvide digitar la variable Trans Masculino . Digite Cero si no tiene.",IF(S70&gt;SUM(B70:J70)," * La variable Trans Masculino no puede ser mayor al Total por rango etario.",""))</f>
        <v/>
      </c>
      <c r="CE70" s="603"/>
      <c r="CF70" s="603"/>
      <c r="CG70" s="603"/>
      <c r="CH70" s="603"/>
      <c r="CI70" s="603"/>
      <c r="CJ70" s="163"/>
      <c r="CK70" s="163"/>
      <c r="CL70" s="1793">
        <f>IF(AND(SUM(B70:J70)&gt;0,P70=""),1,IF(P70&gt;SUM(B70:J70),1,0))</f>
        <v>0</v>
      </c>
      <c r="CM70" s="1793">
        <f>IF(AND(SUM(B70:J70)&gt;0,Q70=""),1,IF(Q70&gt;SUM(B70:J70),1,0))</f>
        <v>0</v>
      </c>
      <c r="CN70" s="1793">
        <f>IF(AND(SUM(B70:J70)&gt;0,R70=""),1,IF(R70&gt;SUM(B70:J70),1,0))</f>
        <v>0</v>
      </c>
      <c r="CO70" s="1793">
        <f>IF(AND(SUM(B70:J70)&gt;0,OR(S70="")),1,IF(S70&gt;SUM(B70:J70),1,0))</f>
        <v>0</v>
      </c>
      <c r="CP70"/>
      <c r="CW70" s="1134"/>
      <c r="CX70" s="1134"/>
    </row>
    <row r="71" spans="1:102" ht="15" customHeight="1" x14ac:dyDescent="0.25">
      <c r="A71" s="3273" t="s">
        <v>3084</v>
      </c>
      <c r="B71" s="106"/>
      <c r="C71" s="591"/>
      <c r="D71" s="1086"/>
      <c r="E71" s="591"/>
      <c r="F71" s="1086"/>
      <c r="G71" s="1086"/>
      <c r="H71" s="591"/>
      <c r="I71" s="1086"/>
      <c r="J71" s="771"/>
      <c r="K71" s="933"/>
      <c r="L71" s="1086"/>
      <c r="M71" s="590"/>
      <c r="N71" s="106"/>
      <c r="O71" s="776"/>
      <c r="P71" s="105"/>
      <c r="Q71" s="148"/>
      <c r="R71" s="105"/>
      <c r="S71" s="106"/>
      <c r="T71" s="6201"/>
      <c r="U71" s="3658" t="str">
        <f t="shared" ref="U71:U72" si="11">$CA71&amp;CB71&amp;CC71&amp;CD71&amp;CE71</f>
        <v/>
      </c>
      <c r="CA71" s="3235" t="str">
        <f t="shared" ref="CA71:CA72" si="12">IF(AND(SUM(B71:J71)&gt;0,P71="")," * No olvide digitar la variable Beneficiarias. Digite cero si tiene.",IF(P71&gt;SUM(B71:J71)," * La variable Beneficiarias no puede ser mayor al total.",""))</f>
        <v/>
      </c>
      <c r="CB71" s="3235" t="str">
        <f t="shared" ref="CB71:CB72" si="13">IF(AND(SUM(B71:J71)&gt;0,Q71="")," * No olvide digitar la variable Pueblos originarios. Digite cero si tiene.",IF(Q71&gt;SUM(B71:J71)," * La variable Pueblos originarios no puede ser mayor al total.",""))</f>
        <v/>
      </c>
      <c r="CC71" s="3235" t="str">
        <f t="shared" ref="CC71:CC72" si="14">IF(AND(SUM(B71:J71)&gt;0,R71="")," * No olvide digitar la variable  Migrantes. Digite cero si tiene.",IF(R71&gt;SUM(B71:J71)," * La variable Migrantes no puede ser mayor al total.",""))</f>
        <v/>
      </c>
      <c r="CD71" s="3235" t="str">
        <f t="shared" ref="CD71:CD72" si="15">IF(AND(SUM(B71:J71)&gt;0,OR(S71=""))," * No olvide digitar la variable Trans Masculino . Digite Cero si no tiene.",IF(S71&gt;SUM(B71:J71)," * La variable Trans Masculino no puede ser mayor al Total por rango etario.",""))</f>
        <v/>
      </c>
      <c r="CE71" s="603"/>
      <c r="CF71" s="603"/>
      <c r="CG71" s="603"/>
      <c r="CH71" s="603"/>
      <c r="CI71" s="603"/>
      <c r="CJ71" s="163"/>
      <c r="CK71" s="163"/>
      <c r="CL71" s="1793">
        <f t="shared" ref="CL71:CL72" si="16">IF(AND(SUM(B71:J71)&gt;0,P71=""),1,IF(P71&gt;SUM(B71:J71),1,0))</f>
        <v>0</v>
      </c>
      <c r="CM71" s="1793">
        <f t="shared" ref="CM71:CM72" si="17">IF(AND(SUM(B71:J71)&gt;0,Q71=""),1,IF(Q71&gt;SUM(B71:J71),1,0))</f>
        <v>0</v>
      </c>
      <c r="CN71" s="1793">
        <f t="shared" ref="CN71:CN72" si="18">IF(AND(SUM(B71:J71)&gt;0,R71=""),1,IF(R71&gt;SUM(B71:J71),1,0))</f>
        <v>0</v>
      </c>
      <c r="CO71" s="1793">
        <f t="shared" ref="CO71:CO72" si="19">IF(AND(SUM(B71:J71)&gt;0,OR(S71="")),1,IF(S71&gt;SUM(B71:J71),1,0))</f>
        <v>0</v>
      </c>
      <c r="CP71"/>
    </row>
    <row r="72" spans="1:102" ht="15" customHeight="1" x14ac:dyDescent="0.25">
      <c r="A72" s="596" t="s">
        <v>3085</v>
      </c>
      <c r="B72" s="3909"/>
      <c r="C72" s="2904"/>
      <c r="D72" s="2499"/>
      <c r="E72" s="2904"/>
      <c r="F72" s="2499"/>
      <c r="G72" s="2499"/>
      <c r="H72" s="2904"/>
      <c r="I72" s="2499"/>
      <c r="J72" s="3120"/>
      <c r="K72" s="3869"/>
      <c r="L72" s="3109"/>
      <c r="M72" s="3910"/>
      <c r="N72" s="3911"/>
      <c r="O72" s="3912"/>
      <c r="P72" s="2889"/>
      <c r="Q72" s="153"/>
      <c r="R72" s="2889"/>
      <c r="S72" s="3112"/>
      <c r="T72" s="6196"/>
      <c r="U72" s="3658" t="str">
        <f t="shared" si="11"/>
        <v/>
      </c>
      <c r="CA72" s="3235" t="str">
        <f t="shared" si="12"/>
        <v/>
      </c>
      <c r="CB72" s="3235" t="str">
        <f t="shared" si="13"/>
        <v/>
      </c>
      <c r="CC72" s="3235" t="str">
        <f t="shared" si="14"/>
        <v/>
      </c>
      <c r="CD72" s="3235" t="str">
        <f t="shared" si="15"/>
        <v/>
      </c>
      <c r="CE72" s="603"/>
      <c r="CF72" s="603"/>
      <c r="CG72" s="603"/>
      <c r="CH72" s="603"/>
      <c r="CI72" s="603"/>
      <c r="CJ72" s="163"/>
      <c r="CK72" s="163"/>
      <c r="CL72" s="1793">
        <f t="shared" si="16"/>
        <v>0</v>
      </c>
      <c r="CM72" s="1793">
        <f t="shared" si="17"/>
        <v>0</v>
      </c>
      <c r="CN72" s="1793">
        <f t="shared" si="18"/>
        <v>0</v>
      </c>
      <c r="CO72" s="1793">
        <f t="shared" si="19"/>
        <v>0</v>
      </c>
      <c r="CP72"/>
    </row>
    <row r="73" spans="1:102" s="1134" customFormat="1" ht="18" customHeight="1" x14ac:dyDescent="0.15">
      <c r="A73" s="783" t="s">
        <v>3086</v>
      </c>
      <c r="B73" s="3886"/>
      <c r="C73" s="140"/>
      <c r="D73" s="140"/>
      <c r="E73" s="140"/>
      <c r="F73" s="3913"/>
      <c r="G73" s="3914"/>
      <c r="H73" s="140"/>
      <c r="I73" s="3915"/>
    </row>
    <row r="74" spans="1:102" ht="15" customHeight="1" x14ac:dyDescent="0.25">
      <c r="A74" s="8034" t="s">
        <v>3087</v>
      </c>
      <c r="B74" s="8035"/>
      <c r="C74" s="8038" t="s">
        <v>2381</v>
      </c>
      <c r="D74" s="8038" t="s">
        <v>3088</v>
      </c>
      <c r="E74" s="8038" t="s">
        <v>1112</v>
      </c>
      <c r="F74" s="8038" t="s">
        <v>3089</v>
      </c>
      <c r="G74" s="8010" t="s">
        <v>12</v>
      </c>
      <c r="H74" s="8011"/>
      <c r="I74" s="8012"/>
    </row>
    <row r="75" spans="1:102" ht="15" customHeight="1" x14ac:dyDescent="0.25">
      <c r="A75" s="8036"/>
      <c r="B75" s="8037"/>
      <c r="C75" s="8039"/>
      <c r="D75" s="8039"/>
      <c r="E75" s="8039"/>
      <c r="F75" s="8039"/>
      <c r="G75" s="3313" t="s">
        <v>2992</v>
      </c>
      <c r="H75" s="3889" t="s">
        <v>568</v>
      </c>
      <c r="I75" s="3889" t="s">
        <v>131</v>
      </c>
    </row>
    <row r="76" spans="1:102" ht="15" customHeight="1" x14ac:dyDescent="0.25">
      <c r="A76" s="8027" t="s">
        <v>3090</v>
      </c>
      <c r="B76" s="8028"/>
      <c r="C76" s="3916"/>
      <c r="D76" s="3917"/>
      <c r="E76" s="3904"/>
      <c r="F76" s="3904"/>
      <c r="G76" s="3904"/>
      <c r="H76" s="3904"/>
      <c r="I76" s="3908"/>
    </row>
    <row r="77" spans="1:102" ht="15" customHeight="1" x14ac:dyDescent="0.25">
      <c r="A77" s="8029" t="s">
        <v>3091</v>
      </c>
      <c r="B77" s="6615"/>
      <c r="C77" s="3459"/>
      <c r="D77" s="3563"/>
      <c r="E77" s="3909"/>
      <c r="F77" s="3909"/>
      <c r="G77" s="3909"/>
      <c r="H77" s="3909"/>
      <c r="I77" s="3893"/>
    </row>
    <row r="78" spans="1:102" ht="15" customHeight="1" x14ac:dyDescent="0.25">
      <c r="A78" s="8030" t="s">
        <v>1113</v>
      </c>
      <c r="B78" s="3865" t="s">
        <v>1114</v>
      </c>
      <c r="C78" s="113"/>
      <c r="D78" s="3918"/>
      <c r="E78" s="106"/>
      <c r="F78" s="106"/>
      <c r="G78" s="106"/>
      <c r="H78" s="106"/>
      <c r="I78" s="148"/>
    </row>
    <row r="79" spans="1:102" ht="15" customHeight="1" x14ac:dyDescent="0.25">
      <c r="A79" s="8031"/>
      <c r="B79" s="3895" t="s">
        <v>1115</v>
      </c>
      <c r="C79" s="3329"/>
      <c r="D79" s="3561"/>
      <c r="E79" s="620"/>
      <c r="F79" s="620"/>
      <c r="G79" s="620"/>
      <c r="H79" s="620"/>
      <c r="I79" s="3234"/>
    </row>
    <row r="80" spans="1:102" ht="15" customHeight="1" x14ac:dyDescent="0.25">
      <c r="A80" s="8031"/>
      <c r="B80" s="3919" t="s">
        <v>1116</v>
      </c>
      <c r="C80" s="3329"/>
      <c r="D80" s="3561"/>
      <c r="E80" s="620"/>
      <c r="F80" s="620"/>
      <c r="G80" s="620"/>
      <c r="H80" s="620"/>
      <c r="I80" s="3234"/>
    </row>
    <row r="81" spans="1:90" ht="15" customHeight="1" x14ac:dyDescent="0.25">
      <c r="A81" s="8031"/>
      <c r="B81" s="3920" t="s">
        <v>1117</v>
      </c>
      <c r="C81" s="3329"/>
      <c r="D81" s="3561"/>
      <c r="E81" s="620"/>
      <c r="F81" s="620"/>
      <c r="G81" s="620"/>
      <c r="H81" s="620"/>
      <c r="I81" s="3234"/>
    </row>
    <row r="82" spans="1:90" ht="21" x14ac:dyDescent="0.25">
      <c r="A82" s="8031"/>
      <c r="B82" s="3094" t="s">
        <v>1118</v>
      </c>
      <c r="C82" s="3329"/>
      <c r="D82" s="3561"/>
      <c r="E82" s="620"/>
      <c r="F82" s="620"/>
      <c r="G82" s="620"/>
      <c r="H82" s="620"/>
      <c r="I82" s="3234"/>
    </row>
    <row r="83" spans="1:90" ht="21" x14ac:dyDescent="0.25">
      <c r="A83" s="8031"/>
      <c r="B83" s="3094" t="s">
        <v>1119</v>
      </c>
      <c r="C83" s="3329"/>
      <c r="D83" s="3561"/>
      <c r="E83" s="620"/>
      <c r="F83" s="620"/>
      <c r="G83" s="620"/>
      <c r="H83" s="620"/>
      <c r="I83" s="3234"/>
    </row>
    <row r="84" spans="1:90" ht="15" customHeight="1" x14ac:dyDescent="0.25">
      <c r="A84" s="8032"/>
      <c r="B84" s="587" t="s">
        <v>3092</v>
      </c>
      <c r="C84" s="118"/>
      <c r="D84" s="3563"/>
      <c r="E84" s="3112"/>
      <c r="F84" s="3112"/>
      <c r="G84" s="3112"/>
      <c r="H84" s="3112"/>
      <c r="I84" s="153"/>
    </row>
    <row r="85" spans="1:90" ht="15" customHeight="1" x14ac:dyDescent="0.25">
      <c r="A85" s="8029" t="s">
        <v>3093</v>
      </c>
      <c r="B85" s="6615"/>
      <c r="C85" s="3459"/>
      <c r="D85" s="3921"/>
      <c r="E85" s="3909"/>
      <c r="F85" s="3909"/>
      <c r="G85" s="3909"/>
      <c r="H85" s="3909"/>
      <c r="I85" s="3893"/>
    </row>
    <row r="86" spans="1:90" ht="15" customHeight="1" x14ac:dyDescent="0.25">
      <c r="A86" s="8019" t="s">
        <v>3094</v>
      </c>
      <c r="B86" s="8020"/>
      <c r="C86" s="106"/>
      <c r="D86" s="106"/>
      <c r="E86" s="106"/>
      <c r="F86" s="106"/>
      <c r="G86" s="106"/>
      <c r="H86" s="106"/>
      <c r="I86" s="148"/>
    </row>
    <row r="87" spans="1:90" ht="15" customHeight="1" x14ac:dyDescent="0.25">
      <c r="A87" s="8019" t="s">
        <v>3095</v>
      </c>
      <c r="B87" s="8020"/>
      <c r="C87" s="3922"/>
      <c r="D87" s="3923"/>
      <c r="E87" s="3922"/>
      <c r="F87" s="3922"/>
      <c r="G87" s="3922"/>
      <c r="H87" s="3922"/>
      <c r="I87" s="3924"/>
    </row>
    <row r="88" spans="1:90" ht="15" customHeight="1" x14ac:dyDescent="0.25">
      <c r="A88" s="8019" t="s">
        <v>3096</v>
      </c>
      <c r="B88" s="8020"/>
      <c r="C88" s="3925">
        <f>SUM(C76:C87)</f>
        <v>0</v>
      </c>
      <c r="D88" s="3925">
        <f>SUM(D86)</f>
        <v>0</v>
      </c>
      <c r="E88" s="3925">
        <f t="shared" ref="E88:I88" si="20">SUM(E76:E87)</f>
        <v>0</v>
      </c>
      <c r="F88" s="3925">
        <f t="shared" si="20"/>
        <v>0</v>
      </c>
      <c r="G88" s="3925">
        <f t="shared" si="20"/>
        <v>0</v>
      </c>
      <c r="H88" s="3925">
        <f t="shared" si="20"/>
        <v>0</v>
      </c>
      <c r="I88" s="3926">
        <f t="shared" si="20"/>
        <v>0</v>
      </c>
    </row>
    <row r="89" spans="1:90" s="1134" customFormat="1" ht="18" customHeight="1" x14ac:dyDescent="0.15">
      <c r="A89" s="8021" t="s">
        <v>3097</v>
      </c>
      <c r="B89" s="6586"/>
      <c r="C89" s="6586"/>
      <c r="D89" s="6586"/>
      <c r="E89" s="6586"/>
      <c r="F89" s="6586"/>
      <c r="G89" s="6586"/>
      <c r="H89" s="3927"/>
      <c r="I89" s="3927"/>
      <c r="J89" s="3927"/>
      <c r="K89" s="3927"/>
      <c r="L89" s="210"/>
    </row>
    <row r="90" spans="1:90" s="1134" customFormat="1" ht="18" customHeight="1" x14ac:dyDescent="0.15">
      <c r="A90" s="8022" t="s">
        <v>3098</v>
      </c>
      <c r="B90" s="8023"/>
      <c r="C90" s="8023"/>
      <c r="D90" s="8023"/>
      <c r="E90" s="8023"/>
      <c r="F90" s="8023"/>
      <c r="G90" s="8023"/>
      <c r="H90" s="101"/>
      <c r="I90" s="101"/>
      <c r="J90" s="101"/>
      <c r="K90" s="101"/>
      <c r="L90" s="101"/>
    </row>
    <row r="91" spans="1:90" x14ac:dyDescent="0.25">
      <c r="A91" s="6493" t="s">
        <v>112</v>
      </c>
      <c r="B91" s="6469"/>
      <c r="C91" s="6492" t="s">
        <v>24</v>
      </c>
      <c r="D91" s="6887" t="s">
        <v>3099</v>
      </c>
      <c r="E91" s="7813"/>
      <c r="F91" s="7813"/>
      <c r="G91" s="7813"/>
      <c r="H91" s="7813"/>
      <c r="I91" s="7813"/>
      <c r="J91" s="7813"/>
      <c r="K91" s="8026"/>
      <c r="L91" s="6469" t="s">
        <v>3100</v>
      </c>
    </row>
    <row r="92" spans="1:90" ht="21" x14ac:dyDescent="0.25">
      <c r="A92" s="8024"/>
      <c r="B92" s="6602"/>
      <c r="C92" s="8025"/>
      <c r="D92" s="2703" t="s">
        <v>3101</v>
      </c>
      <c r="E92" s="2703" t="s">
        <v>3102</v>
      </c>
      <c r="F92" s="2815" t="s">
        <v>3103</v>
      </c>
      <c r="G92" s="2815" t="s">
        <v>3104</v>
      </c>
      <c r="H92" s="2815" t="s">
        <v>3105</v>
      </c>
      <c r="I92" s="2815" t="s">
        <v>3106</v>
      </c>
      <c r="J92" s="2815" t="s">
        <v>3107</v>
      </c>
      <c r="K92" s="2816" t="s">
        <v>3108</v>
      </c>
      <c r="L92" s="6602"/>
    </row>
    <row r="93" spans="1:90" ht="15" customHeight="1" x14ac:dyDescent="0.25">
      <c r="A93" s="8013" t="s">
        <v>3109</v>
      </c>
      <c r="B93" s="8014"/>
      <c r="C93" s="3859">
        <f>SUM(D93:K93)</f>
        <v>0</v>
      </c>
      <c r="D93" s="3922"/>
      <c r="E93" s="3922"/>
      <c r="F93" s="3929"/>
      <c r="G93" s="3929"/>
      <c r="H93" s="3929"/>
      <c r="I93" s="3929"/>
      <c r="J93" s="3929"/>
      <c r="K93" s="3930"/>
      <c r="L93" s="3931"/>
      <c r="M93" s="3286" t="str">
        <f>CA93</f>
        <v/>
      </c>
      <c r="N93" s="3932"/>
      <c r="O93" s="3286"/>
      <c r="P93" s="102"/>
      <c r="Q93" s="102"/>
      <c r="R93" s="102"/>
      <c r="S93" s="103"/>
      <c r="T93" s="103"/>
      <c r="U93" s="103"/>
      <c r="V93" s="780"/>
      <c r="W93" s="780"/>
      <c r="X93" s="780"/>
      <c r="Y93" s="780"/>
      <c r="Z93" s="780"/>
      <c r="AA93" s="780"/>
      <c r="AB93" s="780"/>
      <c r="AC93" s="780"/>
      <c r="AD93" s="780"/>
      <c r="AE93" s="780"/>
      <c r="AF93" s="780"/>
      <c r="AG93" s="780"/>
      <c r="AH93" s="780"/>
      <c r="AI93" s="780"/>
      <c r="AJ93" s="780"/>
      <c r="AK93" s="780"/>
      <c r="AL93" s="780"/>
      <c r="AM93" s="780"/>
      <c r="AN93" s="780"/>
      <c r="AO93" s="780"/>
      <c r="AP93" s="780"/>
      <c r="AQ93" s="780"/>
      <c r="AR93" s="780"/>
      <c r="AS93" s="780"/>
      <c r="AT93" s="780"/>
      <c r="AU93" s="780"/>
      <c r="AV93" s="780"/>
      <c r="AW93" s="780"/>
      <c r="AX93" s="780"/>
      <c r="AY93" s="780"/>
      <c r="AZ93" s="780"/>
      <c r="BA93" s="780"/>
      <c r="BB93" s="780"/>
      <c r="BC93" s="780"/>
      <c r="BD93" s="780"/>
      <c r="BE93" s="780"/>
      <c r="BF93" s="780"/>
      <c r="BG93" s="780"/>
      <c r="BH93" s="780"/>
      <c r="BI93" s="780"/>
      <c r="BJ93" s="780"/>
      <c r="BK93" s="780"/>
      <c r="BL93" s="780"/>
      <c r="BM93" s="780"/>
      <c r="BN93" s="780"/>
      <c r="BO93" s="780"/>
      <c r="BP93" s="780"/>
      <c r="BQ93" s="780"/>
      <c r="BR93" s="780"/>
      <c r="BS93" s="780"/>
      <c r="BT93" s="780"/>
      <c r="BU93" s="780"/>
      <c r="BV93" s="780"/>
      <c r="BW93" s="780"/>
      <c r="BX93" s="780"/>
      <c r="BY93" s="780"/>
      <c r="BZ93" s="420"/>
      <c r="CA93" s="2873" t="str">
        <f>IF(AND($C93&lt;&gt;0,L93=""),"* No olvide ingresar la variable  "&amp;L$91&amp;""&amp;" . Si no tiene digite CERO.  ",IF(L93&gt;$C93,"* El Número de Anomalía Congenita no puede superar el Total. ",""))</f>
        <v/>
      </c>
      <c r="CL93" s="1793">
        <f>IF(AND($C93&lt;&gt;0,L93=""),1,IF(L93&gt;$C93,1,0))</f>
        <v>0</v>
      </c>
    </row>
    <row r="94" spans="1:90" s="1134" customFormat="1" ht="18" customHeight="1" x14ac:dyDescent="0.15">
      <c r="A94" s="564" t="s">
        <v>3110</v>
      </c>
      <c r="B94" s="564"/>
      <c r="C94" s="101"/>
      <c r="D94" s="101"/>
      <c r="E94" s="101"/>
      <c r="F94" s="101"/>
      <c r="G94" s="1442"/>
      <c r="H94" s="101"/>
      <c r="I94" s="101"/>
      <c r="J94" s="101"/>
      <c r="K94" s="101"/>
      <c r="L94" s="798"/>
      <c r="M94" s="101"/>
    </row>
    <row r="95" spans="1:90" x14ac:dyDescent="0.25">
      <c r="A95" s="8015" t="s">
        <v>112</v>
      </c>
      <c r="B95" s="8015"/>
      <c r="C95" s="8016" t="s">
        <v>3111</v>
      </c>
      <c r="D95" s="7995"/>
      <c r="E95" s="6887" t="s">
        <v>3112</v>
      </c>
      <c r="F95" s="7813"/>
      <c r="G95" s="7813"/>
      <c r="H95" s="7814"/>
      <c r="I95" s="8017" t="s">
        <v>3113</v>
      </c>
      <c r="J95" s="8017"/>
      <c r="K95" s="6524" t="s">
        <v>3114</v>
      </c>
      <c r="L95" s="6524" t="s">
        <v>3115</v>
      </c>
      <c r="M95" s="6484" t="s">
        <v>3116</v>
      </c>
    </row>
    <row r="96" spans="1:90" ht="31.5" x14ac:dyDescent="0.25">
      <c r="A96" s="8015"/>
      <c r="B96" s="8015"/>
      <c r="C96" s="3874" t="s">
        <v>3117</v>
      </c>
      <c r="D96" s="3874" t="s">
        <v>3118</v>
      </c>
      <c r="E96" s="3874" t="s">
        <v>3119</v>
      </c>
      <c r="F96" s="3874" t="s">
        <v>3120</v>
      </c>
      <c r="G96" s="3874" t="s">
        <v>3121</v>
      </c>
      <c r="H96" s="3874" t="s">
        <v>3122</v>
      </c>
      <c r="I96" s="1443" t="s">
        <v>3123</v>
      </c>
      <c r="J96" s="3840" t="s">
        <v>3124</v>
      </c>
      <c r="K96" s="8018"/>
      <c r="L96" s="8018"/>
      <c r="M96" s="8002"/>
    </row>
    <row r="97" spans="1:95" ht="15" customHeight="1" x14ac:dyDescent="0.25">
      <c r="A97" s="8003" t="s">
        <v>3109</v>
      </c>
      <c r="B97" s="8004"/>
      <c r="C97" s="3934"/>
      <c r="D97" s="3934"/>
      <c r="E97" s="3934"/>
      <c r="F97" s="3934"/>
      <c r="G97" s="3934"/>
      <c r="H97" s="3934"/>
      <c r="I97" s="3935"/>
      <c r="J97" s="3934"/>
      <c r="K97" s="3934"/>
      <c r="L97" s="3934"/>
      <c r="M97" s="3934"/>
    </row>
    <row r="98" spans="1:95" s="1134" customFormat="1" ht="18" customHeight="1" x14ac:dyDescent="0.15">
      <c r="A98" s="8005" t="s">
        <v>3125</v>
      </c>
      <c r="B98" s="8006"/>
      <c r="C98" s="8006"/>
      <c r="D98" s="8006"/>
      <c r="E98" s="8006"/>
      <c r="F98" s="8006"/>
      <c r="G98" s="8006"/>
      <c r="H98" s="101"/>
      <c r="I98" s="101"/>
      <c r="J98" s="101"/>
      <c r="K98" s="101"/>
      <c r="L98" s="101"/>
      <c r="M98" s="101"/>
      <c r="N98" s="101"/>
      <c r="O98" s="101"/>
    </row>
    <row r="99" spans="1:95" ht="15" customHeight="1" x14ac:dyDescent="0.25">
      <c r="A99" s="6484" t="s">
        <v>112</v>
      </c>
      <c r="B99" s="7166" t="s">
        <v>24</v>
      </c>
      <c r="C99" s="6887" t="s">
        <v>3099</v>
      </c>
      <c r="D99" s="7813"/>
      <c r="E99" s="7813"/>
      <c r="F99" s="7813"/>
      <c r="G99" s="7813"/>
      <c r="H99" s="7813"/>
      <c r="I99" s="7813"/>
      <c r="J99" s="7814"/>
      <c r="K99" s="6524" t="s">
        <v>3126</v>
      </c>
      <c r="L99" s="8010" t="s">
        <v>3127</v>
      </c>
      <c r="M99" s="8011"/>
      <c r="N99" s="8011"/>
      <c r="O99" s="8012"/>
    </row>
    <row r="100" spans="1:95" ht="42" x14ac:dyDescent="0.25">
      <c r="A100" s="8007"/>
      <c r="B100" s="8008"/>
      <c r="C100" s="2703" t="s">
        <v>3101</v>
      </c>
      <c r="D100" s="2705" t="s">
        <v>3102</v>
      </c>
      <c r="E100" s="2815" t="s">
        <v>3103</v>
      </c>
      <c r="F100" s="2815" t="s">
        <v>3104</v>
      </c>
      <c r="G100" s="2815" t="s">
        <v>3105</v>
      </c>
      <c r="H100" s="2815" t="s">
        <v>3106</v>
      </c>
      <c r="I100" s="2815" t="s">
        <v>3107</v>
      </c>
      <c r="J100" s="2820" t="s">
        <v>3108</v>
      </c>
      <c r="K100" s="8009"/>
      <c r="L100" s="3889" t="s">
        <v>3128</v>
      </c>
      <c r="M100" s="3848" t="s">
        <v>3129</v>
      </c>
      <c r="N100" s="3889" t="s">
        <v>3130</v>
      </c>
      <c r="O100" s="3849" t="s">
        <v>3131</v>
      </c>
    </row>
    <row r="101" spans="1:95" ht="15" customHeight="1" x14ac:dyDescent="0.25">
      <c r="A101" s="3936" t="s">
        <v>3132</v>
      </c>
      <c r="B101" s="3937">
        <f>SUM(C101)</f>
        <v>0</v>
      </c>
      <c r="C101" s="106"/>
      <c r="D101" s="1444"/>
      <c r="E101" s="1444"/>
      <c r="F101" s="1444"/>
      <c r="G101" s="1444"/>
      <c r="H101" s="1444"/>
      <c r="I101" s="1444"/>
      <c r="J101" s="881"/>
      <c r="K101" s="590"/>
      <c r="L101" s="590"/>
      <c r="M101" s="590"/>
      <c r="N101" s="590"/>
      <c r="O101" s="590"/>
    </row>
    <row r="102" spans="1:95" ht="15" customHeight="1" x14ac:dyDescent="0.25">
      <c r="A102" s="1445" t="s">
        <v>3133</v>
      </c>
      <c r="B102" s="324">
        <f>SUM(D102:J102)</f>
        <v>0</v>
      </c>
      <c r="C102" s="3938"/>
      <c r="D102" s="1086"/>
      <c r="E102" s="1086"/>
      <c r="F102" s="1086"/>
      <c r="G102" s="1086"/>
      <c r="H102" s="1086"/>
      <c r="I102" s="1086"/>
      <c r="J102" s="105"/>
      <c r="K102" s="590"/>
      <c r="L102" s="590"/>
      <c r="M102" s="590"/>
      <c r="N102" s="590"/>
      <c r="O102" s="590"/>
    </row>
    <row r="103" spans="1:95" ht="15" customHeight="1" x14ac:dyDescent="0.25">
      <c r="A103" s="3939" t="s">
        <v>3134</v>
      </c>
      <c r="B103" s="909">
        <f>SUM(D103:J103)</f>
        <v>0</v>
      </c>
      <c r="C103" s="3911"/>
      <c r="D103" s="3109"/>
      <c r="E103" s="3109"/>
      <c r="F103" s="3109"/>
      <c r="G103" s="3109"/>
      <c r="H103" s="3109"/>
      <c r="I103" s="3109"/>
      <c r="J103" s="2889"/>
      <c r="K103" s="2889"/>
      <c r="L103" s="2889"/>
      <c r="M103" s="2889"/>
      <c r="N103" s="2889"/>
      <c r="O103" s="153"/>
    </row>
    <row r="104" spans="1:95" s="1134" customFormat="1" ht="18" customHeight="1" x14ac:dyDescent="0.15">
      <c r="A104" s="123" t="s">
        <v>3135</v>
      </c>
      <c r="B104" s="101"/>
      <c r="C104" s="101"/>
      <c r="D104" s="101"/>
      <c r="E104" s="101"/>
    </row>
    <row r="105" spans="1:95" ht="21" x14ac:dyDescent="0.25">
      <c r="A105" s="3829" t="s">
        <v>3866</v>
      </c>
      <c r="B105" s="3940" t="s">
        <v>3136</v>
      </c>
      <c r="C105" s="3941" t="s">
        <v>226</v>
      </c>
      <c r="D105" s="3840" t="s">
        <v>546</v>
      </c>
      <c r="E105" s="3830" t="s">
        <v>3</v>
      </c>
    </row>
    <row r="106" spans="1:95" ht="15" customHeight="1" x14ac:dyDescent="0.25">
      <c r="A106" s="5606" t="s">
        <v>3142</v>
      </c>
      <c r="B106" s="5607"/>
      <c r="C106" s="5608"/>
      <c r="D106" s="5609"/>
      <c r="E106" s="5609"/>
      <c r="F106" s="3658" t="str">
        <f>CA106&amp;CB106&amp;CC106&amp;CD106&amp;CE106</f>
        <v/>
      </c>
      <c r="CA106" s="163"/>
      <c r="CB106" s="163"/>
      <c r="CC106" s="3945" t="str">
        <f>IF(AND(OR(B106&gt;0,C106&gt;0),D106="")," * No olvide digitar la variable Pueblos originarios. Digite cero si no tiene.",IF(D106&gt;(B106+C106)," * La variable pueblos originarios No puede ser mayor a los egresados en Maternidad y Neonatología..",""))</f>
        <v/>
      </c>
      <c r="CD106" s="3945" t="str">
        <f>IF(AND(OR(B106&gt;0,C106&gt;0),E106="")," * No olvide digitar la variable Migrantes. Digite cero si no tiene.",IF(E106&gt;(B106+C106)," * La variable Migrantes No puede ser mayor a los egresados en Maternidad y Neonatología.",""))</f>
        <v/>
      </c>
      <c r="CE106" s="3945"/>
      <c r="CF106" s="3945"/>
      <c r="CN106" s="3946">
        <f>IF(AND(OR(B106&gt;0,C106&gt;0),D106=""),1,IF(D106&gt;(B106+C106),1,0))</f>
        <v>0</v>
      </c>
      <c r="CO106" s="3946">
        <f>IF(AND(OR(B106&gt;0,C106&gt;0),E106=""),1,IF(E106&gt;(B106+C106),1,0))</f>
        <v>0</v>
      </c>
      <c r="CP106" s="3946"/>
      <c r="CQ106" s="3946"/>
    </row>
    <row r="107" spans="1:95" ht="23.25" customHeight="1" x14ac:dyDescent="0.25">
      <c r="A107" s="4563" t="s">
        <v>3138</v>
      </c>
      <c r="B107" s="3947"/>
      <c r="C107" s="3948"/>
      <c r="D107" s="3949"/>
      <c r="E107" s="3949"/>
      <c r="F107" s="3658" t="str">
        <f t="shared" ref="F107:F111" si="21">CA107&amp;CB107&amp;CC107&amp;CD107&amp;CE107</f>
        <v/>
      </c>
      <c r="CA107" s="3945" t="str">
        <f>IF(B107&gt;B111," * Los "&amp;A107&amp;" en Maternidad No pueden ser mayores que los "&amp;A111&amp;" en Maternidad.","")</f>
        <v/>
      </c>
      <c r="CB107" s="3945" t="str">
        <f>IF(C107&gt;C111," * Los "&amp;A107&amp;" en Neonatología No pueden ser mayores que los "&amp;A111&amp;" en Neonatología.","")</f>
        <v/>
      </c>
      <c r="CC107" s="3945" t="str">
        <f t="shared" ref="CC107:CC111" si="22">IF(AND(OR(B107&gt;0,C107&gt;0),D107="")," * No olvide digitar la variable Pueblos originarios. Digite cero si no tiene.",IF(D107&gt;(B107+C107)," * La variable pueblos originarios No puede ser mayor a los egresados en Maternidad y Neonatología..",""))</f>
        <v/>
      </c>
      <c r="CD107" s="3945" t="str">
        <f t="shared" ref="CD107:CD111" si="23">IF(AND(OR(B107&gt;0,C107&gt;0),E107="")," * No olvide digitar la variable Migrantes. Digite cero si no tiene.",IF(E107&gt;(B107+C107)," * La variable Migrantes No puede ser mayor a los egresados en Maternidad y Neonatología.",""))</f>
        <v/>
      </c>
      <c r="CE107" s="3945"/>
      <c r="CF107" s="3945"/>
      <c r="CL107" s="3946">
        <f>IF(B107&gt;B111,1,0)</f>
        <v>0</v>
      </c>
      <c r="CM107" s="3946">
        <f>IF(C107&gt;C111,1,0)</f>
        <v>0</v>
      </c>
      <c r="CN107" s="3946">
        <f t="shared" ref="CN107:CN111" si="24">IF(AND(OR(B107&gt;0,C107&gt;0),D107=""),1,IF(D107&gt;(B107+C107),1,0))</f>
        <v>0</v>
      </c>
      <c r="CO107" s="3946">
        <f t="shared" ref="CO107:CO111" si="25">IF(AND(OR(B107&gt;0,C107&gt;0),E107=""),1,IF(E107&gt;(B107+C107),1,0))</f>
        <v>0</v>
      </c>
      <c r="CP107" s="3946"/>
      <c r="CQ107" s="3946"/>
    </row>
    <row r="108" spans="1:95" ht="15" customHeight="1" x14ac:dyDescent="0.25">
      <c r="A108" s="3950" t="s">
        <v>3139</v>
      </c>
      <c r="B108" s="3951"/>
      <c r="C108" s="3952"/>
      <c r="D108" s="3953"/>
      <c r="E108" s="3953"/>
      <c r="F108" s="3658" t="str">
        <f t="shared" si="21"/>
        <v/>
      </c>
      <c r="CA108" s="163"/>
      <c r="CB108" s="163"/>
      <c r="CC108" s="3945" t="str">
        <f t="shared" si="22"/>
        <v/>
      </c>
      <c r="CD108" s="3945" t="str">
        <f t="shared" si="23"/>
        <v/>
      </c>
      <c r="CE108" s="3945"/>
      <c r="CF108" s="3945"/>
      <c r="CN108" s="3946">
        <f t="shared" si="24"/>
        <v>0</v>
      </c>
      <c r="CO108" s="3946">
        <f t="shared" si="25"/>
        <v>0</v>
      </c>
      <c r="CP108" s="3946"/>
      <c r="CQ108" s="3946"/>
    </row>
    <row r="109" spans="1:95" ht="15" customHeight="1" x14ac:dyDescent="0.25">
      <c r="A109" s="3950" t="s">
        <v>3140</v>
      </c>
      <c r="B109" s="3951"/>
      <c r="C109" s="3952"/>
      <c r="D109" s="3953"/>
      <c r="E109" s="3953"/>
      <c r="F109" s="3658" t="str">
        <f t="shared" si="21"/>
        <v/>
      </c>
      <c r="CA109" s="163"/>
      <c r="CB109" s="163"/>
      <c r="CC109" s="3945" t="str">
        <f t="shared" si="22"/>
        <v/>
      </c>
      <c r="CD109" s="3945" t="str">
        <f t="shared" si="23"/>
        <v/>
      </c>
      <c r="CE109" s="3945"/>
      <c r="CF109" s="3945"/>
      <c r="CN109" s="3946">
        <f t="shared" si="24"/>
        <v>0</v>
      </c>
      <c r="CO109" s="3946">
        <f t="shared" si="25"/>
        <v>0</v>
      </c>
      <c r="CP109" s="3946"/>
      <c r="CQ109" s="3946"/>
    </row>
    <row r="110" spans="1:95" ht="22.5" x14ac:dyDescent="0.25">
      <c r="A110" s="3950" t="s">
        <v>3141</v>
      </c>
      <c r="B110" s="3951"/>
      <c r="C110" s="3952"/>
      <c r="D110" s="3953"/>
      <c r="E110" s="3953"/>
      <c r="F110" s="3658" t="str">
        <f t="shared" si="21"/>
        <v/>
      </c>
      <c r="CA110" s="163"/>
      <c r="CB110" s="163"/>
      <c r="CC110" s="3945" t="str">
        <f t="shared" si="22"/>
        <v/>
      </c>
      <c r="CD110" s="3945" t="str">
        <f t="shared" si="23"/>
        <v/>
      </c>
      <c r="CE110" s="3945"/>
      <c r="CF110" s="3945"/>
      <c r="CN110" s="3946">
        <f t="shared" si="24"/>
        <v>0</v>
      </c>
      <c r="CO110" s="3946">
        <f t="shared" si="25"/>
        <v>0</v>
      </c>
      <c r="CP110" s="3946"/>
      <c r="CQ110" s="3946"/>
    </row>
    <row r="111" spans="1:95" ht="15" customHeight="1" x14ac:dyDescent="0.25">
      <c r="A111" s="3954" t="s">
        <v>3137</v>
      </c>
      <c r="B111" s="3955"/>
      <c r="C111" s="3956"/>
      <c r="D111" s="3957"/>
      <c r="E111" s="3957"/>
      <c r="F111" s="3658" t="str">
        <f t="shared" si="21"/>
        <v/>
      </c>
      <c r="CA111" s="3945" t="str">
        <f>IF(B111&gt;B106," * Los egresados con lactancia materna exclusiva no puede ser mayor que el Total de Egresos en Maternidad.","")</f>
        <v/>
      </c>
      <c r="CB111" s="3945" t="str">
        <f>IF(C111&gt;C106," * Los egresados con lactancia materna exclusiva no puede ser mayor que el Total de Egresos en Neonatología","")</f>
        <v/>
      </c>
      <c r="CC111" s="3945" t="str">
        <f t="shared" si="22"/>
        <v/>
      </c>
      <c r="CD111" s="3945" t="str">
        <f t="shared" si="23"/>
        <v/>
      </c>
      <c r="CE111" s="3945"/>
      <c r="CF111" s="3945"/>
      <c r="CL111" s="3946">
        <f>IF(B111&gt;B106,1,0)</f>
        <v>0</v>
      </c>
      <c r="CM111" s="3946">
        <f>IF(C111&gt;C106,1,0)</f>
        <v>0</v>
      </c>
      <c r="CN111" s="3946">
        <f t="shared" si="24"/>
        <v>0</v>
      </c>
      <c r="CO111" s="3946">
        <f t="shared" si="25"/>
        <v>0</v>
      </c>
      <c r="CP111" s="3946"/>
      <c r="CQ111" s="3946"/>
    </row>
    <row r="112" spans="1:95" ht="15" customHeight="1" x14ac:dyDescent="0.25">
      <c r="A112" s="7997" t="s">
        <v>3143</v>
      </c>
      <c r="B112" s="7997"/>
    </row>
    <row r="113" spans="1:91" s="1134" customFormat="1" ht="18" customHeight="1" x14ac:dyDescent="0.15">
      <c r="A113" s="210" t="s">
        <v>3144</v>
      </c>
      <c r="B113" s="210"/>
      <c r="C113" s="210"/>
    </row>
    <row r="114" spans="1:91" ht="15" customHeight="1" x14ac:dyDescent="0.25">
      <c r="A114" s="7998" t="s">
        <v>1120</v>
      </c>
      <c r="B114" s="7998"/>
      <c r="C114" s="3830" t="s">
        <v>24</v>
      </c>
    </row>
    <row r="115" spans="1:91" ht="33" x14ac:dyDescent="0.25">
      <c r="A115" s="7999" t="s">
        <v>3145</v>
      </c>
      <c r="B115" s="3958" t="s">
        <v>3146</v>
      </c>
      <c r="C115" s="3942"/>
    </row>
    <row r="116" spans="1:91" ht="22.5" x14ac:dyDescent="0.25">
      <c r="A116" s="8000"/>
      <c r="B116" s="3959" t="s">
        <v>3147</v>
      </c>
      <c r="C116" s="3960"/>
    </row>
    <row r="117" spans="1:91" ht="15" customHeight="1" x14ac:dyDescent="0.25">
      <c r="A117" s="7999" t="s">
        <v>3148</v>
      </c>
      <c r="B117" s="3961" t="s">
        <v>60</v>
      </c>
      <c r="C117" s="3908"/>
    </row>
    <row r="118" spans="1:91" ht="15" customHeight="1" x14ac:dyDescent="0.25">
      <c r="A118" s="8001"/>
      <c r="B118" s="3962" t="s">
        <v>217</v>
      </c>
      <c r="C118" s="3234"/>
    </row>
    <row r="119" spans="1:91" ht="15" customHeight="1" x14ac:dyDescent="0.25">
      <c r="A119" s="8001"/>
      <c r="B119" s="3962" t="s">
        <v>76</v>
      </c>
      <c r="C119" s="3234"/>
    </row>
    <row r="120" spans="1:91" ht="15" customHeight="1" x14ac:dyDescent="0.25">
      <c r="A120" s="8000"/>
      <c r="B120" s="3963" t="s">
        <v>247</v>
      </c>
      <c r="C120" s="3964"/>
    </row>
    <row r="121" spans="1:91" s="1134" customFormat="1" ht="18" customHeight="1" x14ac:dyDescent="0.15">
      <c r="A121" s="3965" t="s">
        <v>3149</v>
      </c>
      <c r="B121" s="3240"/>
      <c r="C121" s="3240"/>
      <c r="D121" s="123"/>
      <c r="E121" s="101"/>
      <c r="F121" s="101"/>
      <c r="G121" s="101"/>
      <c r="H121" s="101"/>
      <c r="I121" s="101"/>
      <c r="J121" s="101"/>
      <c r="K121" s="101"/>
      <c r="L121" s="101"/>
      <c r="M121" s="101"/>
    </row>
    <row r="122" spans="1:91" x14ac:dyDescent="0.25">
      <c r="A122" s="6588" t="s">
        <v>23</v>
      </c>
      <c r="B122" s="6484" t="s">
        <v>24</v>
      </c>
      <c r="C122" s="7987" t="s">
        <v>12</v>
      </c>
      <c r="D122" s="7988"/>
      <c r="E122" s="7988"/>
      <c r="F122" s="7988"/>
      <c r="G122" s="7988"/>
      <c r="H122" s="7988"/>
      <c r="I122" s="7988"/>
      <c r="J122" s="7988"/>
      <c r="K122" s="7989"/>
      <c r="L122" s="7990" t="s">
        <v>2</v>
      </c>
      <c r="M122" s="7758" t="s">
        <v>3</v>
      </c>
    </row>
    <row r="123" spans="1:91" x14ac:dyDescent="0.25">
      <c r="A123" s="6590"/>
      <c r="B123" s="6601"/>
      <c r="C123" s="3966" t="s">
        <v>38</v>
      </c>
      <c r="D123" s="3967" t="s">
        <v>4</v>
      </c>
      <c r="E123" s="3967" t="s">
        <v>5</v>
      </c>
      <c r="F123" s="3967" t="s">
        <v>6</v>
      </c>
      <c r="G123" s="3967" t="s">
        <v>7</v>
      </c>
      <c r="H123" s="3967" t="s">
        <v>8</v>
      </c>
      <c r="I123" s="3967" t="s">
        <v>9</v>
      </c>
      <c r="J123" s="3967" t="s">
        <v>10</v>
      </c>
      <c r="K123" s="3968" t="s">
        <v>11</v>
      </c>
      <c r="L123" s="7991"/>
      <c r="M123" s="7992"/>
    </row>
    <row r="124" spans="1:91" ht="21" x14ac:dyDescent="0.25">
      <c r="A124" s="3969" t="s">
        <v>3150</v>
      </c>
      <c r="B124" s="3970"/>
      <c r="C124" s="5876"/>
      <c r="D124" s="1900"/>
      <c r="E124" s="1900"/>
      <c r="F124" s="1900"/>
      <c r="G124" s="1900"/>
      <c r="H124" s="1900"/>
      <c r="I124" s="1900"/>
      <c r="J124" s="1900"/>
      <c r="K124" s="5877"/>
      <c r="L124" s="5878"/>
      <c r="M124" s="5879"/>
    </row>
    <row r="125" spans="1:91" ht="21" x14ac:dyDescent="0.25">
      <c r="A125" s="587" t="s">
        <v>3151</v>
      </c>
      <c r="B125" s="3971">
        <f>SUM(C125:K125)</f>
        <v>0</v>
      </c>
      <c r="C125" s="3972"/>
      <c r="D125" s="2499"/>
      <c r="E125" s="2499"/>
      <c r="F125" s="2499"/>
      <c r="G125" s="2499"/>
      <c r="H125" s="2499"/>
      <c r="I125" s="2499"/>
      <c r="J125" s="2499"/>
      <c r="K125" s="3012"/>
      <c r="L125" s="3970"/>
      <c r="M125" s="3960"/>
      <c r="N125" s="3658" t="str">
        <f>$CA125&amp;CB125</f>
        <v/>
      </c>
      <c r="CA125" s="3945" t="str">
        <f>IF(AND($B125&lt;&gt;0,L125=""),"* No olvide ingresar la variable Pueblos Originarios. Si no tiene digite CERO.  ",IF(L125&gt;$B125,"* La variable Pueblos Originarios no puede superar el Total. ",""))</f>
        <v/>
      </c>
      <c r="CB125" s="3945" t="str">
        <f>IF(AND($B125&lt;&gt;0,M125=""),"* No olvide ingresar la variable Migrantes. Si no tiene digite CERO. ",IF(M125&gt;$B125,"* La variable Migrantes no puede superar el Total. ",""))</f>
        <v/>
      </c>
      <c r="CL125" s="3946">
        <f>IF(AND($B125&lt;&gt;0,L125=""),1,IF(L125&gt;$B125,1,0))</f>
        <v>0</v>
      </c>
      <c r="CM125" s="3946">
        <f>IF(AND($B125&lt;&gt;0,M125=""),1,IF(M125&gt;$B125,1,0))</f>
        <v>0</v>
      </c>
    </row>
    <row r="126" spans="1:91" s="1134" customFormat="1" ht="18" customHeight="1" x14ac:dyDescent="0.15">
      <c r="A126" s="210" t="s">
        <v>3152</v>
      </c>
      <c r="B126" s="210"/>
      <c r="C126" s="101"/>
      <c r="D126" s="101"/>
      <c r="E126" s="101"/>
      <c r="F126" s="101"/>
    </row>
    <row r="127" spans="1:91" s="1134" customFormat="1" ht="18" customHeight="1" x14ac:dyDescent="0.15">
      <c r="A127" s="210" t="s">
        <v>3153</v>
      </c>
      <c r="B127" s="210"/>
      <c r="C127" s="101"/>
      <c r="D127" s="101"/>
      <c r="E127" s="101"/>
      <c r="F127" s="101"/>
    </row>
    <row r="128" spans="1:91" ht="21" x14ac:dyDescent="0.25">
      <c r="A128" s="7993" t="s">
        <v>3154</v>
      </c>
      <c r="B128" s="7995" t="s">
        <v>3155</v>
      </c>
      <c r="C128" s="7996"/>
      <c r="D128" s="7996"/>
      <c r="E128" s="7996"/>
      <c r="F128" s="3874" t="s">
        <v>3156</v>
      </c>
    </row>
    <row r="129" spans="1:91" ht="21" x14ac:dyDescent="0.25">
      <c r="A129" s="7994"/>
      <c r="B129" s="2705" t="s">
        <v>3157</v>
      </c>
      <c r="C129" s="2815" t="s">
        <v>3158</v>
      </c>
      <c r="D129" s="2705" t="s">
        <v>3159</v>
      </c>
      <c r="E129" s="3840" t="s">
        <v>3160</v>
      </c>
      <c r="F129" s="3874" t="s">
        <v>3161</v>
      </c>
    </row>
    <row r="130" spans="1:91" x14ac:dyDescent="0.25">
      <c r="A130" s="4555" t="s">
        <v>3162</v>
      </c>
      <c r="B130" s="3973"/>
      <c r="C130" s="3929"/>
      <c r="D130" s="3973"/>
      <c r="E130" s="3931"/>
      <c r="F130" s="3890"/>
    </row>
    <row r="131" spans="1:91" s="1134" customFormat="1" ht="18" customHeight="1" x14ac:dyDescent="0.15">
      <c r="A131" s="210" t="s">
        <v>3163</v>
      </c>
      <c r="B131" s="101"/>
      <c r="C131" s="101"/>
      <c r="D131" s="101"/>
      <c r="E131" s="101"/>
    </row>
    <row r="132" spans="1:91" ht="21" x14ac:dyDescent="0.25">
      <c r="A132" s="3829" t="s">
        <v>3164</v>
      </c>
      <c r="B132" s="3830" t="s">
        <v>3165</v>
      </c>
      <c r="C132" s="3830" t="s">
        <v>3166</v>
      </c>
      <c r="D132" s="3941" t="s">
        <v>445</v>
      </c>
      <c r="E132" s="3840" t="s">
        <v>2</v>
      </c>
    </row>
    <row r="133" spans="1:91" ht="15" customHeight="1" x14ac:dyDescent="0.25">
      <c r="A133" s="5357" t="s">
        <v>3167</v>
      </c>
      <c r="B133" s="5607"/>
      <c r="C133" s="5607"/>
      <c r="D133" s="5608"/>
      <c r="E133" s="5609"/>
      <c r="F133" s="3658" t="str">
        <f>$CA133</f>
        <v/>
      </c>
      <c r="CA133" s="3945" t="str">
        <f>IF(AND($B133&lt;&gt;0,E133=""),"* No olvide ingresar la variable Pueblos Originarios. Si no tiene digite CERO. ",IF(E133&gt;$B133,"* La variable Pueblos Originarios no puede superar el Total de Tamizaje. ",""))</f>
        <v/>
      </c>
      <c r="CB133" s="163"/>
      <c r="CL133" s="3946">
        <f>IF(AND($B133&lt;&gt;0,E133=""),1,IF(E133&gt;$B133,1,0))</f>
        <v>0</v>
      </c>
      <c r="CM133" s="163"/>
    </row>
    <row r="134" spans="1:91" ht="15" customHeight="1" x14ac:dyDescent="0.25">
      <c r="A134" s="3328" t="s">
        <v>3168</v>
      </c>
      <c r="B134" s="3234"/>
      <c r="C134" s="3234"/>
      <c r="D134" s="3236"/>
      <c r="E134" s="3166"/>
      <c r="F134" s="3658" t="str">
        <f t="shared" ref="F134:F135" si="26">$CO134&amp;CA134</f>
        <v/>
      </c>
      <c r="CA134" s="3945" t="str">
        <f t="shared" ref="CA134:CA135" si="27">IF(AND($B134&lt;&gt;0,E134=""),"* No olvide ingresar la variable Pueblos Originarios. Si no tiene digite CERO. ",IF(E134&gt;$B134,"* La variable Pueblos Originarios no puede superar el Total de Tamizaje. ",""))</f>
        <v/>
      </c>
      <c r="CB134" s="163"/>
      <c r="CL134" s="3946">
        <f t="shared" ref="CL134:CL135" si="28">IF(AND($B134&lt;&gt;0,E134=""),1,IF(E134&gt;$B134,1,0))</f>
        <v>0</v>
      </c>
    </row>
    <row r="135" spans="1:91" ht="15" customHeight="1" x14ac:dyDescent="0.25">
      <c r="A135" s="207" t="s">
        <v>3169</v>
      </c>
      <c r="B135" s="3975"/>
      <c r="C135" s="3975"/>
      <c r="D135" s="3976"/>
      <c r="E135" s="3977"/>
      <c r="F135" s="3658" t="str">
        <f t="shared" si="26"/>
        <v/>
      </c>
      <c r="CA135" s="3945" t="str">
        <f t="shared" si="27"/>
        <v/>
      </c>
      <c r="CB135" s="163"/>
      <c r="CL135" s="3946">
        <f t="shared" si="28"/>
        <v>0</v>
      </c>
    </row>
    <row r="136" spans="1:91" ht="21" x14ac:dyDescent="0.25">
      <c r="A136" s="3928" t="s">
        <v>3170</v>
      </c>
      <c r="B136" s="3933" t="s">
        <v>3171</v>
      </c>
      <c r="C136" s="3974" t="s">
        <v>3172</v>
      </c>
      <c r="D136" s="3427" t="s">
        <v>2</v>
      </c>
      <c r="E136" s="103"/>
    </row>
    <row r="137" spans="1:91" x14ac:dyDescent="0.25">
      <c r="A137" s="3885" t="s">
        <v>3136</v>
      </c>
      <c r="B137" s="3942"/>
      <c r="C137" s="3943"/>
      <c r="D137" s="3944"/>
      <c r="E137" s="3658" t="str">
        <f>$CA137</f>
        <v/>
      </c>
      <c r="CA137" s="3945" t="str">
        <f>IF(AND($B137&lt;&gt;0,D137=""),"* No olvide ingresar la variable Pueblos Originarios. Si no tiene digite CERO. ",IF(D137&gt;$B137,"* La variable Pueblos Originarios no puede superar el Total de EOA. ",""))</f>
        <v/>
      </c>
      <c r="CB137" s="163"/>
      <c r="CL137" s="3946">
        <f>IF(AND($B137&lt;&gt;0,D137=""),1,IF(D137&gt;$B137,1,0))</f>
        <v>0</v>
      </c>
    </row>
    <row r="138" spans="1:91" x14ac:dyDescent="0.25">
      <c r="A138" s="3328" t="s">
        <v>226</v>
      </c>
      <c r="B138" s="3234"/>
      <c r="C138" s="3236"/>
      <c r="D138" s="3166"/>
      <c r="E138" s="3658" t="str">
        <f t="shared" ref="E138:E139" si="29">$CA138</f>
        <v/>
      </c>
      <c r="CA138" s="3945" t="str">
        <f t="shared" ref="CA138:CA139" si="30">IF(AND($B138&lt;&gt;0,D138=""),"* No olvide ingresar la variable Pueblos Originarios. Si no tiene digite CERO. ",IF(D138&gt;$B138,"* La variable Pueblos Originarios no puede superar el Total de EOA. ",""))</f>
        <v/>
      </c>
      <c r="CB138" s="163"/>
      <c r="CL138" s="3946">
        <f t="shared" ref="CL138:CL139" si="31">IF(AND($B138&lt;&gt;0,D138=""),1,IF(D138&gt;$B138,1,0))</f>
        <v>0</v>
      </c>
    </row>
    <row r="139" spans="1:91" ht="21" x14ac:dyDescent="0.25">
      <c r="A139" s="207" t="s">
        <v>3173</v>
      </c>
      <c r="B139" s="3975"/>
      <c r="C139" s="3976"/>
      <c r="D139" s="3977"/>
      <c r="E139" s="3658" t="str">
        <f t="shared" si="29"/>
        <v/>
      </c>
      <c r="CA139" s="3945" t="str">
        <f t="shared" si="30"/>
        <v/>
      </c>
      <c r="CB139" s="163"/>
      <c r="CL139" s="3946">
        <f t="shared" si="31"/>
        <v>0</v>
      </c>
    </row>
    <row r="140" spans="1:91" x14ac:dyDescent="0.25">
      <c r="A140" s="210" t="s">
        <v>3893</v>
      </c>
      <c r="B140" s="3388"/>
      <c r="C140" s="103"/>
    </row>
    <row r="141" spans="1:91" ht="31.5" x14ac:dyDescent="0.25">
      <c r="A141" s="5896" t="s">
        <v>3170</v>
      </c>
      <c r="B141" s="5874" t="s">
        <v>3895</v>
      </c>
      <c r="C141" s="5875" t="s">
        <v>3894</v>
      </c>
    </row>
    <row r="142" spans="1:91" x14ac:dyDescent="0.25">
      <c r="A142" s="5897" t="s">
        <v>3136</v>
      </c>
      <c r="B142" s="5607"/>
      <c r="C142" s="5609"/>
    </row>
    <row r="143" spans="1:91" x14ac:dyDescent="0.25">
      <c r="A143" s="5898" t="s">
        <v>226</v>
      </c>
      <c r="B143" s="5899"/>
      <c r="C143" s="5900"/>
    </row>
    <row r="160" spans="1:2" hidden="1" x14ac:dyDescent="0.25">
      <c r="A160" s="3266">
        <f>SUM(C13:X22,C25:C35,C39:D51,C54:D65,B70:O72,C76:I87,C93,C97:J97,B101:B103,B106:C111,C115:C120,B124:B125,B130:F130,B133:D135,B137:C139)</f>
        <v>0</v>
      </c>
      <c r="B160" s="3266">
        <f>SUM(CL13:CQ139)</f>
        <v>0</v>
      </c>
    </row>
  </sheetData>
  <sheetProtection algorithmName="SHA-512" hashValue="oknCpAPSsgmXgbI82RpeA3gQKQcb6ZEAUmdUUlJ2o+lfOy1eqWihASdilnMU+5IFEr+P5xhsrK/RmMLfPQ801A==" saltValue="pr5K6gfoW2RvOUlUoCZR1Q==" spinCount="100000" sheet="1" objects="1" scenarios="1"/>
  <mergeCells count="121">
    <mergeCell ref="A6:L6"/>
    <mergeCell ref="A9:B11"/>
    <mergeCell ref="C9:C11"/>
    <mergeCell ref="D9:G9"/>
    <mergeCell ref="H9:K9"/>
    <mergeCell ref="L9:L11"/>
    <mergeCell ref="R10:R11"/>
    <mergeCell ref="S10:T10"/>
    <mergeCell ref="U10:V10"/>
    <mergeCell ref="A13:B13"/>
    <mergeCell ref="A14:B14"/>
    <mergeCell ref="A15:B15"/>
    <mergeCell ref="AA9:AB10"/>
    <mergeCell ref="D10:D11"/>
    <mergeCell ref="E10:E11"/>
    <mergeCell ref="F10:F11"/>
    <mergeCell ref="G10:G11"/>
    <mergeCell ref="H10:H11"/>
    <mergeCell ref="I10:I11"/>
    <mergeCell ref="J10:J11"/>
    <mergeCell ref="K10:K11"/>
    <mergeCell ref="M10:M11"/>
    <mergeCell ref="M9:R9"/>
    <mergeCell ref="S9:V9"/>
    <mergeCell ref="W9:W11"/>
    <mergeCell ref="X9:X11"/>
    <mergeCell ref="Y9:Y11"/>
    <mergeCell ref="Z9:Z11"/>
    <mergeCell ref="N10:N11"/>
    <mergeCell ref="O10:O11"/>
    <mergeCell ref="P10:P11"/>
    <mergeCell ref="Q10:Q11"/>
    <mergeCell ref="A24:B24"/>
    <mergeCell ref="A25:B25"/>
    <mergeCell ref="A26:A27"/>
    <mergeCell ref="A28:B28"/>
    <mergeCell ref="A29:B29"/>
    <mergeCell ref="A30:B30"/>
    <mergeCell ref="A16:B16"/>
    <mergeCell ref="A17:B17"/>
    <mergeCell ref="A18:B18"/>
    <mergeCell ref="A19:B19"/>
    <mergeCell ref="A20:B20"/>
    <mergeCell ref="A21:A22"/>
    <mergeCell ref="A42:B42"/>
    <mergeCell ref="A43:B43"/>
    <mergeCell ref="A44:A45"/>
    <mergeCell ref="A46:B46"/>
    <mergeCell ref="A47:B47"/>
    <mergeCell ref="A48:B48"/>
    <mergeCell ref="A31:A32"/>
    <mergeCell ref="A33:B33"/>
    <mergeCell ref="A34:A35"/>
    <mergeCell ref="A38:B38"/>
    <mergeCell ref="A39:B39"/>
    <mergeCell ref="A40:A41"/>
    <mergeCell ref="A60:B60"/>
    <mergeCell ref="A61:B61"/>
    <mergeCell ref="A62:B62"/>
    <mergeCell ref="A63:B63"/>
    <mergeCell ref="A64:B64"/>
    <mergeCell ref="A65:B65"/>
    <mergeCell ref="A49:B49"/>
    <mergeCell ref="A50:B50"/>
    <mergeCell ref="A51:B51"/>
    <mergeCell ref="A53:B53"/>
    <mergeCell ref="A54:A58"/>
    <mergeCell ref="A59:B59"/>
    <mergeCell ref="R67:R68"/>
    <mergeCell ref="S67:T67"/>
    <mergeCell ref="A74:B75"/>
    <mergeCell ref="C74:C75"/>
    <mergeCell ref="D74:D75"/>
    <mergeCell ref="E74:E75"/>
    <mergeCell ref="F74:F75"/>
    <mergeCell ref="G74:I74"/>
    <mergeCell ref="B67:J67"/>
    <mergeCell ref="K67:M67"/>
    <mergeCell ref="N67:O67"/>
    <mergeCell ref="P67:P68"/>
    <mergeCell ref="Q67:Q68"/>
    <mergeCell ref="A67:A68"/>
    <mergeCell ref="A88:B88"/>
    <mergeCell ref="A89:G89"/>
    <mergeCell ref="A90:G90"/>
    <mergeCell ref="A91:B92"/>
    <mergeCell ref="C91:C92"/>
    <mergeCell ref="D91:K91"/>
    <mergeCell ref="A76:B76"/>
    <mergeCell ref="A77:B77"/>
    <mergeCell ref="A78:A84"/>
    <mergeCell ref="A85:B85"/>
    <mergeCell ref="A86:B86"/>
    <mergeCell ref="A87:B87"/>
    <mergeCell ref="M95:M96"/>
    <mergeCell ref="A97:B97"/>
    <mergeCell ref="A98:G98"/>
    <mergeCell ref="A99:A100"/>
    <mergeCell ref="B99:B100"/>
    <mergeCell ref="C99:J99"/>
    <mergeCell ref="K99:K100"/>
    <mergeCell ref="L99:O99"/>
    <mergeCell ref="L91:L92"/>
    <mergeCell ref="A93:B93"/>
    <mergeCell ref="A95:B96"/>
    <mergeCell ref="C95:D95"/>
    <mergeCell ref="E95:H95"/>
    <mergeCell ref="I95:J95"/>
    <mergeCell ref="K95:K96"/>
    <mergeCell ref="L95:L96"/>
    <mergeCell ref="C122:K122"/>
    <mergeCell ref="L122:L123"/>
    <mergeCell ref="M122:M123"/>
    <mergeCell ref="A128:A129"/>
    <mergeCell ref="B128:E128"/>
    <mergeCell ref="A112:B112"/>
    <mergeCell ref="A114:B114"/>
    <mergeCell ref="A115:A116"/>
    <mergeCell ref="A117:A120"/>
    <mergeCell ref="A122:A123"/>
    <mergeCell ref="B122:B123"/>
  </mergeCells>
  <dataValidations count="2">
    <dataValidation allowBlank="1" showInputMessage="1" showErrorMessage="1" error="Valor no Permitido" sqref="A6:L6 C9:C10 T11:T12 A9:A10 A12:A21 S9:S10 U10 W9:W10 M9 M10:R10 H9 H10:K10 C129:E129 X9:AA9 A8:AB8 B125 V11:V12 C12:S12 U12 W12:AB12 F24 A26 B26:B27 A33:A34 A28:A31 B34:B35 A23:F23 A42:A44 A39:A40 B44:B45 A46:A54 A37:D37 C25:C35 B52 M93:BZ93 C66:S66 C68:J69 K67:S69 T66:T69 A76:A78 A85:A91 F74:G74 H75:I75 E88:I88 F73:I73 B73 A93:A99 B89:L90 L91 D91:K92 B94:M94 K95:M95 E95 I95:J96 M100:O100 L99:L100 B98:O98 K99 D87:D88 C99:J100 C73:E74 C104:E105 A102:A112 D76:D85 B99:B104 C88 D121:M121 A121:A124 C121:C124 D123:K123 L122:M122 C91:C93 B128:B129 A160:B160 A126:F127 C52:D53 B66:B69 F128:F129 D124:M124 B121:B123 A131:A139 B131:E132 B136:E136 A59:A67 A69:A74 A140:C140" xr:uid="{00000000-0002-0000-1000-000000000000}"/>
    <dataValidation type="whole" operator="greaterThanOrEqual" allowBlank="1" showInputMessage="1" showErrorMessage="1" error="Valor no Permitido" sqref="C13:AB22 D25:F35 C39:D51 C54:D65 B70:T72 C76:C87 D86 E76:I87 D93:L93 C97:M97 C101:O103 B106:E111 C115:C120 B124 C125:M125 B130:F130 B133:E135 B137:D139" xr:uid="{00000000-0002-0000-10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320"/>
  <sheetViews>
    <sheetView showGridLines="0" zoomScaleNormal="100" workbookViewId="0"/>
  </sheetViews>
  <sheetFormatPr baseColWidth="10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779" t="s">
        <v>3878</v>
      </c>
    </row>
    <row r="2" spans="1:28" x14ac:dyDescent="0.25">
      <c r="A2" s="779" t="str">
        <f>CONCATENATE("COMUNA: ",NOMBRE!B2," - ","( ",NOMBRE!C2,NOMBRE!D2,NOMBRE!E2,NOMBRE!F2,NOMBRE!G2," )")</f>
        <v>COMUNA:  - (  )</v>
      </c>
    </row>
    <row r="3" spans="1:28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28" x14ac:dyDescent="0.25">
      <c r="A4" s="779" t="str">
        <f>CONCATENATE("MES: ",NOMBRE!B6," - ","( ",NOMBRE!C6,NOMBRE!D6," )")</f>
        <v>MES:  - (  )</v>
      </c>
    </row>
    <row r="5" spans="1:28" x14ac:dyDescent="0.25">
      <c r="A5" s="779" t="str">
        <f>CONCATENATE("AÑO: ",NOMBRE!B7)</f>
        <v>AÑO: 2024</v>
      </c>
    </row>
    <row r="6" spans="1:28" ht="18" customHeight="1" x14ac:dyDescent="0.25">
      <c r="A6" s="8225" t="s">
        <v>1740</v>
      </c>
      <c r="B6" s="8225"/>
      <c r="C6" s="8225"/>
      <c r="D6" s="8225"/>
      <c r="E6" s="8225"/>
      <c r="F6" s="8225"/>
      <c r="G6" s="8225"/>
      <c r="H6" s="8225"/>
      <c r="I6" s="8225"/>
      <c r="J6" s="8225"/>
      <c r="K6" s="8225"/>
      <c r="L6" s="8225"/>
      <c r="M6" s="8225"/>
      <c r="N6" s="8225"/>
      <c r="O6" s="8225"/>
      <c r="P6" s="8225"/>
      <c r="Q6" s="8225"/>
      <c r="R6" s="8225"/>
      <c r="S6" s="8225"/>
      <c r="T6" s="8225"/>
      <c r="U6" s="8225"/>
      <c r="V6" s="8225"/>
    </row>
    <row r="8" spans="1:28" s="17" customFormat="1" ht="18" customHeight="1" x14ac:dyDescent="0.2">
      <c r="A8" s="8161" t="s">
        <v>1739</v>
      </c>
      <c r="B8" s="8161"/>
      <c r="C8" s="8161"/>
    </row>
    <row r="9" spans="1:28" s="170" customFormat="1" ht="15" customHeight="1" x14ac:dyDescent="0.15">
      <c r="A9" s="8223" t="s">
        <v>1734</v>
      </c>
      <c r="B9" s="8223" t="s">
        <v>1639</v>
      </c>
      <c r="C9" s="8223"/>
      <c r="D9" s="6493" t="s">
        <v>24</v>
      </c>
      <c r="E9" s="6468"/>
      <c r="F9" s="6903"/>
      <c r="G9" s="8157" t="s">
        <v>30</v>
      </c>
      <c r="H9" s="6902"/>
      <c r="I9" s="6902"/>
      <c r="J9" s="6902"/>
      <c r="K9" s="6902"/>
      <c r="L9" s="6902"/>
      <c r="M9" s="6902"/>
      <c r="N9" s="6902"/>
      <c r="O9" s="6902"/>
      <c r="P9" s="6902"/>
      <c r="Q9" s="6902"/>
      <c r="R9" s="6902"/>
      <c r="S9" s="6902"/>
      <c r="T9" s="6902"/>
      <c r="U9" s="6902"/>
      <c r="V9" s="6902"/>
      <c r="W9" s="6902"/>
      <c r="X9" s="6902"/>
      <c r="Y9" s="6902"/>
      <c r="Z9" s="6902"/>
      <c r="AA9" s="6902"/>
      <c r="AB9" s="6910"/>
    </row>
    <row r="10" spans="1:28" s="170" customFormat="1" ht="15" customHeight="1" x14ac:dyDescent="0.15">
      <c r="A10" s="8223"/>
      <c r="B10" s="8223"/>
      <c r="C10" s="8223"/>
      <c r="D10" s="6856"/>
      <c r="E10" s="6857"/>
      <c r="F10" s="6844"/>
      <c r="G10" s="8214" t="s">
        <v>493</v>
      </c>
      <c r="H10" s="8214"/>
      <c r="I10" s="8214" t="s">
        <v>559</v>
      </c>
      <c r="J10" s="8214"/>
      <c r="K10" s="8214" t="s">
        <v>560</v>
      </c>
      <c r="L10" s="8214"/>
      <c r="M10" s="8214" t="s">
        <v>561</v>
      </c>
      <c r="N10" s="8214"/>
      <c r="O10" s="8214" t="s">
        <v>562</v>
      </c>
      <c r="P10" s="8214"/>
      <c r="Q10" s="8214" t="s">
        <v>563</v>
      </c>
      <c r="R10" s="8214"/>
      <c r="S10" s="8214" t="s">
        <v>564</v>
      </c>
      <c r="T10" s="8214"/>
      <c r="U10" s="8214" t="s">
        <v>565</v>
      </c>
      <c r="V10" s="8214"/>
      <c r="W10" s="8214" t="s">
        <v>555</v>
      </c>
      <c r="X10" s="8214"/>
      <c r="Y10" s="8214" t="s">
        <v>556</v>
      </c>
      <c r="Z10" s="8214"/>
      <c r="AA10" s="8214" t="s">
        <v>945</v>
      </c>
      <c r="AB10" s="8214"/>
    </row>
    <row r="11" spans="1:28" s="170" customFormat="1" ht="15" customHeight="1" x14ac:dyDescent="0.15">
      <c r="A11" s="8223"/>
      <c r="B11" s="8223"/>
      <c r="C11" s="8223"/>
      <c r="D11" s="1910" t="s">
        <v>26</v>
      </c>
      <c r="E11" s="1909" t="s">
        <v>22</v>
      </c>
      <c r="F11" s="1428" t="s">
        <v>27</v>
      </c>
      <c r="G11" s="2004" t="s">
        <v>22</v>
      </c>
      <c r="H11" s="1784" t="s">
        <v>27</v>
      </c>
      <c r="I11" s="2020" t="s">
        <v>22</v>
      </c>
      <c r="J11" s="1781" t="s">
        <v>27</v>
      </c>
      <c r="K11" s="2020" t="s">
        <v>22</v>
      </c>
      <c r="L11" s="1781" t="s">
        <v>27</v>
      </c>
      <c r="M11" s="2020" t="s">
        <v>22</v>
      </c>
      <c r="N11" s="1781" t="s">
        <v>27</v>
      </c>
      <c r="O11" s="2020" t="s">
        <v>22</v>
      </c>
      <c r="P11" s="1781" t="s">
        <v>27</v>
      </c>
      <c r="Q11" s="2020" t="s">
        <v>22</v>
      </c>
      <c r="R11" s="1781" t="s">
        <v>27</v>
      </c>
      <c r="S11" s="2020" t="s">
        <v>22</v>
      </c>
      <c r="T11" s="1781" t="s">
        <v>27</v>
      </c>
      <c r="U11" s="2020" t="s">
        <v>22</v>
      </c>
      <c r="V11" s="1781" t="s">
        <v>27</v>
      </c>
      <c r="W11" s="2020" t="s">
        <v>22</v>
      </c>
      <c r="X11" s="1781" t="s">
        <v>27</v>
      </c>
      <c r="Y11" s="2020" t="s">
        <v>22</v>
      </c>
      <c r="Z11" s="1781" t="s">
        <v>27</v>
      </c>
      <c r="AA11" s="2020" t="s">
        <v>22</v>
      </c>
      <c r="AB11" s="1781" t="s">
        <v>27</v>
      </c>
    </row>
    <row r="12" spans="1:28" s="170" customFormat="1" ht="15" customHeight="1" x14ac:dyDescent="0.15">
      <c r="A12" s="8051" t="s">
        <v>1732</v>
      </c>
      <c r="B12" s="1967" t="s">
        <v>1731</v>
      </c>
      <c r="C12" s="2019" t="s">
        <v>1738</v>
      </c>
      <c r="D12" s="2018">
        <f>SUM(E12+F12)</f>
        <v>0</v>
      </c>
      <c r="E12" s="2017">
        <f t="shared" ref="E12:F15" si="0">SUM(G12+I12+K12+M12+O12+Q12+S12+U12+W12+Y12+AA12)</f>
        <v>0</v>
      </c>
      <c r="F12" s="2016">
        <f t="shared" si="0"/>
        <v>0</v>
      </c>
      <c r="G12" s="1904"/>
      <c r="H12" s="2003"/>
      <c r="I12" s="1904"/>
      <c r="J12" s="2003"/>
      <c r="K12" s="1904"/>
      <c r="L12" s="2003"/>
      <c r="M12" s="1904"/>
      <c r="N12" s="2003"/>
      <c r="O12" s="1904"/>
      <c r="P12" s="2003"/>
      <c r="Q12" s="1904"/>
      <c r="R12" s="2003"/>
      <c r="S12" s="1904"/>
      <c r="T12" s="2003"/>
      <c r="U12" s="1904"/>
      <c r="V12" s="2003"/>
      <c r="W12" s="1904"/>
      <c r="X12" s="2003"/>
      <c r="Y12" s="1904"/>
      <c r="Z12" s="2003"/>
      <c r="AA12" s="1904"/>
      <c r="AB12" s="2003"/>
    </row>
    <row r="13" spans="1:28" s="170" customFormat="1" ht="15" customHeight="1" x14ac:dyDescent="0.15">
      <c r="A13" s="6458"/>
      <c r="B13" s="1757" t="s">
        <v>1730</v>
      </c>
      <c r="C13" s="2015" t="s">
        <v>1738</v>
      </c>
      <c r="D13" s="156">
        <f>SUM(E13+F13)</f>
        <v>0</v>
      </c>
      <c r="E13" s="157">
        <f t="shared" si="0"/>
        <v>0</v>
      </c>
      <c r="F13" s="3631">
        <f t="shared" si="0"/>
        <v>0</v>
      </c>
      <c r="G13" s="1901"/>
      <c r="H13" s="2000"/>
      <c r="I13" s="106"/>
      <c r="J13" s="105"/>
      <c r="K13" s="106"/>
      <c r="L13" s="105"/>
      <c r="M13" s="106"/>
      <c r="N13" s="105"/>
      <c r="O13" s="106"/>
      <c r="P13" s="105"/>
      <c r="Q13" s="106"/>
      <c r="R13" s="105"/>
      <c r="S13" s="106"/>
      <c r="T13" s="105"/>
      <c r="U13" s="106"/>
      <c r="V13" s="105"/>
      <c r="W13" s="106"/>
      <c r="X13" s="105"/>
      <c r="Y13" s="106"/>
      <c r="Z13" s="105"/>
      <c r="AA13" s="106"/>
      <c r="AB13" s="105"/>
    </row>
    <row r="14" spans="1:28" s="170" customFormat="1" ht="15" customHeight="1" x14ac:dyDescent="0.15">
      <c r="A14" s="7611" t="s">
        <v>1723</v>
      </c>
      <c r="B14" s="8224"/>
      <c r="C14" s="2011" t="s">
        <v>1738</v>
      </c>
      <c r="D14" s="4432">
        <f>SUM(E14+F14)</f>
        <v>0</v>
      </c>
      <c r="E14" s="4433">
        <f t="shared" si="0"/>
        <v>0</v>
      </c>
      <c r="F14" s="4434">
        <f t="shared" si="0"/>
        <v>0</v>
      </c>
      <c r="G14" s="2010"/>
      <c r="H14" s="1441"/>
      <c r="I14" s="2010"/>
      <c r="J14" s="1441"/>
      <c r="K14" s="2010"/>
      <c r="L14" s="1441"/>
      <c r="M14" s="2010"/>
      <c r="N14" s="1441"/>
      <c r="O14" s="2010"/>
      <c r="P14" s="1441"/>
      <c r="Q14" s="2010"/>
      <c r="R14" s="1441"/>
      <c r="S14" s="2010"/>
      <c r="T14" s="1441"/>
      <c r="U14" s="2010"/>
      <c r="V14" s="1441"/>
      <c r="W14" s="2010"/>
      <c r="X14" s="1441"/>
      <c r="Y14" s="2010"/>
      <c r="Z14" s="1441"/>
      <c r="AA14" s="2010"/>
      <c r="AB14" s="1441"/>
    </row>
    <row r="15" spans="1:28" s="170" customFormat="1" ht="15" customHeight="1" x14ac:dyDescent="0.15">
      <c r="A15" s="8217" t="s">
        <v>24</v>
      </c>
      <c r="B15" s="8218"/>
      <c r="C15" s="8219"/>
      <c r="D15" s="5800">
        <f>SUM(E15+F15)</f>
        <v>0</v>
      </c>
      <c r="E15" s="5801">
        <f t="shared" si="0"/>
        <v>0</v>
      </c>
      <c r="F15" s="5790">
        <f t="shared" si="0"/>
        <v>0</v>
      </c>
      <c r="G15" s="5811">
        <f t="shared" ref="G15:AB15" si="1">SUM(G12:G14)</f>
        <v>0</v>
      </c>
      <c r="H15" s="5812">
        <f t="shared" si="1"/>
        <v>0</v>
      </c>
      <c r="I15" s="5811">
        <f t="shared" si="1"/>
        <v>0</v>
      </c>
      <c r="J15" s="5812">
        <f t="shared" si="1"/>
        <v>0</v>
      </c>
      <c r="K15" s="5811">
        <f t="shared" si="1"/>
        <v>0</v>
      </c>
      <c r="L15" s="5812">
        <f t="shared" si="1"/>
        <v>0</v>
      </c>
      <c r="M15" s="5811">
        <f t="shared" si="1"/>
        <v>0</v>
      </c>
      <c r="N15" s="5812">
        <f t="shared" si="1"/>
        <v>0</v>
      </c>
      <c r="O15" s="5811">
        <f t="shared" si="1"/>
        <v>0</v>
      </c>
      <c r="P15" s="5812">
        <f t="shared" si="1"/>
        <v>0</v>
      </c>
      <c r="Q15" s="5811">
        <f t="shared" si="1"/>
        <v>0</v>
      </c>
      <c r="R15" s="5812">
        <f t="shared" si="1"/>
        <v>0</v>
      </c>
      <c r="S15" s="5811">
        <f t="shared" si="1"/>
        <v>0</v>
      </c>
      <c r="T15" s="5812">
        <f t="shared" si="1"/>
        <v>0</v>
      </c>
      <c r="U15" s="5811">
        <f t="shared" si="1"/>
        <v>0</v>
      </c>
      <c r="V15" s="5812">
        <f t="shared" si="1"/>
        <v>0</v>
      </c>
      <c r="W15" s="5811">
        <f t="shared" si="1"/>
        <v>0</v>
      </c>
      <c r="X15" s="5812">
        <f t="shared" si="1"/>
        <v>0</v>
      </c>
      <c r="Y15" s="5811">
        <f t="shared" si="1"/>
        <v>0</v>
      </c>
      <c r="Z15" s="5812">
        <f t="shared" si="1"/>
        <v>0</v>
      </c>
      <c r="AA15" s="5811">
        <f t="shared" si="1"/>
        <v>0</v>
      </c>
      <c r="AB15" s="5812">
        <f t="shared" si="1"/>
        <v>0</v>
      </c>
    </row>
    <row r="16" spans="1:28" s="170" customFormat="1" ht="15" customHeight="1" x14ac:dyDescent="0.15">
      <c r="A16" s="8220" t="s">
        <v>1737</v>
      </c>
      <c r="B16" s="8221"/>
      <c r="C16" s="8222"/>
      <c r="D16" s="589"/>
      <c r="E16" s="4889"/>
      <c r="F16" s="2009"/>
      <c r="G16" s="4889"/>
      <c r="H16" s="4889"/>
      <c r="I16" s="4889"/>
      <c r="J16" s="2009"/>
      <c r="K16" s="4889"/>
      <c r="L16" s="2009"/>
      <c r="M16" s="4889"/>
      <c r="N16" s="2009"/>
      <c r="O16" s="4889"/>
      <c r="P16" s="2009"/>
      <c r="Q16" s="4889"/>
      <c r="R16" s="2009"/>
      <c r="S16" s="4889"/>
      <c r="T16" s="2009"/>
      <c r="U16" s="4889"/>
      <c r="V16" s="2009"/>
      <c r="W16" s="4889"/>
      <c r="X16" s="2009"/>
      <c r="Y16" s="4889"/>
      <c r="Z16" s="5296"/>
      <c r="AA16" s="4889"/>
      <c r="AB16" s="5296"/>
    </row>
    <row r="17" spans="1:30" s="170" customFormat="1" ht="15" customHeight="1" x14ac:dyDescent="0.15">
      <c r="A17" s="7459" t="s">
        <v>1736</v>
      </c>
      <c r="B17" s="6582"/>
      <c r="C17" s="6583"/>
      <c r="D17" s="1901"/>
      <c r="E17" s="2006"/>
      <c r="F17" s="2007"/>
      <c r="G17" s="2006"/>
      <c r="H17" s="2006"/>
      <c r="I17" s="2006"/>
      <c r="J17" s="2007"/>
      <c r="K17" s="2006"/>
      <c r="L17" s="2007"/>
      <c r="M17" s="2006"/>
      <c r="N17" s="2007"/>
      <c r="O17" s="2006"/>
      <c r="P17" s="2007"/>
      <c r="Q17" s="2006"/>
      <c r="R17" s="2007"/>
      <c r="S17" s="2006"/>
      <c r="T17" s="2007"/>
      <c r="U17" s="2006"/>
      <c r="V17" s="2007"/>
      <c r="W17" s="2006"/>
      <c r="X17" s="2007"/>
      <c r="Y17" s="2006"/>
      <c r="Z17" s="2005"/>
      <c r="AA17" s="2006"/>
      <c r="AB17" s="2005"/>
    </row>
    <row r="18" spans="1:30" s="17" customFormat="1" ht="18" customHeight="1" x14ac:dyDescent="0.2">
      <c r="A18" s="8182" t="s">
        <v>1735</v>
      </c>
      <c r="B18" s="8182"/>
      <c r="C18" s="8182"/>
    </row>
    <row r="19" spans="1:30" ht="15" customHeight="1" x14ac:dyDescent="0.25">
      <c r="A19" s="8223" t="s">
        <v>1734</v>
      </c>
      <c r="B19" s="8223" t="s">
        <v>1639</v>
      </c>
      <c r="C19" s="8223"/>
      <c r="D19" s="6493" t="s">
        <v>24</v>
      </c>
      <c r="E19" s="6468"/>
      <c r="F19" s="6903"/>
      <c r="G19" s="8157" t="s">
        <v>30</v>
      </c>
      <c r="H19" s="6902"/>
      <c r="I19" s="6902"/>
      <c r="J19" s="6902"/>
      <c r="K19" s="6902"/>
      <c r="L19" s="6902"/>
      <c r="M19" s="6902"/>
      <c r="N19" s="6902"/>
      <c r="O19" s="6902"/>
      <c r="P19" s="6902"/>
      <c r="Q19" s="6902"/>
      <c r="R19" s="6902"/>
      <c r="S19" s="6902"/>
      <c r="T19" s="6902"/>
      <c r="U19" s="6902"/>
      <c r="V19" s="6902"/>
      <c r="W19" s="6902"/>
      <c r="X19" s="6902"/>
      <c r="Y19" s="6902"/>
      <c r="Z19" s="6902"/>
      <c r="AA19" s="6902"/>
      <c r="AB19" s="6902"/>
      <c r="AC19" s="6902"/>
      <c r="AD19" s="6910"/>
    </row>
    <row r="20" spans="1:30" ht="15" customHeight="1" x14ac:dyDescent="0.25">
      <c r="A20" s="8223"/>
      <c r="B20" s="8223"/>
      <c r="C20" s="8223"/>
      <c r="D20" s="6856"/>
      <c r="E20" s="6857"/>
      <c r="F20" s="6857"/>
      <c r="G20" s="8216" t="s">
        <v>1733</v>
      </c>
      <c r="H20" s="6913"/>
      <c r="I20" s="8214" t="s">
        <v>493</v>
      </c>
      <c r="J20" s="8214"/>
      <c r="K20" s="8214" t="s">
        <v>559</v>
      </c>
      <c r="L20" s="8214"/>
      <c r="M20" s="8214" t="s">
        <v>560</v>
      </c>
      <c r="N20" s="8214"/>
      <c r="O20" s="8214" t="s">
        <v>561</v>
      </c>
      <c r="P20" s="8214"/>
      <c r="Q20" s="8214" t="s">
        <v>562</v>
      </c>
      <c r="R20" s="8214"/>
      <c r="S20" s="8214" t="s">
        <v>563</v>
      </c>
      <c r="T20" s="8214"/>
      <c r="U20" s="8214" t="s">
        <v>564</v>
      </c>
      <c r="V20" s="8214"/>
      <c r="W20" s="8214" t="s">
        <v>565</v>
      </c>
      <c r="X20" s="8214"/>
      <c r="Y20" s="8214" t="s">
        <v>555</v>
      </c>
      <c r="Z20" s="8214"/>
      <c r="AA20" s="8214" t="s">
        <v>556</v>
      </c>
      <c r="AB20" s="8214"/>
      <c r="AC20" s="8214" t="s">
        <v>945</v>
      </c>
      <c r="AD20" s="8214"/>
    </row>
    <row r="21" spans="1:30" ht="15" customHeight="1" x14ac:dyDescent="0.25">
      <c r="A21" s="8223"/>
      <c r="B21" s="8223"/>
      <c r="C21" s="8223"/>
      <c r="D21" s="1910" t="s">
        <v>26</v>
      </c>
      <c r="E21" s="1909" t="s">
        <v>22</v>
      </c>
      <c r="F21" s="1783" t="s">
        <v>27</v>
      </c>
      <c r="G21" s="2004" t="s">
        <v>22</v>
      </c>
      <c r="H21" s="1784" t="s">
        <v>27</v>
      </c>
      <c r="I21" s="2004" t="s">
        <v>22</v>
      </c>
      <c r="J21" s="1784" t="s">
        <v>27</v>
      </c>
      <c r="K21" s="2004" t="s">
        <v>22</v>
      </c>
      <c r="L21" s="1785" t="s">
        <v>27</v>
      </c>
      <c r="M21" s="2004" t="s">
        <v>22</v>
      </c>
      <c r="N21" s="1784" t="s">
        <v>27</v>
      </c>
      <c r="O21" s="2004" t="s">
        <v>22</v>
      </c>
      <c r="P21" s="1784" t="s">
        <v>27</v>
      </c>
      <c r="Q21" s="2004" t="s">
        <v>22</v>
      </c>
      <c r="R21" s="1784" t="s">
        <v>27</v>
      </c>
      <c r="S21" s="2004" t="s">
        <v>22</v>
      </c>
      <c r="T21" s="1784" t="s">
        <v>27</v>
      </c>
      <c r="U21" s="2004" t="s">
        <v>22</v>
      </c>
      <c r="V21" s="1784" t="s">
        <v>27</v>
      </c>
      <c r="W21" s="2004" t="s">
        <v>22</v>
      </c>
      <c r="X21" s="1784" t="s">
        <v>27</v>
      </c>
      <c r="Y21" s="2004" t="s">
        <v>22</v>
      </c>
      <c r="Z21" s="1784" t="s">
        <v>27</v>
      </c>
      <c r="AA21" s="2004" t="s">
        <v>22</v>
      </c>
      <c r="AB21" s="1784" t="s">
        <v>27</v>
      </c>
      <c r="AC21" s="2004" t="s">
        <v>22</v>
      </c>
      <c r="AD21" s="1784" t="s">
        <v>27</v>
      </c>
    </row>
    <row r="22" spans="1:30" ht="15" customHeight="1" x14ac:dyDescent="0.25">
      <c r="A22" s="6458" t="s">
        <v>1732</v>
      </c>
      <c r="B22" s="6488" t="s">
        <v>1731</v>
      </c>
      <c r="C22" s="1998" t="s">
        <v>1729</v>
      </c>
      <c r="D22" s="145">
        <f t="shared" ref="D22:D27" si="2">SUM(E22+F22)</f>
        <v>0</v>
      </c>
      <c r="E22" s="1997">
        <f t="shared" ref="E22:F27" si="3">SUM(G22+I22+K22+M22+O22+Q22+S22+U22+W22+Y22+AA22+AC22)</f>
        <v>0</v>
      </c>
      <c r="F22" s="1996">
        <f t="shared" si="3"/>
        <v>0</v>
      </c>
      <c r="G22" s="106"/>
      <c r="H22" s="590"/>
      <c r="I22" s="106"/>
      <c r="J22" s="590"/>
      <c r="K22" s="1904"/>
      <c r="L22" s="2003"/>
      <c r="M22" s="2002"/>
      <c r="N22" s="2001"/>
      <c r="O22" s="2002"/>
      <c r="P22" s="2001"/>
      <c r="Q22" s="2002"/>
      <c r="R22" s="2001"/>
      <c r="S22" s="2002"/>
      <c r="T22" s="2001"/>
      <c r="U22" s="2002"/>
      <c r="V22" s="2001"/>
      <c r="W22" s="2002"/>
      <c r="X22" s="2001"/>
      <c r="Y22" s="2002"/>
      <c r="Z22" s="2001"/>
      <c r="AA22" s="1904"/>
      <c r="AB22" s="2001"/>
      <c r="AC22" s="1904"/>
      <c r="AD22" s="2001"/>
    </row>
    <row r="23" spans="1:30" ht="15" customHeight="1" x14ac:dyDescent="0.25">
      <c r="A23" s="6458"/>
      <c r="B23" s="8140"/>
      <c r="C23" s="1780" t="s">
        <v>1728</v>
      </c>
      <c r="D23" s="217">
        <f t="shared" si="2"/>
        <v>0</v>
      </c>
      <c r="E23" s="95">
        <f t="shared" si="3"/>
        <v>0</v>
      </c>
      <c r="F23" s="1993">
        <f t="shared" si="3"/>
        <v>0</v>
      </c>
      <c r="G23" s="114"/>
      <c r="H23" s="116"/>
      <c r="I23" s="114"/>
      <c r="J23" s="116"/>
      <c r="K23" s="1901"/>
      <c r="L23" s="2000"/>
      <c r="M23" s="1999"/>
      <c r="N23" s="1091"/>
      <c r="O23" s="1999"/>
      <c r="P23" s="1091"/>
      <c r="Q23" s="1999"/>
      <c r="R23" s="1091"/>
      <c r="S23" s="1999"/>
      <c r="T23" s="1091"/>
      <c r="U23" s="1999"/>
      <c r="V23" s="1091"/>
      <c r="W23" s="1999"/>
      <c r="X23" s="1091"/>
      <c r="Y23" s="1999"/>
      <c r="Z23" s="1091"/>
      <c r="AA23" s="1999"/>
      <c r="AB23" s="1091"/>
      <c r="AC23" s="1999"/>
      <c r="AD23" s="1091"/>
    </row>
    <row r="24" spans="1:30" ht="15" customHeight="1" x14ac:dyDescent="0.25">
      <c r="A24" s="6458"/>
      <c r="B24" s="6488" t="s">
        <v>1730</v>
      </c>
      <c r="C24" s="1998" t="s">
        <v>1729</v>
      </c>
      <c r="D24" s="1054">
        <f t="shared" si="2"/>
        <v>0</v>
      </c>
      <c r="E24" s="1997">
        <f t="shared" si="3"/>
        <v>0</v>
      </c>
      <c r="F24" s="1996">
        <f t="shared" si="3"/>
        <v>0</v>
      </c>
      <c r="G24" s="1089"/>
      <c r="H24" s="1077"/>
      <c r="I24" s="1089"/>
      <c r="J24" s="1077"/>
      <c r="K24" s="1089"/>
      <c r="L24" s="83"/>
      <c r="M24" s="1440"/>
      <c r="N24" s="1077"/>
      <c r="O24" s="1440"/>
      <c r="P24" s="1077"/>
      <c r="Q24" s="1440"/>
      <c r="R24" s="1077"/>
      <c r="S24" s="1440"/>
      <c r="T24" s="1077"/>
      <c r="U24" s="1440"/>
      <c r="V24" s="1077"/>
      <c r="W24" s="1440"/>
      <c r="X24" s="1077"/>
      <c r="Y24" s="1440"/>
      <c r="Z24" s="1077"/>
      <c r="AA24" s="1440"/>
      <c r="AB24" s="1077"/>
      <c r="AC24" s="1440"/>
      <c r="AD24" s="1077"/>
    </row>
    <row r="25" spans="1:30" ht="15" customHeight="1" x14ac:dyDescent="0.25">
      <c r="A25" s="8215"/>
      <c r="B25" s="8140"/>
      <c r="C25" s="1780" t="s">
        <v>1728</v>
      </c>
      <c r="D25" s="217">
        <f t="shared" si="2"/>
        <v>0</v>
      </c>
      <c r="E25" s="95">
        <f t="shared" si="3"/>
        <v>0</v>
      </c>
      <c r="F25" s="1993">
        <f t="shared" si="3"/>
        <v>0</v>
      </c>
      <c r="G25" s="114"/>
      <c r="H25" s="116"/>
      <c r="I25" s="114"/>
      <c r="J25" s="116"/>
      <c r="K25" s="114"/>
      <c r="L25" s="117"/>
      <c r="M25" s="118"/>
      <c r="N25" s="116"/>
      <c r="O25" s="118"/>
      <c r="P25" s="116"/>
      <c r="Q25" s="118"/>
      <c r="R25" s="116"/>
      <c r="S25" s="118"/>
      <c r="T25" s="116"/>
      <c r="U25" s="118"/>
      <c r="V25" s="116"/>
      <c r="W25" s="118"/>
      <c r="X25" s="116"/>
      <c r="Y25" s="118"/>
      <c r="Z25" s="116"/>
      <c r="AA25" s="118"/>
      <c r="AB25" s="116"/>
      <c r="AC25" s="118"/>
      <c r="AD25" s="116"/>
    </row>
    <row r="26" spans="1:30" ht="15" customHeight="1" x14ac:dyDescent="0.25">
      <c r="A26" s="8191" t="s">
        <v>1723</v>
      </c>
      <c r="B26" s="7474"/>
      <c r="C26" s="1445" t="s">
        <v>1729</v>
      </c>
      <c r="D26" s="189">
        <f t="shared" si="2"/>
        <v>0</v>
      </c>
      <c r="E26" s="1997">
        <f t="shared" si="3"/>
        <v>0</v>
      </c>
      <c r="F26" s="1996">
        <f t="shared" si="3"/>
        <v>0</v>
      </c>
      <c r="G26" s="1995"/>
      <c r="H26" s="1429"/>
      <c r="I26" s="1995"/>
      <c r="J26" s="1429"/>
      <c r="K26" s="131"/>
      <c r="L26" s="878"/>
      <c r="M26" s="1995"/>
      <c r="N26" s="1429"/>
      <c r="O26" s="1995"/>
      <c r="P26" s="1429"/>
      <c r="Q26" s="1995"/>
      <c r="R26" s="1429"/>
      <c r="S26" s="1995"/>
      <c r="T26" s="1429"/>
      <c r="U26" s="1995"/>
      <c r="V26" s="1429"/>
      <c r="W26" s="1995"/>
      <c r="X26" s="1429"/>
      <c r="Y26" s="1995"/>
      <c r="Z26" s="1429"/>
      <c r="AA26" s="1995"/>
      <c r="AB26" s="1429"/>
      <c r="AC26" s="1995"/>
      <c r="AD26" s="1429"/>
    </row>
    <row r="27" spans="1:30" ht="15" customHeight="1" x14ac:dyDescent="0.25">
      <c r="A27" s="8192"/>
      <c r="B27" s="8193"/>
      <c r="C27" s="1994" t="s">
        <v>1728</v>
      </c>
      <c r="D27" s="217">
        <f t="shared" si="2"/>
        <v>0</v>
      </c>
      <c r="E27" s="95">
        <f t="shared" si="3"/>
        <v>0</v>
      </c>
      <c r="F27" s="1993">
        <f t="shared" si="3"/>
        <v>0</v>
      </c>
      <c r="G27" s="118"/>
      <c r="H27" s="116"/>
      <c r="I27" s="118"/>
      <c r="J27" s="116"/>
      <c r="K27" s="114"/>
      <c r="L27" s="117"/>
      <c r="M27" s="118"/>
      <c r="N27" s="116"/>
      <c r="O27" s="118"/>
      <c r="P27" s="116"/>
      <c r="Q27" s="118"/>
      <c r="R27" s="116"/>
      <c r="S27" s="118"/>
      <c r="T27" s="116"/>
      <c r="U27" s="118"/>
      <c r="V27" s="116"/>
      <c r="W27" s="118"/>
      <c r="X27" s="116"/>
      <c r="Y27" s="118"/>
      <c r="Z27" s="116"/>
      <c r="AA27" s="118"/>
      <c r="AB27" s="116"/>
      <c r="AC27" s="118"/>
      <c r="AD27" s="116"/>
    </row>
    <row r="28" spans="1:30" ht="15" customHeight="1" x14ac:dyDescent="0.25">
      <c r="A28" s="8194" t="s">
        <v>24</v>
      </c>
      <c r="B28" s="8195"/>
      <c r="C28" s="8196"/>
      <c r="D28" s="1992">
        <f t="shared" ref="D28:AD28" si="4">SUM(D22:D27)</f>
        <v>0</v>
      </c>
      <c r="E28" s="1991">
        <f t="shared" si="4"/>
        <v>0</v>
      </c>
      <c r="F28" s="1990">
        <f t="shared" si="4"/>
        <v>0</v>
      </c>
      <c r="G28" s="1987">
        <f t="shared" si="4"/>
        <v>0</v>
      </c>
      <c r="H28" s="1102">
        <f t="shared" si="4"/>
        <v>0</v>
      </c>
      <c r="I28" s="1987">
        <f t="shared" si="4"/>
        <v>0</v>
      </c>
      <c r="J28" s="1102">
        <f t="shared" si="4"/>
        <v>0</v>
      </c>
      <c r="K28" s="1989">
        <f t="shared" si="4"/>
        <v>0</v>
      </c>
      <c r="L28" s="1988">
        <f t="shared" si="4"/>
        <v>0</v>
      </c>
      <c r="M28" s="1987">
        <f t="shared" si="4"/>
        <v>0</v>
      </c>
      <c r="N28" s="1102">
        <f t="shared" si="4"/>
        <v>0</v>
      </c>
      <c r="O28" s="1987">
        <f t="shared" si="4"/>
        <v>0</v>
      </c>
      <c r="P28" s="1102">
        <f t="shared" si="4"/>
        <v>0</v>
      </c>
      <c r="Q28" s="1987">
        <f t="shared" si="4"/>
        <v>0</v>
      </c>
      <c r="R28" s="1102">
        <f t="shared" si="4"/>
        <v>0</v>
      </c>
      <c r="S28" s="1987">
        <f t="shared" si="4"/>
        <v>0</v>
      </c>
      <c r="T28" s="1102">
        <f t="shared" si="4"/>
        <v>0</v>
      </c>
      <c r="U28" s="1987">
        <f t="shared" si="4"/>
        <v>0</v>
      </c>
      <c r="V28" s="1102">
        <f t="shared" si="4"/>
        <v>0</v>
      </c>
      <c r="W28" s="1987">
        <f t="shared" si="4"/>
        <v>0</v>
      </c>
      <c r="X28" s="1102">
        <f t="shared" si="4"/>
        <v>0</v>
      </c>
      <c r="Y28" s="1987">
        <f t="shared" si="4"/>
        <v>0</v>
      </c>
      <c r="Z28" s="1102">
        <f t="shared" si="4"/>
        <v>0</v>
      </c>
      <c r="AA28" s="1987">
        <f t="shared" si="4"/>
        <v>0</v>
      </c>
      <c r="AB28" s="1102">
        <f t="shared" si="4"/>
        <v>0</v>
      </c>
      <c r="AC28" s="1987">
        <f t="shared" si="4"/>
        <v>0</v>
      </c>
      <c r="AD28" s="1102">
        <f t="shared" si="4"/>
        <v>0</v>
      </c>
    </row>
    <row r="29" spans="1:30" s="17" customFormat="1" ht="18" customHeight="1" x14ac:dyDescent="0.2">
      <c r="A29" s="8197" t="s">
        <v>1727</v>
      </c>
      <c r="B29" s="8197"/>
      <c r="C29" s="8197"/>
      <c r="D29" s="8197"/>
      <c r="E29" s="8197"/>
      <c r="F29" s="8197"/>
    </row>
    <row r="30" spans="1:30" ht="15" customHeight="1" x14ac:dyDescent="0.25">
      <c r="A30" s="1986" t="s">
        <v>1726</v>
      </c>
      <c r="B30" s="1986" t="s">
        <v>112</v>
      </c>
      <c r="C30" s="8207" t="s">
        <v>1725</v>
      </c>
      <c r="D30" s="8208"/>
      <c r="E30" s="1985" t="s">
        <v>24</v>
      </c>
      <c r="F30" s="1984" t="s">
        <v>1724</v>
      </c>
      <c r="G30" s="1984" t="s">
        <v>1723</v>
      </c>
    </row>
    <row r="31" spans="1:30" ht="15" customHeight="1" x14ac:dyDescent="0.25">
      <c r="A31" s="7999" t="s">
        <v>1722</v>
      </c>
      <c r="B31" s="8209" t="s">
        <v>1721</v>
      </c>
      <c r="C31" s="8210" t="s">
        <v>1720</v>
      </c>
      <c r="D31" s="8211"/>
      <c r="E31" s="1979">
        <f t="shared" ref="E31:E61" si="5">SUM(F31:G31)</f>
        <v>0</v>
      </c>
      <c r="F31" s="1978"/>
      <c r="G31" s="1978"/>
    </row>
    <row r="32" spans="1:30" ht="15" customHeight="1" x14ac:dyDescent="0.25">
      <c r="A32" s="8170"/>
      <c r="B32" s="8209"/>
      <c r="C32" s="8212" t="s">
        <v>1719</v>
      </c>
      <c r="D32" s="8213"/>
      <c r="E32" s="1975">
        <f t="shared" si="5"/>
        <v>0</v>
      </c>
      <c r="F32" s="1974"/>
      <c r="G32" s="1974"/>
    </row>
    <row r="33" spans="1:7" ht="15" customHeight="1" x14ac:dyDescent="0.25">
      <c r="A33" s="8170"/>
      <c r="B33" s="8209"/>
      <c r="C33" s="8186" t="s">
        <v>1718</v>
      </c>
      <c r="D33" s="8187"/>
      <c r="E33" s="635">
        <f t="shared" si="5"/>
        <v>0</v>
      </c>
      <c r="F33" s="384"/>
      <c r="G33" s="384"/>
    </row>
    <row r="34" spans="1:7" ht="15" customHeight="1" x14ac:dyDescent="0.25">
      <c r="A34" s="8170"/>
      <c r="B34" s="7999" t="s">
        <v>1717</v>
      </c>
      <c r="C34" s="8184" t="s">
        <v>1716</v>
      </c>
      <c r="D34" s="8185"/>
      <c r="E34" s="1977">
        <f t="shared" si="5"/>
        <v>0</v>
      </c>
      <c r="F34" s="1976"/>
      <c r="G34" s="1976"/>
    </row>
    <row r="35" spans="1:7" ht="15" customHeight="1" x14ac:dyDescent="0.25">
      <c r="A35" s="8170"/>
      <c r="B35" s="8171"/>
      <c r="C35" s="8186" t="s">
        <v>1715</v>
      </c>
      <c r="D35" s="8187"/>
      <c r="E35" s="635">
        <f t="shared" si="5"/>
        <v>0</v>
      </c>
      <c r="F35" s="384"/>
      <c r="G35" s="384"/>
    </row>
    <row r="36" spans="1:7" ht="15" customHeight="1" x14ac:dyDescent="0.25">
      <c r="A36" s="8170"/>
      <c r="B36" s="8188" t="s">
        <v>1714</v>
      </c>
      <c r="C36" s="8184" t="s">
        <v>1713</v>
      </c>
      <c r="D36" s="8185"/>
      <c r="E36" s="1977">
        <f t="shared" si="5"/>
        <v>0</v>
      </c>
      <c r="F36" s="1976"/>
      <c r="G36" s="1976"/>
    </row>
    <row r="37" spans="1:7" ht="15" customHeight="1" x14ac:dyDescent="0.25">
      <c r="A37" s="8170"/>
      <c r="B37" s="8189"/>
      <c r="C37" s="8180" t="s">
        <v>1712</v>
      </c>
      <c r="D37" s="8181"/>
      <c r="E37" s="635">
        <f t="shared" si="5"/>
        <v>0</v>
      </c>
      <c r="F37" s="384"/>
      <c r="G37" s="384"/>
    </row>
    <row r="38" spans="1:7" ht="15" customHeight="1" x14ac:dyDescent="0.25">
      <c r="A38" s="8170"/>
      <c r="B38" s="8188" t="s">
        <v>1711</v>
      </c>
      <c r="C38" s="8176" t="s">
        <v>1710</v>
      </c>
      <c r="D38" s="8177"/>
      <c r="E38" s="1977">
        <f t="shared" si="5"/>
        <v>0</v>
      </c>
      <c r="F38" s="1976"/>
      <c r="G38" s="1976"/>
    </row>
    <row r="39" spans="1:7" ht="15" customHeight="1" x14ac:dyDescent="0.25">
      <c r="A39" s="8170"/>
      <c r="B39" s="8190"/>
      <c r="C39" s="8178" t="s">
        <v>1709</v>
      </c>
      <c r="D39" s="8179"/>
      <c r="E39" s="1975">
        <f t="shared" si="5"/>
        <v>0</v>
      </c>
      <c r="F39" s="1974"/>
      <c r="G39" s="1974"/>
    </row>
    <row r="40" spans="1:7" ht="15" customHeight="1" x14ac:dyDescent="0.25">
      <c r="A40" s="8170"/>
      <c r="B40" s="8190"/>
      <c r="C40" s="8178" t="s">
        <v>1708</v>
      </c>
      <c r="D40" s="8179"/>
      <c r="E40" s="1975">
        <f t="shared" si="5"/>
        <v>0</v>
      </c>
      <c r="F40" s="1974"/>
      <c r="G40" s="1974"/>
    </row>
    <row r="41" spans="1:7" ht="15" customHeight="1" x14ac:dyDescent="0.25">
      <c r="A41" s="8171"/>
      <c r="B41" s="8189"/>
      <c r="C41" s="8180" t="s">
        <v>1707</v>
      </c>
      <c r="D41" s="8181"/>
      <c r="E41" s="635">
        <f t="shared" si="5"/>
        <v>0</v>
      </c>
      <c r="F41" s="384"/>
      <c r="G41" s="384"/>
    </row>
    <row r="42" spans="1:7" ht="15" customHeight="1" x14ac:dyDescent="0.25">
      <c r="A42" s="7999" t="s">
        <v>1706</v>
      </c>
      <c r="B42" s="7999" t="s">
        <v>1705</v>
      </c>
      <c r="C42" s="8172" t="s">
        <v>1704</v>
      </c>
      <c r="D42" s="8173"/>
      <c r="E42" s="1972">
        <f t="shared" si="5"/>
        <v>0</v>
      </c>
      <c r="F42" s="1971"/>
      <c r="G42" s="1971"/>
    </row>
    <row r="43" spans="1:7" ht="21" x14ac:dyDescent="0.25">
      <c r="A43" s="8170"/>
      <c r="B43" s="8170"/>
      <c r="C43" s="7999" t="s">
        <v>1703</v>
      </c>
      <c r="D43" s="1983" t="s">
        <v>1702</v>
      </c>
      <c r="E43" s="1981">
        <f t="shared" si="5"/>
        <v>0</v>
      </c>
      <c r="F43" s="1980"/>
      <c r="G43" s="1980"/>
    </row>
    <row r="44" spans="1:7" ht="31.5" x14ac:dyDescent="0.25">
      <c r="A44" s="8170"/>
      <c r="B44" s="8170"/>
      <c r="C44" s="8171"/>
      <c r="D44" s="1982" t="s">
        <v>1701</v>
      </c>
      <c r="E44" s="1981">
        <f t="shared" si="5"/>
        <v>0</v>
      </c>
      <c r="F44" s="1980"/>
      <c r="G44" s="1980"/>
    </row>
    <row r="45" spans="1:7" ht="15" customHeight="1" x14ac:dyDescent="0.25">
      <c r="A45" s="8170"/>
      <c r="B45" s="8170"/>
      <c r="C45" s="8174" t="s">
        <v>1700</v>
      </c>
      <c r="D45" s="8175"/>
      <c r="E45" s="1977">
        <f t="shared" si="5"/>
        <v>0</v>
      </c>
      <c r="F45" s="1976"/>
      <c r="G45" s="1976"/>
    </row>
    <row r="46" spans="1:7" ht="15" customHeight="1" x14ac:dyDescent="0.25">
      <c r="A46" s="8170"/>
      <c r="B46" s="8170"/>
      <c r="C46" s="8183" t="s">
        <v>1699</v>
      </c>
      <c r="D46" s="7585"/>
      <c r="E46" s="1975">
        <f t="shared" si="5"/>
        <v>0</v>
      </c>
      <c r="F46" s="1974"/>
      <c r="G46" s="1974"/>
    </row>
    <row r="47" spans="1:7" ht="15" customHeight="1" x14ac:dyDescent="0.25">
      <c r="A47" s="8170"/>
      <c r="B47" s="8170"/>
      <c r="C47" s="8183" t="s">
        <v>1698</v>
      </c>
      <c r="D47" s="7585"/>
      <c r="E47" s="1975">
        <f t="shared" si="5"/>
        <v>0</v>
      </c>
      <c r="F47" s="1974"/>
      <c r="G47" s="1974"/>
    </row>
    <row r="48" spans="1:7" ht="15" customHeight="1" x14ac:dyDescent="0.25">
      <c r="A48" s="8171"/>
      <c r="B48" s="8171"/>
      <c r="C48" s="8172" t="s">
        <v>1697</v>
      </c>
      <c r="D48" s="8173"/>
      <c r="E48" s="635">
        <f t="shared" si="5"/>
        <v>0</v>
      </c>
      <c r="F48" s="384"/>
      <c r="G48" s="384"/>
    </row>
    <row r="49" spans="1:8" ht="15" customHeight="1" x14ac:dyDescent="0.25">
      <c r="A49" s="7999" t="s">
        <v>1696</v>
      </c>
      <c r="B49" s="8174" t="s">
        <v>1695</v>
      </c>
      <c r="C49" s="8199"/>
      <c r="D49" s="8175"/>
      <c r="E49" s="1979">
        <f t="shared" si="5"/>
        <v>0</v>
      </c>
      <c r="F49" s="1978"/>
      <c r="G49" s="1978"/>
    </row>
    <row r="50" spans="1:8" ht="15" customHeight="1" x14ac:dyDescent="0.25">
      <c r="A50" s="8170"/>
      <c r="B50" s="8183" t="s">
        <v>1694</v>
      </c>
      <c r="C50" s="7584"/>
      <c r="D50" s="7585"/>
      <c r="E50" s="1975">
        <f t="shared" si="5"/>
        <v>0</v>
      </c>
      <c r="F50" s="1974"/>
      <c r="G50" s="1974"/>
    </row>
    <row r="51" spans="1:8" ht="15" customHeight="1" x14ac:dyDescent="0.25">
      <c r="A51" s="8170"/>
      <c r="B51" s="8183" t="s">
        <v>1693</v>
      </c>
      <c r="C51" s="7584"/>
      <c r="D51" s="7585"/>
      <c r="E51" s="1975">
        <f t="shared" si="5"/>
        <v>0</v>
      </c>
      <c r="F51" s="1974"/>
      <c r="G51" s="1974"/>
    </row>
    <row r="52" spans="1:8" ht="15" customHeight="1" x14ac:dyDescent="0.25">
      <c r="A52" s="8171"/>
      <c r="B52" s="7588" t="s">
        <v>1692</v>
      </c>
      <c r="C52" s="7589"/>
      <c r="D52" s="7590"/>
      <c r="E52" s="635">
        <f t="shared" si="5"/>
        <v>0</v>
      </c>
      <c r="F52" s="384"/>
      <c r="G52" s="384"/>
    </row>
    <row r="53" spans="1:8" ht="15" customHeight="1" x14ac:dyDescent="0.25">
      <c r="A53" s="8170" t="s">
        <v>1609</v>
      </c>
      <c r="B53" s="8204" t="s">
        <v>1691</v>
      </c>
      <c r="C53" s="8205"/>
      <c r="D53" s="8206"/>
      <c r="E53" s="1977">
        <f t="shared" si="5"/>
        <v>0</v>
      </c>
      <c r="F53" s="1976"/>
      <c r="G53" s="1976"/>
    </row>
    <row r="54" spans="1:8" ht="15" customHeight="1" x14ac:dyDescent="0.25">
      <c r="A54" s="8171"/>
      <c r="B54" s="7588" t="s">
        <v>1690</v>
      </c>
      <c r="C54" s="7589"/>
      <c r="D54" s="7590"/>
      <c r="E54" s="635">
        <f t="shared" si="5"/>
        <v>0</v>
      </c>
      <c r="F54" s="384"/>
      <c r="G54" s="384"/>
    </row>
    <row r="55" spans="1:8" ht="15" customHeight="1" x14ac:dyDescent="0.25">
      <c r="A55" s="7999" t="s">
        <v>1689</v>
      </c>
      <c r="B55" s="8174" t="s">
        <v>1688</v>
      </c>
      <c r="C55" s="8199"/>
      <c r="D55" s="8175"/>
      <c r="E55" s="1977">
        <f t="shared" si="5"/>
        <v>0</v>
      </c>
      <c r="F55" s="1976"/>
      <c r="G55" s="1976"/>
    </row>
    <row r="56" spans="1:8" ht="15" customHeight="1" x14ac:dyDescent="0.25">
      <c r="A56" s="8170"/>
      <c r="B56" s="8183" t="s">
        <v>1687</v>
      </c>
      <c r="C56" s="7584"/>
      <c r="D56" s="7585"/>
      <c r="E56" s="1975">
        <f t="shared" si="5"/>
        <v>0</v>
      </c>
      <c r="F56" s="1974"/>
      <c r="G56" s="1974"/>
    </row>
    <row r="57" spans="1:8" ht="15" customHeight="1" x14ac:dyDescent="0.25">
      <c r="A57" s="8170"/>
      <c r="B57" s="8183" t="s">
        <v>1686</v>
      </c>
      <c r="C57" s="7584"/>
      <c r="D57" s="7585"/>
      <c r="E57" s="1975">
        <f t="shared" si="5"/>
        <v>0</v>
      </c>
      <c r="F57" s="1974"/>
      <c r="G57" s="1974"/>
    </row>
    <row r="58" spans="1:8" ht="15" customHeight="1" x14ac:dyDescent="0.25">
      <c r="A58" s="8170"/>
      <c r="B58" s="8183" t="s">
        <v>1685</v>
      </c>
      <c r="C58" s="7584"/>
      <c r="D58" s="7585"/>
      <c r="E58" s="1975">
        <f t="shared" si="5"/>
        <v>0</v>
      </c>
      <c r="F58" s="1974"/>
      <c r="G58" s="1974"/>
    </row>
    <row r="59" spans="1:8" ht="15" customHeight="1" x14ac:dyDescent="0.25">
      <c r="A59" s="8170"/>
      <c r="B59" s="8183" t="s">
        <v>1684</v>
      </c>
      <c r="C59" s="7584"/>
      <c r="D59" s="7585"/>
      <c r="E59" s="1975">
        <f t="shared" si="5"/>
        <v>0</v>
      </c>
      <c r="F59" s="1974"/>
      <c r="G59" s="1974"/>
    </row>
    <row r="60" spans="1:8" ht="15" customHeight="1" x14ac:dyDescent="0.25">
      <c r="A60" s="8171"/>
      <c r="B60" s="8172" t="s">
        <v>1683</v>
      </c>
      <c r="C60" s="8200"/>
      <c r="D60" s="8173"/>
      <c r="E60" s="635">
        <f t="shared" si="5"/>
        <v>0</v>
      </c>
      <c r="F60" s="384"/>
      <c r="G60" s="384"/>
    </row>
    <row r="61" spans="1:8" ht="15" customHeight="1" x14ac:dyDescent="0.25">
      <c r="A61" s="1973" t="s">
        <v>1682</v>
      </c>
      <c r="B61" s="8201" t="s">
        <v>1681</v>
      </c>
      <c r="C61" s="8202"/>
      <c r="D61" s="8203"/>
      <c r="E61" s="1972">
        <f t="shared" si="5"/>
        <v>0</v>
      </c>
      <c r="F61" s="1971"/>
      <c r="G61" s="1971"/>
    </row>
    <row r="62" spans="1:8" s="17" customFormat="1" ht="18" customHeight="1" x14ac:dyDescent="0.2">
      <c r="A62" s="8198" t="s">
        <v>1680</v>
      </c>
      <c r="B62" s="8198"/>
      <c r="C62" s="8198"/>
      <c r="D62" s="8198"/>
      <c r="E62" s="1954"/>
      <c r="F62" s="1954"/>
      <c r="G62" s="1954"/>
      <c r="H62" s="1954"/>
    </row>
    <row r="63" spans="1:8" ht="15" customHeight="1" x14ac:dyDescent="0.25">
      <c r="A63" s="1786" t="s">
        <v>1679</v>
      </c>
      <c r="B63" s="1970" t="s">
        <v>24</v>
      </c>
    </row>
    <row r="64" spans="1:8" ht="15" customHeight="1" x14ac:dyDescent="0.25">
      <c r="A64" s="1967" t="s">
        <v>1678</v>
      </c>
      <c r="B64" s="1964"/>
    </row>
    <row r="65" spans="1:3" ht="15" customHeight="1" x14ac:dyDescent="0.25">
      <c r="A65" s="207" t="s">
        <v>1677</v>
      </c>
      <c r="B65" s="153"/>
    </row>
    <row r="66" spans="1:3" ht="15" customHeight="1" x14ac:dyDescent="0.25">
      <c r="A66" s="1969" t="s">
        <v>24</v>
      </c>
      <c r="B66" s="1968">
        <f>SUM(B64+B65)</f>
        <v>0</v>
      </c>
    </row>
    <row r="67" spans="1:3" s="17" customFormat="1" ht="18" customHeight="1" x14ac:dyDescent="0.2">
      <c r="A67" s="8149" t="s">
        <v>1676</v>
      </c>
      <c r="B67" s="8149"/>
      <c r="C67" s="8149"/>
    </row>
    <row r="68" spans="1:3" s="170" customFormat="1" ht="15" customHeight="1" x14ac:dyDescent="0.15">
      <c r="A68" s="1443" t="s">
        <v>1675</v>
      </c>
      <c r="B68" s="1782" t="s">
        <v>1639</v>
      </c>
      <c r="C68" s="1443" t="s">
        <v>24</v>
      </c>
    </row>
    <row r="69" spans="1:3" s="170" customFormat="1" ht="15" customHeight="1" x14ac:dyDescent="0.15">
      <c r="A69" s="6488" t="s">
        <v>1615</v>
      </c>
      <c r="B69" s="1967" t="s">
        <v>1674</v>
      </c>
      <c r="C69" s="1964"/>
    </row>
    <row r="70" spans="1:3" s="170" customFormat="1" ht="15" customHeight="1" x14ac:dyDescent="0.15">
      <c r="A70" s="6455"/>
      <c r="B70" s="1966" t="s">
        <v>1673</v>
      </c>
      <c r="C70" s="1080"/>
    </row>
    <row r="71" spans="1:3" s="170" customFormat="1" ht="15" customHeight="1" x14ac:dyDescent="0.15">
      <c r="A71" s="6455"/>
      <c r="B71" s="1094" t="s">
        <v>1670</v>
      </c>
      <c r="C71" s="158"/>
    </row>
    <row r="72" spans="1:3" s="170" customFormat="1" ht="15" customHeight="1" x14ac:dyDescent="0.15">
      <c r="A72" s="6455"/>
      <c r="B72" s="1094" t="s">
        <v>1624</v>
      </c>
      <c r="C72" s="158"/>
    </row>
    <row r="73" spans="1:3" s="170" customFormat="1" ht="15" customHeight="1" x14ac:dyDescent="0.15">
      <c r="A73" s="6488" t="s">
        <v>1613</v>
      </c>
      <c r="B73" s="1967" t="s">
        <v>1626</v>
      </c>
      <c r="C73" s="1964"/>
    </row>
    <row r="74" spans="1:3" s="170" customFormat="1" ht="15" customHeight="1" x14ac:dyDescent="0.15">
      <c r="A74" s="6455"/>
      <c r="B74" s="1966" t="s">
        <v>1672</v>
      </c>
      <c r="C74" s="1080"/>
    </row>
    <row r="75" spans="1:3" s="170" customFormat="1" ht="15" customHeight="1" x14ac:dyDescent="0.15">
      <c r="A75" s="6455"/>
      <c r="B75" s="1094" t="s">
        <v>1671</v>
      </c>
      <c r="C75" s="1080"/>
    </row>
    <row r="76" spans="1:3" s="170" customFormat="1" ht="15" customHeight="1" x14ac:dyDescent="0.15">
      <c r="A76" s="6455"/>
      <c r="B76" s="1094" t="s">
        <v>1624</v>
      </c>
      <c r="C76" s="158"/>
    </row>
    <row r="77" spans="1:3" s="170" customFormat="1" ht="15" customHeight="1" x14ac:dyDescent="0.15">
      <c r="A77" s="8140"/>
      <c r="B77" s="1094" t="s">
        <v>1670</v>
      </c>
      <c r="C77" s="158"/>
    </row>
    <row r="78" spans="1:3" ht="31.5" x14ac:dyDescent="0.25">
      <c r="A78" s="6488" t="s">
        <v>1623</v>
      </c>
      <c r="B78" s="1965" t="s">
        <v>1669</v>
      </c>
      <c r="C78" s="1964"/>
    </row>
    <row r="79" spans="1:3" ht="21" x14ac:dyDescent="0.25">
      <c r="A79" s="6455"/>
      <c r="B79" s="1094" t="s">
        <v>1668</v>
      </c>
      <c r="C79" s="1080"/>
    </row>
    <row r="80" spans="1:3" s="170" customFormat="1" ht="15" customHeight="1" x14ac:dyDescent="0.15">
      <c r="A80" s="8140"/>
      <c r="B80" s="1963" t="s">
        <v>1624</v>
      </c>
      <c r="C80" s="1962"/>
    </row>
    <row r="81" spans="1:12" s="170" customFormat="1" ht="15" customHeight="1" x14ac:dyDescent="0.15">
      <c r="A81" s="8168" t="s">
        <v>1622</v>
      </c>
      <c r="B81" s="8169"/>
      <c r="C81" s="1962"/>
    </row>
    <row r="82" spans="1:12" s="17" customFormat="1" ht="18" customHeight="1" x14ac:dyDescent="0.2">
      <c r="A82" s="8163" t="s">
        <v>1667</v>
      </c>
      <c r="B82" s="8163"/>
      <c r="C82" s="8163"/>
      <c r="D82" s="8163"/>
      <c r="E82" s="8163"/>
      <c r="F82" s="8163"/>
      <c r="G82" s="8163"/>
      <c r="H82" s="8163"/>
      <c r="I82" s="1954"/>
    </row>
    <row r="83" spans="1:12" ht="15" customHeight="1" x14ac:dyDescent="0.25">
      <c r="A83" s="8156" t="s">
        <v>1662</v>
      </c>
      <c r="B83" s="8156"/>
      <c r="C83" s="8164" t="s">
        <v>1661</v>
      </c>
      <c r="D83" s="8164" t="s">
        <v>1633</v>
      </c>
      <c r="E83" s="8166" t="s">
        <v>1613</v>
      </c>
      <c r="F83" s="8167"/>
      <c r="G83" s="8167"/>
      <c r="H83" s="8167" t="s">
        <v>1622</v>
      </c>
    </row>
    <row r="84" spans="1:12" ht="15" customHeight="1" x14ac:dyDescent="0.25">
      <c r="A84" s="8156"/>
      <c r="B84" s="8156"/>
      <c r="C84" s="8165"/>
      <c r="D84" s="8165"/>
      <c r="E84" s="1924" t="s">
        <v>1626</v>
      </c>
      <c r="F84" s="1923" t="s">
        <v>1634</v>
      </c>
      <c r="G84" s="1922" t="s">
        <v>1624</v>
      </c>
      <c r="H84" s="8166"/>
    </row>
    <row r="85" spans="1:12" ht="15" customHeight="1" x14ac:dyDescent="0.25">
      <c r="A85" s="8150" t="s">
        <v>1666</v>
      </c>
      <c r="B85" s="8151"/>
      <c r="C85" s="1953"/>
      <c r="D85" s="1953"/>
      <c r="E85" s="1916"/>
      <c r="F85" s="1915"/>
      <c r="G85" s="1914"/>
      <c r="H85" s="1914"/>
    </row>
    <row r="86" spans="1:12" ht="15" customHeight="1" x14ac:dyDescent="0.25">
      <c r="A86" s="7454" t="s">
        <v>1660</v>
      </c>
      <c r="B86" s="7387"/>
      <c r="C86" s="1961"/>
      <c r="D86" s="1961"/>
      <c r="E86" s="1949"/>
      <c r="F86" s="1948"/>
      <c r="G86" s="1960"/>
      <c r="H86" s="1960"/>
    </row>
    <row r="87" spans="1:12" ht="15" customHeight="1" x14ac:dyDescent="0.25">
      <c r="A87" s="7454" t="s">
        <v>1665</v>
      </c>
      <c r="B87" s="7387"/>
      <c r="C87" s="1959"/>
      <c r="D87" s="1959"/>
      <c r="E87" s="1958"/>
      <c r="F87" s="1957"/>
      <c r="G87" s="1956"/>
      <c r="H87" s="1956"/>
    </row>
    <row r="88" spans="1:12" ht="15" customHeight="1" x14ac:dyDescent="0.25">
      <c r="A88" s="7454" t="s">
        <v>1664</v>
      </c>
      <c r="B88" s="7387"/>
      <c r="C88" s="1959"/>
      <c r="D88" s="1959"/>
      <c r="E88" s="1958"/>
      <c r="F88" s="1957"/>
      <c r="G88" s="1956"/>
      <c r="H88" s="1956"/>
    </row>
    <row r="89" spans="1:12" ht="15" customHeight="1" x14ac:dyDescent="0.25">
      <c r="A89" s="7459" t="s">
        <v>28</v>
      </c>
      <c r="B89" s="6583"/>
      <c r="C89" s="158"/>
      <c r="D89" s="158"/>
      <c r="E89" s="114"/>
      <c r="F89" s="115"/>
      <c r="G89" s="91"/>
      <c r="H89" s="91"/>
    </row>
    <row r="90" spans="1:12" ht="15" customHeight="1" x14ac:dyDescent="0.25">
      <c r="A90" s="8158" t="s">
        <v>24</v>
      </c>
      <c r="B90" s="8158"/>
      <c r="C90" s="1758">
        <f t="shared" ref="C90:H90" si="6">SUM(C85:C89)</f>
        <v>0</v>
      </c>
      <c r="D90" s="1758">
        <f t="shared" si="6"/>
        <v>0</v>
      </c>
      <c r="E90" s="1898">
        <f t="shared" si="6"/>
        <v>0</v>
      </c>
      <c r="F90" s="1897">
        <f t="shared" si="6"/>
        <v>0</v>
      </c>
      <c r="G90" s="1955">
        <f t="shared" si="6"/>
        <v>0</v>
      </c>
      <c r="H90" s="1841">
        <f t="shared" si="6"/>
        <v>0</v>
      </c>
    </row>
    <row r="91" spans="1:12" ht="15" customHeight="1" x14ac:dyDescent="0.25">
      <c r="A91" s="1912" t="s">
        <v>1632</v>
      </c>
    </row>
    <row r="92" spans="1:12" s="17" customFormat="1" ht="18" customHeight="1" x14ac:dyDescent="0.2">
      <c r="A92" s="8163" t="s">
        <v>1663</v>
      </c>
      <c r="B92" s="8163"/>
      <c r="C92" s="8163"/>
      <c r="D92" s="8163"/>
      <c r="E92" s="8163"/>
      <c r="F92" s="8163"/>
      <c r="G92" s="8163"/>
      <c r="H92" s="8163"/>
      <c r="I92" s="1954"/>
      <c r="J92" s="1954"/>
      <c r="K92" s="1954"/>
      <c r="L92" s="1954"/>
    </row>
    <row r="93" spans="1:12" ht="15" customHeight="1" x14ac:dyDescent="0.25">
      <c r="A93" s="8156" t="s">
        <v>1662</v>
      </c>
      <c r="B93" s="8156"/>
      <c r="C93" s="8164" t="s">
        <v>1661</v>
      </c>
      <c r="D93" s="8164" t="s">
        <v>1633</v>
      </c>
      <c r="E93" s="8166" t="s">
        <v>1613</v>
      </c>
      <c r="F93" s="8167"/>
      <c r="G93" s="8167"/>
      <c r="H93" s="8167" t="s">
        <v>1622</v>
      </c>
    </row>
    <row r="94" spans="1:12" ht="15" customHeight="1" x14ac:dyDescent="0.25">
      <c r="A94" s="8156"/>
      <c r="B94" s="8156"/>
      <c r="C94" s="8165"/>
      <c r="D94" s="8165"/>
      <c r="E94" s="1924" t="s">
        <v>1626</v>
      </c>
      <c r="F94" s="1923" t="s">
        <v>1634</v>
      </c>
      <c r="G94" s="1922" t="s">
        <v>1624</v>
      </c>
      <c r="H94" s="8166"/>
    </row>
    <row r="95" spans="1:12" ht="15" customHeight="1" x14ac:dyDescent="0.25">
      <c r="A95" s="8150" t="s">
        <v>1660</v>
      </c>
      <c r="B95" s="8151"/>
      <c r="C95" s="1953"/>
      <c r="D95" s="1953"/>
      <c r="E95" s="1952"/>
      <c r="F95" s="1915"/>
      <c r="G95" s="1951"/>
      <c r="H95" s="1914"/>
    </row>
    <row r="96" spans="1:12" ht="15" customHeight="1" x14ac:dyDescent="0.25">
      <c r="A96" s="7454" t="s">
        <v>1659</v>
      </c>
      <c r="B96" s="7387"/>
      <c r="C96" s="1080"/>
      <c r="D96" s="1080"/>
      <c r="E96" s="1076"/>
      <c r="F96" s="1090"/>
      <c r="G96" s="1077"/>
      <c r="H96" s="83"/>
    </row>
    <row r="97" spans="1:9" ht="15" customHeight="1" x14ac:dyDescent="0.25">
      <c r="A97" s="7442" t="s">
        <v>1658</v>
      </c>
      <c r="B97" s="7443"/>
      <c r="C97" s="1080"/>
      <c r="D97" s="1080"/>
      <c r="E97" s="1076"/>
      <c r="F97" s="1090"/>
      <c r="G97" s="1077"/>
      <c r="H97" s="83"/>
    </row>
    <row r="98" spans="1:9" ht="15" customHeight="1" x14ac:dyDescent="0.25">
      <c r="A98" s="7454" t="s">
        <v>1657</v>
      </c>
      <c r="B98" s="7387"/>
      <c r="C98" s="1080"/>
      <c r="D98" s="1080"/>
      <c r="E98" s="1076"/>
      <c r="F98" s="1090"/>
      <c r="G98" s="1077"/>
      <c r="H98" s="83"/>
    </row>
    <row r="99" spans="1:9" ht="15" customHeight="1" x14ac:dyDescent="0.25">
      <c r="A99" s="7566" t="s">
        <v>28</v>
      </c>
      <c r="B99" s="7567"/>
      <c r="C99" s="158"/>
      <c r="D99" s="153"/>
      <c r="E99" s="121"/>
      <c r="F99" s="115"/>
      <c r="G99" s="116"/>
      <c r="H99" s="91"/>
    </row>
    <row r="100" spans="1:9" ht="15" customHeight="1" x14ac:dyDescent="0.25">
      <c r="A100" s="8158" t="s">
        <v>24</v>
      </c>
      <c r="B100" s="8158"/>
      <c r="C100" s="1758">
        <f t="shared" ref="C100:H100" si="7">SUM(C95:C99)</f>
        <v>0</v>
      </c>
      <c r="D100" s="1841">
        <f t="shared" si="7"/>
        <v>0</v>
      </c>
      <c r="E100" s="1898">
        <f t="shared" si="7"/>
        <v>0</v>
      </c>
      <c r="F100" s="1744">
        <f t="shared" si="7"/>
        <v>0</v>
      </c>
      <c r="G100" s="1452">
        <f t="shared" si="7"/>
        <v>0</v>
      </c>
      <c r="H100" s="1452">
        <f t="shared" si="7"/>
        <v>0</v>
      </c>
    </row>
    <row r="101" spans="1:9" ht="15" customHeight="1" x14ac:dyDescent="0.25">
      <c r="A101" s="1912" t="s">
        <v>1632</v>
      </c>
    </row>
    <row r="102" spans="1:9" ht="18" customHeight="1" x14ac:dyDescent="0.25">
      <c r="A102" s="8163" t="s">
        <v>1656</v>
      </c>
      <c r="B102" s="8163"/>
      <c r="C102" s="8163"/>
      <c r="D102" s="8163"/>
      <c r="E102" s="8163"/>
      <c r="F102" s="8163"/>
      <c r="G102" s="8163"/>
      <c r="H102" s="8163"/>
      <c r="I102" s="8163"/>
    </row>
    <row r="103" spans="1:9" ht="42" x14ac:dyDescent="0.25">
      <c r="A103" s="8152" t="s">
        <v>437</v>
      </c>
      <c r="B103" s="8153"/>
      <c r="C103" s="1925" t="s">
        <v>24</v>
      </c>
      <c r="D103" s="1924" t="s">
        <v>1653</v>
      </c>
      <c r="E103" s="1923" t="s">
        <v>1652</v>
      </c>
      <c r="F103" s="1923" t="s">
        <v>1651</v>
      </c>
      <c r="G103" s="1923" t="s">
        <v>1650</v>
      </c>
      <c r="H103" s="1945" t="s">
        <v>1649</v>
      </c>
      <c r="I103" s="1944" t="s">
        <v>1655</v>
      </c>
    </row>
    <row r="104" spans="1:9" s="170" customFormat="1" ht="15" customHeight="1" x14ac:dyDescent="0.15">
      <c r="A104" s="8154" t="s">
        <v>1635</v>
      </c>
      <c r="B104" s="8155"/>
      <c r="C104" s="1943">
        <f>SUM(D104:I104)</f>
        <v>0</v>
      </c>
      <c r="D104" s="1942"/>
      <c r="E104" s="1941"/>
      <c r="F104" s="1941"/>
      <c r="G104" s="1941"/>
      <c r="H104" s="1941"/>
      <c r="I104" s="1950"/>
    </row>
    <row r="105" spans="1:9" s="170" customFormat="1" ht="15" customHeight="1" x14ac:dyDescent="0.15">
      <c r="A105" s="6488" t="s">
        <v>1613</v>
      </c>
      <c r="B105" s="1908" t="s">
        <v>1626</v>
      </c>
      <c r="C105" s="1939">
        <f>SUM(D105:I105)</f>
        <v>0</v>
      </c>
      <c r="D105" s="1938"/>
      <c r="E105" s="1937"/>
      <c r="F105" s="1937"/>
      <c r="G105" s="1937"/>
      <c r="H105" s="1937"/>
      <c r="I105" s="1936"/>
    </row>
    <row r="106" spans="1:9" s="170" customFormat="1" ht="15" customHeight="1" x14ac:dyDescent="0.15">
      <c r="A106" s="6455"/>
      <c r="B106" s="1779" t="s">
        <v>1634</v>
      </c>
      <c r="C106" s="1105">
        <f>SUM(D106:I106)</f>
        <v>0</v>
      </c>
      <c r="D106" s="1949"/>
      <c r="E106" s="1948"/>
      <c r="F106" s="1948"/>
      <c r="G106" s="1948"/>
      <c r="H106" s="1948"/>
      <c r="I106" s="1936"/>
    </row>
    <row r="107" spans="1:9" s="170" customFormat="1" ht="15" customHeight="1" x14ac:dyDescent="0.15">
      <c r="A107" s="8140"/>
      <c r="B107" s="1905" t="s">
        <v>1624</v>
      </c>
      <c r="C107" s="388">
        <f>SUM(D107:I107)</f>
        <v>0</v>
      </c>
      <c r="D107" s="1934"/>
      <c r="E107" s="1933"/>
      <c r="F107" s="1933"/>
      <c r="G107" s="1933"/>
      <c r="H107" s="1933"/>
      <c r="I107" s="1932"/>
    </row>
    <row r="108" spans="1:9" s="170" customFormat="1" ht="15" customHeight="1" x14ac:dyDescent="0.15">
      <c r="A108" s="8150" t="s">
        <v>1633</v>
      </c>
      <c r="B108" s="8151"/>
      <c r="C108" s="1939">
        <f>SUM(D108:H108)</f>
        <v>0</v>
      </c>
      <c r="D108" s="1938"/>
      <c r="E108" s="1937"/>
      <c r="F108" s="1937"/>
      <c r="G108" s="1937"/>
      <c r="H108" s="1937"/>
      <c r="I108" s="1947"/>
    </row>
    <row r="109" spans="1:9" s="170" customFormat="1" ht="15" customHeight="1" x14ac:dyDescent="0.15">
      <c r="A109" s="8135" t="s">
        <v>1622</v>
      </c>
      <c r="B109" s="8136"/>
      <c r="C109" s="1935">
        <f>SUM(D109:H109)</f>
        <v>0</v>
      </c>
      <c r="D109" s="114"/>
      <c r="E109" s="115"/>
      <c r="F109" s="115"/>
      <c r="G109" s="115"/>
      <c r="H109" s="115"/>
      <c r="I109" s="1946"/>
    </row>
    <row r="110" spans="1:9" ht="15" customHeight="1" x14ac:dyDescent="0.25">
      <c r="A110" s="1912" t="s">
        <v>1632</v>
      </c>
    </row>
    <row r="111" spans="1:9" s="17" customFormat="1" ht="18" customHeight="1" x14ac:dyDescent="0.2">
      <c r="A111" s="8162" t="s">
        <v>1654</v>
      </c>
      <c r="B111" s="8162"/>
      <c r="C111" s="8162"/>
      <c r="D111" s="8162"/>
      <c r="E111" s="8162"/>
      <c r="F111" s="8162"/>
      <c r="G111" s="8162"/>
      <c r="H111" s="8162"/>
      <c r="I111" s="8162"/>
    </row>
    <row r="112" spans="1:9" ht="42" x14ac:dyDescent="0.25">
      <c r="A112" s="8152" t="s">
        <v>437</v>
      </c>
      <c r="B112" s="8153"/>
      <c r="C112" s="1925" t="s">
        <v>24</v>
      </c>
      <c r="D112" s="1924" t="s">
        <v>1653</v>
      </c>
      <c r="E112" s="1923" t="s">
        <v>1652</v>
      </c>
      <c r="F112" s="1923" t="s">
        <v>1651</v>
      </c>
      <c r="G112" s="1923" t="s">
        <v>1650</v>
      </c>
      <c r="H112" s="1945" t="s">
        <v>1649</v>
      </c>
      <c r="I112" s="1944" t="s">
        <v>1627</v>
      </c>
    </row>
    <row r="113" spans="1:9" ht="15" customHeight="1" x14ac:dyDescent="0.25">
      <c r="A113" s="8154" t="s">
        <v>1635</v>
      </c>
      <c r="B113" s="8155"/>
      <c r="C113" s="1943">
        <f t="shared" ref="C113:C118" si="8">SUM(D113:I113)</f>
        <v>0</v>
      </c>
      <c r="D113" s="1942"/>
      <c r="E113" s="1941"/>
      <c r="F113" s="1941"/>
      <c r="G113" s="1941"/>
      <c r="H113" s="1941"/>
      <c r="I113" s="1940"/>
    </row>
    <row r="114" spans="1:9" ht="15" customHeight="1" x14ac:dyDescent="0.25">
      <c r="A114" s="6488" t="s">
        <v>1613</v>
      </c>
      <c r="B114" s="1908" t="s">
        <v>1626</v>
      </c>
      <c r="C114" s="1939">
        <f t="shared" si="8"/>
        <v>0</v>
      </c>
      <c r="D114" s="1938"/>
      <c r="E114" s="1937"/>
      <c r="F114" s="1937"/>
      <c r="G114" s="1937"/>
      <c r="H114" s="1937"/>
      <c r="I114" s="1936"/>
    </row>
    <row r="115" spans="1:9" ht="15" customHeight="1" x14ac:dyDescent="0.25">
      <c r="A115" s="6455"/>
      <c r="B115" s="1779" t="s">
        <v>1634</v>
      </c>
      <c r="C115" s="1105">
        <f t="shared" si="8"/>
        <v>0</v>
      </c>
      <c r="D115" s="1938"/>
      <c r="E115" s="1937"/>
      <c r="F115" s="1937"/>
      <c r="G115" s="1937"/>
      <c r="H115" s="1937"/>
      <c r="I115" s="1936"/>
    </row>
    <row r="116" spans="1:9" ht="15" customHeight="1" x14ac:dyDescent="0.25">
      <c r="A116" s="8140"/>
      <c r="B116" s="1905" t="s">
        <v>1624</v>
      </c>
      <c r="C116" s="388">
        <f t="shared" si="8"/>
        <v>0</v>
      </c>
      <c r="D116" s="1934"/>
      <c r="E116" s="1933"/>
      <c r="F116" s="1933"/>
      <c r="G116" s="1933"/>
      <c r="H116" s="1933"/>
      <c r="I116" s="1932"/>
    </row>
    <row r="117" spans="1:9" ht="15" customHeight="1" x14ac:dyDescent="0.25">
      <c r="A117" s="8150" t="s">
        <v>1633</v>
      </c>
      <c r="B117" s="8151"/>
      <c r="C117" s="1939">
        <f t="shared" si="8"/>
        <v>0</v>
      </c>
      <c r="D117" s="1938"/>
      <c r="E117" s="1937"/>
      <c r="F117" s="1937"/>
      <c r="G117" s="1937"/>
      <c r="H117" s="1937"/>
      <c r="I117" s="1936"/>
    </row>
    <row r="118" spans="1:9" ht="15" customHeight="1" x14ac:dyDescent="0.25">
      <c r="A118" s="8135" t="s">
        <v>1622</v>
      </c>
      <c r="B118" s="8136"/>
      <c r="C118" s="1935">
        <f t="shared" si="8"/>
        <v>0</v>
      </c>
      <c r="D118" s="1934"/>
      <c r="E118" s="1933"/>
      <c r="F118" s="1933"/>
      <c r="G118" s="1933"/>
      <c r="H118" s="1933"/>
      <c r="I118" s="1932"/>
    </row>
    <row r="119" spans="1:9" ht="15" customHeight="1" x14ac:dyDescent="0.25">
      <c r="A119" s="1912" t="s">
        <v>1632</v>
      </c>
    </row>
    <row r="120" spans="1:9" s="17" customFormat="1" ht="18" customHeight="1" x14ac:dyDescent="0.2">
      <c r="A120" s="8160" t="s">
        <v>1648</v>
      </c>
      <c r="B120" s="8160"/>
      <c r="C120" s="1931"/>
      <c r="D120" s="1931"/>
      <c r="E120" s="1931"/>
    </row>
    <row r="121" spans="1:9" ht="21" x14ac:dyDescent="0.25">
      <c r="A121" s="1929" t="s">
        <v>1646</v>
      </c>
      <c r="B121" s="1929" t="s">
        <v>1647</v>
      </c>
    </row>
    <row r="122" spans="1:9" ht="15" customHeight="1" x14ac:dyDescent="0.25">
      <c r="A122" s="1779" t="s">
        <v>1645</v>
      </c>
      <c r="B122" s="1928"/>
    </row>
    <row r="123" spans="1:9" ht="15" customHeight="1" x14ac:dyDescent="0.25">
      <c r="A123" s="1779" t="s">
        <v>1644</v>
      </c>
      <c r="B123" s="1432"/>
    </row>
    <row r="124" spans="1:9" ht="15" customHeight="1" x14ac:dyDescent="0.25">
      <c r="A124" s="1779" t="s">
        <v>1643</v>
      </c>
      <c r="B124" s="1432"/>
    </row>
    <row r="125" spans="1:9" ht="15" customHeight="1" x14ac:dyDescent="0.25">
      <c r="A125" s="1779" t="s">
        <v>1642</v>
      </c>
      <c r="B125" s="1432"/>
    </row>
    <row r="126" spans="1:9" ht="15" customHeight="1" x14ac:dyDescent="0.25">
      <c r="A126" s="1905" t="s">
        <v>1641</v>
      </c>
      <c r="B126" s="1927"/>
    </row>
    <row r="127" spans="1:9" s="17" customFormat="1" ht="18" customHeight="1" x14ac:dyDescent="0.2">
      <c r="A127" s="8159" t="s">
        <v>1741</v>
      </c>
      <c r="B127" s="8159"/>
      <c r="C127" s="1930"/>
      <c r="D127" s="1930"/>
    </row>
    <row r="128" spans="1:9" ht="21" x14ac:dyDescent="0.25">
      <c r="A128" s="1929" t="s">
        <v>1646</v>
      </c>
      <c r="B128" s="1929" t="s">
        <v>1742</v>
      </c>
    </row>
    <row r="129" spans="1:9" x14ac:dyDescent="0.25">
      <c r="A129" s="1779" t="s">
        <v>1645</v>
      </c>
      <c r="B129" s="1928"/>
    </row>
    <row r="130" spans="1:9" x14ac:dyDescent="0.25">
      <c r="A130" s="1779" t="s">
        <v>1644</v>
      </c>
      <c r="B130" s="1432"/>
    </row>
    <row r="131" spans="1:9" x14ac:dyDescent="0.25">
      <c r="A131" s="1779" t="s">
        <v>1643</v>
      </c>
      <c r="B131" s="1432"/>
    </row>
    <row r="132" spans="1:9" x14ac:dyDescent="0.25">
      <c r="A132" s="1779" t="s">
        <v>1642</v>
      </c>
      <c r="B132" s="1432"/>
    </row>
    <row r="133" spans="1:9" x14ac:dyDescent="0.25">
      <c r="A133" s="1905" t="s">
        <v>1641</v>
      </c>
      <c r="B133" s="1927"/>
    </row>
    <row r="134" spans="1:9" s="17" customFormat="1" ht="18" customHeight="1" x14ac:dyDescent="0.2">
      <c r="A134" s="1926" t="s">
        <v>1640</v>
      </c>
    </row>
    <row r="135" spans="1:9" x14ac:dyDescent="0.25">
      <c r="A135" s="8152" t="s">
        <v>1639</v>
      </c>
      <c r="B135" s="8153"/>
      <c r="C135" s="1925" t="s">
        <v>24</v>
      </c>
      <c r="D135" s="1924" t="s">
        <v>1638</v>
      </c>
      <c r="E135" s="1923" t="s">
        <v>1637</v>
      </c>
      <c r="F135" s="1922" t="s">
        <v>1636</v>
      </c>
    </row>
    <row r="136" spans="1:9" x14ac:dyDescent="0.25">
      <c r="A136" s="8154" t="s">
        <v>1635</v>
      </c>
      <c r="B136" s="8155"/>
      <c r="C136" s="1921">
        <f t="shared" ref="C136:C141" si="9">SUM(D136:F136)</f>
        <v>0</v>
      </c>
      <c r="D136" s="1920"/>
      <c r="E136" s="1919"/>
      <c r="F136" s="1918"/>
    </row>
    <row r="137" spans="1:9" x14ac:dyDescent="0.25">
      <c r="A137" s="6488" t="s">
        <v>1613</v>
      </c>
      <c r="B137" s="1908" t="s">
        <v>1626</v>
      </c>
      <c r="C137" s="1917">
        <f t="shared" si="9"/>
        <v>0</v>
      </c>
      <c r="D137" s="1916"/>
      <c r="E137" s="1915"/>
      <c r="F137" s="1914"/>
    </row>
    <row r="138" spans="1:9" x14ac:dyDescent="0.25">
      <c r="A138" s="6455"/>
      <c r="B138" s="1779" t="s">
        <v>1634</v>
      </c>
      <c r="C138" s="1103">
        <f t="shared" si="9"/>
        <v>0</v>
      </c>
      <c r="D138" s="1089"/>
      <c r="E138" s="1090"/>
      <c r="F138" s="83"/>
    </row>
    <row r="139" spans="1:9" x14ac:dyDescent="0.25">
      <c r="A139" s="8140"/>
      <c r="B139" s="1905" t="s">
        <v>1624</v>
      </c>
      <c r="C139" s="593">
        <f t="shared" si="9"/>
        <v>0</v>
      </c>
      <c r="D139" s="114"/>
      <c r="E139" s="115"/>
      <c r="F139" s="117"/>
    </row>
    <row r="140" spans="1:9" x14ac:dyDescent="0.25">
      <c r="A140" s="8150" t="s">
        <v>1633</v>
      </c>
      <c r="B140" s="8151"/>
      <c r="C140" s="1759">
        <f t="shared" si="9"/>
        <v>0</v>
      </c>
      <c r="D140" s="106"/>
      <c r="E140" s="1086"/>
      <c r="F140" s="105"/>
    </row>
    <row r="141" spans="1:9" x14ac:dyDescent="0.25">
      <c r="A141" s="8135" t="s">
        <v>1622</v>
      </c>
      <c r="B141" s="8136"/>
      <c r="C141" s="593">
        <f t="shared" si="9"/>
        <v>0</v>
      </c>
      <c r="D141" s="114"/>
      <c r="E141" s="115"/>
      <c r="F141" s="117"/>
    </row>
    <row r="142" spans="1:9" x14ac:dyDescent="0.25">
      <c r="A142" s="1912" t="s">
        <v>1632</v>
      </c>
      <c r="B142" s="798"/>
      <c r="C142" s="1911"/>
      <c r="D142" s="1911"/>
      <c r="E142" s="1913"/>
      <c r="F142" s="102"/>
    </row>
    <row r="143" spans="1:9" x14ac:dyDescent="0.25">
      <c r="A143" s="1912" t="s">
        <v>1631</v>
      </c>
      <c r="B143" s="1442"/>
      <c r="C143" s="1911"/>
      <c r="D143" s="1911"/>
      <c r="E143" s="1911"/>
      <c r="F143" s="1911"/>
    </row>
    <row r="144" spans="1:9" s="17" customFormat="1" ht="18" customHeight="1" x14ac:dyDescent="0.2">
      <c r="A144" s="8161" t="s">
        <v>1630</v>
      </c>
      <c r="B144" s="8161"/>
      <c r="C144" s="8161"/>
      <c r="D144" s="8161"/>
      <c r="E144" s="8161"/>
      <c r="F144" s="8161"/>
      <c r="G144" s="8161"/>
      <c r="H144" s="8161"/>
      <c r="I144" s="123"/>
    </row>
    <row r="145" spans="1:9" x14ac:dyDescent="0.25">
      <c r="A145" s="6493" t="s">
        <v>1629</v>
      </c>
      <c r="B145" s="6903"/>
      <c r="C145" s="8157" t="s">
        <v>443</v>
      </c>
      <c r="D145" s="6902"/>
      <c r="E145" s="6910"/>
      <c r="F145" s="8157" t="s">
        <v>219</v>
      </c>
      <c r="G145" s="6902"/>
      <c r="H145" s="6910"/>
    </row>
    <row r="146" spans="1:9" x14ac:dyDescent="0.25">
      <c r="A146" s="6856"/>
      <c r="B146" s="6844"/>
      <c r="C146" s="1910" t="s">
        <v>1626</v>
      </c>
      <c r="D146" s="1909" t="s">
        <v>1628</v>
      </c>
      <c r="E146" s="1428" t="s">
        <v>1627</v>
      </c>
      <c r="F146" s="1910" t="s">
        <v>1626</v>
      </c>
      <c r="G146" s="1909" t="s">
        <v>1628</v>
      </c>
      <c r="H146" s="1428" t="s">
        <v>1627</v>
      </c>
    </row>
    <row r="147" spans="1:9" x14ac:dyDescent="0.25">
      <c r="A147" s="8154" t="s">
        <v>1615</v>
      </c>
      <c r="B147" s="8155"/>
      <c r="C147" s="1869"/>
      <c r="D147" s="1907"/>
      <c r="E147" s="1906"/>
      <c r="F147" s="1869"/>
      <c r="G147" s="1907"/>
      <c r="H147" s="1906"/>
    </row>
    <row r="148" spans="1:9" x14ac:dyDescent="0.25">
      <c r="A148" s="6488" t="s">
        <v>1613</v>
      </c>
      <c r="B148" s="1908" t="s">
        <v>1626</v>
      </c>
      <c r="C148" s="1869"/>
      <c r="D148" s="1907"/>
      <c r="E148" s="1906"/>
      <c r="F148" s="1869"/>
      <c r="G148" s="1907"/>
      <c r="H148" s="1906"/>
    </row>
    <row r="149" spans="1:9" x14ac:dyDescent="0.25">
      <c r="A149" s="6455"/>
      <c r="B149" s="1779" t="s">
        <v>1625</v>
      </c>
      <c r="C149" s="974"/>
      <c r="D149" s="980"/>
      <c r="E149" s="977"/>
      <c r="F149" s="974"/>
      <c r="G149" s="980"/>
      <c r="H149" s="977"/>
    </row>
    <row r="150" spans="1:9" x14ac:dyDescent="0.25">
      <c r="A150" s="8140"/>
      <c r="B150" s="1905" t="s">
        <v>1624</v>
      </c>
      <c r="C150" s="955"/>
      <c r="D150" s="961"/>
      <c r="E150" s="958"/>
      <c r="F150" s="955"/>
      <c r="G150" s="961"/>
      <c r="H150" s="958"/>
    </row>
    <row r="151" spans="1:9" x14ac:dyDescent="0.25">
      <c r="A151" s="8150" t="s">
        <v>1623</v>
      </c>
      <c r="B151" s="8151"/>
      <c r="C151" s="1904"/>
      <c r="D151" s="1903"/>
      <c r="E151" s="1902"/>
      <c r="F151" s="1904"/>
      <c r="G151" s="1903"/>
      <c r="H151" s="1902"/>
    </row>
    <row r="152" spans="1:9" x14ac:dyDescent="0.25">
      <c r="A152" s="8135" t="s">
        <v>1622</v>
      </c>
      <c r="B152" s="8136"/>
      <c r="C152" s="1901"/>
      <c r="D152" s="1900"/>
      <c r="E152" s="1899"/>
      <c r="F152" s="1901"/>
      <c r="G152" s="1900"/>
      <c r="H152" s="1899"/>
    </row>
    <row r="153" spans="1:9" x14ac:dyDescent="0.25">
      <c r="A153" s="8137" t="s">
        <v>24</v>
      </c>
      <c r="B153" s="8138"/>
      <c r="C153" s="1898">
        <f>SUM(C147:C152)</f>
        <v>0</v>
      </c>
      <c r="D153" s="1897">
        <f>SUM(D147:D150)</f>
        <v>0</v>
      </c>
      <c r="E153" s="1452">
        <f>SUM(E147:E150)</f>
        <v>0</v>
      </c>
      <c r="F153" s="1896">
        <f>SUM(F147:F152)</f>
        <v>0</v>
      </c>
      <c r="G153" s="1895">
        <f>SUM(G147:G150)</f>
        <v>0</v>
      </c>
      <c r="H153" s="1894">
        <f>SUM(H147:H150)</f>
        <v>0</v>
      </c>
    </row>
    <row r="154" spans="1:9" s="17" customFormat="1" ht="18" customHeight="1" x14ac:dyDescent="0.2">
      <c r="A154" s="8141" t="s">
        <v>1621</v>
      </c>
      <c r="B154" s="8141"/>
      <c r="C154" s="8141"/>
    </row>
    <row r="155" spans="1:9" ht="15" customHeight="1" x14ac:dyDescent="0.25">
      <c r="A155" s="6493" t="s">
        <v>112</v>
      </c>
      <c r="B155" s="8139"/>
      <c r="C155" s="1443" t="s">
        <v>24</v>
      </c>
    </row>
    <row r="156" spans="1:9" ht="15" customHeight="1" x14ac:dyDescent="0.25">
      <c r="A156" s="6488" t="s">
        <v>1620</v>
      </c>
      <c r="B156" s="1893" t="s">
        <v>948</v>
      </c>
      <c r="C156" s="1892"/>
    </row>
    <row r="157" spans="1:9" ht="15" customHeight="1" x14ac:dyDescent="0.25">
      <c r="A157" s="8140"/>
      <c r="B157" s="1891" t="s">
        <v>1619</v>
      </c>
      <c r="C157" s="1890"/>
    </row>
    <row r="158" spans="1:9" s="17" customFormat="1" ht="18" customHeight="1" x14ac:dyDescent="0.2">
      <c r="A158" s="8148" t="s">
        <v>1618</v>
      </c>
      <c r="B158" s="8148"/>
      <c r="C158" s="8148"/>
      <c r="D158" s="8148"/>
      <c r="E158" s="8148"/>
      <c r="F158" s="8148"/>
      <c r="G158" s="8149"/>
      <c r="H158" s="8149"/>
      <c r="I158" s="8149"/>
    </row>
    <row r="159" spans="1:9" ht="21" customHeight="1" x14ac:dyDescent="0.25">
      <c r="A159" s="1788" t="s">
        <v>1617</v>
      </c>
      <c r="B159" s="1788" t="s">
        <v>1616</v>
      </c>
      <c r="C159" s="8142" t="s">
        <v>112</v>
      </c>
      <c r="D159" s="8143"/>
      <c r="E159" s="8144"/>
      <c r="F159" s="1889" t="s">
        <v>24</v>
      </c>
      <c r="G159" s="1888" t="s">
        <v>1615</v>
      </c>
      <c r="H159" s="1887" t="s">
        <v>1614</v>
      </c>
      <c r="I159" s="1886" t="s">
        <v>1613</v>
      </c>
    </row>
    <row r="160" spans="1:9" x14ac:dyDescent="0.25">
      <c r="A160" s="8126" t="s">
        <v>1612</v>
      </c>
      <c r="B160" s="8126" t="s">
        <v>1599</v>
      </c>
      <c r="C160" s="8127" t="s">
        <v>1611</v>
      </c>
      <c r="D160" s="8128"/>
      <c r="E160" s="8129"/>
      <c r="F160" s="324">
        <f t="shared" ref="F160:F184" si="10">SUM(G160:I160)</f>
        <v>0</v>
      </c>
      <c r="G160" s="1861"/>
      <c r="H160" s="970"/>
      <c r="I160" s="967"/>
    </row>
    <row r="161" spans="1:9" x14ac:dyDescent="0.25">
      <c r="A161" s="8126"/>
      <c r="B161" s="8126"/>
      <c r="C161" s="8123" t="s">
        <v>1610</v>
      </c>
      <c r="D161" s="8124"/>
      <c r="E161" s="8125"/>
      <c r="F161" s="1106">
        <f t="shared" si="10"/>
        <v>0</v>
      </c>
      <c r="G161" s="974"/>
      <c r="H161" s="980"/>
      <c r="I161" s="977"/>
    </row>
    <row r="162" spans="1:9" x14ac:dyDescent="0.25">
      <c r="A162" s="8126"/>
      <c r="B162" s="8126"/>
      <c r="C162" s="8123" t="s">
        <v>1609</v>
      </c>
      <c r="D162" s="8124"/>
      <c r="E162" s="8125"/>
      <c r="F162" s="1106">
        <f t="shared" si="10"/>
        <v>0</v>
      </c>
      <c r="G162" s="974"/>
      <c r="H162" s="980"/>
      <c r="I162" s="977"/>
    </row>
    <row r="163" spans="1:9" x14ac:dyDescent="0.25">
      <c r="A163" s="8126"/>
      <c r="B163" s="8126"/>
      <c r="C163" s="8123" t="s">
        <v>1608</v>
      </c>
      <c r="D163" s="8124"/>
      <c r="E163" s="8125"/>
      <c r="F163" s="1106">
        <f t="shared" si="10"/>
        <v>0</v>
      </c>
      <c r="G163" s="974"/>
      <c r="H163" s="980"/>
      <c r="I163" s="977"/>
    </row>
    <row r="164" spans="1:9" x14ac:dyDescent="0.25">
      <c r="A164" s="8126"/>
      <c r="B164" s="8126"/>
      <c r="C164" s="8123" t="s">
        <v>1607</v>
      </c>
      <c r="D164" s="8124"/>
      <c r="E164" s="8125"/>
      <c r="F164" s="1106">
        <f t="shared" si="10"/>
        <v>0</v>
      </c>
      <c r="G164" s="974"/>
      <c r="H164" s="980"/>
      <c r="I164" s="977"/>
    </row>
    <row r="165" spans="1:9" x14ac:dyDescent="0.25">
      <c r="A165" s="8126"/>
      <c r="B165" s="8126"/>
      <c r="C165" s="8123" t="s">
        <v>1606</v>
      </c>
      <c r="D165" s="8124"/>
      <c r="E165" s="8125"/>
      <c r="F165" s="1106">
        <f t="shared" si="10"/>
        <v>0</v>
      </c>
      <c r="G165" s="974"/>
      <c r="H165" s="980"/>
      <c r="I165" s="977"/>
    </row>
    <row r="166" spans="1:9" x14ac:dyDescent="0.25">
      <c r="A166" s="8126"/>
      <c r="B166" s="8126"/>
      <c r="C166" s="8123" t="s">
        <v>1605</v>
      </c>
      <c r="D166" s="8124"/>
      <c r="E166" s="8125"/>
      <c r="F166" s="1106">
        <f t="shared" si="10"/>
        <v>0</v>
      </c>
      <c r="G166" s="974"/>
      <c r="H166" s="980"/>
      <c r="I166" s="977"/>
    </row>
    <row r="167" spans="1:9" x14ac:dyDescent="0.25">
      <c r="A167" s="8126"/>
      <c r="B167" s="8126"/>
      <c r="C167" s="8145" t="s">
        <v>1604</v>
      </c>
      <c r="D167" s="8146"/>
      <c r="E167" s="8147"/>
      <c r="F167" s="909">
        <f t="shared" si="10"/>
        <v>0</v>
      </c>
      <c r="G167" s="955"/>
      <c r="H167" s="961"/>
      <c r="I167" s="958"/>
    </row>
    <row r="168" spans="1:9" x14ac:dyDescent="0.25">
      <c r="A168" s="8126"/>
      <c r="B168" s="8119" t="s">
        <v>1594</v>
      </c>
      <c r="C168" s="8127" t="s">
        <v>1603</v>
      </c>
      <c r="D168" s="8128"/>
      <c r="E168" s="8129"/>
      <c r="F168" s="324">
        <f t="shared" si="10"/>
        <v>0</v>
      </c>
      <c r="G168" s="1861"/>
      <c r="H168" s="970"/>
      <c r="I168" s="967"/>
    </row>
    <row r="169" spans="1:9" x14ac:dyDescent="0.25">
      <c r="A169" s="8126"/>
      <c r="B169" s="8119"/>
      <c r="C169" s="8123" t="s">
        <v>1602</v>
      </c>
      <c r="D169" s="8124"/>
      <c r="E169" s="8125"/>
      <c r="F169" s="324">
        <f t="shared" si="10"/>
        <v>0</v>
      </c>
      <c r="G169" s="974"/>
      <c r="H169" s="980"/>
      <c r="I169" s="977"/>
    </row>
    <row r="170" spans="1:9" x14ac:dyDescent="0.25">
      <c r="A170" s="8126"/>
      <c r="B170" s="8119"/>
      <c r="C170" s="8145" t="s">
        <v>1601</v>
      </c>
      <c r="D170" s="8146"/>
      <c r="E170" s="8147"/>
      <c r="F170" s="1885">
        <f t="shared" si="10"/>
        <v>0</v>
      </c>
      <c r="G170" s="955"/>
      <c r="H170" s="961"/>
      <c r="I170" s="958"/>
    </row>
    <row r="171" spans="1:9" x14ac:dyDescent="0.25">
      <c r="A171" s="8126" t="s">
        <v>1600</v>
      </c>
      <c r="B171" s="8119" t="s">
        <v>1599</v>
      </c>
      <c r="C171" s="8127" t="s">
        <v>1598</v>
      </c>
      <c r="D171" s="8128"/>
      <c r="E171" s="8129"/>
      <c r="F171" s="1884">
        <f t="shared" si="10"/>
        <v>0</v>
      </c>
      <c r="G171" s="1861"/>
      <c r="H171" s="970"/>
      <c r="I171" s="967"/>
    </row>
    <row r="172" spans="1:9" x14ac:dyDescent="0.25">
      <c r="A172" s="8126"/>
      <c r="B172" s="8119"/>
      <c r="C172" s="8123" t="s">
        <v>1597</v>
      </c>
      <c r="D172" s="8124"/>
      <c r="E172" s="8125"/>
      <c r="F172" s="324">
        <f t="shared" si="10"/>
        <v>0</v>
      </c>
      <c r="G172" s="974"/>
      <c r="H172" s="980"/>
      <c r="I172" s="977"/>
    </row>
    <row r="173" spans="1:9" x14ac:dyDescent="0.25">
      <c r="A173" s="8126"/>
      <c r="B173" s="8119"/>
      <c r="C173" s="8123" t="s">
        <v>1596</v>
      </c>
      <c r="D173" s="8124"/>
      <c r="E173" s="8125"/>
      <c r="F173" s="324">
        <f t="shared" si="10"/>
        <v>0</v>
      </c>
      <c r="G173" s="974"/>
      <c r="H173" s="980"/>
      <c r="I173" s="977"/>
    </row>
    <row r="174" spans="1:9" x14ac:dyDescent="0.25">
      <c r="A174" s="8126"/>
      <c r="B174" s="8119"/>
      <c r="C174" s="8130" t="s">
        <v>1595</v>
      </c>
      <c r="D174" s="8131"/>
      <c r="E174" s="8132"/>
      <c r="F174" s="1883">
        <f t="shared" si="10"/>
        <v>0</v>
      </c>
      <c r="G174" s="955"/>
      <c r="H174" s="961"/>
      <c r="I174" s="958"/>
    </row>
    <row r="175" spans="1:9" x14ac:dyDescent="0.25">
      <c r="A175" s="8126"/>
      <c r="B175" s="8119" t="s">
        <v>1594</v>
      </c>
      <c r="C175" s="8120" t="s">
        <v>1593</v>
      </c>
      <c r="D175" s="8121"/>
      <c r="E175" s="8122"/>
      <c r="F175" s="324">
        <f t="shared" si="10"/>
        <v>0</v>
      </c>
      <c r="G175" s="1861"/>
      <c r="H175" s="970"/>
      <c r="I175" s="967"/>
    </row>
    <row r="176" spans="1:9" x14ac:dyDescent="0.25">
      <c r="A176" s="8126"/>
      <c r="B176" s="8119"/>
      <c r="C176" s="8123" t="s">
        <v>1592</v>
      </c>
      <c r="D176" s="8124"/>
      <c r="E176" s="8125"/>
      <c r="F176" s="324">
        <f t="shared" si="10"/>
        <v>0</v>
      </c>
      <c r="G176" s="974"/>
      <c r="H176" s="980"/>
      <c r="I176" s="977"/>
    </row>
    <row r="177" spans="1:9" x14ac:dyDescent="0.25">
      <c r="A177" s="8126"/>
      <c r="B177" s="8119"/>
      <c r="C177" s="8123" t="s">
        <v>1591</v>
      </c>
      <c r="D177" s="8124"/>
      <c r="E177" s="8125"/>
      <c r="F177" s="324">
        <f t="shared" si="10"/>
        <v>0</v>
      </c>
      <c r="G177" s="974"/>
      <c r="H177" s="980"/>
      <c r="I177" s="977"/>
    </row>
    <row r="178" spans="1:9" x14ac:dyDescent="0.25">
      <c r="A178" s="8126"/>
      <c r="B178" s="8119"/>
      <c r="C178" s="8123" t="s">
        <v>1590</v>
      </c>
      <c r="D178" s="8124"/>
      <c r="E178" s="8125"/>
      <c r="F178" s="324">
        <f t="shared" si="10"/>
        <v>0</v>
      </c>
      <c r="G178" s="974"/>
      <c r="H178" s="980"/>
      <c r="I178" s="977"/>
    </row>
    <row r="179" spans="1:9" x14ac:dyDescent="0.25">
      <c r="A179" s="8126"/>
      <c r="B179" s="8119"/>
      <c r="C179" s="8123" t="s">
        <v>1589</v>
      </c>
      <c r="D179" s="8124"/>
      <c r="E179" s="8125"/>
      <c r="F179" s="324">
        <f t="shared" si="10"/>
        <v>0</v>
      </c>
      <c r="G179" s="974"/>
      <c r="H179" s="980"/>
      <c r="I179" s="977"/>
    </row>
    <row r="180" spans="1:9" x14ac:dyDescent="0.25">
      <c r="A180" s="8126"/>
      <c r="B180" s="8119"/>
      <c r="C180" s="8123" t="s">
        <v>1588</v>
      </c>
      <c r="D180" s="8124"/>
      <c r="E180" s="8125"/>
      <c r="F180" s="324">
        <f t="shared" si="10"/>
        <v>0</v>
      </c>
      <c r="G180" s="974"/>
      <c r="H180" s="980"/>
      <c r="I180" s="977"/>
    </row>
    <row r="181" spans="1:9" x14ac:dyDescent="0.25">
      <c r="A181" s="8126"/>
      <c r="B181" s="8119"/>
      <c r="C181" s="8123" t="s">
        <v>1587</v>
      </c>
      <c r="D181" s="8124"/>
      <c r="E181" s="8125"/>
      <c r="F181" s="324">
        <f t="shared" si="10"/>
        <v>0</v>
      </c>
      <c r="G181" s="974"/>
      <c r="H181" s="980"/>
      <c r="I181" s="977"/>
    </row>
    <row r="182" spans="1:9" x14ac:dyDescent="0.25">
      <c r="A182" s="8126"/>
      <c r="B182" s="8119"/>
      <c r="C182" s="8123" t="s">
        <v>1586</v>
      </c>
      <c r="D182" s="8124"/>
      <c r="E182" s="8125"/>
      <c r="F182" s="324">
        <f t="shared" si="10"/>
        <v>0</v>
      </c>
      <c r="G182" s="974"/>
      <c r="H182" s="980"/>
      <c r="I182" s="977"/>
    </row>
    <row r="183" spans="1:9" x14ac:dyDescent="0.25">
      <c r="A183" s="8126"/>
      <c r="B183" s="8119"/>
      <c r="C183" s="8123" t="s">
        <v>1585</v>
      </c>
      <c r="D183" s="8124"/>
      <c r="E183" s="8125"/>
      <c r="F183" s="324">
        <f t="shared" si="10"/>
        <v>0</v>
      </c>
      <c r="G183" s="974"/>
      <c r="H183" s="980"/>
      <c r="I183" s="977"/>
    </row>
    <row r="184" spans="1:9" x14ac:dyDescent="0.25">
      <c r="A184" s="8126"/>
      <c r="B184" s="8119"/>
      <c r="C184" s="8130" t="s">
        <v>1584</v>
      </c>
      <c r="D184" s="8131"/>
      <c r="E184" s="8132"/>
      <c r="F184" s="324">
        <f t="shared" si="10"/>
        <v>0</v>
      </c>
      <c r="G184" s="974"/>
      <c r="H184" s="980"/>
      <c r="I184" s="977"/>
    </row>
    <row r="185" spans="1:9" x14ac:dyDescent="0.25">
      <c r="A185" s="1882"/>
      <c r="B185" s="1881"/>
      <c r="C185" s="1880" t="s">
        <v>24</v>
      </c>
      <c r="D185" s="1879"/>
      <c r="E185" s="1878"/>
      <c r="F185" s="1877">
        <f>+SUM(F160:F184)</f>
        <v>0</v>
      </c>
      <c r="G185" s="1876">
        <f>+SUM(G160:G184)</f>
        <v>0</v>
      </c>
      <c r="H185" s="1875">
        <f>+SUM(H160:H184)</f>
        <v>0</v>
      </c>
      <c r="I185" s="1874">
        <f>+SUM(I160:I184)</f>
        <v>0</v>
      </c>
    </row>
    <row r="186" spans="1:9" x14ac:dyDescent="0.25">
      <c r="A186" s="1873" t="s">
        <v>1583</v>
      </c>
      <c r="B186" s="779"/>
      <c r="C186" s="102"/>
      <c r="D186" s="102"/>
      <c r="E186" s="102"/>
      <c r="F186" s="102"/>
      <c r="G186" s="102"/>
      <c r="H186" s="102"/>
      <c r="I186" s="102"/>
    </row>
    <row r="187" spans="1:9" s="17" customFormat="1" ht="18" customHeight="1" x14ac:dyDescent="0.2">
      <c r="A187" s="1847" t="s">
        <v>1582</v>
      </c>
    </row>
    <row r="188" spans="1:9" s="17" customFormat="1" ht="18" customHeight="1" x14ac:dyDescent="0.2">
      <c r="A188" s="8133" t="s">
        <v>1581</v>
      </c>
      <c r="B188" s="8133"/>
      <c r="C188" s="8134"/>
      <c r="D188" s="8134"/>
    </row>
    <row r="189" spans="1:9" ht="15" customHeight="1" x14ac:dyDescent="0.25">
      <c r="A189" s="1846" t="s">
        <v>1532</v>
      </c>
      <c r="B189" s="1848" t="s">
        <v>24</v>
      </c>
      <c r="C189" s="1872" t="s">
        <v>545</v>
      </c>
      <c r="D189" s="1872" t="s">
        <v>1121</v>
      </c>
    </row>
    <row r="190" spans="1:9" ht="15" customHeight="1" x14ac:dyDescent="0.25">
      <c r="A190" s="1845" t="s">
        <v>1580</v>
      </c>
      <c r="B190" s="1106">
        <f t="shared" ref="B190:B199" si="11">SUM(C190:D190)</f>
        <v>0</v>
      </c>
      <c r="C190" s="1861"/>
      <c r="D190" s="1860"/>
    </row>
    <row r="191" spans="1:9" ht="15" customHeight="1" x14ac:dyDescent="0.25">
      <c r="A191" s="1844" t="s">
        <v>1579</v>
      </c>
      <c r="B191" s="1106">
        <f t="shared" si="11"/>
        <v>0</v>
      </c>
      <c r="C191" s="974"/>
      <c r="D191" s="1093"/>
    </row>
    <row r="192" spans="1:9" ht="15" customHeight="1" x14ac:dyDescent="0.25">
      <c r="A192" s="1844" t="s">
        <v>1578</v>
      </c>
      <c r="B192" s="1106">
        <f t="shared" si="11"/>
        <v>0</v>
      </c>
      <c r="C192" s="974"/>
      <c r="D192" s="1093"/>
    </row>
    <row r="193" spans="1:5" ht="15" customHeight="1" x14ac:dyDescent="0.25">
      <c r="A193" s="1844" t="s">
        <v>1577</v>
      </c>
      <c r="B193" s="1106">
        <f t="shared" si="11"/>
        <v>0</v>
      </c>
      <c r="C193" s="974"/>
      <c r="D193" s="1093"/>
    </row>
    <row r="194" spans="1:5" ht="15" customHeight="1" x14ac:dyDescent="0.25">
      <c r="A194" s="1844" t="s">
        <v>1576</v>
      </c>
      <c r="B194" s="1106">
        <f t="shared" si="11"/>
        <v>0</v>
      </c>
      <c r="C194" s="974"/>
      <c r="D194" s="1093"/>
    </row>
    <row r="195" spans="1:5" ht="15" customHeight="1" x14ac:dyDescent="0.25">
      <c r="A195" s="1844" t="s">
        <v>1575</v>
      </c>
      <c r="B195" s="1106">
        <f t="shared" si="11"/>
        <v>0</v>
      </c>
      <c r="C195" s="974"/>
      <c r="D195" s="1093"/>
    </row>
    <row r="196" spans="1:5" ht="15" customHeight="1" x14ac:dyDescent="0.25">
      <c r="A196" s="1844" t="s">
        <v>1574</v>
      </c>
      <c r="B196" s="1106">
        <f t="shared" si="11"/>
        <v>0</v>
      </c>
      <c r="C196" s="974"/>
      <c r="D196" s="1093"/>
    </row>
    <row r="197" spans="1:5" ht="15" customHeight="1" x14ac:dyDescent="0.25">
      <c r="A197" s="1844" t="s">
        <v>1573</v>
      </c>
      <c r="B197" s="1106">
        <f t="shared" si="11"/>
        <v>0</v>
      </c>
      <c r="C197" s="974"/>
      <c r="D197" s="1093"/>
    </row>
    <row r="198" spans="1:5" ht="15" customHeight="1" x14ac:dyDescent="0.25">
      <c r="A198" s="1844" t="s">
        <v>1572</v>
      </c>
      <c r="B198" s="1106">
        <f t="shared" si="11"/>
        <v>0</v>
      </c>
      <c r="C198" s="974"/>
      <c r="D198" s="1093"/>
    </row>
    <row r="199" spans="1:5" ht="15" customHeight="1" x14ac:dyDescent="0.25">
      <c r="A199" s="1843" t="s">
        <v>1571</v>
      </c>
      <c r="B199" s="1106">
        <f t="shared" si="11"/>
        <v>0</v>
      </c>
      <c r="C199" s="974"/>
      <c r="D199" s="1093"/>
    </row>
    <row r="200" spans="1:5" ht="15" customHeight="1" x14ac:dyDescent="0.25">
      <c r="A200" s="1842" t="s">
        <v>24</v>
      </c>
      <c r="B200" s="1841">
        <f>+SUM(B190:B199)</f>
        <v>0</v>
      </c>
      <c r="C200" s="1841">
        <f>+SUM(C190:C199)</f>
        <v>0</v>
      </c>
      <c r="D200" s="1841">
        <f>+SUM(D190:D199)</f>
        <v>0</v>
      </c>
    </row>
    <row r="201" spans="1:5" s="17" customFormat="1" ht="18" customHeight="1" x14ac:dyDescent="0.2">
      <c r="A201" s="1847" t="s">
        <v>1570</v>
      </c>
    </row>
    <row r="202" spans="1:5" ht="15" customHeight="1" x14ac:dyDescent="0.25">
      <c r="A202" s="1846" t="s">
        <v>1569</v>
      </c>
      <c r="B202" s="1842" t="s">
        <v>545</v>
      </c>
      <c r="C202" s="1842" t="s">
        <v>1121</v>
      </c>
      <c r="D202" s="1842" t="s">
        <v>327</v>
      </c>
    </row>
    <row r="203" spans="1:5" ht="15" customHeight="1" x14ac:dyDescent="0.25">
      <c r="A203" s="1866" t="s">
        <v>1495</v>
      </c>
      <c r="B203" s="974"/>
      <c r="C203" s="974"/>
      <c r="D203" s="1093"/>
    </row>
    <row r="204" spans="1:5" ht="15" customHeight="1" x14ac:dyDescent="0.25">
      <c r="A204" s="1850" t="s">
        <v>1494</v>
      </c>
      <c r="B204" s="974"/>
      <c r="C204" s="974"/>
      <c r="D204" s="1093"/>
    </row>
    <row r="205" spans="1:5" ht="15" customHeight="1" x14ac:dyDescent="0.25">
      <c r="A205" s="1849" t="s">
        <v>1493</v>
      </c>
      <c r="B205" s="974"/>
      <c r="C205" s="974"/>
      <c r="D205" s="1857"/>
    </row>
    <row r="206" spans="1:5" ht="15" customHeight="1" x14ac:dyDescent="0.25">
      <c r="A206" s="1846" t="s">
        <v>24</v>
      </c>
      <c r="B206" s="1841">
        <f>+SUM(B203:B205)</f>
        <v>0</v>
      </c>
      <c r="C206" s="1841">
        <f>+SUM(C203:C205)</f>
        <v>0</v>
      </c>
      <c r="D206" s="1841">
        <f>+SUM(D203:D205)</f>
        <v>0</v>
      </c>
    </row>
    <row r="207" spans="1:5" s="17" customFormat="1" ht="18" customHeight="1" x14ac:dyDescent="0.2">
      <c r="A207" s="8133" t="s">
        <v>1568</v>
      </c>
      <c r="B207" s="8133"/>
      <c r="C207" s="8133"/>
      <c r="D207" s="8133"/>
      <c r="E207" s="8133"/>
    </row>
    <row r="208" spans="1:5" s="170" customFormat="1" ht="15" customHeight="1" x14ac:dyDescent="0.15">
      <c r="A208" s="1842" t="s">
        <v>1533</v>
      </c>
      <c r="B208" s="1842" t="s">
        <v>3900</v>
      </c>
      <c r="C208" s="1842" t="s">
        <v>545</v>
      </c>
      <c r="D208" s="1842" t="s">
        <v>1121</v>
      </c>
      <c r="E208" s="1842" t="s">
        <v>327</v>
      </c>
    </row>
    <row r="209" spans="1:5" s="170" customFormat="1" ht="15" customHeight="1" x14ac:dyDescent="0.15">
      <c r="A209" s="8093" t="s">
        <v>1567</v>
      </c>
      <c r="B209" s="1865" t="s">
        <v>1566</v>
      </c>
      <c r="C209" s="974"/>
      <c r="D209" s="974"/>
      <c r="E209" s="1864"/>
    </row>
    <row r="210" spans="1:5" s="170" customFormat="1" ht="15" customHeight="1" x14ac:dyDescent="0.15">
      <c r="A210" s="8110"/>
      <c r="B210" s="1859" t="s">
        <v>1565</v>
      </c>
      <c r="C210" s="974"/>
      <c r="D210" s="974"/>
      <c r="E210" s="1860"/>
    </row>
    <row r="211" spans="1:5" s="170" customFormat="1" ht="15" customHeight="1" x14ac:dyDescent="0.15">
      <c r="A211" s="8110"/>
      <c r="B211" s="1862" t="s">
        <v>1564</v>
      </c>
      <c r="C211" s="1861"/>
      <c r="D211" s="1861"/>
      <c r="E211" s="1093"/>
    </row>
    <row r="212" spans="1:5" s="170" customFormat="1" ht="15" customHeight="1" x14ac:dyDescent="0.15">
      <c r="A212" s="8094"/>
      <c r="B212" s="1856" t="s">
        <v>1563</v>
      </c>
      <c r="C212" s="955"/>
      <c r="D212" s="955"/>
      <c r="E212" s="1857"/>
    </row>
    <row r="213" spans="1:5" s="170" customFormat="1" ht="15" customHeight="1" x14ac:dyDescent="0.15">
      <c r="A213" s="1871" t="s">
        <v>1562</v>
      </c>
      <c r="B213" s="1871" t="s">
        <v>1561</v>
      </c>
      <c r="C213" s="1870"/>
      <c r="D213" s="1870"/>
      <c r="E213" s="1867"/>
    </row>
    <row r="214" spans="1:5" s="170" customFormat="1" ht="15" customHeight="1" x14ac:dyDescent="0.15">
      <c r="A214" s="8093" t="s">
        <v>1531</v>
      </c>
      <c r="B214" s="1865" t="s">
        <v>1560</v>
      </c>
      <c r="C214" s="1869"/>
      <c r="D214" s="1869"/>
      <c r="E214" s="1864"/>
    </row>
    <row r="215" spans="1:5" s="170" customFormat="1" ht="15" customHeight="1" x14ac:dyDescent="0.15">
      <c r="A215" s="8110"/>
      <c r="B215" s="1862" t="s">
        <v>1559</v>
      </c>
      <c r="C215" s="1861"/>
      <c r="D215" s="1861"/>
      <c r="E215" s="1860"/>
    </row>
    <row r="216" spans="1:5" s="170" customFormat="1" ht="15" customHeight="1" x14ac:dyDescent="0.15">
      <c r="A216" s="8110"/>
      <c r="B216" s="1859" t="s">
        <v>1558</v>
      </c>
      <c r="C216" s="974"/>
      <c r="D216" s="974"/>
      <c r="E216" s="1093"/>
    </row>
    <row r="217" spans="1:5" s="170" customFormat="1" ht="15" customHeight="1" x14ac:dyDescent="0.15">
      <c r="A217" s="8110"/>
      <c r="B217" s="1862" t="s">
        <v>1557</v>
      </c>
      <c r="C217" s="1861"/>
      <c r="D217" s="1861"/>
      <c r="E217" s="1860"/>
    </row>
    <row r="218" spans="1:5" s="170" customFormat="1" ht="15" customHeight="1" x14ac:dyDescent="0.15">
      <c r="A218" s="8094"/>
      <c r="B218" s="1856" t="s">
        <v>1556</v>
      </c>
      <c r="C218" s="955"/>
      <c r="D218" s="955"/>
      <c r="E218" s="1857"/>
    </row>
    <row r="219" spans="1:5" s="170" customFormat="1" ht="15" customHeight="1" x14ac:dyDescent="0.15">
      <c r="A219" s="8093" t="s">
        <v>1555</v>
      </c>
      <c r="B219" s="1865" t="s">
        <v>1554</v>
      </c>
      <c r="C219" s="1861"/>
      <c r="D219" s="1861"/>
      <c r="E219" s="1860"/>
    </row>
    <row r="220" spans="1:5" s="170" customFormat="1" ht="15" customHeight="1" x14ac:dyDescent="0.15">
      <c r="A220" s="8094"/>
      <c r="B220" s="1856" t="s">
        <v>1553</v>
      </c>
      <c r="C220" s="955"/>
      <c r="D220" s="955"/>
      <c r="E220" s="1857"/>
    </row>
    <row r="221" spans="1:5" s="170" customFormat="1" ht="15" customHeight="1" x14ac:dyDescent="0.15">
      <c r="A221" s="8093" t="s">
        <v>1516</v>
      </c>
      <c r="B221" s="1865" t="s">
        <v>1552</v>
      </c>
      <c r="C221" s="1869"/>
      <c r="D221" s="1869"/>
      <c r="E221" s="1864"/>
    </row>
    <row r="222" spans="1:5" s="170" customFormat="1" ht="15" customHeight="1" x14ac:dyDescent="0.15">
      <c r="A222" s="8110"/>
      <c r="B222" s="1859" t="s">
        <v>1551</v>
      </c>
      <c r="C222" s="1861"/>
      <c r="D222" s="1861"/>
      <c r="E222" s="1860"/>
    </row>
    <row r="223" spans="1:5" s="170" customFormat="1" ht="15" customHeight="1" x14ac:dyDescent="0.15">
      <c r="A223" s="8094"/>
      <c r="B223" s="1862" t="s">
        <v>1550</v>
      </c>
      <c r="C223" s="1868"/>
      <c r="D223" s="1868"/>
      <c r="E223" s="1867"/>
    </row>
    <row r="224" spans="1:5" s="170" customFormat="1" ht="15" customHeight="1" x14ac:dyDescent="0.15">
      <c r="A224" s="8093" t="s">
        <v>1549</v>
      </c>
      <c r="B224" s="1865" t="s">
        <v>1548</v>
      </c>
      <c r="C224" s="1861"/>
      <c r="D224" s="1861"/>
      <c r="E224" s="1860"/>
    </row>
    <row r="225" spans="1:5" s="170" customFormat="1" ht="15" customHeight="1" x14ac:dyDescent="0.15">
      <c r="A225" s="8094"/>
      <c r="B225" s="1856" t="s">
        <v>1547</v>
      </c>
      <c r="C225" s="955"/>
      <c r="D225" s="955"/>
      <c r="E225" s="1857"/>
    </row>
    <row r="226" spans="1:5" s="170" customFormat="1" ht="15" customHeight="1" x14ac:dyDescent="0.15">
      <c r="A226" s="8093" t="s">
        <v>1511</v>
      </c>
      <c r="B226" s="1865" t="s">
        <v>1546</v>
      </c>
      <c r="C226" s="1861"/>
      <c r="D226" s="1861"/>
      <c r="E226" s="1860"/>
    </row>
    <row r="227" spans="1:5" s="170" customFormat="1" ht="15" customHeight="1" x14ac:dyDescent="0.15">
      <c r="A227" s="8094"/>
      <c r="B227" s="1856" t="s">
        <v>1545</v>
      </c>
      <c r="C227" s="955"/>
      <c r="D227" s="955"/>
      <c r="E227" s="1857"/>
    </row>
    <row r="228" spans="1:5" s="170" customFormat="1" ht="15" customHeight="1" x14ac:dyDescent="0.15">
      <c r="A228" s="8093" t="s">
        <v>1505</v>
      </c>
      <c r="B228" s="1865" t="s">
        <v>1544</v>
      </c>
      <c r="C228" s="1861"/>
      <c r="D228" s="1861"/>
      <c r="E228" s="1860"/>
    </row>
    <row r="229" spans="1:5" s="170" customFormat="1" ht="15" customHeight="1" x14ac:dyDescent="0.15">
      <c r="A229" s="8094"/>
      <c r="B229" s="1856" t="s">
        <v>1543</v>
      </c>
      <c r="C229" s="955"/>
      <c r="D229" s="955"/>
      <c r="E229" s="1857"/>
    </row>
    <row r="230" spans="1:5" s="170" customFormat="1" ht="15" customHeight="1" x14ac:dyDescent="0.15">
      <c r="A230" s="8093" t="s">
        <v>1542</v>
      </c>
      <c r="B230" s="1865" t="s">
        <v>1541</v>
      </c>
      <c r="C230" s="1861"/>
      <c r="D230" s="1861"/>
      <c r="E230" s="1860"/>
    </row>
    <row r="231" spans="1:5" s="170" customFormat="1" ht="15" customHeight="1" x14ac:dyDescent="0.15">
      <c r="A231" s="8094"/>
      <c r="B231" s="1858" t="s">
        <v>1540</v>
      </c>
      <c r="C231" s="955"/>
      <c r="D231" s="955"/>
      <c r="E231" s="1857"/>
    </row>
    <row r="232" spans="1:5" s="170" customFormat="1" ht="15" customHeight="1" x14ac:dyDescent="0.15">
      <c r="A232" s="8095" t="s">
        <v>1539</v>
      </c>
      <c r="B232" s="8096"/>
      <c r="C232" s="1861"/>
      <c r="D232" s="1861"/>
      <c r="E232" s="1860"/>
    </row>
    <row r="233" spans="1:5" s="170" customFormat="1" ht="15" customHeight="1" x14ac:dyDescent="0.15">
      <c r="A233" s="8097" t="s">
        <v>28</v>
      </c>
      <c r="B233" s="8098"/>
      <c r="C233" s="974"/>
      <c r="D233" s="974"/>
      <c r="E233" s="1093"/>
    </row>
    <row r="234" spans="1:5" s="170" customFormat="1" ht="15" customHeight="1" x14ac:dyDescent="0.15">
      <c r="A234" s="8099" t="s">
        <v>24</v>
      </c>
      <c r="B234" s="8100"/>
      <c r="C234" s="1841">
        <f>+SUM(C209:C233)</f>
        <v>0</v>
      </c>
      <c r="D234" s="1841">
        <f>+SUM(D209:D233)</f>
        <v>0</v>
      </c>
      <c r="E234" s="1841">
        <f>+SUM(E209:E233)</f>
        <v>0</v>
      </c>
    </row>
    <row r="235" spans="1:5" s="17" customFormat="1" ht="18" customHeight="1" x14ac:dyDescent="0.2">
      <c r="A235" s="8103" t="s">
        <v>1538</v>
      </c>
      <c r="B235" s="8103"/>
      <c r="C235" s="8103"/>
      <c r="D235" s="8103"/>
      <c r="E235" s="8103"/>
    </row>
    <row r="236" spans="1:5" s="170" customFormat="1" ht="21" x14ac:dyDescent="0.15">
      <c r="A236" s="8101" t="s">
        <v>1537</v>
      </c>
      <c r="B236" s="8101"/>
      <c r="C236" s="1787" t="s">
        <v>24</v>
      </c>
      <c r="D236" s="1852" t="s">
        <v>1319</v>
      </c>
      <c r="E236" s="1852" t="s">
        <v>1122</v>
      </c>
    </row>
    <row r="237" spans="1:5" s="170" customFormat="1" ht="15" customHeight="1" x14ac:dyDescent="0.15">
      <c r="A237" s="8102" t="s">
        <v>1536</v>
      </c>
      <c r="B237" s="8102"/>
      <c r="C237" s="1106">
        <f>SUM(D237:E237)</f>
        <v>0</v>
      </c>
      <c r="D237" s="974"/>
      <c r="E237" s="1093"/>
    </row>
    <row r="238" spans="1:5" s="170" customFormat="1" ht="15" customHeight="1" x14ac:dyDescent="0.15">
      <c r="A238" s="8104" t="s">
        <v>1535</v>
      </c>
      <c r="B238" s="8104"/>
      <c r="C238" s="1106">
        <f>SUM(D238:E238)</f>
        <v>0</v>
      </c>
      <c r="D238" s="974"/>
      <c r="E238" s="1093"/>
    </row>
    <row r="239" spans="1:5" s="170" customFormat="1" ht="15" customHeight="1" x14ac:dyDescent="0.15">
      <c r="A239" s="8105" t="s">
        <v>24</v>
      </c>
      <c r="B239" s="8105"/>
      <c r="C239" s="1452">
        <f>+SUM(C237:C238)</f>
        <v>0</v>
      </c>
      <c r="D239" s="1452">
        <f>+SUM(D237:D238)</f>
        <v>0</v>
      </c>
      <c r="E239" s="1841">
        <f>+SUM(E237:E238)</f>
        <v>0</v>
      </c>
    </row>
    <row r="240" spans="1:5" s="17" customFormat="1" ht="18" customHeight="1" x14ac:dyDescent="0.2">
      <c r="A240" s="8103" t="s">
        <v>1534</v>
      </c>
      <c r="B240" s="8103"/>
      <c r="C240" s="8103"/>
      <c r="D240" s="8103"/>
    </row>
    <row r="241" spans="1:4" ht="15" customHeight="1" x14ac:dyDescent="0.25">
      <c r="A241" s="1842" t="s">
        <v>1533</v>
      </c>
      <c r="B241" s="1842" t="s">
        <v>1532</v>
      </c>
      <c r="C241" s="1842" t="s">
        <v>545</v>
      </c>
      <c r="D241" s="1842" t="s">
        <v>1121</v>
      </c>
    </row>
    <row r="242" spans="1:4" ht="15" customHeight="1" x14ac:dyDescent="0.25">
      <c r="A242" s="8093" t="s">
        <v>1531</v>
      </c>
      <c r="B242" s="1865" t="s">
        <v>1530</v>
      </c>
      <c r="C242" s="974"/>
      <c r="D242" s="1864"/>
    </row>
    <row r="243" spans="1:4" ht="15" customHeight="1" x14ac:dyDescent="0.25">
      <c r="A243" s="8110"/>
      <c r="B243" s="1859" t="s">
        <v>1529</v>
      </c>
      <c r="C243" s="974"/>
      <c r="D243" s="1093"/>
    </row>
    <row r="244" spans="1:4" ht="15" customHeight="1" x14ac:dyDescent="0.25">
      <c r="A244" s="8110"/>
      <c r="B244" s="1859" t="s">
        <v>1528</v>
      </c>
      <c r="C244" s="974"/>
      <c r="D244" s="1093"/>
    </row>
    <row r="245" spans="1:4" ht="15" customHeight="1" x14ac:dyDescent="0.25">
      <c r="A245" s="8110"/>
      <c r="B245" s="1859" t="s">
        <v>1527</v>
      </c>
      <c r="C245" s="974"/>
      <c r="D245" s="1093"/>
    </row>
    <row r="246" spans="1:4" ht="15" customHeight="1" x14ac:dyDescent="0.25">
      <c r="A246" s="8110"/>
      <c r="B246" s="1859" t="s">
        <v>1526</v>
      </c>
      <c r="C246" s="974"/>
      <c r="D246" s="1093"/>
    </row>
    <row r="247" spans="1:4" ht="15" customHeight="1" x14ac:dyDescent="0.25">
      <c r="A247" s="8110"/>
      <c r="B247" s="1859" t="s">
        <v>1525</v>
      </c>
      <c r="C247" s="974"/>
      <c r="D247" s="1093"/>
    </row>
    <row r="248" spans="1:4" ht="15" customHeight="1" x14ac:dyDescent="0.25">
      <c r="A248" s="8110"/>
      <c r="B248" s="1859" t="s">
        <v>1524</v>
      </c>
      <c r="C248" s="974"/>
      <c r="D248" s="1093"/>
    </row>
    <row r="249" spans="1:4" ht="15" customHeight="1" x14ac:dyDescent="0.25">
      <c r="A249" s="8110"/>
      <c r="B249" s="1859" t="s">
        <v>1523</v>
      </c>
      <c r="C249" s="974"/>
      <c r="D249" s="1093"/>
    </row>
    <row r="250" spans="1:4" ht="15" customHeight="1" x14ac:dyDescent="0.25">
      <c r="A250" s="8110"/>
      <c r="B250" s="1859" t="s">
        <v>1522</v>
      </c>
      <c r="C250" s="974"/>
      <c r="D250" s="1093"/>
    </row>
    <row r="251" spans="1:4" ht="15" customHeight="1" x14ac:dyDescent="0.25">
      <c r="A251" s="8110"/>
      <c r="B251" s="1859" t="s">
        <v>1521</v>
      </c>
      <c r="C251" s="974"/>
      <c r="D251" s="1093"/>
    </row>
    <row r="252" spans="1:4" ht="15" customHeight="1" x14ac:dyDescent="0.25">
      <c r="A252" s="8110"/>
      <c r="B252" s="1859" t="s">
        <v>1520</v>
      </c>
      <c r="C252" s="974"/>
      <c r="D252" s="1093"/>
    </row>
    <row r="253" spans="1:4" ht="15" customHeight="1" x14ac:dyDescent="0.25">
      <c r="A253" s="8110"/>
      <c r="B253" s="1859" t="s">
        <v>1519</v>
      </c>
      <c r="C253" s="974"/>
      <c r="D253" s="1093"/>
    </row>
    <row r="254" spans="1:4" ht="15" customHeight="1" x14ac:dyDescent="0.25">
      <c r="A254" s="8110"/>
      <c r="B254" s="1858" t="s">
        <v>1518</v>
      </c>
      <c r="C254" s="955"/>
      <c r="D254" s="1857"/>
    </row>
    <row r="255" spans="1:4" ht="15" customHeight="1" x14ac:dyDescent="0.25">
      <c r="A255" s="8094"/>
      <c r="B255" s="1856" t="s">
        <v>1517</v>
      </c>
      <c r="C255" s="1863">
        <f>SUM(C242:C254)</f>
        <v>0</v>
      </c>
      <c r="D255" s="1854">
        <f>SUM(D242:D254)</f>
        <v>0</v>
      </c>
    </row>
    <row r="256" spans="1:4" ht="15" customHeight="1" x14ac:dyDescent="0.25">
      <c r="A256" s="8093" t="s">
        <v>1516</v>
      </c>
      <c r="B256" s="1862" t="s">
        <v>1515</v>
      </c>
      <c r="C256" s="1861"/>
      <c r="D256" s="1860"/>
    </row>
    <row r="257" spans="1:4" ht="15" customHeight="1" x14ac:dyDescent="0.25">
      <c r="A257" s="8110"/>
      <c r="B257" s="1859" t="s">
        <v>1514</v>
      </c>
      <c r="C257" s="974"/>
      <c r="D257" s="1093"/>
    </row>
    <row r="258" spans="1:4" ht="15" customHeight="1" x14ac:dyDescent="0.25">
      <c r="A258" s="8110"/>
      <c r="B258" s="1858" t="s">
        <v>1513</v>
      </c>
      <c r="C258" s="955"/>
      <c r="D258" s="1857"/>
    </row>
    <row r="259" spans="1:4" ht="15" customHeight="1" x14ac:dyDescent="0.25">
      <c r="A259" s="8094"/>
      <c r="B259" s="1856" t="s">
        <v>1512</v>
      </c>
      <c r="C259" s="1863">
        <f>SUM(C256:C258)</f>
        <v>0</v>
      </c>
      <c r="D259" s="1854">
        <f>SUM(D256:D258)</f>
        <v>0</v>
      </c>
    </row>
    <row r="260" spans="1:4" ht="15" customHeight="1" x14ac:dyDescent="0.25">
      <c r="A260" s="8093" t="s">
        <v>1511</v>
      </c>
      <c r="B260" s="1862" t="s">
        <v>1510</v>
      </c>
      <c r="C260" s="1861"/>
      <c r="D260" s="1860"/>
    </row>
    <row r="261" spans="1:4" ht="15" customHeight="1" x14ac:dyDescent="0.25">
      <c r="A261" s="8110"/>
      <c r="B261" s="1859" t="s">
        <v>1509</v>
      </c>
      <c r="C261" s="974"/>
      <c r="D261" s="1093"/>
    </row>
    <row r="262" spans="1:4" ht="15" customHeight="1" x14ac:dyDescent="0.25">
      <c r="A262" s="8110"/>
      <c r="B262" s="1859" t="s">
        <v>1508</v>
      </c>
      <c r="C262" s="974"/>
      <c r="D262" s="1093"/>
    </row>
    <row r="263" spans="1:4" ht="15" customHeight="1" x14ac:dyDescent="0.25">
      <c r="A263" s="8110"/>
      <c r="B263" s="1858" t="s">
        <v>1507</v>
      </c>
      <c r="C263" s="955"/>
      <c r="D263" s="1857"/>
    </row>
    <row r="264" spans="1:4" ht="15" customHeight="1" x14ac:dyDescent="0.25">
      <c r="A264" s="8094"/>
      <c r="B264" s="1856" t="s">
        <v>1506</v>
      </c>
      <c r="C264" s="1863">
        <f>SUM(C260:C263)</f>
        <v>0</v>
      </c>
      <c r="D264" s="1854">
        <f>SUM(D260:D263)</f>
        <v>0</v>
      </c>
    </row>
    <row r="265" spans="1:4" ht="15" customHeight="1" x14ac:dyDescent="0.25">
      <c r="A265" s="8093" t="s">
        <v>1505</v>
      </c>
      <c r="B265" s="1862" t="s">
        <v>1504</v>
      </c>
      <c r="C265" s="1861"/>
      <c r="D265" s="1860"/>
    </row>
    <row r="266" spans="1:4" ht="15" customHeight="1" x14ac:dyDescent="0.25">
      <c r="A266" s="8110"/>
      <c r="B266" s="1859" t="s">
        <v>1503</v>
      </c>
      <c r="C266" s="974"/>
      <c r="D266" s="1093"/>
    </row>
    <row r="267" spans="1:4" ht="15" customHeight="1" x14ac:dyDescent="0.25">
      <c r="A267" s="8110"/>
      <c r="B267" s="1858" t="s">
        <v>1502</v>
      </c>
      <c r="C267" s="955"/>
      <c r="D267" s="1857"/>
    </row>
    <row r="268" spans="1:4" ht="15" customHeight="1" x14ac:dyDescent="0.25">
      <c r="A268" s="8111"/>
      <c r="B268" s="1856" t="s">
        <v>1501</v>
      </c>
      <c r="C268" s="1855">
        <f>SUM(C265:C267)</f>
        <v>0</v>
      </c>
      <c r="D268" s="1854">
        <f>SUM(D265:D267)</f>
        <v>0</v>
      </c>
    </row>
    <row r="269" spans="1:4" ht="15" customHeight="1" x14ac:dyDescent="0.25">
      <c r="A269" s="8099" t="s">
        <v>24</v>
      </c>
      <c r="B269" s="8100"/>
      <c r="C269" s="1841">
        <f>+C255+C259+C264+C268</f>
        <v>0</v>
      </c>
      <c r="D269" s="1841">
        <f>+D255+D259+D264+D268</f>
        <v>0</v>
      </c>
    </row>
    <row r="270" spans="1:4" s="17" customFormat="1" ht="18" customHeight="1" x14ac:dyDescent="0.2">
      <c r="A270" s="8103" t="s">
        <v>1500</v>
      </c>
      <c r="B270" s="8103"/>
      <c r="C270" s="8103"/>
      <c r="D270" s="8103"/>
    </row>
    <row r="271" spans="1:4" x14ac:dyDescent="0.25">
      <c r="A271" s="1853" t="s">
        <v>1499</v>
      </c>
      <c r="B271" s="1853" t="s">
        <v>1498</v>
      </c>
      <c r="C271" s="1852" t="s">
        <v>1497</v>
      </c>
      <c r="D271" s="1852" t="s">
        <v>1496</v>
      </c>
    </row>
    <row r="272" spans="1:4" ht="15" customHeight="1" x14ac:dyDescent="0.25">
      <c r="A272" s="1851" t="s">
        <v>1495</v>
      </c>
      <c r="B272" s="974"/>
      <c r="C272" s="974"/>
      <c r="D272" s="1093"/>
    </row>
    <row r="273" spans="1:4" ht="15" customHeight="1" x14ac:dyDescent="0.25">
      <c r="A273" s="1850" t="s">
        <v>1494</v>
      </c>
      <c r="B273" s="974"/>
      <c r="C273" s="974"/>
      <c r="D273" s="1093"/>
    </row>
    <row r="274" spans="1:4" ht="15" customHeight="1" x14ac:dyDescent="0.25">
      <c r="A274" s="1849" t="s">
        <v>1493</v>
      </c>
      <c r="B274" s="974"/>
      <c r="C274" s="974"/>
      <c r="D274" s="1093"/>
    </row>
    <row r="275" spans="1:4" ht="15" customHeight="1" x14ac:dyDescent="0.25">
      <c r="A275" s="1846" t="s">
        <v>24</v>
      </c>
      <c r="B275" s="1758">
        <f>+SUM(B272:B274)</f>
        <v>0</v>
      </c>
      <c r="C275" s="1758">
        <f>+SUM(C272:C274)</f>
        <v>0</v>
      </c>
      <c r="D275" s="1841">
        <f>+SUM(D272:D274)</f>
        <v>0</v>
      </c>
    </row>
    <row r="276" spans="1:4" s="17" customFormat="1" ht="18" customHeight="1" x14ac:dyDescent="0.2">
      <c r="A276" s="1847" t="s">
        <v>1492</v>
      </c>
    </row>
    <row r="277" spans="1:4" s="17" customFormat="1" ht="18" customHeight="1" x14ac:dyDescent="0.2">
      <c r="A277" s="8133" t="s">
        <v>1491</v>
      </c>
      <c r="B277" s="8133"/>
      <c r="C277" s="8133"/>
    </row>
    <row r="278" spans="1:4" x14ac:dyDescent="0.25">
      <c r="A278" s="8112" t="s">
        <v>1490</v>
      </c>
      <c r="B278" s="8113"/>
      <c r="C278" s="1842" t="s">
        <v>1489</v>
      </c>
    </row>
    <row r="279" spans="1:4" x14ac:dyDescent="0.25">
      <c r="A279" s="8095" t="s">
        <v>1488</v>
      </c>
      <c r="B279" s="8114"/>
      <c r="C279" s="1093"/>
    </row>
    <row r="280" spans="1:4" x14ac:dyDescent="0.25">
      <c r="A280" s="8115" t="s">
        <v>1487</v>
      </c>
      <c r="B280" s="8116"/>
      <c r="C280" s="1093"/>
    </row>
    <row r="281" spans="1:4" x14ac:dyDescent="0.25">
      <c r="A281" s="8115" t="s">
        <v>1486</v>
      </c>
      <c r="B281" s="8116"/>
      <c r="C281" s="1093"/>
    </row>
    <row r="282" spans="1:4" x14ac:dyDescent="0.25">
      <c r="A282" s="8115" t="s">
        <v>1485</v>
      </c>
      <c r="B282" s="8116"/>
      <c r="C282" s="1093"/>
    </row>
    <row r="283" spans="1:4" ht="24.95" customHeight="1" x14ac:dyDescent="0.25">
      <c r="A283" s="8106" t="s">
        <v>1484</v>
      </c>
      <c r="B283" s="8107"/>
      <c r="C283" s="1093"/>
    </row>
    <row r="284" spans="1:4" ht="24.95" customHeight="1" x14ac:dyDescent="0.25">
      <c r="A284" s="8106" t="s">
        <v>1483</v>
      </c>
      <c r="B284" s="8107"/>
      <c r="C284" s="1093"/>
    </row>
    <row r="285" spans="1:4" ht="24.95" customHeight="1" x14ac:dyDescent="0.25">
      <c r="A285" s="8106" t="s">
        <v>1482</v>
      </c>
      <c r="B285" s="8107"/>
      <c r="C285" s="1093"/>
    </row>
    <row r="286" spans="1:4" ht="24.95" customHeight="1" x14ac:dyDescent="0.25">
      <c r="A286" s="8106" t="s">
        <v>1481</v>
      </c>
      <c r="B286" s="8107"/>
      <c r="C286" s="1093"/>
    </row>
    <row r="287" spans="1:4" ht="15" customHeight="1" x14ac:dyDescent="0.25">
      <c r="A287" s="8108" t="s">
        <v>1480</v>
      </c>
      <c r="B287" s="8109"/>
      <c r="C287" s="1093"/>
    </row>
    <row r="288" spans="1:4" ht="15" customHeight="1" x14ac:dyDescent="0.25">
      <c r="A288" s="8117" t="s">
        <v>24</v>
      </c>
      <c r="B288" s="8118"/>
      <c r="C288" s="1841">
        <f>+SUM(C279:C287)</f>
        <v>0</v>
      </c>
    </row>
    <row r="289" spans="1:2" s="17" customFormat="1" ht="18" customHeight="1" x14ac:dyDescent="0.2">
      <c r="A289" s="1847" t="s">
        <v>1479</v>
      </c>
    </row>
    <row r="290" spans="1:2" ht="15" customHeight="1" x14ac:dyDescent="0.25">
      <c r="A290" s="1846" t="s">
        <v>1478</v>
      </c>
      <c r="B290" s="1842" t="s">
        <v>1477</v>
      </c>
    </row>
    <row r="291" spans="1:2" ht="15" customHeight="1" x14ac:dyDescent="0.25">
      <c r="A291" s="1845" t="s">
        <v>1476</v>
      </c>
      <c r="B291" s="1093"/>
    </row>
    <row r="292" spans="1:2" ht="15" customHeight="1" x14ac:dyDescent="0.25">
      <c r="A292" s="1844" t="s">
        <v>1475</v>
      </c>
      <c r="B292" s="1093"/>
    </row>
    <row r="293" spans="1:2" ht="15" customHeight="1" x14ac:dyDescent="0.25">
      <c r="A293" s="1844" t="s">
        <v>1474</v>
      </c>
      <c r="B293" s="1093"/>
    </row>
    <row r="294" spans="1:2" ht="15" customHeight="1" x14ac:dyDescent="0.25">
      <c r="A294" s="1844" t="s">
        <v>1473</v>
      </c>
      <c r="B294" s="1093"/>
    </row>
    <row r="295" spans="1:2" ht="15" customHeight="1" x14ac:dyDescent="0.25">
      <c r="A295" s="1844" t="s">
        <v>1472</v>
      </c>
      <c r="B295" s="1093"/>
    </row>
    <row r="296" spans="1:2" ht="15" customHeight="1" x14ac:dyDescent="0.25">
      <c r="A296" s="1843" t="s">
        <v>1471</v>
      </c>
      <c r="B296" s="1093"/>
    </row>
    <row r="297" spans="1:2" ht="15" customHeight="1" x14ac:dyDescent="0.25">
      <c r="A297" s="1842" t="s">
        <v>24</v>
      </c>
      <c r="B297" s="1841">
        <f>+SUM(B291:B296)</f>
        <v>0</v>
      </c>
    </row>
    <row r="320" spans="1:2" hidden="1" x14ac:dyDescent="0.25">
      <c r="A320" s="4565">
        <f>SUM(D12:F15,D16:D17,D22:D28,E31:E61,B66,C69:C81,C90:H90,C100:H100,C104:C109,C113:C118,B122:B126,B129:B133,C136:C141,C153:H153,C156:C157,F160:F185,B190:B200,B206:D206,C234:E234,C237:C239,C269:D269,B275:D275,C288,B297)</f>
        <v>0</v>
      </c>
      <c r="B320" s="4564"/>
    </row>
  </sheetData>
  <sheetProtection algorithmName="SHA-512" hashValue="D2ItN+5fECVr0CkrQOZv9ghMi0//wv6D5z3+lJ1cQ/PjWx5SCvjzLhsH8KiEjH9YqBkRFAQgxby2+o2wLYpOFA==" saltValue="oqekmsRskJyDqktpIz6Iww==" spinCount="100000" sheet="1" objects="1" scenarios="1"/>
  <mergeCells count="217">
    <mergeCell ref="AA10:AB10"/>
    <mergeCell ref="A12:A13"/>
    <mergeCell ref="A14:B14"/>
    <mergeCell ref="I10:J10"/>
    <mergeCell ref="K10:L10"/>
    <mergeCell ref="M10:N10"/>
    <mergeCell ref="O10:P10"/>
    <mergeCell ref="Q10:R10"/>
    <mergeCell ref="A6:V6"/>
    <mergeCell ref="A9:A11"/>
    <mergeCell ref="B9:C11"/>
    <mergeCell ref="D9:F10"/>
    <mergeCell ref="G9:AB9"/>
    <mergeCell ref="S10:T10"/>
    <mergeCell ref="A15:C15"/>
    <mergeCell ref="A16:C16"/>
    <mergeCell ref="A17:C17"/>
    <mergeCell ref="A19:A21"/>
    <mergeCell ref="B19:C21"/>
    <mergeCell ref="G10:H10"/>
    <mergeCell ref="U10:V10"/>
    <mergeCell ref="W10:X10"/>
    <mergeCell ref="Y10:Z10"/>
    <mergeCell ref="W20:X20"/>
    <mergeCell ref="Y20:Z20"/>
    <mergeCell ref="C30:D30"/>
    <mergeCell ref="A31:A41"/>
    <mergeCell ref="B31:B33"/>
    <mergeCell ref="C31:D31"/>
    <mergeCell ref="C32:D32"/>
    <mergeCell ref="C33:D33"/>
    <mergeCell ref="AA20:AB20"/>
    <mergeCell ref="AC20:AD20"/>
    <mergeCell ref="A22:A25"/>
    <mergeCell ref="B22:B23"/>
    <mergeCell ref="B24:B25"/>
    <mergeCell ref="D19:F20"/>
    <mergeCell ref="G19:AD19"/>
    <mergeCell ref="G20:H20"/>
    <mergeCell ref="U20:V20"/>
    <mergeCell ref="I20:J20"/>
    <mergeCell ref="K20:L20"/>
    <mergeCell ref="M20:N20"/>
    <mergeCell ref="O20:P20"/>
    <mergeCell ref="Q20:R20"/>
    <mergeCell ref="S20:T20"/>
    <mergeCell ref="A62:D62"/>
    <mergeCell ref="A55:A60"/>
    <mergeCell ref="B55:D55"/>
    <mergeCell ref="B56:D56"/>
    <mergeCell ref="B57:D57"/>
    <mergeCell ref="B58:D58"/>
    <mergeCell ref="B59:D59"/>
    <mergeCell ref="B60:D60"/>
    <mergeCell ref="A49:A52"/>
    <mergeCell ref="B61:D61"/>
    <mergeCell ref="B49:D49"/>
    <mergeCell ref="B50:D50"/>
    <mergeCell ref="B51:D51"/>
    <mergeCell ref="B52:D52"/>
    <mergeCell ref="A53:A54"/>
    <mergeCell ref="B53:D53"/>
    <mergeCell ref="B54:D54"/>
    <mergeCell ref="A42:A48"/>
    <mergeCell ref="B42:B48"/>
    <mergeCell ref="C42:D42"/>
    <mergeCell ref="C43:C44"/>
    <mergeCell ref="C45:D45"/>
    <mergeCell ref="A8:C8"/>
    <mergeCell ref="C38:D38"/>
    <mergeCell ref="C39:D39"/>
    <mergeCell ref="C40:D40"/>
    <mergeCell ref="C41:D41"/>
    <mergeCell ref="A18:C18"/>
    <mergeCell ref="B34:B35"/>
    <mergeCell ref="C46:D46"/>
    <mergeCell ref="C47:D47"/>
    <mergeCell ref="C48:D48"/>
    <mergeCell ref="C34:D34"/>
    <mergeCell ref="C35:D35"/>
    <mergeCell ref="B36:B37"/>
    <mergeCell ref="C36:D36"/>
    <mergeCell ref="C37:D37"/>
    <mergeCell ref="B38:B41"/>
    <mergeCell ref="A26:B27"/>
    <mergeCell ref="A28:C28"/>
    <mergeCell ref="A29:F29"/>
    <mergeCell ref="A82:H82"/>
    <mergeCell ref="A67:C67"/>
    <mergeCell ref="A69:A72"/>
    <mergeCell ref="A73:A77"/>
    <mergeCell ref="D93:D94"/>
    <mergeCell ref="E93:G93"/>
    <mergeCell ref="H93:H94"/>
    <mergeCell ref="A85:B85"/>
    <mergeCell ref="A86:B86"/>
    <mergeCell ref="A78:A80"/>
    <mergeCell ref="A81:B81"/>
    <mergeCell ref="A83:B84"/>
    <mergeCell ref="C83:C84"/>
    <mergeCell ref="D83:D84"/>
    <mergeCell ref="E83:G83"/>
    <mergeCell ref="A92:H92"/>
    <mergeCell ref="A87:B87"/>
    <mergeCell ref="A88:B88"/>
    <mergeCell ref="A89:B89"/>
    <mergeCell ref="A90:B90"/>
    <mergeCell ref="C93:C94"/>
    <mergeCell ref="H83:H84"/>
    <mergeCell ref="F145:H145"/>
    <mergeCell ref="A147:B147"/>
    <mergeCell ref="A148:A150"/>
    <mergeCell ref="A95:B95"/>
    <mergeCell ref="A96:B96"/>
    <mergeCell ref="A97:B97"/>
    <mergeCell ref="A98:B98"/>
    <mergeCell ref="A99:B99"/>
    <mergeCell ref="A100:B100"/>
    <mergeCell ref="A127:B127"/>
    <mergeCell ref="A120:B120"/>
    <mergeCell ref="A144:H144"/>
    <mergeCell ref="A111:I111"/>
    <mergeCell ref="A102:I102"/>
    <mergeCell ref="A117:B117"/>
    <mergeCell ref="A118:B118"/>
    <mergeCell ref="A112:B112"/>
    <mergeCell ref="A113:B113"/>
    <mergeCell ref="A114:A116"/>
    <mergeCell ref="A103:B103"/>
    <mergeCell ref="C145:E145"/>
    <mergeCell ref="A151:B151"/>
    <mergeCell ref="A135:B135"/>
    <mergeCell ref="A136:B136"/>
    <mergeCell ref="A137:A139"/>
    <mergeCell ref="A140:B140"/>
    <mergeCell ref="A141:B141"/>
    <mergeCell ref="A145:B146"/>
    <mergeCell ref="A93:B94"/>
    <mergeCell ref="A104:B104"/>
    <mergeCell ref="A105:A107"/>
    <mergeCell ref="A108:B108"/>
    <mergeCell ref="A109:B109"/>
    <mergeCell ref="A152:B152"/>
    <mergeCell ref="A153:B153"/>
    <mergeCell ref="A155:B155"/>
    <mergeCell ref="A156:A157"/>
    <mergeCell ref="A154:C154"/>
    <mergeCell ref="A160:A170"/>
    <mergeCell ref="B160:B167"/>
    <mergeCell ref="C160:E160"/>
    <mergeCell ref="C161:E161"/>
    <mergeCell ref="C162:E162"/>
    <mergeCell ref="C159:E159"/>
    <mergeCell ref="C167:E167"/>
    <mergeCell ref="B168:B170"/>
    <mergeCell ref="C168:E168"/>
    <mergeCell ref="C169:E169"/>
    <mergeCell ref="C170:E170"/>
    <mergeCell ref="C163:E163"/>
    <mergeCell ref="C164:E164"/>
    <mergeCell ref="C165:E165"/>
    <mergeCell ref="C166:E166"/>
    <mergeCell ref="A158:I158"/>
    <mergeCell ref="A214:A218"/>
    <mergeCell ref="A219:A220"/>
    <mergeCell ref="A221:A223"/>
    <mergeCell ref="A209:A212"/>
    <mergeCell ref="A207:E207"/>
    <mergeCell ref="A188:D188"/>
    <mergeCell ref="C174:E174"/>
    <mergeCell ref="C181:E181"/>
    <mergeCell ref="C182:E182"/>
    <mergeCell ref="A288:B288"/>
    <mergeCell ref="B175:B184"/>
    <mergeCell ref="C175:E175"/>
    <mergeCell ref="C176:E176"/>
    <mergeCell ref="C177:E177"/>
    <mergeCell ref="C178:E178"/>
    <mergeCell ref="C179:E179"/>
    <mergeCell ref="C180:E180"/>
    <mergeCell ref="A224:A225"/>
    <mergeCell ref="A226:A227"/>
    <mergeCell ref="A228:A229"/>
    <mergeCell ref="A171:A184"/>
    <mergeCell ref="B171:B174"/>
    <mergeCell ref="C171:E171"/>
    <mergeCell ref="C172:E172"/>
    <mergeCell ref="C173:E173"/>
    <mergeCell ref="C183:E183"/>
    <mergeCell ref="C184:E184"/>
    <mergeCell ref="A281:B281"/>
    <mergeCell ref="A282:B282"/>
    <mergeCell ref="A277:C277"/>
    <mergeCell ref="A270:D270"/>
    <mergeCell ref="A283:B283"/>
    <mergeCell ref="A284:B284"/>
    <mergeCell ref="A285:B285"/>
    <mergeCell ref="A286:B286"/>
    <mergeCell ref="A287:B287"/>
    <mergeCell ref="A242:A255"/>
    <mergeCell ref="A256:A259"/>
    <mergeCell ref="A260:A264"/>
    <mergeCell ref="A265:A268"/>
    <mergeCell ref="A240:D240"/>
    <mergeCell ref="A269:B269"/>
    <mergeCell ref="A278:B278"/>
    <mergeCell ref="A279:B279"/>
    <mergeCell ref="A280:B280"/>
    <mergeCell ref="A230:A231"/>
    <mergeCell ref="A232:B232"/>
    <mergeCell ref="A233:B233"/>
    <mergeCell ref="A234:B234"/>
    <mergeCell ref="A236:B236"/>
    <mergeCell ref="A237:B237"/>
    <mergeCell ref="A235:E235"/>
    <mergeCell ref="A238:B238"/>
    <mergeCell ref="A239:B239"/>
  </mergeCells>
  <dataValidations disablePrompts="1" count="2">
    <dataValidation type="whole" allowBlank="1" showInputMessage="1" showErrorMessage="1" sqref="A186" xr:uid="{00000000-0002-0000-1100-000000000000}">
      <formula1>0</formula1>
      <formula2>1E+28</formula2>
    </dataValidation>
    <dataValidation type="whole" operator="greaterThanOrEqual" allowBlank="1" showInputMessage="1" showErrorMessage="1" sqref="B291:B296 G12:AB14 D16:D17 G22:AD27 F31:G61 C85:H89 C95:H99 D104:I109 D113:I118 B122:B126 B129:B133 D136:F141 C147:H152 C156:C157 G160:I184 C190:D199 B203:D205 C209:E233 D237:E238 C242:D254 C256:D258 C260:D263 C265:D267 B272:D274 C279:C287 B64:B65 C69:C81" xr:uid="{00000000-0002-0000-11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CA364"/>
  <sheetViews>
    <sheetView showGridLines="0" zoomScaleNormal="100" workbookViewId="0"/>
  </sheetViews>
  <sheetFormatPr baseColWidth="10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5" max="15" width="10.85546875" customWidth="1"/>
    <col min="16" max="16" width="11" customWidth="1"/>
    <col min="68" max="68" width="11.42578125" customWidth="1"/>
    <col min="69" max="73" width="11.42578125" style="1791" hidden="1" customWidth="1"/>
    <col min="74" max="74" width="11.42578125" hidden="1" customWidth="1"/>
    <col min="75" max="78" width="11.42578125" style="1793" hidden="1" customWidth="1"/>
    <col min="79" max="79" width="11.42578125" hidden="1" customWidth="1"/>
    <col min="80" max="80" width="11.42578125" customWidth="1"/>
  </cols>
  <sheetData>
    <row r="1" spans="1:79" x14ac:dyDescent="0.25">
      <c r="A1" s="779" t="s">
        <v>3878</v>
      </c>
      <c r="BQ1"/>
      <c r="BR1"/>
      <c r="BS1"/>
      <c r="BT1"/>
      <c r="BU1"/>
      <c r="BW1"/>
      <c r="BX1"/>
      <c r="BY1"/>
      <c r="BZ1"/>
    </row>
    <row r="2" spans="1:79" x14ac:dyDescent="0.25">
      <c r="A2" s="779" t="str">
        <f>CONCATENATE("COMUNA: ",NOMBRE!B2," - ","( ",NOMBRE!C2,NOMBRE!D2,NOMBRE!E2,NOMBRE!F2,NOMBRE!G2," )")</f>
        <v>COMUNA:  - (  )</v>
      </c>
      <c r="BQ2"/>
      <c r="BR2"/>
      <c r="BS2"/>
      <c r="BT2"/>
      <c r="BU2"/>
      <c r="BW2"/>
      <c r="BX2"/>
      <c r="BY2"/>
      <c r="BZ2"/>
    </row>
    <row r="3" spans="1:79" x14ac:dyDescent="0.25">
      <c r="A3" s="779" t="str">
        <f>CONCATENATE("ESTABLECIMIENTO/ESTRATEGIA: ",NOMBRE!B3," - ","( ",NOMBRE!C3,NOMBRE!D3,NOMBRE!E3,NOMBRE!F3,NOMBRE!G3,NOMBRE!H3," )")</f>
        <v>ESTABLECIMIENTO/ESTRATEGIA:  - (  )</v>
      </c>
      <c r="BQ3"/>
      <c r="BR3"/>
      <c r="BS3"/>
      <c r="BT3"/>
      <c r="BU3"/>
      <c r="BW3"/>
      <c r="BX3"/>
      <c r="BY3"/>
      <c r="BZ3"/>
    </row>
    <row r="4" spans="1:79" x14ac:dyDescent="0.25">
      <c r="A4" s="779" t="str">
        <f>CONCATENATE("MES: ",NOMBRE!B6," - ","( ",NOMBRE!C6,NOMBRE!D6," )")</f>
        <v>MES:  - (  )</v>
      </c>
      <c r="BQ4"/>
      <c r="BR4"/>
      <c r="BS4"/>
      <c r="BT4"/>
      <c r="BU4"/>
      <c r="BW4"/>
      <c r="BX4"/>
      <c r="BY4"/>
      <c r="BZ4"/>
    </row>
    <row r="5" spans="1:79" x14ac:dyDescent="0.25">
      <c r="A5" s="779" t="str">
        <f>CONCATENATE("AÑO: ",NOMBRE!B7)</f>
        <v>AÑO: 2024</v>
      </c>
      <c r="BQ5"/>
      <c r="BR5"/>
      <c r="BS5"/>
      <c r="BT5"/>
      <c r="BU5"/>
      <c r="BW5"/>
      <c r="BX5"/>
      <c r="BY5"/>
      <c r="BZ5"/>
    </row>
    <row r="6" spans="1:79" ht="18" customHeight="1" x14ac:dyDescent="0.25">
      <c r="A6" s="8226" t="s">
        <v>1123</v>
      </c>
      <c r="B6" s="8226"/>
      <c r="C6" s="8226"/>
      <c r="D6" s="8226"/>
      <c r="E6" s="8226"/>
      <c r="F6" s="8226"/>
      <c r="G6" s="8226"/>
      <c r="H6" s="8226"/>
      <c r="I6" s="8226"/>
      <c r="J6" s="8226"/>
      <c r="K6" s="8226"/>
      <c r="L6" s="8226"/>
      <c r="M6" s="8226"/>
      <c r="N6" s="8226"/>
      <c r="O6" s="8226"/>
      <c r="P6" s="8226"/>
      <c r="BQ6"/>
      <c r="BR6"/>
      <c r="BS6"/>
      <c r="BT6"/>
      <c r="BU6"/>
      <c r="BW6"/>
      <c r="BX6"/>
      <c r="BY6"/>
      <c r="BZ6"/>
    </row>
    <row r="7" spans="1:79" x14ac:dyDescent="0.25">
      <c r="BQ7"/>
      <c r="BR7"/>
      <c r="BS7"/>
      <c r="BT7"/>
      <c r="BU7"/>
      <c r="BW7"/>
      <c r="BX7"/>
      <c r="BY7"/>
      <c r="BZ7"/>
    </row>
    <row r="8" spans="1:79" s="1134" customFormat="1" ht="18" customHeight="1" x14ac:dyDescent="0.15">
      <c r="A8" s="14" t="s">
        <v>1124</v>
      </c>
      <c r="B8" s="15"/>
      <c r="C8" s="15"/>
      <c r="D8" s="15"/>
      <c r="E8" s="15"/>
      <c r="F8" s="15"/>
      <c r="G8" s="14"/>
      <c r="H8" s="15"/>
      <c r="I8" s="15"/>
      <c r="J8" s="15"/>
      <c r="K8" s="15"/>
      <c r="L8" s="15"/>
      <c r="M8" s="15"/>
      <c r="N8" s="15"/>
      <c r="O8" s="15"/>
      <c r="P8" s="15"/>
    </row>
    <row r="9" spans="1:79" s="170" customFormat="1" ht="42" x14ac:dyDescent="0.15">
      <c r="A9" s="7935" t="s">
        <v>1086</v>
      </c>
      <c r="B9" s="7934"/>
      <c r="C9" s="1456" t="s">
        <v>24</v>
      </c>
      <c r="D9" s="1457" t="s">
        <v>1125</v>
      </c>
      <c r="E9" s="1458" t="s">
        <v>1126</v>
      </c>
      <c r="F9" s="1458" t="s">
        <v>1127</v>
      </c>
      <c r="G9" s="4460" t="s">
        <v>1128</v>
      </c>
      <c r="H9" s="4461" t="s">
        <v>1129</v>
      </c>
      <c r="I9" s="4461" t="s">
        <v>1130</v>
      </c>
      <c r="J9" s="4462" t="s">
        <v>1131</v>
      </c>
      <c r="K9" s="2565" t="s">
        <v>1132</v>
      </c>
      <c r="L9" s="2563" t="s">
        <v>1133</v>
      </c>
      <c r="M9" s="2566" t="s">
        <v>3923</v>
      </c>
      <c r="N9" s="1314" t="s">
        <v>2</v>
      </c>
      <c r="O9" s="1314" t="s">
        <v>3</v>
      </c>
      <c r="P9" s="1314" t="s">
        <v>3922</v>
      </c>
    </row>
    <row r="10" spans="1:79" s="170" customFormat="1" ht="15" customHeight="1" x14ac:dyDescent="0.15">
      <c r="A10" s="7939" t="s">
        <v>1134</v>
      </c>
      <c r="B10" s="7940"/>
      <c r="C10" s="1158">
        <f>SUM(D10:G10)</f>
        <v>0</v>
      </c>
      <c r="D10" s="1464"/>
      <c r="E10" s="1464"/>
      <c r="F10" s="1464"/>
      <c r="G10" s="1464"/>
      <c r="H10" s="1459"/>
      <c r="I10" s="1459"/>
      <c r="J10" s="1464"/>
      <c r="K10" s="1464"/>
      <c r="L10" s="1464"/>
      <c r="M10" s="1460"/>
      <c r="N10" s="62"/>
      <c r="O10" s="62"/>
      <c r="P10" s="62"/>
      <c r="Q10" s="170" t="str">
        <f t="shared" ref="Q10:Q17" si="0">BQ10&amp;BS10&amp;BT10&amp;BU10&amp;BV10</f>
        <v/>
      </c>
      <c r="BQ10" s="2553" t="str">
        <f>IF((J10+K10+L10)&lt;&gt;C10," * La suma del N° de Primera visita, Segunda visita y Tercera o más visitas de seguimiento debe coincidir con el Total.","")</f>
        <v/>
      </c>
      <c r="BR10" s="2554"/>
      <c r="BS10" s="2553" t="str">
        <f t="shared" ref="BS10:BS18" si="1">IF(AND(C10&gt;0,N10="")," * No olvide digitar la variable Pueblos Originarios. Digite Cero si no tiene..",IF(N10&gt;C10," * La variable Pueblos Originarios no puede ser mayor al Total.",""))</f>
        <v/>
      </c>
      <c r="BT10" s="2553" t="str">
        <f t="shared" ref="BT10:BT18" si="2">IF(AND(C10&gt;0,O10="")," * No olvide digitar la variable Migrantes. Digite Cero si no tiene.",IF(O10&gt;C10," * La variable Migrantes no puede ser mayor al Total.",""))</f>
        <v/>
      </c>
      <c r="BU10" s="2553" t="str">
        <f t="shared" ref="BU10:BU18" si="3">IF(AND(C10&gt;0,P10="")," * No olvide digitar la variable Espacio Amigable/Adolescente. Digite Cero si no tiene.",IF(P10&gt;C10," * La variable Espacio Amigable/Adolescente no puede ser mayor al Total.",""))</f>
        <v/>
      </c>
      <c r="BW10" s="2554">
        <f t="shared" ref="BW10:BW18" si="4">IF((J10+K10+L10)&lt;&gt;C10,1,0)</f>
        <v>0</v>
      </c>
      <c r="BX10" s="2553"/>
      <c r="BY10" s="2554">
        <f t="shared" ref="BY10:BY18" si="5">IF(AND(C10&gt;0,N10=""),1,IF(N10&gt;C10,1,0))</f>
        <v>0</v>
      </c>
      <c r="BZ10" s="2554">
        <f t="shared" ref="BZ10:BZ18" si="6">IF(AND(C10&gt;0,O10=""),1,IF(O10&gt;C10,1,0))</f>
        <v>0</v>
      </c>
      <c r="CA10" s="2554">
        <f t="shared" ref="CA10:CA18" si="7">IF(AND(C10&gt;0,P10=""),1,IF(P10&gt;C10,1,0))</f>
        <v>0</v>
      </c>
    </row>
    <row r="11" spans="1:79" s="170" customFormat="1" ht="15" customHeight="1" x14ac:dyDescent="0.15">
      <c r="A11" s="7898" t="s">
        <v>1135</v>
      </c>
      <c r="B11" s="7027"/>
      <c r="C11" s="1158">
        <f>SUM(D11:G11)</f>
        <v>0</v>
      </c>
      <c r="D11" s="1464"/>
      <c r="E11" s="1464"/>
      <c r="F11" s="1464"/>
      <c r="G11" s="1464"/>
      <c r="H11" s="1459"/>
      <c r="I11" s="1459"/>
      <c r="J11" s="1464"/>
      <c r="K11" s="1464"/>
      <c r="L11" s="1464"/>
      <c r="M11" s="1462"/>
      <c r="N11" s="62"/>
      <c r="O11" s="62"/>
      <c r="P11" s="62"/>
      <c r="Q11" s="170" t="str">
        <f t="shared" si="0"/>
        <v/>
      </c>
      <c r="BQ11" s="2553" t="str">
        <f t="shared" ref="BQ11:BQ35" si="8">IF((J11+K11+L11)&lt;&gt;C11," * La suma del N° de Primera visita, Segunda visita y Tercera o más visitas de seguimiento debe coincidir con el Total.","")</f>
        <v/>
      </c>
      <c r="BR11" s="2554"/>
      <c r="BS11" s="2553" t="str">
        <f t="shared" si="1"/>
        <v/>
      </c>
      <c r="BT11" s="2553" t="str">
        <f t="shared" si="2"/>
        <v/>
      </c>
      <c r="BU11" s="2553" t="str">
        <f t="shared" si="3"/>
        <v/>
      </c>
      <c r="BW11" s="2554">
        <f t="shared" si="4"/>
        <v>0</v>
      </c>
      <c r="BX11" s="2553"/>
      <c r="BY11" s="2554">
        <f t="shared" si="5"/>
        <v>0</v>
      </c>
      <c r="BZ11" s="2554">
        <f t="shared" si="6"/>
        <v>0</v>
      </c>
      <c r="CA11" s="2554">
        <f t="shared" si="7"/>
        <v>0</v>
      </c>
    </row>
    <row r="12" spans="1:79" s="170" customFormat="1" ht="15" customHeight="1" x14ac:dyDescent="0.15">
      <c r="A12" s="7898" t="s">
        <v>1136</v>
      </c>
      <c r="B12" s="7027"/>
      <c r="C12" s="1158">
        <f t="shared" ref="C12:C30" si="9">SUM(D12:G12)</f>
        <v>0</v>
      </c>
      <c r="D12" s="1464"/>
      <c r="E12" s="1464"/>
      <c r="F12" s="1464"/>
      <c r="G12" s="1464"/>
      <c r="H12" s="1459"/>
      <c r="I12" s="1459"/>
      <c r="J12" s="1464"/>
      <c r="K12" s="1464"/>
      <c r="L12" s="1464"/>
      <c r="M12" s="1462"/>
      <c r="N12" s="62"/>
      <c r="O12" s="62"/>
      <c r="P12" s="62"/>
      <c r="Q12" s="170" t="str">
        <f t="shared" si="0"/>
        <v/>
      </c>
      <c r="BQ12" s="2553" t="str">
        <f t="shared" si="8"/>
        <v/>
      </c>
      <c r="BR12" s="2554"/>
      <c r="BS12" s="2553" t="str">
        <f t="shared" si="1"/>
        <v/>
      </c>
      <c r="BT12" s="2553" t="str">
        <f t="shared" si="2"/>
        <v/>
      </c>
      <c r="BU12" s="2553" t="str">
        <f t="shared" si="3"/>
        <v/>
      </c>
      <c r="BW12" s="2554">
        <f t="shared" si="4"/>
        <v>0</v>
      </c>
      <c r="BX12" s="2553"/>
      <c r="BY12" s="2554">
        <f t="shared" si="5"/>
        <v>0</v>
      </c>
      <c r="BZ12" s="2554">
        <f t="shared" si="6"/>
        <v>0</v>
      </c>
      <c r="CA12" s="2554">
        <f t="shared" si="7"/>
        <v>0</v>
      </c>
    </row>
    <row r="13" spans="1:79" s="170" customFormat="1" ht="15" customHeight="1" x14ac:dyDescent="0.15">
      <c r="A13" s="7898" t="s">
        <v>1137</v>
      </c>
      <c r="B13" s="7027"/>
      <c r="C13" s="1158">
        <f>SUM(D13:G13)</f>
        <v>0</v>
      </c>
      <c r="D13" s="1464"/>
      <c r="E13" s="1464"/>
      <c r="F13" s="1464"/>
      <c r="G13" s="1464"/>
      <c r="H13" s="1459"/>
      <c r="I13" s="1459"/>
      <c r="J13" s="1464"/>
      <c r="K13" s="1464"/>
      <c r="L13" s="1464"/>
      <c r="M13" s="1462"/>
      <c r="N13" s="62"/>
      <c r="O13" s="62"/>
      <c r="P13" s="62"/>
      <c r="Q13" s="170" t="str">
        <f t="shared" si="0"/>
        <v/>
      </c>
      <c r="BQ13" s="2553" t="str">
        <f t="shared" si="8"/>
        <v/>
      </c>
      <c r="BR13" s="2554"/>
      <c r="BS13" s="2553" t="str">
        <f t="shared" si="1"/>
        <v/>
      </c>
      <c r="BT13" s="2553" t="str">
        <f t="shared" si="2"/>
        <v/>
      </c>
      <c r="BU13" s="2553" t="str">
        <f t="shared" si="3"/>
        <v/>
      </c>
      <c r="BW13" s="2554">
        <f t="shared" si="4"/>
        <v>0</v>
      </c>
      <c r="BX13" s="2553"/>
      <c r="BY13" s="2554">
        <f t="shared" si="5"/>
        <v>0</v>
      </c>
      <c r="BZ13" s="2554">
        <f t="shared" si="6"/>
        <v>0</v>
      </c>
      <c r="CA13" s="2554">
        <f t="shared" si="7"/>
        <v>0</v>
      </c>
    </row>
    <row r="14" spans="1:79" s="170" customFormat="1" ht="15" customHeight="1" x14ac:dyDescent="0.15">
      <c r="A14" s="7898" t="s">
        <v>3907</v>
      </c>
      <c r="B14" s="7027"/>
      <c r="C14" s="1158">
        <f t="shared" si="9"/>
        <v>0</v>
      </c>
      <c r="D14" s="1464"/>
      <c r="E14" s="1464"/>
      <c r="F14" s="1464"/>
      <c r="G14" s="1464"/>
      <c r="H14" s="1459"/>
      <c r="I14" s="1459"/>
      <c r="J14" s="1464"/>
      <c r="K14" s="1464"/>
      <c r="L14" s="1464"/>
      <c r="M14" s="1462"/>
      <c r="N14" s="62"/>
      <c r="O14" s="62"/>
      <c r="P14" s="62"/>
      <c r="Q14" s="170" t="str">
        <f t="shared" si="0"/>
        <v/>
      </c>
      <c r="BQ14" s="2553" t="str">
        <f t="shared" si="8"/>
        <v/>
      </c>
      <c r="BR14" s="2554"/>
      <c r="BS14" s="2553" t="str">
        <f t="shared" si="1"/>
        <v/>
      </c>
      <c r="BT14" s="2553" t="str">
        <f t="shared" si="2"/>
        <v/>
      </c>
      <c r="BU14" s="2553" t="str">
        <f t="shared" si="3"/>
        <v/>
      </c>
      <c r="BW14" s="2554">
        <f t="shared" si="4"/>
        <v>0</v>
      </c>
      <c r="BX14" s="2553"/>
      <c r="BY14" s="2554">
        <f t="shared" si="5"/>
        <v>0</v>
      </c>
      <c r="BZ14" s="2554">
        <f t="shared" si="6"/>
        <v>0</v>
      </c>
      <c r="CA14" s="2554">
        <f t="shared" si="7"/>
        <v>0</v>
      </c>
    </row>
    <row r="15" spans="1:79" s="170" customFormat="1" ht="15" customHeight="1" x14ac:dyDescent="0.15">
      <c r="A15" s="7898" t="s">
        <v>3908</v>
      </c>
      <c r="B15" s="7027"/>
      <c r="C15" s="1158">
        <f t="shared" si="9"/>
        <v>0</v>
      </c>
      <c r="D15" s="1464"/>
      <c r="E15" s="1464"/>
      <c r="F15" s="1464"/>
      <c r="G15" s="1464"/>
      <c r="H15" s="1459"/>
      <c r="I15" s="1459"/>
      <c r="J15" s="1464"/>
      <c r="K15" s="1464"/>
      <c r="L15" s="1464"/>
      <c r="M15" s="1462"/>
      <c r="N15" s="62"/>
      <c r="O15" s="62"/>
      <c r="P15" s="62"/>
      <c r="Q15" s="170" t="str">
        <f t="shared" si="0"/>
        <v/>
      </c>
      <c r="BQ15" s="2553" t="str">
        <f t="shared" si="8"/>
        <v/>
      </c>
      <c r="BR15" s="2554"/>
      <c r="BS15" s="2553" t="str">
        <f t="shared" si="1"/>
        <v/>
      </c>
      <c r="BT15" s="2553" t="str">
        <f t="shared" si="2"/>
        <v/>
      </c>
      <c r="BU15" s="2553" t="str">
        <f t="shared" si="3"/>
        <v/>
      </c>
      <c r="BW15" s="2554">
        <f t="shared" si="4"/>
        <v>0</v>
      </c>
      <c r="BX15" s="2553"/>
      <c r="BY15" s="2554">
        <f t="shared" si="5"/>
        <v>0</v>
      </c>
      <c r="BZ15" s="2554">
        <f t="shared" si="6"/>
        <v>0</v>
      </c>
      <c r="CA15" s="2554">
        <f t="shared" si="7"/>
        <v>0</v>
      </c>
    </row>
    <row r="16" spans="1:79" s="170" customFormat="1" ht="15" customHeight="1" x14ac:dyDescent="0.15">
      <c r="A16" s="7898" t="s">
        <v>1138</v>
      </c>
      <c r="B16" s="7027"/>
      <c r="C16" s="1158">
        <f t="shared" si="9"/>
        <v>0</v>
      </c>
      <c r="D16" s="1464"/>
      <c r="E16" s="1464"/>
      <c r="F16" s="1464"/>
      <c r="G16" s="1464"/>
      <c r="H16" s="1459"/>
      <c r="I16" s="1459"/>
      <c r="J16" s="1464"/>
      <c r="K16" s="1464"/>
      <c r="L16" s="1464"/>
      <c r="M16" s="1462"/>
      <c r="N16" s="62"/>
      <c r="O16" s="62"/>
      <c r="P16" s="62"/>
      <c r="Q16" s="170" t="str">
        <f t="shared" si="0"/>
        <v/>
      </c>
      <c r="BQ16" s="2553" t="str">
        <f t="shared" si="8"/>
        <v/>
      </c>
      <c r="BR16" s="2554"/>
      <c r="BS16" s="2553" t="str">
        <f t="shared" si="1"/>
        <v/>
      </c>
      <c r="BT16" s="2553" t="str">
        <f t="shared" si="2"/>
        <v/>
      </c>
      <c r="BU16" s="2553" t="str">
        <f t="shared" si="3"/>
        <v/>
      </c>
      <c r="BW16" s="2554">
        <f t="shared" si="4"/>
        <v>0</v>
      </c>
      <c r="BX16" s="2553"/>
      <c r="BY16" s="2554">
        <f t="shared" si="5"/>
        <v>0</v>
      </c>
      <c r="BZ16" s="2554">
        <f t="shared" si="6"/>
        <v>0</v>
      </c>
      <c r="CA16" s="2554">
        <f t="shared" si="7"/>
        <v>0</v>
      </c>
    </row>
    <row r="17" spans="1:79" s="170" customFormat="1" ht="15" customHeight="1" x14ac:dyDescent="0.15">
      <c r="A17" s="7898" t="s">
        <v>1139</v>
      </c>
      <c r="B17" s="7027"/>
      <c r="C17" s="1158">
        <f t="shared" si="9"/>
        <v>0</v>
      </c>
      <c r="D17" s="1464"/>
      <c r="E17" s="1464"/>
      <c r="F17" s="1464"/>
      <c r="G17" s="1464"/>
      <c r="H17" s="1459"/>
      <c r="I17" s="1459"/>
      <c r="J17" s="1464"/>
      <c r="K17" s="1464"/>
      <c r="L17" s="1464"/>
      <c r="M17" s="1462"/>
      <c r="N17" s="62"/>
      <c r="O17" s="62"/>
      <c r="P17" s="62"/>
      <c r="Q17" s="170" t="str">
        <f t="shared" si="0"/>
        <v/>
      </c>
      <c r="BQ17" s="2553" t="str">
        <f t="shared" si="8"/>
        <v/>
      </c>
      <c r="BR17" s="2554"/>
      <c r="BS17" s="2553" t="str">
        <f t="shared" si="1"/>
        <v/>
      </c>
      <c r="BT17" s="2553" t="str">
        <f t="shared" si="2"/>
        <v/>
      </c>
      <c r="BU17" s="2553" t="str">
        <f t="shared" si="3"/>
        <v/>
      </c>
      <c r="BW17" s="2554">
        <f t="shared" si="4"/>
        <v>0</v>
      </c>
      <c r="BX17" s="2553"/>
      <c r="BY17" s="2554">
        <f t="shared" si="5"/>
        <v>0</v>
      </c>
      <c r="BZ17" s="2554">
        <f t="shared" si="6"/>
        <v>0</v>
      </c>
      <c r="CA17" s="2554">
        <f t="shared" si="7"/>
        <v>0</v>
      </c>
    </row>
    <row r="18" spans="1:79" s="170" customFormat="1" ht="15" customHeight="1" x14ac:dyDescent="0.15">
      <c r="A18" s="7898" t="s">
        <v>1140</v>
      </c>
      <c r="B18" s="7027"/>
      <c r="C18" s="1158">
        <f t="shared" si="9"/>
        <v>0</v>
      </c>
      <c r="D18" s="1464"/>
      <c r="E18" s="1464"/>
      <c r="F18" s="1464"/>
      <c r="G18" s="1464"/>
      <c r="H18" s="1459"/>
      <c r="I18" s="1459"/>
      <c r="J18" s="1464"/>
      <c r="K18" s="1464"/>
      <c r="L18" s="1464"/>
      <c r="M18" s="1374"/>
      <c r="N18" s="62"/>
      <c r="O18" s="62"/>
      <c r="P18" s="62"/>
      <c r="Q18" s="170" t="str">
        <f>BQ18&amp;BR18&amp;BS18&amp;BT18&amp;BU18&amp;BV18</f>
        <v/>
      </c>
      <c r="BQ18" s="2553" t="str">
        <f t="shared" si="8"/>
        <v/>
      </c>
      <c r="BR18" s="255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553" t="str">
        <f t="shared" si="1"/>
        <v/>
      </c>
      <c r="BT18" s="2553" t="str">
        <f t="shared" si="2"/>
        <v/>
      </c>
      <c r="BU18" s="2553" t="str">
        <f t="shared" si="3"/>
        <v/>
      </c>
      <c r="BW18" s="2554">
        <f t="shared" si="4"/>
        <v>0</v>
      </c>
      <c r="BX18" s="2554">
        <f>IF(AND(C18&gt;0,M18=""),1,IF(M18&gt;C18,1,0))</f>
        <v>0</v>
      </c>
      <c r="BY18" s="2554">
        <f t="shared" si="5"/>
        <v>0</v>
      </c>
      <c r="BZ18" s="2554">
        <f t="shared" si="6"/>
        <v>0</v>
      </c>
      <c r="CA18" s="2554">
        <f t="shared" si="7"/>
        <v>0</v>
      </c>
    </row>
    <row r="19" spans="1:79" s="170" customFormat="1" ht="15" customHeight="1" x14ac:dyDescent="0.15">
      <c r="A19" s="7898" t="s">
        <v>1141</v>
      </c>
      <c r="B19" s="7027"/>
      <c r="C19" s="1158">
        <f t="shared" si="9"/>
        <v>0</v>
      </c>
      <c r="D19" s="1464"/>
      <c r="E19" s="1464"/>
      <c r="F19" s="1464"/>
      <c r="G19" s="1464"/>
      <c r="H19" s="1459"/>
      <c r="I19" s="1459"/>
      <c r="J19" s="1464"/>
      <c r="K19" s="1464"/>
      <c r="L19" s="1464"/>
      <c r="M19" s="1374"/>
      <c r="N19" s="62"/>
      <c r="O19" s="62"/>
      <c r="P19" s="62"/>
      <c r="Q19" s="170" t="str">
        <f t="shared" ref="Q19:Q35" si="10">BQ19&amp;BR19&amp;BS19&amp;BT19&amp;BU19&amp;BV19</f>
        <v/>
      </c>
      <c r="BQ19" s="2553" t="str">
        <f t="shared" si="8"/>
        <v/>
      </c>
      <c r="BR19" s="2553" t="str">
        <f t="shared" ref="BR19:BR20" si="11"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553" t="str">
        <f t="shared" ref="BS19:BS20" si="12">IF(AND(C19&gt;0,N19="")," * No olvide digitar la variable Pueblos Originarios. Digite Cero si no tiene..",IF(N19&gt;C19," * La variable Pueblos Originarios no puede ser mayor al Total.",""))</f>
        <v/>
      </c>
      <c r="BT19" s="2553" t="str">
        <f t="shared" ref="BT19:BT20" si="13">IF(AND(C19&gt;0,O19="")," * No olvide digitar la variable Migrantes. Digite Cero si no tiene.",IF(O19&gt;C19," * La variable Migrantes no puede ser mayor al Total.",""))</f>
        <v/>
      </c>
      <c r="BU19" s="2553" t="str">
        <f t="shared" ref="BU19:BU20" si="14">IF(AND(C19&gt;0,P19="")," * No olvide digitar la variable Espacio Amigable/Adolescente. Digite Cero si no tiene.",IF(P19&gt;C19," * La variable Espacio Amigable/Adolescente no puede ser mayor al Total.",""))</f>
        <v/>
      </c>
      <c r="BW19" s="2554">
        <f t="shared" ref="BW19:BW35" si="15">IF((J19+K19+L19)&lt;&gt;C19,1,0)</f>
        <v>0</v>
      </c>
      <c r="BX19" s="2554">
        <f t="shared" ref="BX19:BX20" si="16">IF(AND(C19&gt;0,M19=""),1,IF(M19&gt;C19,1,0))</f>
        <v>0</v>
      </c>
      <c r="BY19" s="2554">
        <f t="shared" ref="BY19:BY35" si="17">IF(AND(C19&gt;0,N19=""),1,IF(N19&gt;C19,1,0))</f>
        <v>0</v>
      </c>
      <c r="BZ19" s="2554">
        <f t="shared" ref="BZ19:BZ35" si="18">IF(AND(C19&gt;0,O19=""),1,IF(O19&gt;C19,1,0))</f>
        <v>0</v>
      </c>
      <c r="CA19" s="2554">
        <f t="shared" ref="CA19:CA35" si="19">IF(AND(C19&gt;0,P19=""),1,IF(P19&gt;C19,1,0))</f>
        <v>0</v>
      </c>
    </row>
    <row r="20" spans="1:79" s="170" customFormat="1" ht="15" customHeight="1" x14ac:dyDescent="0.15">
      <c r="A20" s="7898" t="s">
        <v>1142</v>
      </c>
      <c r="B20" s="7027"/>
      <c r="C20" s="1158">
        <f t="shared" si="9"/>
        <v>0</v>
      </c>
      <c r="D20" s="1464"/>
      <c r="E20" s="1464"/>
      <c r="F20" s="1464"/>
      <c r="G20" s="1464"/>
      <c r="H20" s="1459"/>
      <c r="I20" s="1459"/>
      <c r="J20" s="1464"/>
      <c r="K20" s="1464"/>
      <c r="L20" s="1464"/>
      <c r="M20" s="1374"/>
      <c r="N20" s="62"/>
      <c r="O20" s="62"/>
      <c r="P20" s="62"/>
      <c r="Q20" s="170" t="str">
        <f t="shared" si="10"/>
        <v/>
      </c>
      <c r="BQ20" s="2553" t="str">
        <f t="shared" si="8"/>
        <v/>
      </c>
      <c r="BR20" s="2553" t="str">
        <f t="shared" si="11"/>
        <v/>
      </c>
      <c r="BS20" s="2553" t="str">
        <f t="shared" si="12"/>
        <v/>
      </c>
      <c r="BT20" s="2553" t="str">
        <f t="shared" si="13"/>
        <v/>
      </c>
      <c r="BU20" s="2553" t="str">
        <f t="shared" si="14"/>
        <v/>
      </c>
      <c r="BW20" s="2554">
        <f t="shared" si="15"/>
        <v>0</v>
      </c>
      <c r="BX20" s="2554">
        <f t="shared" si="16"/>
        <v>0</v>
      </c>
      <c r="BY20" s="2554">
        <f t="shared" si="17"/>
        <v>0</v>
      </c>
      <c r="BZ20" s="2554">
        <f t="shared" si="18"/>
        <v>0</v>
      </c>
      <c r="CA20" s="2554">
        <f t="shared" si="19"/>
        <v>0</v>
      </c>
    </row>
    <row r="21" spans="1:79" s="170" customFormat="1" ht="15" customHeight="1" x14ac:dyDescent="0.15">
      <c r="A21" s="7898" t="s">
        <v>1143</v>
      </c>
      <c r="B21" s="7027"/>
      <c r="C21" s="1158">
        <f t="shared" si="9"/>
        <v>0</v>
      </c>
      <c r="D21" s="1464"/>
      <c r="E21" s="1464"/>
      <c r="F21" s="1464"/>
      <c r="G21" s="1464"/>
      <c r="H21" s="1459"/>
      <c r="I21" s="1459"/>
      <c r="J21" s="1464"/>
      <c r="K21" s="1464"/>
      <c r="L21" s="1464"/>
      <c r="M21" s="1462"/>
      <c r="N21" s="62"/>
      <c r="O21" s="62"/>
      <c r="P21" s="62"/>
      <c r="Q21" s="170" t="str">
        <f t="shared" si="10"/>
        <v/>
      </c>
      <c r="BQ21" s="2553" t="str">
        <f t="shared" si="8"/>
        <v/>
      </c>
      <c r="BR21" s="2554"/>
      <c r="BS21" s="2553" t="str">
        <f t="shared" ref="BS21:BS35" si="20">IF(AND(C21&gt;0,N21="")," * No olvide digitar la variable Pueblos Originarios. Digite Cero si no tiene..",IF(N21&gt;C21," * La variable Pueblos Originarios no puede ser mayor al Total.",""))</f>
        <v/>
      </c>
      <c r="BT21" s="2553" t="str">
        <f t="shared" ref="BT21:BT35" si="21">IF(AND(C21&gt;0,O21="")," * No olvide digitar la variable Migrantes. Digite Cero si no tiene.",IF(O21&gt;C21," * La variable Migrantes no puede ser mayor al Total.",""))</f>
        <v/>
      </c>
      <c r="BU21" s="2553" t="str">
        <f t="shared" ref="BU21:BU35" si="22">IF(AND(C21&gt;0,P21="")," * No olvide digitar la variable Espacio Amigable/Adolescente. Digite Cero si no tiene.",IF(P21&gt;C21," * La variable Espacio Amigable/Adolescente no puede ser mayor al Total.",""))</f>
        <v/>
      </c>
      <c r="BW21" s="2554">
        <f t="shared" si="15"/>
        <v>0</v>
      </c>
      <c r="BX21" s="2553"/>
      <c r="BY21" s="2554">
        <f t="shared" si="17"/>
        <v>0</v>
      </c>
      <c r="BZ21" s="2554">
        <f t="shared" si="18"/>
        <v>0</v>
      </c>
      <c r="CA21" s="2554">
        <f t="shared" si="19"/>
        <v>0</v>
      </c>
    </row>
    <row r="22" spans="1:79" s="170" customFormat="1" ht="15" customHeight="1" x14ac:dyDescent="0.15">
      <c r="A22" s="7898" t="s">
        <v>1144</v>
      </c>
      <c r="B22" s="7027"/>
      <c r="C22" s="1158">
        <f t="shared" si="9"/>
        <v>0</v>
      </c>
      <c r="D22" s="1464"/>
      <c r="E22" s="1464"/>
      <c r="F22" s="1464"/>
      <c r="G22" s="1464"/>
      <c r="H22" s="1459"/>
      <c r="I22" s="1459"/>
      <c r="J22" s="1464"/>
      <c r="K22" s="1464"/>
      <c r="L22" s="1464"/>
      <c r="M22" s="1462"/>
      <c r="N22" s="62"/>
      <c r="O22" s="62"/>
      <c r="P22" s="62"/>
      <c r="Q22" s="170" t="str">
        <f t="shared" si="10"/>
        <v/>
      </c>
      <c r="BQ22" s="2553" t="str">
        <f t="shared" si="8"/>
        <v/>
      </c>
      <c r="BR22" s="2554"/>
      <c r="BS22" s="2553" t="str">
        <f t="shared" si="20"/>
        <v/>
      </c>
      <c r="BT22" s="2553" t="str">
        <f t="shared" si="21"/>
        <v/>
      </c>
      <c r="BU22" s="2553" t="str">
        <f t="shared" si="22"/>
        <v/>
      </c>
      <c r="BW22" s="2554">
        <f t="shared" si="15"/>
        <v>0</v>
      </c>
      <c r="BX22" s="2553"/>
      <c r="BY22" s="2554">
        <f t="shared" si="17"/>
        <v>0</v>
      </c>
      <c r="BZ22" s="2554">
        <f t="shared" si="18"/>
        <v>0</v>
      </c>
      <c r="CA22" s="2554">
        <f t="shared" si="19"/>
        <v>0</v>
      </c>
    </row>
    <row r="23" spans="1:79" s="170" customFormat="1" ht="15" customHeight="1" x14ac:dyDescent="0.15">
      <c r="A23" s="7898" t="s">
        <v>1145</v>
      </c>
      <c r="B23" s="7027"/>
      <c r="C23" s="1158">
        <f>SUM(D23:G23)</f>
        <v>0</v>
      </c>
      <c r="D23" s="1464"/>
      <c r="E23" s="1464"/>
      <c r="F23" s="1464"/>
      <c r="G23" s="1464"/>
      <c r="H23" s="1459"/>
      <c r="I23" s="1459"/>
      <c r="J23" s="1464"/>
      <c r="K23" s="1464"/>
      <c r="L23" s="1464"/>
      <c r="M23" s="1374"/>
      <c r="N23" s="62"/>
      <c r="O23" s="62"/>
      <c r="P23" s="62"/>
      <c r="Q23" s="170" t="str">
        <f t="shared" si="10"/>
        <v/>
      </c>
      <c r="BQ23" s="2553" t="str">
        <f t="shared" si="8"/>
        <v/>
      </c>
      <c r="BR23" s="2553" t="str">
        <f t="shared" ref="BR23:BR25" si="23"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553" t="str">
        <f t="shared" si="20"/>
        <v/>
      </c>
      <c r="BT23" s="2553" t="str">
        <f t="shared" si="21"/>
        <v/>
      </c>
      <c r="BU23" s="2553" t="str">
        <f t="shared" si="22"/>
        <v/>
      </c>
      <c r="BW23" s="2554">
        <f t="shared" si="15"/>
        <v>0</v>
      </c>
      <c r="BX23" s="2554">
        <f t="shared" ref="BX23:BX25" si="24">IF(AND(C23&gt;0,M23=""),1,IF(M23&gt;C23,1,0))</f>
        <v>0</v>
      </c>
      <c r="BY23" s="2554">
        <f t="shared" si="17"/>
        <v>0</v>
      </c>
      <c r="BZ23" s="2554">
        <f t="shared" si="18"/>
        <v>0</v>
      </c>
      <c r="CA23" s="2554">
        <f t="shared" si="19"/>
        <v>0</v>
      </c>
    </row>
    <row r="24" spans="1:79" s="170" customFormat="1" ht="15" customHeight="1" x14ac:dyDescent="0.15">
      <c r="A24" s="7898" t="s">
        <v>1146</v>
      </c>
      <c r="B24" s="7027"/>
      <c r="C24" s="1158">
        <f t="shared" si="9"/>
        <v>0</v>
      </c>
      <c r="D24" s="1464"/>
      <c r="E24" s="1464"/>
      <c r="F24" s="1464"/>
      <c r="G24" s="1464"/>
      <c r="H24" s="1459"/>
      <c r="I24" s="1459"/>
      <c r="J24" s="1464"/>
      <c r="K24" s="1464"/>
      <c r="L24" s="1464"/>
      <c r="M24" s="1374"/>
      <c r="N24" s="62"/>
      <c r="O24" s="62"/>
      <c r="P24" s="62"/>
      <c r="Q24" s="170" t="str">
        <f t="shared" si="10"/>
        <v/>
      </c>
      <c r="BQ24" s="2553" t="str">
        <f t="shared" si="8"/>
        <v/>
      </c>
      <c r="BR24" s="2553" t="str">
        <f t="shared" si="23"/>
        <v/>
      </c>
      <c r="BS24" s="2553" t="str">
        <f t="shared" si="20"/>
        <v/>
      </c>
      <c r="BT24" s="2553" t="str">
        <f t="shared" si="21"/>
        <v/>
      </c>
      <c r="BU24" s="2553" t="str">
        <f t="shared" si="22"/>
        <v/>
      </c>
      <c r="BW24" s="2554">
        <f t="shared" si="15"/>
        <v>0</v>
      </c>
      <c r="BX24" s="2554">
        <f t="shared" si="24"/>
        <v>0</v>
      </c>
      <c r="BY24" s="2554">
        <f t="shared" si="17"/>
        <v>0</v>
      </c>
      <c r="BZ24" s="2554">
        <f t="shared" si="18"/>
        <v>0</v>
      </c>
      <c r="CA24" s="2554">
        <f t="shared" si="19"/>
        <v>0</v>
      </c>
    </row>
    <row r="25" spans="1:79" s="170" customFormat="1" ht="15" customHeight="1" x14ac:dyDescent="0.15">
      <c r="A25" s="7898" t="s">
        <v>1147</v>
      </c>
      <c r="B25" s="7027"/>
      <c r="C25" s="1158">
        <f>SUM(D25:G25)</f>
        <v>0</v>
      </c>
      <c r="D25" s="1464"/>
      <c r="E25" s="1464"/>
      <c r="F25" s="1464"/>
      <c r="G25" s="1464"/>
      <c r="H25" s="1459"/>
      <c r="I25" s="1459"/>
      <c r="J25" s="1464"/>
      <c r="K25" s="1464"/>
      <c r="L25" s="1464"/>
      <c r="M25" s="1374"/>
      <c r="N25" s="62"/>
      <c r="O25" s="62"/>
      <c r="P25" s="62"/>
      <c r="Q25" s="170" t="str">
        <f t="shared" si="10"/>
        <v/>
      </c>
      <c r="BQ25" s="2553" t="str">
        <f t="shared" si="8"/>
        <v/>
      </c>
      <c r="BR25" s="2553" t="str">
        <f t="shared" si="23"/>
        <v/>
      </c>
      <c r="BS25" s="2553" t="str">
        <f t="shared" si="20"/>
        <v/>
      </c>
      <c r="BT25" s="2553" t="str">
        <f t="shared" si="21"/>
        <v/>
      </c>
      <c r="BU25" s="2553" t="str">
        <f t="shared" si="22"/>
        <v/>
      </c>
      <c r="BW25" s="2554">
        <f t="shared" si="15"/>
        <v>0</v>
      </c>
      <c r="BX25" s="2554">
        <f t="shared" si="24"/>
        <v>0</v>
      </c>
      <c r="BY25" s="2554">
        <f t="shared" si="17"/>
        <v>0</v>
      </c>
      <c r="BZ25" s="2554">
        <f t="shared" si="18"/>
        <v>0</v>
      </c>
      <c r="CA25" s="2554">
        <f t="shared" si="19"/>
        <v>0</v>
      </c>
    </row>
    <row r="26" spans="1:79" s="170" customFormat="1" ht="15" customHeight="1" x14ac:dyDescent="0.15">
      <c r="A26" s="7898" t="s">
        <v>1148</v>
      </c>
      <c r="B26" s="7027"/>
      <c r="C26" s="1158">
        <f t="shared" si="9"/>
        <v>0</v>
      </c>
      <c r="D26" s="1464"/>
      <c r="E26" s="1464"/>
      <c r="F26" s="1464"/>
      <c r="G26" s="1464"/>
      <c r="H26" s="1459"/>
      <c r="I26" s="1459"/>
      <c r="J26" s="1464"/>
      <c r="K26" s="1464"/>
      <c r="L26" s="1464"/>
      <c r="M26" s="1462"/>
      <c r="N26" s="62"/>
      <c r="O26" s="62"/>
      <c r="P26" s="62"/>
      <c r="Q26" s="170" t="str">
        <f t="shared" si="10"/>
        <v/>
      </c>
      <c r="BQ26" s="2553" t="str">
        <f t="shared" si="8"/>
        <v/>
      </c>
      <c r="BR26" s="2554"/>
      <c r="BS26" s="2553" t="str">
        <f t="shared" si="20"/>
        <v/>
      </c>
      <c r="BT26" s="2553" t="str">
        <f t="shared" si="21"/>
        <v/>
      </c>
      <c r="BU26" s="2553" t="str">
        <f t="shared" si="22"/>
        <v/>
      </c>
      <c r="BW26" s="2554">
        <f t="shared" si="15"/>
        <v>0</v>
      </c>
      <c r="BX26" s="2553"/>
      <c r="BY26" s="2554">
        <f t="shared" si="17"/>
        <v>0</v>
      </c>
      <c r="BZ26" s="2554">
        <f t="shared" si="18"/>
        <v>0</v>
      </c>
      <c r="CA26" s="2554">
        <f t="shared" si="19"/>
        <v>0</v>
      </c>
    </row>
    <row r="27" spans="1:79" s="170" customFormat="1" ht="15" customHeight="1" x14ac:dyDescent="0.15">
      <c r="A27" s="7898" t="s">
        <v>1149</v>
      </c>
      <c r="B27" s="7027"/>
      <c r="C27" s="1158">
        <f t="shared" si="9"/>
        <v>0</v>
      </c>
      <c r="D27" s="1464"/>
      <c r="E27" s="1464"/>
      <c r="F27" s="1464"/>
      <c r="G27" s="1464"/>
      <c r="H27" s="1459"/>
      <c r="I27" s="1459"/>
      <c r="J27" s="1464"/>
      <c r="K27" s="1464"/>
      <c r="L27" s="1464"/>
      <c r="M27" s="1462"/>
      <c r="N27" s="62"/>
      <c r="O27" s="62"/>
      <c r="P27" s="62"/>
      <c r="Q27" s="170" t="str">
        <f t="shared" si="10"/>
        <v/>
      </c>
      <c r="BQ27" s="2553" t="str">
        <f t="shared" si="8"/>
        <v/>
      </c>
      <c r="BR27" s="2554"/>
      <c r="BS27" s="2553" t="str">
        <f t="shared" si="20"/>
        <v/>
      </c>
      <c r="BT27" s="2553" t="str">
        <f t="shared" si="21"/>
        <v/>
      </c>
      <c r="BU27" s="2553" t="str">
        <f t="shared" si="22"/>
        <v/>
      </c>
      <c r="BW27" s="2554">
        <f t="shared" si="15"/>
        <v>0</v>
      </c>
      <c r="BX27" s="2553"/>
      <c r="BY27" s="2554">
        <f t="shared" si="17"/>
        <v>0</v>
      </c>
      <c r="BZ27" s="2554">
        <f t="shared" si="18"/>
        <v>0</v>
      </c>
      <c r="CA27" s="2554">
        <f t="shared" si="19"/>
        <v>0</v>
      </c>
    </row>
    <row r="28" spans="1:79" s="170" customFormat="1" ht="15" customHeight="1" x14ac:dyDescent="0.15">
      <c r="A28" s="7898" t="s">
        <v>1150</v>
      </c>
      <c r="B28" s="7027"/>
      <c r="C28" s="1158">
        <f t="shared" si="9"/>
        <v>0</v>
      </c>
      <c r="D28" s="1464"/>
      <c r="E28" s="1464"/>
      <c r="F28" s="1464"/>
      <c r="G28" s="1464"/>
      <c r="H28" s="1459"/>
      <c r="I28" s="1459"/>
      <c r="J28" s="1464"/>
      <c r="K28" s="1464"/>
      <c r="L28" s="1464"/>
      <c r="M28" s="1462"/>
      <c r="N28" s="62"/>
      <c r="O28" s="62"/>
      <c r="P28" s="62"/>
      <c r="Q28" s="170" t="str">
        <f t="shared" si="10"/>
        <v/>
      </c>
      <c r="BQ28" s="2553" t="str">
        <f t="shared" si="8"/>
        <v/>
      </c>
      <c r="BR28" s="2554"/>
      <c r="BS28" s="2553" t="str">
        <f t="shared" si="20"/>
        <v/>
      </c>
      <c r="BT28" s="2553" t="str">
        <f t="shared" si="21"/>
        <v/>
      </c>
      <c r="BU28" s="2553" t="str">
        <f t="shared" si="22"/>
        <v/>
      </c>
      <c r="BW28" s="2554">
        <f t="shared" si="15"/>
        <v>0</v>
      </c>
      <c r="BX28" s="2553"/>
      <c r="BY28" s="2554">
        <f t="shared" si="17"/>
        <v>0</v>
      </c>
      <c r="BZ28" s="2554">
        <f t="shared" si="18"/>
        <v>0</v>
      </c>
      <c r="CA28" s="2554">
        <f t="shared" si="19"/>
        <v>0</v>
      </c>
    </row>
    <row r="29" spans="1:79" s="170" customFormat="1" ht="15" customHeight="1" x14ac:dyDescent="0.15">
      <c r="A29" s="7898" t="s">
        <v>1151</v>
      </c>
      <c r="B29" s="7027"/>
      <c r="C29" s="1158">
        <f t="shared" si="9"/>
        <v>0</v>
      </c>
      <c r="D29" s="1464"/>
      <c r="E29" s="1464"/>
      <c r="F29" s="1464"/>
      <c r="G29" s="1464"/>
      <c r="H29" s="1459"/>
      <c r="I29" s="1459"/>
      <c r="J29" s="1464"/>
      <c r="K29" s="1464"/>
      <c r="L29" s="1464"/>
      <c r="M29" s="1374"/>
      <c r="N29" s="62"/>
      <c r="O29" s="62"/>
      <c r="P29" s="62"/>
      <c r="Q29" s="170" t="str">
        <f t="shared" si="10"/>
        <v/>
      </c>
      <c r="BQ29" s="2553" t="str">
        <f t="shared" si="8"/>
        <v/>
      </c>
      <c r="BR29" s="2553" t="str">
        <f t="shared" ref="BR29:BR35" si="25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553" t="str">
        <f t="shared" si="20"/>
        <v/>
      </c>
      <c r="BT29" s="2553" t="str">
        <f t="shared" si="21"/>
        <v/>
      </c>
      <c r="BU29" s="2553" t="str">
        <f t="shared" si="22"/>
        <v/>
      </c>
      <c r="BW29" s="2554">
        <f t="shared" si="15"/>
        <v>0</v>
      </c>
      <c r="BX29" s="2554">
        <f t="shared" ref="BX29:BX35" si="26">IF(AND(C29&gt;0,M29=""),1,IF(M29&gt;C29,1,0))</f>
        <v>0</v>
      </c>
      <c r="BY29" s="2554">
        <f t="shared" si="17"/>
        <v>0</v>
      </c>
      <c r="BZ29" s="2554">
        <f t="shared" si="18"/>
        <v>0</v>
      </c>
      <c r="CA29" s="2554">
        <f t="shared" si="19"/>
        <v>0</v>
      </c>
    </row>
    <row r="30" spans="1:79" s="170" customFormat="1" ht="15" customHeight="1" x14ac:dyDescent="0.15">
      <c r="A30" s="7898" t="s">
        <v>1152</v>
      </c>
      <c r="B30" s="7027"/>
      <c r="C30" s="1158">
        <f t="shared" si="9"/>
        <v>0</v>
      </c>
      <c r="D30" s="1464"/>
      <c r="E30" s="1464"/>
      <c r="F30" s="1464"/>
      <c r="G30" s="1464"/>
      <c r="H30" s="1459"/>
      <c r="I30" s="1459"/>
      <c r="J30" s="1464"/>
      <c r="K30" s="1464"/>
      <c r="L30" s="1464"/>
      <c r="M30" s="1374"/>
      <c r="N30" s="62"/>
      <c r="O30" s="62"/>
      <c r="P30" s="62"/>
      <c r="Q30" s="170" t="str">
        <f t="shared" si="10"/>
        <v/>
      </c>
      <c r="BQ30" s="2553" t="str">
        <f t="shared" si="8"/>
        <v/>
      </c>
      <c r="BR30" s="2553" t="str">
        <f t="shared" si="25"/>
        <v/>
      </c>
      <c r="BS30" s="2553" t="str">
        <f t="shared" si="20"/>
        <v/>
      </c>
      <c r="BT30" s="2553" t="str">
        <f t="shared" si="21"/>
        <v/>
      </c>
      <c r="BU30" s="2553" t="str">
        <f t="shared" si="22"/>
        <v/>
      </c>
      <c r="BW30" s="2554">
        <f t="shared" si="15"/>
        <v>0</v>
      </c>
      <c r="BX30" s="2554">
        <f t="shared" si="26"/>
        <v>0</v>
      </c>
      <c r="BY30" s="2554">
        <f t="shared" si="17"/>
        <v>0</v>
      </c>
      <c r="BZ30" s="2554">
        <f t="shared" si="18"/>
        <v>0</v>
      </c>
      <c r="CA30" s="2554">
        <f t="shared" si="19"/>
        <v>0</v>
      </c>
    </row>
    <row r="31" spans="1:79" s="170" customFormat="1" ht="15" customHeight="1" x14ac:dyDescent="0.15">
      <c r="A31" s="8227" t="s">
        <v>1153</v>
      </c>
      <c r="B31" s="8228"/>
      <c r="C31" s="1158">
        <f>SUM(D31:G31)</f>
        <v>0</v>
      </c>
      <c r="D31" s="1464"/>
      <c r="E31" s="1464"/>
      <c r="F31" s="1464"/>
      <c r="G31" s="1464"/>
      <c r="H31" s="1459"/>
      <c r="I31" s="1459"/>
      <c r="J31" s="1464"/>
      <c r="K31" s="1464"/>
      <c r="L31" s="1464"/>
      <c r="M31" s="1374"/>
      <c r="N31" s="62"/>
      <c r="O31" s="62"/>
      <c r="P31" s="62"/>
      <c r="Q31" s="170" t="str">
        <f t="shared" si="10"/>
        <v/>
      </c>
      <c r="BQ31" s="2553" t="str">
        <f t="shared" si="8"/>
        <v/>
      </c>
      <c r="BR31" s="2553" t="str">
        <f t="shared" si="25"/>
        <v/>
      </c>
      <c r="BS31" s="2553" t="str">
        <f t="shared" si="20"/>
        <v/>
      </c>
      <c r="BT31" s="2553" t="str">
        <f t="shared" si="21"/>
        <v/>
      </c>
      <c r="BU31" s="2553" t="str">
        <f t="shared" si="22"/>
        <v/>
      </c>
      <c r="BW31" s="2554">
        <f t="shared" si="15"/>
        <v>0</v>
      </c>
      <c r="BX31" s="2554">
        <f t="shared" si="26"/>
        <v>0</v>
      </c>
      <c r="BY31" s="2554">
        <f t="shared" si="17"/>
        <v>0</v>
      </c>
      <c r="BZ31" s="2554">
        <f t="shared" si="18"/>
        <v>0</v>
      </c>
      <c r="CA31" s="2554">
        <f t="shared" si="19"/>
        <v>0</v>
      </c>
    </row>
    <row r="32" spans="1:79" s="170" customFormat="1" ht="15" customHeight="1" x14ac:dyDescent="0.15">
      <c r="A32" s="8227" t="s">
        <v>1154</v>
      </c>
      <c r="B32" s="8228"/>
      <c r="C32" s="1158">
        <f>SUM(D32:G32)</f>
        <v>0</v>
      </c>
      <c r="D32" s="1464"/>
      <c r="E32" s="1464"/>
      <c r="F32" s="1464"/>
      <c r="G32" s="1464"/>
      <c r="H32" s="1459"/>
      <c r="I32" s="1459"/>
      <c r="J32" s="1464"/>
      <c r="K32" s="1464"/>
      <c r="L32" s="1464"/>
      <c r="M32" s="1374"/>
      <c r="N32" s="62"/>
      <c r="O32" s="62"/>
      <c r="P32" s="62"/>
      <c r="Q32" s="170" t="str">
        <f t="shared" si="10"/>
        <v/>
      </c>
      <c r="BQ32" s="2553" t="str">
        <f t="shared" si="8"/>
        <v/>
      </c>
      <c r="BR32" s="2553" t="str">
        <f t="shared" si="25"/>
        <v/>
      </c>
      <c r="BS32" s="2553" t="str">
        <f t="shared" si="20"/>
        <v/>
      </c>
      <c r="BT32" s="2553" t="str">
        <f t="shared" si="21"/>
        <v/>
      </c>
      <c r="BU32" s="2553" t="str">
        <f t="shared" si="22"/>
        <v/>
      </c>
      <c r="BW32" s="2554">
        <f t="shared" si="15"/>
        <v>0</v>
      </c>
      <c r="BX32" s="2554">
        <f t="shared" si="26"/>
        <v>0</v>
      </c>
      <c r="BY32" s="2554">
        <f t="shared" si="17"/>
        <v>0</v>
      </c>
      <c r="BZ32" s="2554">
        <f t="shared" si="18"/>
        <v>0</v>
      </c>
      <c r="CA32" s="2554">
        <f t="shared" si="19"/>
        <v>0</v>
      </c>
    </row>
    <row r="33" spans="1:79" s="170" customFormat="1" ht="15" customHeight="1" x14ac:dyDescent="0.15">
      <c r="A33" s="8227" t="s">
        <v>1155</v>
      </c>
      <c r="B33" s="8228"/>
      <c r="C33" s="1158">
        <f>SUM(D33:G33)</f>
        <v>0</v>
      </c>
      <c r="D33" s="1464"/>
      <c r="E33" s="1464"/>
      <c r="F33" s="1464"/>
      <c r="G33" s="1464"/>
      <c r="H33" s="1459"/>
      <c r="I33" s="1459"/>
      <c r="J33" s="1464"/>
      <c r="K33" s="1464"/>
      <c r="L33" s="1464"/>
      <c r="M33" s="1374"/>
      <c r="N33" s="62"/>
      <c r="O33" s="62"/>
      <c r="P33" s="62"/>
      <c r="Q33" s="170" t="str">
        <f>BQ33&amp;BR33&amp;BS33&amp;BT33&amp;BU33</f>
        <v/>
      </c>
      <c r="BQ33" s="2553" t="str">
        <f t="shared" si="8"/>
        <v/>
      </c>
      <c r="BR33" s="2553" t="str">
        <f t="shared" si="25"/>
        <v/>
      </c>
      <c r="BS33" s="2553" t="str">
        <f t="shared" si="20"/>
        <v/>
      </c>
      <c r="BT33" s="2553" t="str">
        <f t="shared" si="21"/>
        <v/>
      </c>
      <c r="BU33" s="2553" t="str">
        <f t="shared" si="22"/>
        <v/>
      </c>
      <c r="BW33" s="2554">
        <f t="shared" si="15"/>
        <v>0</v>
      </c>
      <c r="BX33" s="2554">
        <f t="shared" si="26"/>
        <v>0</v>
      </c>
      <c r="BY33" s="2554">
        <f t="shared" si="17"/>
        <v>0</v>
      </c>
      <c r="BZ33" s="2554">
        <f t="shared" si="18"/>
        <v>0</v>
      </c>
      <c r="CA33" s="2554">
        <f t="shared" si="19"/>
        <v>0</v>
      </c>
    </row>
    <row r="34" spans="1:79" s="170" customFormat="1" ht="15" customHeight="1" x14ac:dyDescent="0.15">
      <c r="A34" s="8227" t="s">
        <v>1156</v>
      </c>
      <c r="B34" s="8228"/>
      <c r="C34" s="1463">
        <f>SUM(D34:G34)</f>
        <v>0</v>
      </c>
      <c r="D34" s="1464"/>
      <c r="E34" s="1464"/>
      <c r="F34" s="1464"/>
      <c r="G34" s="1464"/>
      <c r="H34" s="1459"/>
      <c r="I34" s="1459"/>
      <c r="J34" s="1464"/>
      <c r="K34" s="1464"/>
      <c r="L34" s="1464"/>
      <c r="M34" s="1374"/>
      <c r="N34" s="69"/>
      <c r="O34" s="69"/>
      <c r="P34" s="69"/>
      <c r="Q34" s="170" t="str">
        <f t="shared" si="10"/>
        <v/>
      </c>
      <c r="BQ34" s="2553" t="str">
        <f t="shared" si="8"/>
        <v/>
      </c>
      <c r="BR34" s="2553" t="str">
        <f t="shared" si="25"/>
        <v/>
      </c>
      <c r="BS34" s="2553" t="str">
        <f t="shared" si="20"/>
        <v/>
      </c>
      <c r="BT34" s="2553" t="str">
        <f t="shared" si="21"/>
        <v/>
      </c>
      <c r="BU34" s="2553" t="str">
        <f t="shared" si="22"/>
        <v/>
      </c>
      <c r="BW34" s="2554">
        <f t="shared" si="15"/>
        <v>0</v>
      </c>
      <c r="BX34" s="2554">
        <f t="shared" si="26"/>
        <v>0</v>
      </c>
      <c r="BY34" s="2554">
        <f t="shared" si="17"/>
        <v>0</v>
      </c>
      <c r="BZ34" s="2554">
        <f t="shared" si="18"/>
        <v>0</v>
      </c>
      <c r="CA34" s="2554">
        <f t="shared" si="19"/>
        <v>0</v>
      </c>
    </row>
    <row r="35" spans="1:79" s="170" customFormat="1" ht="15" customHeight="1" x14ac:dyDescent="0.15">
      <c r="A35" s="8229" t="s">
        <v>1157</v>
      </c>
      <c r="B35" s="8230"/>
      <c r="C35" s="51">
        <f>SUM(D35:G35)</f>
        <v>0</v>
      </c>
      <c r="D35" s="1464"/>
      <c r="E35" s="1464"/>
      <c r="F35" s="1464"/>
      <c r="G35" s="1464"/>
      <c r="H35" s="4463"/>
      <c r="I35" s="4463"/>
      <c r="J35" s="1464"/>
      <c r="K35" s="1464"/>
      <c r="L35" s="1464"/>
      <c r="M35" s="1376"/>
      <c r="N35" s="65"/>
      <c r="O35" s="65"/>
      <c r="P35" s="65"/>
      <c r="Q35" s="170" t="str">
        <f t="shared" si="10"/>
        <v/>
      </c>
      <c r="BQ35" s="2553" t="str">
        <f t="shared" si="8"/>
        <v/>
      </c>
      <c r="BR35" s="2553" t="str">
        <f t="shared" si="25"/>
        <v/>
      </c>
      <c r="BS35" s="2553" t="str">
        <f t="shared" si="20"/>
        <v/>
      </c>
      <c r="BT35" s="2553" t="str">
        <f t="shared" si="21"/>
        <v/>
      </c>
      <c r="BU35" s="2553" t="str">
        <f t="shared" si="22"/>
        <v/>
      </c>
      <c r="BW35" s="2554">
        <f t="shared" si="15"/>
        <v>0</v>
      </c>
      <c r="BX35" s="2554">
        <f t="shared" si="26"/>
        <v>0</v>
      </c>
      <c r="BY35" s="2554">
        <f t="shared" si="17"/>
        <v>0</v>
      </c>
      <c r="BZ35" s="2554">
        <f t="shared" si="18"/>
        <v>0</v>
      </c>
      <c r="CA35" s="2554">
        <f t="shared" si="19"/>
        <v>0</v>
      </c>
    </row>
    <row r="36" spans="1:79" s="1134" customFormat="1" ht="18" customHeight="1" x14ac:dyDescent="0.15">
      <c r="A36" s="7968" t="s">
        <v>1158</v>
      </c>
      <c r="B36" s="7968"/>
      <c r="C36" s="7968"/>
      <c r="D36" s="7968"/>
      <c r="E36" s="7968"/>
      <c r="F36" s="7968"/>
      <c r="G36" s="7968"/>
      <c r="H36" s="7968"/>
      <c r="I36" s="7968"/>
      <c r="J36" s="7968"/>
      <c r="K36" s="7968"/>
      <c r="L36" s="7968"/>
      <c r="M36" s="7968"/>
      <c r="N36" s="7968"/>
    </row>
    <row r="37" spans="1:79" s="170" customFormat="1" ht="42" x14ac:dyDescent="0.15">
      <c r="A37" s="7935" t="s">
        <v>1086</v>
      </c>
      <c r="B37" s="7936"/>
      <c r="C37" s="1315" t="s">
        <v>1159</v>
      </c>
      <c r="D37" s="1458" t="s">
        <v>1160</v>
      </c>
      <c r="E37" s="1458" t="s">
        <v>1161</v>
      </c>
      <c r="F37" s="1458" t="s">
        <v>1162</v>
      </c>
      <c r="G37" s="1458" t="s">
        <v>1163</v>
      </c>
      <c r="H37" s="1458" t="s">
        <v>1164</v>
      </c>
      <c r="I37" s="1458" t="s">
        <v>1165</v>
      </c>
      <c r="J37" s="2565" t="s">
        <v>1166</v>
      </c>
      <c r="K37" s="2564" t="s">
        <v>3</v>
      </c>
      <c r="L37" s="1458" t="s">
        <v>546</v>
      </c>
      <c r="M37" s="1458" t="s">
        <v>1167</v>
      </c>
      <c r="N37" s="1314" t="s">
        <v>1168</v>
      </c>
    </row>
    <row r="38" spans="1:79" s="170" customFormat="1" ht="15" customHeight="1" x14ac:dyDescent="0.15">
      <c r="A38" s="8240" t="s">
        <v>1169</v>
      </c>
      <c r="B38" s="6059" t="s">
        <v>1170</v>
      </c>
      <c r="C38" s="6060"/>
      <c r="D38" s="6061"/>
      <c r="E38" s="6061"/>
      <c r="F38" s="6061"/>
      <c r="G38" s="6061"/>
      <c r="H38" s="6061"/>
      <c r="I38" s="6061"/>
      <c r="J38" s="6062"/>
      <c r="K38" s="6063"/>
      <c r="L38" s="6061"/>
      <c r="M38" s="6061"/>
      <c r="N38" s="6064"/>
      <c r="O38" s="170" t="str">
        <f>BQ38&amp;BR38</f>
        <v/>
      </c>
      <c r="BQ38" s="2553" t="str">
        <f>IF(AND(SUM(C38:J38)&gt;0,K38="")," * No olvide digitar la variable Migrantes. Digite Cero si no tiene.",IF(K38&gt;SUM(C38:J38)," * La variable Migrantes no puede ser mayor al Total.",""))</f>
        <v/>
      </c>
      <c r="BR38" s="2553" t="str">
        <f>IF(AND(SUM(C38:J38)&gt;0,L38="")," * No olvide digitar la variable Pueblos Originarios. Digite Cero si no tiene.",IF(L38&gt;SUM(C38:J38)," * La variable Pueblos Originarios no puede ser mayor al Total.",""))</f>
        <v/>
      </c>
      <c r="BW38" s="2554">
        <f>IF(AND(SUM(C38:J38)&gt;0,K38=""),1,IF(K38&gt;SUM(C38:J38),1,0))</f>
        <v>0</v>
      </c>
      <c r="BX38" s="2554">
        <f>IF(AND(SUM(C38:J38)&gt;0,L38=""),1,IF(L38&gt;SUM(C38:J38),1,0))</f>
        <v>0</v>
      </c>
    </row>
    <row r="39" spans="1:79" s="170" customFormat="1" ht="32.25" thickBot="1" x14ac:dyDescent="0.2">
      <c r="A39" s="8240"/>
      <c r="B39" s="6065" t="s">
        <v>1171</v>
      </c>
      <c r="C39" s="6066"/>
      <c r="D39" s="6067"/>
      <c r="E39" s="6067"/>
      <c r="F39" s="6067"/>
      <c r="G39" s="6067"/>
      <c r="H39" s="6067"/>
      <c r="I39" s="6067"/>
      <c r="J39" s="6068"/>
      <c r="K39" s="6069"/>
      <c r="L39" s="6067"/>
      <c r="M39" s="6067"/>
      <c r="N39" s="6070"/>
      <c r="O39" s="170" t="str">
        <f t="shared" ref="O39:O41" si="27">BQ39&amp;BR39</f>
        <v/>
      </c>
      <c r="BQ39" s="2553" t="str">
        <f t="shared" ref="BQ39:BQ41" si="28">IF(AND(SUM(C39:J39)&gt;0,K39="")," * No olvide digitar la variable Migrantes. Digite Cero si no tiene.",IF(K39&gt;SUM(C39:J39)," * La variable Migrantes no puede ser mayor al Total.",""))</f>
        <v/>
      </c>
      <c r="BR39" s="2553" t="str">
        <f t="shared" ref="BR39:BR41" si="29">IF(AND(SUM(C39:J39)&gt;0,L39="")," * No olvide digitar la variable Pueblos Originarios. Digite Cero si no tiene.",IF(L39&gt;SUM(C39:J39)," * La variable Pueblos Originarios no puede ser mayor al Total.",""))</f>
        <v/>
      </c>
      <c r="BW39" s="2554">
        <f t="shared" ref="BW39:BW41" si="30">IF(AND(SUM(C39:J39)&gt;0,K39=""),1,IF(K39&gt;SUM(C39:J39),1,0))</f>
        <v>0</v>
      </c>
      <c r="BX39" s="2554">
        <f t="shared" ref="BX39:BX41" si="31">IF(AND(SUM(C39:J39)&gt;0,L39=""),1,IF(L39&gt;SUM(C39:J39),1,0))</f>
        <v>0</v>
      </c>
    </row>
    <row r="40" spans="1:79" s="170" customFormat="1" ht="32.25" thickTop="1" x14ac:dyDescent="0.15">
      <c r="A40" s="8240"/>
      <c r="B40" s="6053" t="s">
        <v>1172</v>
      </c>
      <c r="C40" s="6054"/>
      <c r="D40" s="6055"/>
      <c r="E40" s="6055"/>
      <c r="F40" s="6055"/>
      <c r="G40" s="6055"/>
      <c r="H40" s="6055"/>
      <c r="I40" s="6055"/>
      <c r="J40" s="6056"/>
      <c r="K40" s="6057"/>
      <c r="L40" s="6055"/>
      <c r="M40" s="6055"/>
      <c r="N40" s="6058"/>
      <c r="O40" s="170" t="str">
        <f t="shared" si="27"/>
        <v/>
      </c>
      <c r="BQ40" s="2553" t="str">
        <f t="shared" si="28"/>
        <v/>
      </c>
      <c r="BR40" s="2553" t="str">
        <f t="shared" si="29"/>
        <v/>
      </c>
      <c r="BW40" s="2554">
        <f t="shared" si="30"/>
        <v>0</v>
      </c>
      <c r="BX40" s="2554">
        <f t="shared" si="31"/>
        <v>0</v>
      </c>
    </row>
    <row r="41" spans="1:79" s="170" customFormat="1" ht="21" x14ac:dyDescent="0.15">
      <c r="A41" s="8240"/>
      <c r="B41" s="1465" t="s">
        <v>1173</v>
      </c>
      <c r="C41" s="1466"/>
      <c r="D41" s="1467"/>
      <c r="E41" s="1467"/>
      <c r="F41" s="1467"/>
      <c r="G41" s="1467"/>
      <c r="H41" s="1467"/>
      <c r="I41" s="1467"/>
      <c r="J41" s="1468"/>
      <c r="K41" s="1469"/>
      <c r="L41" s="1467"/>
      <c r="M41" s="1467"/>
      <c r="N41" s="1470"/>
      <c r="O41" s="170" t="str">
        <f t="shared" si="27"/>
        <v/>
      </c>
      <c r="BQ41" s="2553" t="str">
        <f t="shared" si="28"/>
        <v/>
      </c>
      <c r="BR41" s="2553" t="str">
        <f t="shared" si="29"/>
        <v/>
      </c>
      <c r="BW41" s="2554">
        <f t="shared" si="30"/>
        <v>0</v>
      </c>
      <c r="BX41" s="2554">
        <f t="shared" si="31"/>
        <v>0</v>
      </c>
    </row>
    <row r="42" spans="1:79" s="1134" customFormat="1" ht="18" customHeight="1" x14ac:dyDescent="0.15">
      <c r="A42" s="6136" t="s">
        <v>1174</v>
      </c>
      <c r="B42" s="6137"/>
      <c r="C42" s="6137"/>
      <c r="D42" s="6137"/>
      <c r="E42" s="6137"/>
      <c r="F42" s="6137"/>
      <c r="G42" s="6137"/>
      <c r="H42" s="6137"/>
      <c r="I42" s="6137"/>
      <c r="J42" s="6137"/>
      <c r="K42" s="6137"/>
      <c r="L42" s="6137"/>
      <c r="M42" s="6137"/>
      <c r="N42" s="6137"/>
      <c r="O42" s="6137"/>
      <c r="P42" s="6137"/>
      <c r="Q42" s="6137"/>
      <c r="R42" s="6137"/>
      <c r="S42" s="6137"/>
      <c r="T42" s="6137"/>
      <c r="U42" s="6137"/>
      <c r="V42" s="6137"/>
      <c r="W42" s="6137"/>
      <c r="X42" s="6137"/>
      <c r="Y42" s="6137"/>
      <c r="Z42" s="6137"/>
      <c r="AA42" s="6137"/>
      <c r="AB42" s="6137"/>
      <c r="AC42" s="6137"/>
      <c r="AD42" s="6137"/>
      <c r="AE42" s="6137"/>
      <c r="AF42" s="6137"/>
      <c r="AG42" s="6137"/>
      <c r="AH42" s="6137"/>
      <c r="AI42" s="6137"/>
      <c r="AJ42" s="6137"/>
      <c r="AK42" s="6137"/>
      <c r="AL42" s="6137"/>
      <c r="AM42" s="6137"/>
      <c r="AN42" s="6137"/>
      <c r="AO42" s="6137"/>
    </row>
    <row r="43" spans="1:79" s="170" customFormat="1" ht="15" customHeight="1" x14ac:dyDescent="0.15">
      <c r="A43" s="8233" t="s">
        <v>1086</v>
      </c>
      <c r="B43" s="8231" t="s">
        <v>24</v>
      </c>
      <c r="C43" s="8232"/>
      <c r="D43" s="8233"/>
      <c r="E43" s="8237" t="s">
        <v>30</v>
      </c>
      <c r="F43" s="8242"/>
      <c r="G43" s="8242"/>
      <c r="H43" s="8242"/>
      <c r="I43" s="8242"/>
      <c r="J43" s="8242"/>
      <c r="K43" s="8242"/>
      <c r="L43" s="8242"/>
      <c r="M43" s="8242"/>
      <c r="N43" s="8242"/>
      <c r="O43" s="8242"/>
      <c r="P43" s="8242"/>
      <c r="Q43" s="8242"/>
      <c r="R43" s="8242"/>
      <c r="S43" s="8242"/>
      <c r="T43" s="8242"/>
      <c r="U43" s="8242"/>
      <c r="V43" s="8242"/>
      <c r="W43" s="8242"/>
      <c r="X43" s="8242"/>
      <c r="Y43" s="8242"/>
      <c r="Z43" s="8242"/>
      <c r="AA43" s="8242"/>
      <c r="AB43" s="8242"/>
      <c r="AC43" s="8242"/>
      <c r="AD43" s="8242"/>
      <c r="AE43" s="8242"/>
      <c r="AF43" s="8242"/>
      <c r="AG43" s="8242"/>
      <c r="AH43" s="8242"/>
      <c r="AI43" s="8242"/>
      <c r="AJ43" s="8242"/>
      <c r="AK43" s="8242"/>
      <c r="AL43" s="8238"/>
      <c r="AM43" s="8231" t="s">
        <v>1032</v>
      </c>
      <c r="AN43" s="8232"/>
      <c r="AO43" s="8233"/>
    </row>
    <row r="44" spans="1:79" s="170" customFormat="1" ht="15" customHeight="1" x14ac:dyDescent="0.15">
      <c r="A44" s="8241"/>
      <c r="B44" s="8234"/>
      <c r="C44" s="8235"/>
      <c r="D44" s="8236"/>
      <c r="E44" s="8237" t="s">
        <v>36</v>
      </c>
      <c r="F44" s="8238"/>
      <c r="G44" s="8237" t="s">
        <v>1002</v>
      </c>
      <c r="H44" s="8238"/>
      <c r="I44" s="8237" t="s">
        <v>38</v>
      </c>
      <c r="J44" s="8238"/>
      <c r="K44" s="8237" t="s">
        <v>1175</v>
      </c>
      <c r="L44" s="8238"/>
      <c r="M44" s="8239" t="s">
        <v>5</v>
      </c>
      <c r="N44" s="8238"/>
      <c r="O44" s="8237" t="s">
        <v>6</v>
      </c>
      <c r="P44" s="8238"/>
      <c r="Q44" s="8237" t="s">
        <v>7</v>
      </c>
      <c r="R44" s="8238"/>
      <c r="S44" s="8237" t="s">
        <v>8</v>
      </c>
      <c r="T44" s="8238"/>
      <c r="U44" s="8237" t="s">
        <v>9</v>
      </c>
      <c r="V44" s="8238"/>
      <c r="W44" s="8237" t="s">
        <v>10</v>
      </c>
      <c r="X44" s="8238"/>
      <c r="Y44" s="8237" t="s">
        <v>11</v>
      </c>
      <c r="Z44" s="8238"/>
      <c r="AA44" s="8237" t="s">
        <v>18</v>
      </c>
      <c r="AB44" s="8238"/>
      <c r="AC44" s="8237" t="s">
        <v>19</v>
      </c>
      <c r="AD44" s="8238"/>
      <c r="AE44" s="8237" t="s">
        <v>20</v>
      </c>
      <c r="AF44" s="8238"/>
      <c r="AG44" s="8237" t="s">
        <v>70</v>
      </c>
      <c r="AH44" s="8238"/>
      <c r="AI44" s="8237" t="s">
        <v>71</v>
      </c>
      <c r="AJ44" s="8238"/>
      <c r="AK44" s="8237" t="s">
        <v>72</v>
      </c>
      <c r="AL44" s="8238"/>
      <c r="AM44" s="8234"/>
      <c r="AN44" s="8235"/>
      <c r="AO44" s="8236"/>
    </row>
    <row r="45" spans="1:79" s="170" customFormat="1" ht="15" customHeight="1" x14ac:dyDescent="0.15">
      <c r="A45" s="8236"/>
      <c r="B45" s="6140" t="s">
        <v>26</v>
      </c>
      <c r="C45" s="6141" t="s">
        <v>22</v>
      </c>
      <c r="D45" s="6138" t="s">
        <v>27</v>
      </c>
      <c r="E45" s="6141" t="s">
        <v>22</v>
      </c>
      <c r="F45" s="6138" t="s">
        <v>27</v>
      </c>
      <c r="G45" s="6141" t="s">
        <v>22</v>
      </c>
      <c r="H45" s="6138" t="s">
        <v>27</v>
      </c>
      <c r="I45" s="6141" t="s">
        <v>22</v>
      </c>
      <c r="J45" s="6138" t="s">
        <v>27</v>
      </c>
      <c r="K45" s="6141" t="s">
        <v>22</v>
      </c>
      <c r="L45" s="6138" t="s">
        <v>27</v>
      </c>
      <c r="M45" s="6141" t="s">
        <v>22</v>
      </c>
      <c r="N45" s="6138" t="s">
        <v>27</v>
      </c>
      <c r="O45" s="6141" t="s">
        <v>22</v>
      </c>
      <c r="P45" s="6138" t="s">
        <v>27</v>
      </c>
      <c r="Q45" s="6141" t="s">
        <v>22</v>
      </c>
      <c r="R45" s="6138" t="s">
        <v>27</v>
      </c>
      <c r="S45" s="6141" t="s">
        <v>22</v>
      </c>
      <c r="T45" s="6138" t="s">
        <v>27</v>
      </c>
      <c r="U45" s="6141" t="s">
        <v>22</v>
      </c>
      <c r="V45" s="6138" t="s">
        <v>27</v>
      </c>
      <c r="W45" s="6141" t="s">
        <v>22</v>
      </c>
      <c r="X45" s="6138" t="s">
        <v>27</v>
      </c>
      <c r="Y45" s="6141" t="s">
        <v>22</v>
      </c>
      <c r="Z45" s="6138" t="s">
        <v>27</v>
      </c>
      <c r="AA45" s="6141" t="s">
        <v>22</v>
      </c>
      <c r="AB45" s="6138" t="s">
        <v>27</v>
      </c>
      <c r="AC45" s="6141" t="s">
        <v>22</v>
      </c>
      <c r="AD45" s="6138" t="s">
        <v>27</v>
      </c>
      <c r="AE45" s="6141" t="s">
        <v>22</v>
      </c>
      <c r="AF45" s="6138" t="s">
        <v>27</v>
      </c>
      <c r="AG45" s="6141" t="s">
        <v>22</v>
      </c>
      <c r="AH45" s="6138" t="s">
        <v>27</v>
      </c>
      <c r="AI45" s="6141" t="s">
        <v>22</v>
      </c>
      <c r="AJ45" s="6138" t="s">
        <v>27</v>
      </c>
      <c r="AK45" s="6141" t="s">
        <v>22</v>
      </c>
      <c r="AL45" s="6138" t="s">
        <v>27</v>
      </c>
      <c r="AM45" s="6139" t="s">
        <v>1176</v>
      </c>
      <c r="AN45" s="6142" t="s">
        <v>1034</v>
      </c>
      <c r="AO45" s="6142" t="s">
        <v>194</v>
      </c>
    </row>
    <row r="46" spans="1:79" s="170" customFormat="1" ht="15" customHeight="1" x14ac:dyDescent="0.15">
      <c r="A46" s="6143" t="s">
        <v>1109</v>
      </c>
      <c r="B46" s="6144">
        <f>SUM(C46:D46)</f>
        <v>0</v>
      </c>
      <c r="C46" s="6144">
        <f t="shared" ref="C46:D49" si="32">+E46+G46+I46+K46+M46+O46+Q46+S46+U46+W46+Y46+AA46+AC46+AE46+AG46+AI46+AK46</f>
        <v>0</v>
      </c>
      <c r="D46" s="6145">
        <f t="shared" si="32"/>
        <v>0</v>
      </c>
      <c r="E46" s="6144"/>
      <c r="F46" s="6145"/>
      <c r="G46" s="6144"/>
      <c r="H46" s="6145"/>
      <c r="I46" s="6144"/>
      <c r="J46" s="6145"/>
      <c r="K46" s="6144"/>
      <c r="L46" s="6145"/>
      <c r="M46" s="6144"/>
      <c r="N46" s="6145"/>
      <c r="O46" s="6144"/>
      <c r="P46" s="6145"/>
      <c r="Q46" s="6144"/>
      <c r="R46" s="6145"/>
      <c r="S46" s="6144"/>
      <c r="T46" s="6145"/>
      <c r="U46" s="6144"/>
      <c r="V46" s="6145"/>
      <c r="W46" s="6144"/>
      <c r="X46" s="6145"/>
      <c r="Y46" s="6144"/>
      <c r="Z46" s="6145"/>
      <c r="AA46" s="6144"/>
      <c r="AB46" s="6145"/>
      <c r="AC46" s="6144"/>
      <c r="AD46" s="6145"/>
      <c r="AE46" s="6144"/>
      <c r="AF46" s="6145"/>
      <c r="AG46" s="6144"/>
      <c r="AH46" s="6145"/>
      <c r="AI46" s="6144"/>
      <c r="AJ46" s="6145"/>
      <c r="AK46" s="6144"/>
      <c r="AL46" s="6145"/>
      <c r="AM46" s="6146"/>
      <c r="AN46" s="6146"/>
      <c r="AO46" s="6146"/>
    </row>
    <row r="47" spans="1:79" s="170" customFormat="1" ht="15" customHeight="1" x14ac:dyDescent="0.15">
      <c r="A47" s="6147" t="s">
        <v>943</v>
      </c>
      <c r="B47" s="6148">
        <f>SUM(C47:D47)</f>
        <v>0</v>
      </c>
      <c r="C47" s="6148">
        <f t="shared" si="32"/>
        <v>0</v>
      </c>
      <c r="D47" s="6149">
        <f t="shared" si="32"/>
        <v>0</v>
      </c>
      <c r="E47" s="6148"/>
      <c r="F47" s="6149"/>
      <c r="G47" s="6148"/>
      <c r="H47" s="6149"/>
      <c r="I47" s="6148"/>
      <c r="J47" s="6149"/>
      <c r="K47" s="6148"/>
      <c r="L47" s="6149"/>
      <c r="M47" s="6148"/>
      <c r="N47" s="6149"/>
      <c r="O47" s="6148"/>
      <c r="P47" s="6149"/>
      <c r="Q47" s="6148"/>
      <c r="R47" s="6149"/>
      <c r="S47" s="6148"/>
      <c r="T47" s="6149"/>
      <c r="U47" s="6148"/>
      <c r="V47" s="6149"/>
      <c r="W47" s="6148"/>
      <c r="X47" s="6149"/>
      <c r="Y47" s="6148"/>
      <c r="Z47" s="6149"/>
      <c r="AA47" s="6148"/>
      <c r="AB47" s="6149"/>
      <c r="AC47" s="6148"/>
      <c r="AD47" s="6149"/>
      <c r="AE47" s="6148"/>
      <c r="AF47" s="6149"/>
      <c r="AG47" s="6148"/>
      <c r="AH47" s="6149"/>
      <c r="AI47" s="6148"/>
      <c r="AJ47" s="6149"/>
      <c r="AK47" s="6148"/>
      <c r="AL47" s="6149"/>
      <c r="AM47" s="6150"/>
      <c r="AN47" s="6150"/>
      <c r="AO47" s="6150"/>
    </row>
    <row r="48" spans="1:79" s="170" customFormat="1" ht="15" customHeight="1" x14ac:dyDescent="0.15">
      <c r="A48" s="6147" t="s">
        <v>1177</v>
      </c>
      <c r="B48" s="6148">
        <f>SUM(C48:D48)</f>
        <v>0</v>
      </c>
      <c r="C48" s="6148">
        <f t="shared" si="32"/>
        <v>0</v>
      </c>
      <c r="D48" s="6149">
        <f t="shared" si="32"/>
        <v>0</v>
      </c>
      <c r="E48" s="6148"/>
      <c r="F48" s="6149"/>
      <c r="G48" s="6148"/>
      <c r="H48" s="6149"/>
      <c r="I48" s="6148"/>
      <c r="J48" s="6149"/>
      <c r="K48" s="6148"/>
      <c r="L48" s="6149"/>
      <c r="M48" s="6148"/>
      <c r="N48" s="6149"/>
      <c r="O48" s="6148"/>
      <c r="P48" s="6149"/>
      <c r="Q48" s="6148"/>
      <c r="R48" s="6149"/>
      <c r="S48" s="6148"/>
      <c r="T48" s="6149"/>
      <c r="U48" s="6148"/>
      <c r="V48" s="6149"/>
      <c r="W48" s="6148"/>
      <c r="X48" s="6149"/>
      <c r="Y48" s="6148"/>
      <c r="Z48" s="6149"/>
      <c r="AA48" s="6148"/>
      <c r="AB48" s="6149"/>
      <c r="AC48" s="6148"/>
      <c r="AD48" s="6149"/>
      <c r="AE48" s="6148"/>
      <c r="AF48" s="6149"/>
      <c r="AG48" s="6148"/>
      <c r="AH48" s="6149"/>
      <c r="AI48" s="6148"/>
      <c r="AJ48" s="6149"/>
      <c r="AK48" s="6148"/>
      <c r="AL48" s="6149"/>
      <c r="AM48" s="6149"/>
      <c r="AN48" s="6149"/>
      <c r="AO48" s="6149"/>
      <c r="AP48" s="170" t="str">
        <f>BQ48&amp;BR48</f>
        <v/>
      </c>
      <c r="BQ48" s="2553" t="str">
        <f>IF((AM48+AN48+AO48)&lt;&gt;B48," * Egresos por causal debe ser igual al total de Egresos","")</f>
        <v/>
      </c>
      <c r="BR48" s="2553"/>
      <c r="BS48" s="2553"/>
      <c r="BT48" s="2553"/>
      <c r="BU48" s="2553"/>
      <c r="BW48" s="2554">
        <f>IF((AM48+AN48+AO48)&lt;&gt;B48,1,0)</f>
        <v>0</v>
      </c>
      <c r="BX48" s="2554"/>
      <c r="BY48" s="2554"/>
      <c r="BZ48" s="2554"/>
    </row>
    <row r="49" spans="1:79" s="170" customFormat="1" ht="15" customHeight="1" x14ac:dyDescent="0.15">
      <c r="A49" s="6151" t="s">
        <v>1178</v>
      </c>
      <c r="B49" s="6152">
        <f>SUM(C49:D49)</f>
        <v>0</v>
      </c>
      <c r="C49" s="6152">
        <f t="shared" si="32"/>
        <v>0</v>
      </c>
      <c r="D49" s="6153">
        <f t="shared" si="32"/>
        <v>0</v>
      </c>
      <c r="E49" s="6152"/>
      <c r="F49" s="6153"/>
      <c r="G49" s="6152"/>
      <c r="H49" s="6153"/>
      <c r="I49" s="6152"/>
      <c r="J49" s="6153"/>
      <c r="K49" s="6152"/>
      <c r="L49" s="6153"/>
      <c r="M49" s="6152"/>
      <c r="N49" s="6153"/>
      <c r="O49" s="6152"/>
      <c r="P49" s="6153"/>
      <c r="Q49" s="6152"/>
      <c r="R49" s="6153"/>
      <c r="S49" s="6152"/>
      <c r="T49" s="6153"/>
      <c r="U49" s="6152"/>
      <c r="V49" s="6153"/>
      <c r="W49" s="6152"/>
      <c r="X49" s="6153"/>
      <c r="Y49" s="6152"/>
      <c r="Z49" s="6153"/>
      <c r="AA49" s="6152"/>
      <c r="AB49" s="6153"/>
      <c r="AC49" s="6152"/>
      <c r="AD49" s="6153"/>
      <c r="AE49" s="6152"/>
      <c r="AF49" s="6153"/>
      <c r="AG49" s="6152"/>
      <c r="AH49" s="6153"/>
      <c r="AI49" s="6152"/>
      <c r="AJ49" s="6153"/>
      <c r="AK49" s="6152"/>
      <c r="AL49" s="6153"/>
      <c r="AM49" s="6154"/>
      <c r="AN49" s="6154"/>
      <c r="AO49" s="6154"/>
    </row>
    <row r="50" spans="1:79" s="1134" customFormat="1" ht="18" customHeight="1" x14ac:dyDescent="0.15">
      <c r="A50" s="2567" t="s">
        <v>1179</v>
      </c>
    </row>
    <row r="51" spans="1:79" s="170" customFormat="1" ht="52.5" x14ac:dyDescent="0.15">
      <c r="A51" s="7935" t="s">
        <v>1086</v>
      </c>
      <c r="B51" s="7936"/>
      <c r="C51" s="2543" t="s">
        <v>24</v>
      </c>
      <c r="D51" s="2543" t="s">
        <v>1125</v>
      </c>
      <c r="E51" s="2551" t="s">
        <v>1180</v>
      </c>
      <c r="F51" s="1458" t="s">
        <v>1181</v>
      </c>
      <c r="G51" s="1457" t="s">
        <v>1128</v>
      </c>
      <c r="H51" s="2566" t="s">
        <v>1129</v>
      </c>
      <c r="I51" s="2568" t="s">
        <v>1130</v>
      </c>
      <c r="J51" s="1314" t="s">
        <v>2</v>
      </c>
      <c r="K51" s="1314" t="s">
        <v>3</v>
      </c>
      <c r="L51" s="1314" t="s">
        <v>3898</v>
      </c>
      <c r="M51" s="1314" t="s">
        <v>1182</v>
      </c>
    </row>
    <row r="52" spans="1:79" s="170" customFormat="1" ht="15" customHeight="1" x14ac:dyDescent="0.15">
      <c r="A52" s="7939" t="s">
        <v>1183</v>
      </c>
      <c r="B52" s="7940"/>
      <c r="C52" s="1471">
        <f>SUM(D52:F52)</f>
        <v>0</v>
      </c>
      <c r="D52" s="1292"/>
      <c r="E52" s="1472"/>
      <c r="F52" s="1295"/>
      <c r="G52" s="1473"/>
      <c r="H52" s="1474"/>
      <c r="I52" s="1111"/>
      <c r="J52" s="8"/>
      <c r="K52" s="8"/>
      <c r="L52" s="8"/>
      <c r="M52" s="8"/>
      <c r="N52" s="170" t="str">
        <f>BQ52&amp;BR52&amp;BS52&amp;BT52&amp;BU52</f>
        <v/>
      </c>
      <c r="BQ52" s="2553" t="str">
        <f>IF(AND(C52&gt;0,J52="")," * No olvide digitar la variable Pueblos Originarios. Digite Cero si no tiene.",IF(J52&gt;C52," * La variable Pueblos Originarios No puede ser mayor al Total.",""))</f>
        <v/>
      </c>
      <c r="BR52" s="2553" t="str">
        <f>IF(AND(C52&gt;0,K52="")," * No olvide digitar la variable Migrantes. Digite Cero si no tiene.",IF(K52&gt;C52," * La variable Migrantes No puede ser mayor al Total.",""))</f>
        <v/>
      </c>
      <c r="BS52" s="2553" t="str">
        <f>IF(AND(C52&gt;0,L52="")," * No olvide digitar la variable Niños, niñas, adolescentes y jóvenes SENAME. Digite Cero si no tiene.",IF(L52&gt;C52," * La variable Niños, niñas, adolescentes y jóvenes SENAME No puede ser mayor al Total.",""))</f>
        <v/>
      </c>
      <c r="BT52" s="2553" t="str">
        <f>IF(AND(C52&gt;0,M52="")," * No olvide digitar la variable Niños, niñas, adolescentes y jóvenes Mejor Niñez. Digite Cero si no tiene.",IF(M52&gt;C52," * La variable Niños, niñas, adolescentes y jóvenes Mejor Niñez No puede ser mayor al Total.",""))</f>
        <v/>
      </c>
      <c r="BU52" s="2553"/>
      <c r="BW52" s="2554">
        <f>IF(AND(C52&gt;0,J52=""),1,IF(J52&gt;C52,1,0))</f>
        <v>0</v>
      </c>
      <c r="BX52" s="2554">
        <f>IF(AND(C52&gt;0,K52=""),1,IF(K52&gt;C52,1,0))</f>
        <v>0</v>
      </c>
      <c r="BY52" s="2554">
        <f>IF(AND(C52&gt;0,L52=""),1,IF(L52&gt;C52,1,0))</f>
        <v>0</v>
      </c>
      <c r="BZ52" s="2554">
        <f>IF(AND(C52&gt;0,M52=""),1,IF(M52&gt;C52,1,0))</f>
        <v>0</v>
      </c>
      <c r="CA52" s="2554"/>
    </row>
    <row r="53" spans="1:79" s="170" customFormat="1" ht="15" customHeight="1" x14ac:dyDescent="0.15">
      <c r="A53" s="7898" t="s">
        <v>1184</v>
      </c>
      <c r="B53" s="7027"/>
      <c r="C53" s="1475">
        <f t="shared" ref="C53:C58" si="33">SUM(D53:F53)</f>
        <v>0</v>
      </c>
      <c r="D53" s="1113"/>
      <c r="E53" s="1476"/>
      <c r="F53" s="1301"/>
      <c r="G53" s="1477"/>
      <c r="H53" s="1474"/>
      <c r="I53" s="1111"/>
      <c r="J53" s="8"/>
      <c r="K53" s="8"/>
      <c r="L53" s="8"/>
      <c r="M53" s="8"/>
      <c r="N53" s="170" t="str">
        <f t="shared" ref="N53:N60" si="34">BQ53&amp;BR53&amp;BS53&amp;BT53&amp;BU53</f>
        <v/>
      </c>
      <c r="BQ53" s="2553" t="str">
        <f t="shared" ref="BQ53:BQ60" si="35">IF(AND(C53&gt;0,J53="")," * No olvide digitar la variable Pueblos Originarios. Digite Cero si no tiene.",IF(J53&gt;C53," * La variable Pueblos Originarios No puede ser mayor al Total.",""))</f>
        <v/>
      </c>
      <c r="BR53" s="2553" t="str">
        <f t="shared" ref="BR53:BR60" si="36">IF(AND(C53&gt;0,K53="")," * No olvide digitar la variable Migrantes. Digite Cero si no tiene.",IF(K53&gt;C53," * La variable Migrantes No puede ser mayor al Total.",""))</f>
        <v/>
      </c>
      <c r="BS53" s="2553" t="str">
        <f t="shared" ref="BS53:BS60" si="37">IF(AND(C53&gt;0,L53="")," * No olvide digitar la variable Niños, niñas, adolescentes y jóvenes SENAME. Digite Cero si no tiene.",IF(L53&gt;C53," * La variable Niños, niñas, adolescentes y jóvenes SENAME No puede ser mayor al Total.",""))</f>
        <v/>
      </c>
      <c r="BT53" s="2553" t="str">
        <f t="shared" ref="BT53:BT60" si="38">IF(AND(C53&gt;0,M53="")," * No olvide digitar la variable Niños, niñas, adolescentes y jóvenes Mejor Niñez. Digite Cero si no tiene.",IF(M53&gt;C53," * La variable Niños, niñas, adolescentes y jóvenes Mejor Niñez No puede ser mayor al Total.",""))</f>
        <v/>
      </c>
      <c r="BU53" s="2553"/>
      <c r="BW53" s="2554">
        <f t="shared" ref="BW53:BW60" si="39">IF(AND(C53&gt;0,J53=""),1,IF(J53&gt;C53,1,0))</f>
        <v>0</v>
      </c>
      <c r="BX53" s="2554">
        <f t="shared" ref="BX53:BX60" si="40">IF(AND(C53&gt;0,K53=""),1,IF(K53&gt;C53,1,0))</f>
        <v>0</v>
      </c>
      <c r="BY53" s="2554">
        <f t="shared" ref="BY53:BY60" si="41">IF(AND(C53&gt;0,L53=""),1,IF(L53&gt;C53,1,0))</f>
        <v>0</v>
      </c>
      <c r="BZ53" s="2554">
        <f t="shared" ref="BZ53:BZ60" si="42">IF(AND(C53&gt;0,M53=""),1,IF(M53&gt;C53,1,0))</f>
        <v>0</v>
      </c>
      <c r="CA53" s="2554"/>
    </row>
    <row r="54" spans="1:79" s="170" customFormat="1" ht="15" customHeight="1" x14ac:dyDescent="0.15">
      <c r="A54" s="7898" t="s">
        <v>1185</v>
      </c>
      <c r="B54" s="7027"/>
      <c r="C54" s="1158">
        <f t="shared" si="33"/>
        <v>0</v>
      </c>
      <c r="D54" s="1113"/>
      <c r="E54" s="1476"/>
      <c r="F54" s="1301"/>
      <c r="G54" s="1477"/>
      <c r="H54" s="1474"/>
      <c r="I54" s="1111"/>
      <c r="J54" s="8"/>
      <c r="K54" s="8"/>
      <c r="L54" s="8"/>
      <c r="M54" s="8"/>
      <c r="N54" s="170" t="str">
        <f t="shared" si="34"/>
        <v/>
      </c>
      <c r="BQ54" s="2553" t="str">
        <f t="shared" si="35"/>
        <v/>
      </c>
      <c r="BR54" s="2553" t="str">
        <f t="shared" si="36"/>
        <v/>
      </c>
      <c r="BS54" s="2553" t="str">
        <f t="shared" si="37"/>
        <v/>
      </c>
      <c r="BT54" s="2553" t="str">
        <f t="shared" si="38"/>
        <v/>
      </c>
      <c r="BU54" s="2553"/>
      <c r="BW54" s="2554">
        <f t="shared" si="39"/>
        <v>0</v>
      </c>
      <c r="BX54" s="2554">
        <f t="shared" si="40"/>
        <v>0</v>
      </c>
      <c r="BY54" s="2554">
        <f t="shared" si="41"/>
        <v>0</v>
      </c>
      <c r="BZ54" s="2554">
        <f t="shared" si="42"/>
        <v>0</v>
      </c>
      <c r="CA54" s="2554"/>
    </row>
    <row r="55" spans="1:79" s="170" customFormat="1" ht="15" customHeight="1" x14ac:dyDescent="0.15">
      <c r="A55" s="8247" t="s">
        <v>1186</v>
      </c>
      <c r="B55" s="8248"/>
      <c r="C55" s="1158">
        <f t="shared" si="33"/>
        <v>0</v>
      </c>
      <c r="D55" s="1113"/>
      <c r="E55" s="10"/>
      <c r="F55" s="1301"/>
      <c r="G55" s="1478"/>
      <c r="H55" s="29"/>
      <c r="I55" s="1121"/>
      <c r="J55" s="12"/>
      <c r="K55" s="12"/>
      <c r="L55" s="12"/>
      <c r="M55" s="12"/>
      <c r="N55" s="170" t="str">
        <f t="shared" si="34"/>
        <v/>
      </c>
      <c r="BQ55" s="2553" t="str">
        <f t="shared" si="35"/>
        <v/>
      </c>
      <c r="BR55" s="2553" t="str">
        <f t="shared" si="36"/>
        <v/>
      </c>
      <c r="BS55" s="2553" t="str">
        <f t="shared" si="37"/>
        <v/>
      </c>
      <c r="BT55" s="2553" t="str">
        <f t="shared" si="38"/>
        <v/>
      </c>
      <c r="BU55" s="2553"/>
      <c r="BW55" s="2554">
        <f t="shared" si="39"/>
        <v>0</v>
      </c>
      <c r="BX55" s="2554">
        <f t="shared" si="40"/>
        <v>0</v>
      </c>
      <c r="BY55" s="2554">
        <f t="shared" si="41"/>
        <v>0</v>
      </c>
      <c r="BZ55" s="2554">
        <f t="shared" si="42"/>
        <v>0</v>
      </c>
      <c r="CA55" s="2554"/>
    </row>
    <row r="56" spans="1:79" s="170" customFormat="1" ht="15" customHeight="1" x14ac:dyDescent="0.15">
      <c r="A56" s="7791" t="s">
        <v>1187</v>
      </c>
      <c r="B56" s="1187" t="s">
        <v>1188</v>
      </c>
      <c r="C56" s="1479">
        <f t="shared" si="33"/>
        <v>0</v>
      </c>
      <c r="D56" s="1292"/>
      <c r="E56" s="1472"/>
      <c r="F56" s="1295"/>
      <c r="G56" s="1473"/>
      <c r="H56" s="1480"/>
      <c r="I56" s="1481"/>
      <c r="J56" s="1107"/>
      <c r="K56" s="1107"/>
      <c r="L56" s="1107"/>
      <c r="M56" s="1107"/>
      <c r="N56" s="170" t="str">
        <f t="shared" si="34"/>
        <v/>
      </c>
      <c r="BQ56" s="2553" t="str">
        <f t="shared" si="35"/>
        <v/>
      </c>
      <c r="BR56" s="2553" t="str">
        <f t="shared" si="36"/>
        <v/>
      </c>
      <c r="BS56" s="2553" t="str">
        <f t="shared" si="37"/>
        <v/>
      </c>
      <c r="BT56" s="2553" t="str">
        <f t="shared" si="38"/>
        <v/>
      </c>
      <c r="BU56" s="2553"/>
      <c r="BW56" s="2554">
        <f t="shared" si="39"/>
        <v>0</v>
      </c>
      <c r="BX56" s="2554">
        <f t="shared" si="40"/>
        <v>0</v>
      </c>
      <c r="BY56" s="2554">
        <f t="shared" si="41"/>
        <v>0</v>
      </c>
      <c r="BZ56" s="2554">
        <f t="shared" si="42"/>
        <v>0</v>
      </c>
      <c r="CA56" s="2554"/>
    </row>
    <row r="57" spans="1:79" s="170" customFormat="1" ht="15" customHeight="1" x14ac:dyDescent="0.15">
      <c r="A57" s="7900"/>
      <c r="B57" s="1126" t="s">
        <v>1189</v>
      </c>
      <c r="C57" s="1158">
        <f t="shared" si="33"/>
        <v>0</v>
      </c>
      <c r="D57" s="1113"/>
      <c r="E57" s="1476"/>
      <c r="F57" s="1301"/>
      <c r="G57" s="1477"/>
      <c r="H57" s="1480"/>
      <c r="I57" s="1481"/>
      <c r="J57" s="1107"/>
      <c r="K57" s="1107"/>
      <c r="L57" s="1107"/>
      <c r="M57" s="1107"/>
      <c r="N57" s="170" t="str">
        <f t="shared" si="34"/>
        <v/>
      </c>
      <c r="BQ57" s="2553" t="str">
        <f t="shared" si="35"/>
        <v/>
      </c>
      <c r="BR57" s="2553" t="str">
        <f t="shared" si="36"/>
        <v/>
      </c>
      <c r="BS57" s="2553" t="str">
        <f t="shared" si="37"/>
        <v/>
      </c>
      <c r="BT57" s="2553" t="str">
        <f t="shared" si="38"/>
        <v/>
      </c>
      <c r="BU57" s="2553"/>
      <c r="BW57" s="2554">
        <f t="shared" si="39"/>
        <v>0</v>
      </c>
      <c r="BX57" s="2554">
        <f t="shared" si="40"/>
        <v>0</v>
      </c>
      <c r="BY57" s="2554">
        <f t="shared" si="41"/>
        <v>0</v>
      </c>
      <c r="BZ57" s="2554">
        <f t="shared" si="42"/>
        <v>0</v>
      </c>
      <c r="CA57" s="2554"/>
    </row>
    <row r="58" spans="1:79" s="170" customFormat="1" ht="15" customHeight="1" x14ac:dyDescent="0.15">
      <c r="A58" s="8249"/>
      <c r="B58" s="1218" t="s">
        <v>1190</v>
      </c>
      <c r="C58" s="51">
        <f t="shared" si="33"/>
        <v>0</v>
      </c>
      <c r="D58" s="3"/>
      <c r="E58" s="4"/>
      <c r="F58" s="21"/>
      <c r="G58" s="41"/>
      <c r="H58" s="1474"/>
      <c r="I58" s="1111"/>
      <c r="J58" s="8"/>
      <c r="K58" s="8"/>
      <c r="L58" s="8"/>
      <c r="M58" s="8"/>
      <c r="N58" s="170" t="str">
        <f t="shared" si="34"/>
        <v/>
      </c>
      <c r="BQ58" s="2553" t="str">
        <f t="shared" si="35"/>
        <v/>
      </c>
      <c r="BR58" s="2553" t="str">
        <f t="shared" si="36"/>
        <v/>
      </c>
      <c r="BS58" s="2553" t="str">
        <f t="shared" si="37"/>
        <v/>
      </c>
      <c r="BT58" s="2553" t="str">
        <f t="shared" si="38"/>
        <v/>
      </c>
      <c r="BU58" s="2553"/>
      <c r="BW58" s="2554">
        <f t="shared" si="39"/>
        <v>0</v>
      </c>
      <c r="BX58" s="2554">
        <f t="shared" si="40"/>
        <v>0</v>
      </c>
      <c r="BY58" s="2554">
        <f t="shared" si="41"/>
        <v>0</v>
      </c>
      <c r="BZ58" s="2554">
        <f t="shared" si="42"/>
        <v>0</v>
      </c>
      <c r="CA58" s="2554"/>
    </row>
    <row r="59" spans="1:79" s="170" customFormat="1" ht="15" customHeight="1" x14ac:dyDescent="0.15">
      <c r="A59" s="7939" t="s">
        <v>1191</v>
      </c>
      <c r="B59" s="7940"/>
      <c r="C59" s="1479">
        <f>SUM(D59:G59)</f>
        <v>0</v>
      </c>
      <c r="D59" s="1292"/>
      <c r="E59" s="1472"/>
      <c r="F59" s="1295"/>
      <c r="G59" s="1482"/>
      <c r="H59" s="1483"/>
      <c r="I59" s="1482"/>
      <c r="J59" s="1293"/>
      <c r="K59" s="1293"/>
      <c r="L59" s="1293"/>
      <c r="M59" s="1293"/>
      <c r="N59" s="170" t="str">
        <f t="shared" si="34"/>
        <v/>
      </c>
      <c r="BQ59" s="2553" t="str">
        <f t="shared" si="35"/>
        <v/>
      </c>
      <c r="BR59" s="2553" t="str">
        <f t="shared" si="36"/>
        <v/>
      </c>
      <c r="BS59" s="2553" t="str">
        <f t="shared" si="37"/>
        <v/>
      </c>
      <c r="BT59" s="2553" t="str">
        <f t="shared" si="38"/>
        <v/>
      </c>
      <c r="BU59" s="2553"/>
      <c r="BW59" s="2554">
        <f t="shared" si="39"/>
        <v>0</v>
      </c>
      <c r="BX59" s="2554">
        <f t="shared" si="40"/>
        <v>0</v>
      </c>
      <c r="BY59" s="2554">
        <f t="shared" si="41"/>
        <v>0</v>
      </c>
      <c r="BZ59" s="2554">
        <f t="shared" si="42"/>
        <v>0</v>
      </c>
      <c r="CA59" s="2554"/>
    </row>
    <row r="60" spans="1:79" s="170" customFormat="1" ht="15" customHeight="1" x14ac:dyDescent="0.15">
      <c r="A60" s="8250" t="s">
        <v>44</v>
      </c>
      <c r="B60" s="8230"/>
      <c r="C60" s="51">
        <f>SUM(D60:G60)</f>
        <v>0</v>
      </c>
      <c r="D60" s="3"/>
      <c r="E60" s="4"/>
      <c r="F60" s="1338"/>
      <c r="G60" s="1121"/>
      <c r="H60" s="29"/>
      <c r="I60" s="1121"/>
      <c r="J60" s="12"/>
      <c r="K60" s="12"/>
      <c r="L60" s="12"/>
      <c r="M60" s="12"/>
      <c r="N60" s="170" t="str">
        <f t="shared" si="34"/>
        <v/>
      </c>
      <c r="BQ60" s="2553" t="str">
        <f t="shared" si="35"/>
        <v/>
      </c>
      <c r="BR60" s="2553" t="str">
        <f t="shared" si="36"/>
        <v/>
      </c>
      <c r="BS60" s="2553" t="str">
        <f t="shared" si="37"/>
        <v/>
      </c>
      <c r="BT60" s="2553" t="str">
        <f t="shared" si="38"/>
        <v/>
      </c>
      <c r="BU60" s="2553"/>
      <c r="BW60" s="2554">
        <f t="shared" si="39"/>
        <v>0</v>
      </c>
      <c r="BX60" s="2554">
        <f t="shared" si="40"/>
        <v>0</v>
      </c>
      <c r="BY60" s="2554">
        <f t="shared" si="41"/>
        <v>0</v>
      </c>
      <c r="BZ60" s="2554">
        <f t="shared" si="42"/>
        <v>0</v>
      </c>
      <c r="CA60" s="2554"/>
    </row>
    <row r="61" spans="1:79" s="170" customFormat="1" ht="15" customHeight="1" x14ac:dyDescent="0.15">
      <c r="A61" s="7921" t="s">
        <v>24</v>
      </c>
      <c r="B61" s="7941"/>
      <c r="C61" s="1177">
        <f t="shared" ref="C61:J61" si="43">SUM(C52:C60)</f>
        <v>0</v>
      </c>
      <c r="D61" s="1177">
        <f>SUM(D52:D60)</f>
        <v>0</v>
      </c>
      <c r="E61" s="2555">
        <f t="shared" si="43"/>
        <v>0</v>
      </c>
      <c r="F61" s="1179">
        <f t="shared" si="43"/>
        <v>0</v>
      </c>
      <c r="G61" s="2569">
        <f>SUM(G59:G60)</f>
        <v>0</v>
      </c>
      <c r="H61" s="2561">
        <f t="shared" si="43"/>
        <v>0</v>
      </c>
      <c r="I61" s="2569">
        <f t="shared" si="43"/>
        <v>0</v>
      </c>
      <c r="J61" s="1178">
        <f t="shared" si="43"/>
        <v>0</v>
      </c>
      <c r="K61" s="1178">
        <f>SUM(K52:K60)</f>
        <v>0</v>
      </c>
      <c r="L61" s="1178">
        <f>SUM(L52:L60)</f>
        <v>0</v>
      </c>
      <c r="M61" s="1178">
        <f>SUM(M52:M60)</f>
        <v>0</v>
      </c>
    </row>
    <row r="62" spans="1:79" s="2570" customFormat="1" ht="15" customHeight="1" x14ac:dyDescent="0.15">
      <c r="A62" s="2570" t="s">
        <v>1192</v>
      </c>
    </row>
    <row r="63" spans="1:79" s="1134" customFormat="1" ht="18" customHeight="1" x14ac:dyDescent="0.15">
      <c r="A63" s="2571" t="s">
        <v>1193</v>
      </c>
    </row>
    <row r="64" spans="1:79" s="170" customFormat="1" ht="21" x14ac:dyDescent="0.15">
      <c r="A64" s="7935" t="s">
        <v>1086</v>
      </c>
      <c r="B64" s="7936"/>
      <c r="C64" s="1456" t="s">
        <v>24</v>
      </c>
      <c r="D64" s="1313" t="s">
        <v>191</v>
      </c>
      <c r="E64" s="1458" t="s">
        <v>192</v>
      </c>
      <c r="F64" s="2563" t="s">
        <v>194</v>
      </c>
      <c r="G64" s="1315" t="s">
        <v>2</v>
      </c>
      <c r="H64" s="1458" t="s">
        <v>3</v>
      </c>
      <c r="I64" s="1458" t="s">
        <v>1194</v>
      </c>
      <c r="J64" s="1314" t="s">
        <v>1195</v>
      </c>
    </row>
    <row r="65" spans="1:76" s="170" customFormat="1" ht="15" customHeight="1" x14ac:dyDescent="0.15">
      <c r="A65" s="7939" t="s">
        <v>1196</v>
      </c>
      <c r="B65" s="7940"/>
      <c r="C65" s="1484">
        <f>SUM(D65:F65)</f>
        <v>0</v>
      </c>
      <c r="D65" s="1292"/>
      <c r="E65" s="1472"/>
      <c r="F65" s="1298"/>
      <c r="G65" s="6301"/>
      <c r="H65" s="6302"/>
      <c r="I65" s="6302"/>
      <c r="J65" s="6303"/>
      <c r="K65" s="170" t="str">
        <f>BQ65&amp;BR65</f>
        <v/>
      </c>
      <c r="BQ65" s="2553" t="str">
        <f>IF(AND(C65&gt;0,G65="")," * No olvide digitar la variable Pueblos originarios. Digite Cero si no tiene.",IF(G65&gt;C65," * La variable Pueblos originarios No puede ser mayor al Total.",""))</f>
        <v/>
      </c>
      <c r="BR65" s="2553" t="str">
        <f>IF(AND(C65&gt;0,H65="")," * No olvide digitar la variable Migrantes. Digite Cero si no tiene.",IF(H65&gt;C65," * La variable Migrantes No puede ser mayor al Total.",""))</f>
        <v/>
      </c>
      <c r="BW65" s="2554">
        <f>IF(AND(C65&gt;0,G65=""),1,IF(G65&gt;C65,1,0))</f>
        <v>0</v>
      </c>
      <c r="BX65" s="2554">
        <f>IF(AND(C65&gt;0,H65=""),1,IF(H65&gt;C65,1,0))</f>
        <v>0</v>
      </c>
    </row>
    <row r="66" spans="1:76" s="170" customFormat="1" ht="15" customHeight="1" x14ac:dyDescent="0.15">
      <c r="A66" s="8247" t="s">
        <v>1197</v>
      </c>
      <c r="B66" s="8248"/>
      <c r="C66" s="1485">
        <f>SUM(D66:F66)</f>
        <v>0</v>
      </c>
      <c r="D66" s="3"/>
      <c r="E66" s="4"/>
      <c r="F66" s="5"/>
      <c r="G66" s="6304"/>
      <c r="H66" s="6305"/>
      <c r="I66" s="6305"/>
      <c r="J66" s="6306"/>
      <c r="K66" s="170" t="str">
        <f t="shared" ref="K66:K77" si="44">BQ66&amp;BR66</f>
        <v/>
      </c>
      <c r="BQ66" s="2553" t="str">
        <f t="shared" ref="BQ66:BQ77" si="45">IF(AND(C66&gt;0,G66="")," * No olvide digitar la variable Pueblos originarios. Digite Cero si no tiene.",IF(G66&gt;C66," * La variable Pueblos originarios No puede ser mayor al Total.",""))</f>
        <v/>
      </c>
      <c r="BR66" s="2553" t="str">
        <f t="shared" ref="BR66:BR77" si="46">IF(AND(C66&gt;0,H66="")," * No olvide digitar la variable Migrantes. Digite Cero si no tiene.",IF(H66&gt;C66," * La variable Migrantes No puede ser mayor al Total.",""))</f>
        <v/>
      </c>
      <c r="BW66" s="2554">
        <f t="shared" ref="BW66:BW77" si="47">IF(AND(C66&gt;0,G66=""),1,IF(G66&gt;C66,1,0))</f>
        <v>0</v>
      </c>
      <c r="BX66" s="2554">
        <f t="shared" ref="BX66:BX77" si="48">IF(AND(C66&gt;0,H66=""),1,IF(H66&gt;C66,1,0))</f>
        <v>0</v>
      </c>
    </row>
    <row r="67" spans="1:76" s="170" customFormat="1" ht="21" x14ac:dyDescent="0.15">
      <c r="A67" s="8240" t="s">
        <v>1198</v>
      </c>
      <c r="B67" s="1486" t="s">
        <v>1199</v>
      </c>
      <c r="C67" s="1484">
        <f>SUM(D67:F67)</f>
        <v>0</v>
      </c>
      <c r="D67" s="1318"/>
      <c r="E67" s="1487"/>
      <c r="F67" s="1322"/>
      <c r="G67" s="6307"/>
      <c r="H67" s="6308"/>
      <c r="I67" s="6308"/>
      <c r="J67" s="6309"/>
      <c r="K67" s="170" t="str">
        <f t="shared" si="44"/>
        <v/>
      </c>
      <c r="BQ67" s="2553" t="str">
        <f t="shared" si="45"/>
        <v/>
      </c>
      <c r="BR67" s="2553" t="str">
        <f t="shared" si="46"/>
        <v/>
      </c>
      <c r="BW67" s="2554">
        <f t="shared" si="47"/>
        <v>0</v>
      </c>
      <c r="BX67" s="2554">
        <f t="shared" si="48"/>
        <v>0</v>
      </c>
    </row>
    <row r="68" spans="1:76" s="170" customFormat="1" ht="15" customHeight="1" x14ac:dyDescent="0.15">
      <c r="A68" s="8240"/>
      <c r="B68" s="1126" t="s">
        <v>1200</v>
      </c>
      <c r="C68" s="1488">
        <f>SUM(D68:F68)</f>
        <v>0</v>
      </c>
      <c r="D68" s="1113"/>
      <c r="E68" s="1476"/>
      <c r="F68" s="1118"/>
      <c r="G68" s="6310"/>
      <c r="H68" s="1464"/>
      <c r="I68" s="1464"/>
      <c r="J68" s="6311"/>
      <c r="K68" s="170" t="str">
        <f t="shared" si="44"/>
        <v/>
      </c>
      <c r="BQ68" s="2553" t="str">
        <f t="shared" si="45"/>
        <v/>
      </c>
      <c r="BR68" s="2553" t="str">
        <f t="shared" si="46"/>
        <v/>
      </c>
      <c r="BW68" s="2554">
        <f t="shared" si="47"/>
        <v>0</v>
      </c>
      <c r="BX68" s="2554">
        <f t="shared" si="48"/>
        <v>0</v>
      </c>
    </row>
    <row r="69" spans="1:76" s="170" customFormat="1" ht="15" customHeight="1" x14ac:dyDescent="0.15">
      <c r="A69" s="8240"/>
      <c r="B69" s="1416" t="s">
        <v>1201</v>
      </c>
      <c r="C69" s="1489">
        <f>SUM(D69)</f>
        <v>0</v>
      </c>
      <c r="D69" s="1113"/>
      <c r="E69" s="1490"/>
      <c r="F69" s="1491"/>
      <c r="G69" s="6310"/>
      <c r="H69" s="1464"/>
      <c r="I69" s="1464"/>
      <c r="J69" s="6311"/>
      <c r="K69" s="170" t="str">
        <f t="shared" si="44"/>
        <v/>
      </c>
      <c r="BQ69" s="2553" t="str">
        <f t="shared" si="45"/>
        <v/>
      </c>
      <c r="BR69" s="2553" t="str">
        <f t="shared" si="46"/>
        <v/>
      </c>
      <c r="BW69" s="2554">
        <f t="shared" si="47"/>
        <v>0</v>
      </c>
      <c r="BX69" s="2554">
        <f t="shared" si="48"/>
        <v>0</v>
      </c>
    </row>
    <row r="70" spans="1:76" s="170" customFormat="1" ht="15" customHeight="1" x14ac:dyDescent="0.15">
      <c r="A70" s="8240"/>
      <c r="B70" s="1416" t="s">
        <v>1202</v>
      </c>
      <c r="C70" s="1488">
        <f>SUM(D70:F70)</f>
        <v>0</v>
      </c>
      <c r="D70" s="1113"/>
      <c r="E70" s="1476"/>
      <c r="F70" s="1118"/>
      <c r="G70" s="6310"/>
      <c r="H70" s="1464"/>
      <c r="I70" s="1464"/>
      <c r="J70" s="6311"/>
      <c r="K70" s="170" t="str">
        <f t="shared" si="44"/>
        <v/>
      </c>
      <c r="BQ70" s="2553" t="str">
        <f t="shared" si="45"/>
        <v/>
      </c>
      <c r="BR70" s="2553" t="str">
        <f t="shared" si="46"/>
        <v/>
      </c>
      <c r="BW70" s="2554">
        <f t="shared" si="47"/>
        <v>0</v>
      </c>
      <c r="BX70" s="2554">
        <f t="shared" si="48"/>
        <v>0</v>
      </c>
    </row>
    <row r="71" spans="1:76" s="170" customFormat="1" ht="15" customHeight="1" x14ac:dyDescent="0.15">
      <c r="A71" s="8240"/>
      <c r="B71" s="1416" t="s">
        <v>1203</v>
      </c>
      <c r="C71" s="1126">
        <f>SUM(D71)</f>
        <v>0</v>
      </c>
      <c r="D71" s="1113"/>
      <c r="E71" s="1490"/>
      <c r="F71" s="1491"/>
      <c r="G71" s="6310"/>
      <c r="H71" s="1464"/>
      <c r="I71" s="1464"/>
      <c r="J71" s="6311"/>
      <c r="K71" s="170" t="str">
        <f t="shared" si="44"/>
        <v/>
      </c>
      <c r="BQ71" s="2553" t="str">
        <f t="shared" si="45"/>
        <v/>
      </c>
      <c r="BR71" s="2553" t="str">
        <f t="shared" si="46"/>
        <v/>
      </c>
      <c r="BW71" s="2554">
        <f t="shared" si="47"/>
        <v>0</v>
      </c>
      <c r="BX71" s="2554">
        <f t="shared" si="48"/>
        <v>0</v>
      </c>
    </row>
    <row r="72" spans="1:76" s="170" customFormat="1" ht="21" x14ac:dyDescent="0.15">
      <c r="A72" s="8240"/>
      <c r="B72" s="1416" t="s">
        <v>1204</v>
      </c>
      <c r="C72" s="1126">
        <f>SUM(D72)</f>
        <v>0</v>
      </c>
      <c r="D72" s="1113"/>
      <c r="E72" s="1490"/>
      <c r="F72" s="1491"/>
      <c r="G72" s="6310"/>
      <c r="H72" s="1464"/>
      <c r="I72" s="1464"/>
      <c r="J72" s="6311"/>
      <c r="K72" s="170" t="str">
        <f t="shared" si="44"/>
        <v/>
      </c>
      <c r="BQ72" s="2553" t="str">
        <f t="shared" si="45"/>
        <v/>
      </c>
      <c r="BR72" s="2553" t="str">
        <f t="shared" si="46"/>
        <v/>
      </c>
      <c r="BW72" s="2554">
        <f t="shared" si="47"/>
        <v>0</v>
      </c>
      <c r="BX72" s="2554">
        <f t="shared" si="48"/>
        <v>0</v>
      </c>
    </row>
    <row r="73" spans="1:76" s="170" customFormat="1" ht="15" customHeight="1" x14ac:dyDescent="0.15">
      <c r="A73" s="8240"/>
      <c r="B73" s="1416" t="s">
        <v>1205</v>
      </c>
      <c r="C73" s="1126">
        <f>SUM(F73)</f>
        <v>0</v>
      </c>
      <c r="D73" s="1492"/>
      <c r="E73" s="1490"/>
      <c r="F73" s="1118"/>
      <c r="G73" s="6310"/>
      <c r="H73" s="1464"/>
      <c r="I73" s="1464"/>
      <c r="J73" s="6311"/>
      <c r="K73" s="170" t="str">
        <f t="shared" si="44"/>
        <v/>
      </c>
      <c r="BQ73" s="2553" t="str">
        <f t="shared" si="45"/>
        <v/>
      </c>
      <c r="BR73" s="2553" t="str">
        <f t="shared" si="46"/>
        <v/>
      </c>
      <c r="BW73" s="2554">
        <f t="shared" si="47"/>
        <v>0</v>
      </c>
      <c r="BX73" s="2554">
        <f t="shared" si="48"/>
        <v>0</v>
      </c>
    </row>
    <row r="74" spans="1:76" s="170" customFormat="1" ht="15" customHeight="1" x14ac:dyDescent="0.15">
      <c r="A74" s="8240"/>
      <c r="B74" s="1416" t="s">
        <v>1206</v>
      </c>
      <c r="C74" s="1488">
        <f>SUM(D74:F74)</f>
        <v>0</v>
      </c>
      <c r="D74" s="1113"/>
      <c r="E74" s="1476"/>
      <c r="F74" s="1118"/>
      <c r="G74" s="6310"/>
      <c r="H74" s="1464"/>
      <c r="I74" s="1464"/>
      <c r="J74" s="6311"/>
      <c r="K74" s="170" t="str">
        <f t="shared" si="44"/>
        <v/>
      </c>
      <c r="BQ74" s="2553" t="str">
        <f t="shared" si="45"/>
        <v/>
      </c>
      <c r="BR74" s="2553" t="str">
        <f t="shared" si="46"/>
        <v/>
      </c>
      <c r="BW74" s="2554">
        <f t="shared" si="47"/>
        <v>0</v>
      </c>
      <c r="BX74" s="2554">
        <f t="shared" si="48"/>
        <v>0</v>
      </c>
    </row>
    <row r="75" spans="1:76" s="170" customFormat="1" ht="15" customHeight="1" x14ac:dyDescent="0.15">
      <c r="A75" s="8240"/>
      <c r="B75" s="1416" t="s">
        <v>1207</v>
      </c>
      <c r="C75" s="1488">
        <f>SUM(D75:F75)</f>
        <v>0</v>
      </c>
      <c r="D75" s="1113"/>
      <c r="E75" s="1476"/>
      <c r="F75" s="1118"/>
      <c r="G75" s="6310"/>
      <c r="H75" s="1464"/>
      <c r="I75" s="1464"/>
      <c r="J75" s="6311"/>
      <c r="K75" s="170" t="str">
        <f t="shared" si="44"/>
        <v/>
      </c>
      <c r="BQ75" s="2553" t="str">
        <f t="shared" si="45"/>
        <v/>
      </c>
      <c r="BR75" s="2553" t="str">
        <f t="shared" si="46"/>
        <v/>
      </c>
      <c r="BW75" s="2554">
        <f t="shared" si="47"/>
        <v>0</v>
      </c>
      <c r="BX75" s="2554">
        <f t="shared" si="48"/>
        <v>0</v>
      </c>
    </row>
    <row r="76" spans="1:76" s="170" customFormat="1" ht="15" customHeight="1" x14ac:dyDescent="0.15">
      <c r="A76" s="8240"/>
      <c r="B76" s="1416" t="s">
        <v>1208</v>
      </c>
      <c r="C76" s="1488">
        <f>SUM(D76:F76)</f>
        <v>0</v>
      </c>
      <c r="D76" s="1113"/>
      <c r="E76" s="1476"/>
      <c r="F76" s="1118"/>
      <c r="G76" s="6310"/>
      <c r="H76" s="1464"/>
      <c r="I76" s="1464"/>
      <c r="J76" s="6311"/>
      <c r="K76" s="170" t="str">
        <f t="shared" si="44"/>
        <v/>
      </c>
      <c r="BQ76" s="2553" t="str">
        <f t="shared" si="45"/>
        <v/>
      </c>
      <c r="BR76" s="2553" t="str">
        <f t="shared" si="46"/>
        <v/>
      </c>
      <c r="BW76" s="2554">
        <f t="shared" si="47"/>
        <v>0</v>
      </c>
      <c r="BX76" s="2554">
        <f t="shared" si="48"/>
        <v>0</v>
      </c>
    </row>
    <row r="77" spans="1:76" s="170" customFormat="1" ht="15" customHeight="1" x14ac:dyDescent="0.15">
      <c r="A77" s="8240"/>
      <c r="B77" s="1493" t="s">
        <v>1209</v>
      </c>
      <c r="C77" s="1485">
        <f>SUM(D77:F77)</f>
        <v>0</v>
      </c>
      <c r="D77" s="1494"/>
      <c r="E77" s="1495"/>
      <c r="F77" s="1496"/>
      <c r="G77" s="6312"/>
      <c r="H77" s="1467"/>
      <c r="I77" s="1467"/>
      <c r="J77" s="1470"/>
      <c r="K77" s="170" t="str">
        <f t="shared" si="44"/>
        <v/>
      </c>
      <c r="BQ77" s="2553" t="str">
        <f t="shared" si="45"/>
        <v/>
      </c>
      <c r="BR77" s="2553" t="str">
        <f t="shared" si="46"/>
        <v/>
      </c>
      <c r="BW77" s="2554">
        <f t="shared" si="47"/>
        <v>0</v>
      </c>
      <c r="BX77" s="2554">
        <f t="shared" si="48"/>
        <v>0</v>
      </c>
    </row>
    <row r="78" spans="1:76" s="1134" customFormat="1" ht="18" customHeight="1" x14ac:dyDescent="0.15">
      <c r="A78" s="2571" t="s">
        <v>1210</v>
      </c>
    </row>
    <row r="79" spans="1:76" s="170" customFormat="1" ht="15" customHeight="1" x14ac:dyDescent="0.15">
      <c r="A79" s="7883" t="s">
        <v>12</v>
      </c>
      <c r="B79" s="7869"/>
      <c r="C79" s="7911" t="s">
        <v>189</v>
      </c>
      <c r="D79" s="7911"/>
      <c r="E79" s="7911"/>
      <c r="F79" s="7911"/>
      <c r="G79" s="8251"/>
      <c r="H79" s="6988" t="s">
        <v>190</v>
      </c>
      <c r="I79" s="8252"/>
    </row>
    <row r="80" spans="1:76" s="170" customFormat="1" ht="15" customHeight="1" x14ac:dyDescent="0.15">
      <c r="A80" s="7931"/>
      <c r="B80" s="6813"/>
      <c r="C80" s="7883" t="s">
        <v>24</v>
      </c>
      <c r="D80" s="7935" t="s">
        <v>1211</v>
      </c>
      <c r="E80" s="7934"/>
      <c r="F80" s="7936"/>
      <c r="G80" s="8253" t="s">
        <v>196</v>
      </c>
      <c r="H80" s="7947"/>
      <c r="I80" s="8252"/>
    </row>
    <row r="81" spans="1:9" s="170" customFormat="1" ht="21" x14ac:dyDescent="0.15">
      <c r="A81" s="7946"/>
      <c r="B81" s="7930"/>
      <c r="C81" s="7946"/>
      <c r="D81" s="1313" t="s">
        <v>1212</v>
      </c>
      <c r="E81" s="1458" t="s">
        <v>193</v>
      </c>
      <c r="F81" s="1497" t="s">
        <v>194</v>
      </c>
      <c r="G81" s="8254"/>
      <c r="H81" s="1314" t="s">
        <v>195</v>
      </c>
      <c r="I81" s="1456" t="s">
        <v>196</v>
      </c>
    </row>
    <row r="82" spans="1:9" s="170" customFormat="1" ht="15" customHeight="1" x14ac:dyDescent="0.15">
      <c r="A82" s="8243" t="s">
        <v>3758</v>
      </c>
      <c r="B82" s="8244"/>
      <c r="C82" s="1471">
        <f t="shared" ref="C82:C89" si="49">SUM(D82:F82)+H82</f>
        <v>0</v>
      </c>
      <c r="D82" s="1143"/>
      <c r="E82" s="650"/>
      <c r="F82" s="1145"/>
      <c r="G82" s="1213"/>
      <c r="H82" s="1369"/>
      <c r="I82" s="1498"/>
    </row>
    <row r="83" spans="1:9" s="170" customFormat="1" ht="15" customHeight="1" x14ac:dyDescent="0.15">
      <c r="A83" s="8245" t="s">
        <v>3726</v>
      </c>
      <c r="B83" s="8246"/>
      <c r="C83" s="1475">
        <f t="shared" si="49"/>
        <v>0</v>
      </c>
      <c r="D83" s="1152"/>
      <c r="E83" s="1461"/>
      <c r="F83" s="1153"/>
      <c r="G83" s="1231"/>
      <c r="H83" s="1374"/>
      <c r="I83" s="1499"/>
    </row>
    <row r="84" spans="1:9" s="170" customFormat="1" ht="15" customHeight="1" x14ac:dyDescent="0.15">
      <c r="A84" s="8245" t="s">
        <v>37</v>
      </c>
      <c r="B84" s="8246"/>
      <c r="C84" s="1475">
        <f t="shared" si="49"/>
        <v>0</v>
      </c>
      <c r="D84" s="1152"/>
      <c r="E84" s="1461"/>
      <c r="F84" s="1153"/>
      <c r="G84" s="1231"/>
      <c r="H84" s="1374"/>
      <c r="I84" s="1499"/>
    </row>
    <row r="85" spans="1:9" s="170" customFormat="1" ht="15" customHeight="1" x14ac:dyDescent="0.15">
      <c r="A85" s="8261" t="s">
        <v>3749</v>
      </c>
      <c r="B85" s="8246"/>
      <c r="C85" s="1475">
        <f t="shared" si="49"/>
        <v>0</v>
      </c>
      <c r="D85" s="1152"/>
      <c r="E85" s="1461"/>
      <c r="F85" s="1153"/>
      <c r="G85" s="1231"/>
      <c r="H85" s="1374"/>
      <c r="I85" s="1499"/>
    </row>
    <row r="86" spans="1:9" s="170" customFormat="1" ht="15" customHeight="1" x14ac:dyDescent="0.15">
      <c r="A86" s="8261" t="s">
        <v>4</v>
      </c>
      <c r="B86" s="8246"/>
      <c r="C86" s="1475">
        <f t="shared" si="49"/>
        <v>0</v>
      </c>
      <c r="D86" s="1152"/>
      <c r="E86" s="1461"/>
      <c r="F86" s="1153"/>
      <c r="G86" s="1231"/>
      <c r="H86" s="1374"/>
      <c r="I86" s="1499"/>
    </row>
    <row r="87" spans="1:9" s="170" customFormat="1" ht="15" customHeight="1" x14ac:dyDescent="0.15">
      <c r="A87" s="8245" t="s">
        <v>5</v>
      </c>
      <c r="B87" s="8246"/>
      <c r="C87" s="1475">
        <f t="shared" si="49"/>
        <v>0</v>
      </c>
      <c r="D87" s="1152"/>
      <c r="E87" s="1461"/>
      <c r="F87" s="1153"/>
      <c r="G87" s="1231"/>
      <c r="H87" s="1374"/>
      <c r="I87" s="1499"/>
    </row>
    <row r="88" spans="1:9" s="170" customFormat="1" ht="15" customHeight="1" x14ac:dyDescent="0.15">
      <c r="A88" s="8245" t="s">
        <v>3719</v>
      </c>
      <c r="B88" s="8246"/>
      <c r="C88" s="1475">
        <f t="shared" si="49"/>
        <v>0</v>
      </c>
      <c r="D88" s="1152"/>
      <c r="E88" s="1461"/>
      <c r="F88" s="1153"/>
      <c r="G88" s="1231"/>
      <c r="H88" s="1374"/>
      <c r="I88" s="1499"/>
    </row>
    <row r="89" spans="1:9" s="170" customFormat="1" ht="15" customHeight="1" x14ac:dyDescent="0.15">
      <c r="A89" s="8265" t="s">
        <v>945</v>
      </c>
      <c r="B89" s="8266"/>
      <c r="C89" s="1500">
        <f t="shared" si="49"/>
        <v>0</v>
      </c>
      <c r="D89" s="64"/>
      <c r="E89" s="655"/>
      <c r="F89" s="1172"/>
      <c r="G89" s="1220"/>
      <c r="H89" s="1376"/>
      <c r="I89" s="659"/>
    </row>
    <row r="90" spans="1:9" s="170" customFormat="1" ht="15" customHeight="1" x14ac:dyDescent="0.15">
      <c r="A90" s="1501" t="s">
        <v>1213</v>
      </c>
    </row>
    <row r="91" spans="1:9" s="1134" customFormat="1" ht="18" customHeight="1" x14ac:dyDescent="0.15">
      <c r="A91" s="14" t="s">
        <v>1214</v>
      </c>
    </row>
    <row r="92" spans="1:9" s="170" customFormat="1" ht="15" customHeight="1" x14ac:dyDescent="0.15">
      <c r="A92" s="8267" t="s">
        <v>1215</v>
      </c>
      <c r="B92" s="8267" t="s">
        <v>1216</v>
      </c>
      <c r="C92" s="7935" t="s">
        <v>558</v>
      </c>
      <c r="D92" s="7934"/>
      <c r="E92" s="7934"/>
      <c r="F92" s="7934"/>
      <c r="G92" s="7936"/>
    </row>
    <row r="93" spans="1:9" s="170" customFormat="1" ht="15" customHeight="1" x14ac:dyDescent="0.15">
      <c r="A93" s="8268"/>
      <c r="B93" s="8268"/>
      <c r="C93" s="1313" t="s">
        <v>36</v>
      </c>
      <c r="D93" s="1315" t="s">
        <v>37</v>
      </c>
      <c r="E93" s="1458" t="s">
        <v>38</v>
      </c>
      <c r="F93" s="1458" t="s">
        <v>4</v>
      </c>
      <c r="G93" s="1497" t="s">
        <v>5</v>
      </c>
    </row>
    <row r="94" spans="1:9" s="170" customFormat="1" ht="15" customHeight="1" x14ac:dyDescent="0.15">
      <c r="A94" s="1502" t="s">
        <v>1217</v>
      </c>
      <c r="B94" s="1289">
        <f>SUM(C94:G94)</f>
        <v>0</v>
      </c>
      <c r="C94" s="1143"/>
      <c r="D94" s="1146"/>
      <c r="E94" s="1146"/>
      <c r="F94" s="1146"/>
      <c r="G94" s="1144"/>
    </row>
    <row r="95" spans="1:9" s="170" customFormat="1" ht="15" customHeight="1" x14ac:dyDescent="0.15">
      <c r="A95" s="60" t="s">
        <v>1189</v>
      </c>
      <c r="B95" s="1503">
        <f>SUM(C95:G95)</f>
        <v>0</v>
      </c>
      <c r="C95" s="64"/>
      <c r="D95" s="658"/>
      <c r="E95" s="658"/>
      <c r="F95" s="658"/>
      <c r="G95" s="65"/>
    </row>
    <row r="96" spans="1:9" s="17" customFormat="1" ht="18" customHeight="1" x14ac:dyDescent="0.2">
      <c r="A96" s="14" t="s">
        <v>1218</v>
      </c>
    </row>
    <row r="97" spans="1:75" s="170" customFormat="1" ht="21" x14ac:dyDescent="0.15">
      <c r="A97" s="4937" t="s">
        <v>23</v>
      </c>
      <c r="B97" s="3096" t="s">
        <v>1219</v>
      </c>
      <c r="C97" s="3096" t="s">
        <v>3901</v>
      </c>
    </row>
    <row r="98" spans="1:75" s="170" customFormat="1" ht="15" customHeight="1" x14ac:dyDescent="0.15">
      <c r="A98" s="1504" t="s">
        <v>1217</v>
      </c>
      <c r="B98" s="1505"/>
      <c r="C98" s="1505"/>
    </row>
    <row r="99" spans="1:75" s="1134" customFormat="1" ht="18" customHeight="1" x14ac:dyDescent="0.15">
      <c r="A99" s="14" t="s">
        <v>1220</v>
      </c>
    </row>
    <row r="100" spans="1:75" s="170" customFormat="1" ht="15" customHeight="1" x14ac:dyDescent="0.15">
      <c r="A100" s="8262" t="s">
        <v>137</v>
      </c>
      <c r="B100" s="8262" t="s">
        <v>24</v>
      </c>
      <c r="C100" s="8263" t="s">
        <v>1221</v>
      </c>
      <c r="D100" s="8264"/>
      <c r="E100" s="8264"/>
      <c r="F100" s="8264"/>
      <c r="G100" s="8264"/>
      <c r="H100" s="8264"/>
      <c r="I100" s="8264"/>
      <c r="J100" s="8264"/>
      <c r="K100" s="8264"/>
      <c r="L100" s="8264"/>
      <c r="M100" s="8264"/>
      <c r="N100" s="8264"/>
      <c r="O100" s="8264"/>
      <c r="P100" s="8264"/>
      <c r="Q100" s="8264"/>
      <c r="R100" s="8264"/>
      <c r="S100" s="8264"/>
      <c r="T100" s="8255" t="s">
        <v>523</v>
      </c>
      <c r="U100" s="8256"/>
    </row>
    <row r="101" spans="1:75" s="170" customFormat="1" ht="15" customHeight="1" x14ac:dyDescent="0.15">
      <c r="A101" s="8262"/>
      <c r="B101" s="8262"/>
      <c r="C101" s="8259" t="s">
        <v>12</v>
      </c>
      <c r="D101" s="8260"/>
      <c r="E101" s="8260"/>
      <c r="F101" s="8260"/>
      <c r="G101" s="8260"/>
      <c r="H101" s="8260"/>
      <c r="I101" s="8260"/>
      <c r="J101" s="8260"/>
      <c r="K101" s="8260"/>
      <c r="L101" s="8260"/>
      <c r="M101" s="8260"/>
      <c r="N101" s="8260"/>
      <c r="O101" s="8260"/>
      <c r="P101" s="8260"/>
      <c r="Q101" s="8260"/>
      <c r="R101" s="8260"/>
      <c r="S101" s="8260"/>
      <c r="T101" s="8257"/>
      <c r="U101" s="8258"/>
    </row>
    <row r="102" spans="1:75" s="170" customFormat="1" ht="24.95" customHeight="1" x14ac:dyDescent="0.15">
      <c r="A102" s="8262"/>
      <c r="B102" s="8262"/>
      <c r="C102" s="1313" t="s">
        <v>36</v>
      </c>
      <c r="D102" s="1458" t="s">
        <v>37</v>
      </c>
      <c r="E102" s="1458" t="s">
        <v>38</v>
      </c>
      <c r="F102" s="1458" t="s">
        <v>4</v>
      </c>
      <c r="G102" s="1458" t="s">
        <v>5</v>
      </c>
      <c r="H102" s="1458" t="s">
        <v>6</v>
      </c>
      <c r="I102" s="1458" t="s">
        <v>7</v>
      </c>
      <c r="J102" s="1458" t="s">
        <v>8</v>
      </c>
      <c r="K102" s="1458" t="s">
        <v>9</v>
      </c>
      <c r="L102" s="1458" t="s">
        <v>10</v>
      </c>
      <c r="M102" s="1458" t="s">
        <v>11</v>
      </c>
      <c r="N102" s="1458" t="s">
        <v>18</v>
      </c>
      <c r="O102" s="1184" t="s">
        <v>19</v>
      </c>
      <c r="P102" s="1458" t="s">
        <v>20</v>
      </c>
      <c r="Q102" s="1458" t="s">
        <v>70</v>
      </c>
      <c r="R102" s="1458" t="s">
        <v>71</v>
      </c>
      <c r="S102" s="1497" t="s">
        <v>32</v>
      </c>
      <c r="T102" s="1606" t="s">
        <v>22</v>
      </c>
      <c r="U102" s="2573" t="s">
        <v>27</v>
      </c>
    </row>
    <row r="103" spans="1:75" s="170" customFormat="1" ht="21" customHeight="1" x14ac:dyDescent="0.15">
      <c r="A103" s="1506" t="s">
        <v>1222</v>
      </c>
      <c r="B103" s="1507">
        <f>SUM(C103:S103)</f>
        <v>0</v>
      </c>
      <c r="C103" s="1143"/>
      <c r="D103" s="650"/>
      <c r="E103" s="650"/>
      <c r="F103" s="650"/>
      <c r="G103" s="650"/>
      <c r="H103" s="650"/>
      <c r="I103" s="650"/>
      <c r="J103" s="650"/>
      <c r="K103" s="650"/>
      <c r="L103" s="650"/>
      <c r="M103" s="650"/>
      <c r="N103" s="650"/>
      <c r="O103" s="650"/>
      <c r="P103" s="650"/>
      <c r="Q103" s="650"/>
      <c r="R103" s="650"/>
      <c r="S103" s="1145"/>
      <c r="T103" s="1498"/>
      <c r="U103" s="1144"/>
      <c r="V103" s="170" t="str">
        <f>BQ103&amp;BR103</f>
        <v/>
      </c>
      <c r="BQ103" s="2553" t="str">
        <f>IF((T103+U103)&lt;&gt;B103," * El total de Consultas por Sexo debe ser igual al Total de Consultas por grupo de Edad","")</f>
        <v/>
      </c>
      <c r="BW103" s="2554">
        <f>IF((T103+U103)&lt;&gt;B103,1,0)</f>
        <v>0</v>
      </c>
    </row>
    <row r="104" spans="1:75" s="170" customFormat="1" ht="15" customHeight="1" x14ac:dyDescent="0.15">
      <c r="A104" s="1508" t="s">
        <v>225</v>
      </c>
      <c r="B104" s="1507">
        <f t="shared" ref="B104:B117" si="50">SUM(C104:S104)</f>
        <v>0</v>
      </c>
      <c r="C104" s="1152"/>
      <c r="D104" s="1461"/>
      <c r="E104" s="1461"/>
      <c r="F104" s="1461"/>
      <c r="G104" s="1461"/>
      <c r="H104" s="1461"/>
      <c r="I104" s="1461"/>
      <c r="J104" s="1461"/>
      <c r="K104" s="1461"/>
      <c r="L104" s="1461"/>
      <c r="M104" s="1461"/>
      <c r="N104" s="1461"/>
      <c r="O104" s="1461"/>
      <c r="P104" s="1461"/>
      <c r="Q104" s="1461"/>
      <c r="R104" s="1461"/>
      <c r="S104" s="1153"/>
      <c r="T104" s="1499"/>
      <c r="U104" s="62"/>
      <c r="V104" s="170" t="str">
        <f t="shared" ref="V104:V117" si="51">BQ104&amp;BR104</f>
        <v/>
      </c>
      <c r="BQ104" s="2553" t="str">
        <f t="shared" ref="BQ104:BQ117" si="52">IF((T104+U104)&lt;&gt;B104," * El total de Consultas por Sexo debe ser igual al Total de Consultas por grupo de Edad","")</f>
        <v/>
      </c>
      <c r="BW104" s="2554">
        <f t="shared" ref="BW104:BW117" si="53">IF((T104+U104)&lt;&gt;B104,1,0)</f>
        <v>0</v>
      </c>
    </row>
    <row r="105" spans="1:75" s="170" customFormat="1" ht="15" customHeight="1" x14ac:dyDescent="0.15">
      <c r="A105" s="1508" t="s">
        <v>1223</v>
      </c>
      <c r="B105" s="1507">
        <f t="shared" si="50"/>
        <v>0</v>
      </c>
      <c r="C105" s="1152"/>
      <c r="D105" s="1461"/>
      <c r="E105" s="1461"/>
      <c r="F105" s="1461"/>
      <c r="G105" s="1461"/>
      <c r="H105" s="1461"/>
      <c r="I105" s="1461"/>
      <c r="J105" s="1461"/>
      <c r="K105" s="1461"/>
      <c r="L105" s="1461"/>
      <c r="M105" s="1461"/>
      <c r="N105" s="1461"/>
      <c r="O105" s="1461"/>
      <c r="P105" s="1461"/>
      <c r="Q105" s="1461"/>
      <c r="R105" s="1461"/>
      <c r="S105" s="1153"/>
      <c r="T105" s="1499"/>
      <c r="U105" s="62"/>
      <c r="V105" s="170" t="str">
        <f t="shared" si="51"/>
        <v/>
      </c>
      <c r="BQ105" s="2553" t="str">
        <f t="shared" si="52"/>
        <v/>
      </c>
      <c r="BW105" s="2554">
        <f t="shared" si="53"/>
        <v>0</v>
      </c>
    </row>
    <row r="106" spans="1:75" s="170" customFormat="1" ht="21" x14ac:dyDescent="0.15">
      <c r="A106" s="1506" t="s">
        <v>952</v>
      </c>
      <c r="B106" s="1507">
        <f t="shared" si="50"/>
        <v>0</v>
      </c>
      <c r="C106" s="1152"/>
      <c r="D106" s="1461"/>
      <c r="E106" s="1461"/>
      <c r="F106" s="1461"/>
      <c r="G106" s="1461"/>
      <c r="H106" s="1461"/>
      <c r="I106" s="1461"/>
      <c r="J106" s="1461"/>
      <c r="K106" s="1461"/>
      <c r="L106" s="1461"/>
      <c r="M106" s="1461"/>
      <c r="N106" s="1461"/>
      <c r="O106" s="1461"/>
      <c r="P106" s="1461"/>
      <c r="Q106" s="1461"/>
      <c r="R106" s="1461"/>
      <c r="S106" s="1153"/>
      <c r="T106" s="1499"/>
      <c r="U106" s="62"/>
      <c r="V106" s="170" t="str">
        <f t="shared" si="51"/>
        <v/>
      </c>
      <c r="BQ106" s="2553" t="str">
        <f t="shared" si="52"/>
        <v/>
      </c>
      <c r="BW106" s="2554">
        <f t="shared" si="53"/>
        <v>0</v>
      </c>
    </row>
    <row r="107" spans="1:75" s="170" customFormat="1" ht="15" customHeight="1" x14ac:dyDescent="0.15">
      <c r="A107" s="1508" t="s">
        <v>954</v>
      </c>
      <c r="B107" s="1507">
        <f t="shared" si="50"/>
        <v>0</v>
      </c>
      <c r="C107" s="1152"/>
      <c r="D107" s="1461"/>
      <c r="E107" s="1461"/>
      <c r="F107" s="1461"/>
      <c r="G107" s="1461"/>
      <c r="H107" s="1461"/>
      <c r="I107" s="1461"/>
      <c r="J107" s="1461"/>
      <c r="K107" s="1461"/>
      <c r="L107" s="1461"/>
      <c r="M107" s="1461"/>
      <c r="N107" s="1461"/>
      <c r="O107" s="1461"/>
      <c r="P107" s="1461"/>
      <c r="Q107" s="1461"/>
      <c r="R107" s="1461"/>
      <c r="S107" s="1153"/>
      <c r="T107" s="1499"/>
      <c r="U107" s="62"/>
      <c r="V107" s="170" t="str">
        <f t="shared" si="51"/>
        <v/>
      </c>
      <c r="BQ107" s="2553" t="str">
        <f t="shared" si="52"/>
        <v/>
      </c>
      <c r="BW107" s="2554">
        <f t="shared" si="53"/>
        <v>0</v>
      </c>
    </row>
    <row r="108" spans="1:75" s="170" customFormat="1" ht="15" customHeight="1" x14ac:dyDescent="0.15">
      <c r="A108" s="1508" t="s">
        <v>956</v>
      </c>
      <c r="B108" s="1507">
        <f t="shared" si="50"/>
        <v>0</v>
      </c>
      <c r="C108" s="1152"/>
      <c r="D108" s="1461"/>
      <c r="E108" s="1461"/>
      <c r="F108" s="1461"/>
      <c r="G108" s="1461"/>
      <c r="H108" s="1461"/>
      <c r="I108" s="1461"/>
      <c r="J108" s="1461"/>
      <c r="K108" s="1461"/>
      <c r="L108" s="1461"/>
      <c r="M108" s="1461"/>
      <c r="N108" s="1461"/>
      <c r="O108" s="1461"/>
      <c r="P108" s="1461"/>
      <c r="Q108" s="1461"/>
      <c r="R108" s="1461"/>
      <c r="S108" s="1153"/>
      <c r="T108" s="1499"/>
      <c r="U108" s="62"/>
      <c r="V108" s="170" t="str">
        <f t="shared" si="51"/>
        <v/>
      </c>
      <c r="BQ108" s="2553" t="str">
        <f t="shared" si="52"/>
        <v/>
      </c>
      <c r="BW108" s="2554">
        <f t="shared" si="53"/>
        <v>0</v>
      </c>
    </row>
    <row r="109" spans="1:75" s="170" customFormat="1" ht="15" customHeight="1" x14ac:dyDescent="0.15">
      <c r="A109" s="1508" t="s">
        <v>967</v>
      </c>
      <c r="B109" s="1507">
        <f t="shared" si="50"/>
        <v>0</v>
      </c>
      <c r="C109" s="1152"/>
      <c r="D109" s="1461"/>
      <c r="E109" s="1461"/>
      <c r="F109" s="1461"/>
      <c r="G109" s="1461"/>
      <c r="H109" s="1461"/>
      <c r="I109" s="1461"/>
      <c r="J109" s="1461"/>
      <c r="K109" s="1461"/>
      <c r="L109" s="1461"/>
      <c r="M109" s="1461"/>
      <c r="N109" s="1461"/>
      <c r="O109" s="1461"/>
      <c r="P109" s="1461"/>
      <c r="Q109" s="1461"/>
      <c r="R109" s="1461"/>
      <c r="S109" s="1153"/>
      <c r="T109" s="1499"/>
      <c r="U109" s="62"/>
      <c r="V109" s="170" t="str">
        <f t="shared" si="51"/>
        <v/>
      </c>
      <c r="BQ109" s="2553" t="str">
        <f t="shared" si="52"/>
        <v/>
      </c>
      <c r="BW109" s="2554">
        <f t="shared" si="53"/>
        <v>0</v>
      </c>
    </row>
    <row r="110" spans="1:75" s="170" customFormat="1" ht="15" customHeight="1" x14ac:dyDescent="0.15">
      <c r="A110" s="1508" t="s">
        <v>969</v>
      </c>
      <c r="B110" s="1507">
        <f t="shared" si="50"/>
        <v>0</v>
      </c>
      <c r="C110" s="1152"/>
      <c r="D110" s="1461"/>
      <c r="E110" s="1461"/>
      <c r="F110" s="1461"/>
      <c r="G110" s="1461"/>
      <c r="H110" s="1461"/>
      <c r="I110" s="1461"/>
      <c r="J110" s="1461"/>
      <c r="K110" s="1461"/>
      <c r="L110" s="1461"/>
      <c r="M110" s="1461"/>
      <c r="N110" s="1461"/>
      <c r="O110" s="1461"/>
      <c r="P110" s="1461"/>
      <c r="Q110" s="1461"/>
      <c r="R110" s="1461"/>
      <c r="S110" s="1153"/>
      <c r="T110" s="1499"/>
      <c r="U110" s="62"/>
      <c r="V110" s="170" t="str">
        <f t="shared" si="51"/>
        <v/>
      </c>
      <c r="BQ110" s="2553" t="str">
        <f t="shared" si="52"/>
        <v/>
      </c>
      <c r="BW110" s="2554">
        <f t="shared" si="53"/>
        <v>0</v>
      </c>
    </row>
    <row r="111" spans="1:75" s="170" customFormat="1" ht="15" customHeight="1" x14ac:dyDescent="0.15">
      <c r="A111" s="1508" t="s">
        <v>240</v>
      </c>
      <c r="B111" s="1507">
        <f t="shared" si="50"/>
        <v>0</v>
      </c>
      <c r="C111" s="1152"/>
      <c r="D111" s="1461"/>
      <c r="E111" s="1461"/>
      <c r="F111" s="1461"/>
      <c r="G111" s="1461"/>
      <c r="H111" s="1461"/>
      <c r="I111" s="1461"/>
      <c r="J111" s="1461"/>
      <c r="K111" s="1461"/>
      <c r="L111" s="1461"/>
      <c r="M111" s="1461"/>
      <c r="N111" s="1461"/>
      <c r="O111" s="1461"/>
      <c r="P111" s="1461"/>
      <c r="Q111" s="1461"/>
      <c r="R111" s="1461"/>
      <c r="S111" s="1153"/>
      <c r="T111" s="1499"/>
      <c r="U111" s="62"/>
      <c r="V111" s="170" t="str">
        <f t="shared" si="51"/>
        <v/>
      </c>
      <c r="BQ111" s="2553" t="str">
        <f t="shared" si="52"/>
        <v/>
      </c>
      <c r="BW111" s="2554">
        <f t="shared" si="53"/>
        <v>0</v>
      </c>
    </row>
    <row r="112" spans="1:75" s="170" customFormat="1" ht="15" customHeight="1" x14ac:dyDescent="0.15">
      <c r="A112" s="1508" t="s">
        <v>526</v>
      </c>
      <c r="B112" s="1507">
        <f t="shared" si="50"/>
        <v>0</v>
      </c>
      <c r="C112" s="1152"/>
      <c r="D112" s="1461"/>
      <c r="E112" s="1461"/>
      <c r="F112" s="1461"/>
      <c r="G112" s="1461"/>
      <c r="H112" s="1461"/>
      <c r="I112" s="1461"/>
      <c r="J112" s="1461"/>
      <c r="K112" s="1461"/>
      <c r="L112" s="1461"/>
      <c r="M112" s="1461"/>
      <c r="N112" s="1461"/>
      <c r="O112" s="1461"/>
      <c r="P112" s="1461"/>
      <c r="Q112" s="1461"/>
      <c r="R112" s="1461"/>
      <c r="S112" s="1153"/>
      <c r="T112" s="1499"/>
      <c r="U112" s="62"/>
      <c r="V112" s="170" t="str">
        <f t="shared" si="51"/>
        <v/>
      </c>
      <c r="BQ112" s="2553" t="str">
        <f t="shared" si="52"/>
        <v/>
      </c>
      <c r="BW112" s="2554">
        <f t="shared" si="53"/>
        <v>0</v>
      </c>
    </row>
    <row r="113" spans="1:78" s="170" customFormat="1" ht="15" customHeight="1" x14ac:dyDescent="0.15">
      <c r="A113" s="1508" t="s">
        <v>238</v>
      </c>
      <c r="B113" s="1507">
        <f t="shared" si="50"/>
        <v>0</v>
      </c>
      <c r="C113" s="1152"/>
      <c r="D113" s="1461"/>
      <c r="E113" s="1461"/>
      <c r="F113" s="1461"/>
      <c r="G113" s="1461"/>
      <c r="H113" s="1461"/>
      <c r="I113" s="1461"/>
      <c r="J113" s="1461"/>
      <c r="K113" s="1461"/>
      <c r="L113" s="1461"/>
      <c r="M113" s="1461"/>
      <c r="N113" s="1461"/>
      <c r="O113" s="1461"/>
      <c r="P113" s="1461"/>
      <c r="Q113" s="1461"/>
      <c r="R113" s="1461"/>
      <c r="S113" s="1153"/>
      <c r="T113" s="1499"/>
      <c r="U113" s="62"/>
      <c r="V113" s="170" t="str">
        <f t="shared" si="51"/>
        <v/>
      </c>
      <c r="BQ113" s="2553" t="str">
        <f t="shared" si="52"/>
        <v/>
      </c>
      <c r="BW113" s="2554">
        <f t="shared" si="53"/>
        <v>0</v>
      </c>
    </row>
    <row r="114" spans="1:78" s="170" customFormat="1" ht="15" customHeight="1" x14ac:dyDescent="0.15">
      <c r="A114" s="1508" t="s">
        <v>239</v>
      </c>
      <c r="B114" s="1507">
        <f t="shared" si="50"/>
        <v>0</v>
      </c>
      <c r="C114" s="1152"/>
      <c r="D114" s="1461"/>
      <c r="E114" s="1461"/>
      <c r="F114" s="1461"/>
      <c r="G114" s="1461"/>
      <c r="H114" s="1461"/>
      <c r="I114" s="1461"/>
      <c r="J114" s="1461"/>
      <c r="K114" s="1461"/>
      <c r="L114" s="1461"/>
      <c r="M114" s="1461"/>
      <c r="N114" s="1461"/>
      <c r="O114" s="1461"/>
      <c r="P114" s="1461"/>
      <c r="Q114" s="1461"/>
      <c r="R114" s="1461"/>
      <c r="S114" s="1153"/>
      <c r="T114" s="1499"/>
      <c r="U114" s="62"/>
      <c r="V114" s="170" t="str">
        <f t="shared" si="51"/>
        <v/>
      </c>
      <c r="BQ114" s="2553" t="str">
        <f t="shared" si="52"/>
        <v/>
      </c>
      <c r="BW114" s="2554">
        <f t="shared" si="53"/>
        <v>0</v>
      </c>
    </row>
    <row r="115" spans="1:78" s="170" customFormat="1" ht="15" customHeight="1" x14ac:dyDescent="0.15">
      <c r="A115" s="1508" t="s">
        <v>293</v>
      </c>
      <c r="B115" s="1507">
        <f t="shared" si="50"/>
        <v>0</v>
      </c>
      <c r="C115" s="1152"/>
      <c r="D115" s="1461"/>
      <c r="E115" s="1461"/>
      <c r="F115" s="1461"/>
      <c r="G115" s="1461"/>
      <c r="H115" s="1461"/>
      <c r="I115" s="1461"/>
      <c r="J115" s="1461"/>
      <c r="K115" s="1461"/>
      <c r="L115" s="1461"/>
      <c r="M115" s="1461"/>
      <c r="N115" s="1461"/>
      <c r="O115" s="1461"/>
      <c r="P115" s="1461"/>
      <c r="Q115" s="1461"/>
      <c r="R115" s="1461"/>
      <c r="S115" s="1153"/>
      <c r="T115" s="1499"/>
      <c r="U115" s="62"/>
      <c r="V115" s="170" t="str">
        <f t="shared" si="51"/>
        <v/>
      </c>
      <c r="BQ115" s="2553" t="str">
        <f t="shared" si="52"/>
        <v/>
      </c>
      <c r="BW115" s="2554">
        <f t="shared" si="53"/>
        <v>0</v>
      </c>
    </row>
    <row r="116" spans="1:78" s="170" customFormat="1" ht="15" customHeight="1" x14ac:dyDescent="0.15">
      <c r="A116" s="1508" t="s">
        <v>507</v>
      </c>
      <c r="B116" s="1507">
        <f t="shared" si="50"/>
        <v>0</v>
      </c>
      <c r="C116" s="1152"/>
      <c r="D116" s="1461"/>
      <c r="E116" s="1461"/>
      <c r="F116" s="1461"/>
      <c r="G116" s="1461"/>
      <c r="H116" s="1461"/>
      <c r="I116" s="1461"/>
      <c r="J116" s="1461"/>
      <c r="K116" s="1461"/>
      <c r="L116" s="1461"/>
      <c r="M116" s="1461"/>
      <c r="N116" s="1461"/>
      <c r="O116" s="1461"/>
      <c r="P116" s="1461"/>
      <c r="Q116" s="1461"/>
      <c r="R116" s="1461"/>
      <c r="S116" s="1153"/>
      <c r="T116" s="1499"/>
      <c r="U116" s="62"/>
      <c r="V116" s="170" t="str">
        <f t="shared" si="51"/>
        <v/>
      </c>
      <c r="BQ116" s="2553" t="str">
        <f t="shared" si="52"/>
        <v/>
      </c>
      <c r="BW116" s="2554">
        <f t="shared" si="53"/>
        <v>0</v>
      </c>
    </row>
    <row r="117" spans="1:78" s="170" customFormat="1" ht="15" customHeight="1" x14ac:dyDescent="0.15">
      <c r="A117" s="1508" t="s">
        <v>1224</v>
      </c>
      <c r="B117" s="1507">
        <f t="shared" si="50"/>
        <v>0</v>
      </c>
      <c r="C117" s="64"/>
      <c r="D117" s="655"/>
      <c r="E117" s="655"/>
      <c r="F117" s="655"/>
      <c r="G117" s="655"/>
      <c r="H117" s="655"/>
      <c r="I117" s="655"/>
      <c r="J117" s="655"/>
      <c r="K117" s="655"/>
      <c r="L117" s="655"/>
      <c r="M117" s="655"/>
      <c r="N117" s="655"/>
      <c r="O117" s="655"/>
      <c r="P117" s="655"/>
      <c r="Q117" s="655"/>
      <c r="R117" s="655"/>
      <c r="S117" s="1172"/>
      <c r="T117" s="659"/>
      <c r="U117" s="65"/>
      <c r="V117" s="170" t="str">
        <f t="shared" si="51"/>
        <v/>
      </c>
      <c r="BQ117" s="2553" t="str">
        <f t="shared" si="52"/>
        <v/>
      </c>
      <c r="BW117" s="2554">
        <f t="shared" si="53"/>
        <v>0</v>
      </c>
    </row>
    <row r="118" spans="1:78" s="170" customFormat="1" ht="15" customHeight="1" x14ac:dyDescent="0.15">
      <c r="A118" s="2572" t="s">
        <v>24</v>
      </c>
      <c r="B118" s="2574">
        <f>SUM(C118:S118)</f>
        <v>0</v>
      </c>
      <c r="C118" s="2575">
        <f>SUM(C103:C117)</f>
        <v>0</v>
      </c>
      <c r="D118" s="2576">
        <f t="shared" ref="D118:U118" si="54">SUM(D103:D117)</f>
        <v>0</v>
      </c>
      <c r="E118" s="2576">
        <f t="shared" si="54"/>
        <v>0</v>
      </c>
      <c r="F118" s="2576">
        <f t="shared" si="54"/>
        <v>0</v>
      </c>
      <c r="G118" s="2576">
        <f t="shared" si="54"/>
        <v>0</v>
      </c>
      <c r="H118" s="2577">
        <f t="shared" si="54"/>
        <v>0</v>
      </c>
      <c r="I118" s="2576">
        <f t="shared" si="54"/>
        <v>0</v>
      </c>
      <c r="J118" s="2576">
        <f t="shared" si="54"/>
        <v>0</v>
      </c>
      <c r="K118" s="2576">
        <f t="shared" si="54"/>
        <v>0</v>
      </c>
      <c r="L118" s="2576">
        <f t="shared" si="54"/>
        <v>0</v>
      </c>
      <c r="M118" s="2576">
        <f t="shared" si="54"/>
        <v>0</v>
      </c>
      <c r="N118" s="2576">
        <f t="shared" si="54"/>
        <v>0</v>
      </c>
      <c r="O118" s="2576">
        <f t="shared" si="54"/>
        <v>0</v>
      </c>
      <c r="P118" s="2576">
        <f t="shared" si="54"/>
        <v>0</v>
      </c>
      <c r="Q118" s="2576">
        <f t="shared" si="54"/>
        <v>0</v>
      </c>
      <c r="R118" s="2576">
        <f t="shared" si="54"/>
        <v>0</v>
      </c>
      <c r="S118" s="1604">
        <f t="shared" si="54"/>
        <v>0</v>
      </c>
      <c r="T118" s="2574">
        <f t="shared" si="54"/>
        <v>0</v>
      </c>
      <c r="U118" s="1604">
        <f t="shared" si="54"/>
        <v>0</v>
      </c>
    </row>
    <row r="119" spans="1:78" x14ac:dyDescent="0.25">
      <c r="BQ119"/>
      <c r="BR119"/>
      <c r="BS119"/>
      <c r="BT119"/>
      <c r="BU119"/>
      <c r="BW119"/>
      <c r="BX119"/>
      <c r="BY119"/>
      <c r="BZ119"/>
    </row>
    <row r="120" spans="1:78" x14ac:dyDescent="0.25">
      <c r="BQ120"/>
      <c r="BR120"/>
      <c r="BS120"/>
      <c r="BT120"/>
      <c r="BU120"/>
      <c r="BW120"/>
      <c r="BX120"/>
      <c r="BY120"/>
      <c r="BZ120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hidden="1" x14ac:dyDescent="0.25">
      <c r="A149" s="4565">
        <f>SUM(C10:C35,C38:J41,B46:B49,C52:C61,C65:C77,C82:C89,B94:B95,B98:C98,B103:B118)</f>
        <v>0</v>
      </c>
      <c r="B149" s="4564">
        <f>SUM(BW10:CA117)</f>
        <v>0</v>
      </c>
      <c r="BQ149"/>
      <c r="BR149"/>
      <c r="BS149"/>
      <c r="BT149"/>
      <c r="BU149"/>
      <c r="BW149"/>
      <c r="BX149"/>
      <c r="BY149"/>
      <c r="BZ149"/>
    </row>
    <row r="150" spans="1:78" x14ac:dyDescent="0.25"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</sheetData>
  <sheetProtection algorithmName="SHA-512" hashValue="r/09mnjF7UDRqz79Jvkhbr5IVdNvtv835Io1k//3AL/r/wsgAm2gQIqlcZPAWwybeaNdfCg0N4lKpce58TKC9w==" saltValue="IGQHoKuC6a2t9xAHHOgtvw==" spinCount="100000" sheet="1" objects="1" scenarios="1"/>
  <mergeCells count="87">
    <mergeCell ref="T100:U101"/>
    <mergeCell ref="C101:S101"/>
    <mergeCell ref="A85:B85"/>
    <mergeCell ref="A86:B86"/>
    <mergeCell ref="A100:A102"/>
    <mergeCell ref="B100:B102"/>
    <mergeCell ref="C100:S100"/>
    <mergeCell ref="C92:G92"/>
    <mergeCell ref="A87:B87"/>
    <mergeCell ref="A88:B88"/>
    <mergeCell ref="A89:B89"/>
    <mergeCell ref="A92:A93"/>
    <mergeCell ref="B92:B93"/>
    <mergeCell ref="A79:B81"/>
    <mergeCell ref="C79:G79"/>
    <mergeCell ref="H79:I80"/>
    <mergeCell ref="C80:C81"/>
    <mergeCell ref="D80:F80"/>
    <mergeCell ref="G80:G81"/>
    <mergeCell ref="A82:B82"/>
    <mergeCell ref="A83:B83"/>
    <mergeCell ref="A84:B84"/>
    <mergeCell ref="A66:B66"/>
    <mergeCell ref="A51:B51"/>
    <mergeCell ref="A52:B52"/>
    <mergeCell ref="A53:B53"/>
    <mergeCell ref="A54:B54"/>
    <mergeCell ref="A55:B55"/>
    <mergeCell ref="A56:A58"/>
    <mergeCell ref="A59:B59"/>
    <mergeCell ref="A60:B60"/>
    <mergeCell ref="A61:B61"/>
    <mergeCell ref="A64:B64"/>
    <mergeCell ref="A65:B65"/>
    <mergeCell ref="A67:A77"/>
    <mergeCell ref="A38:A41"/>
    <mergeCell ref="A43:A45"/>
    <mergeCell ref="B43:D44"/>
    <mergeCell ref="E43:AL43"/>
    <mergeCell ref="AI44:AJ44"/>
    <mergeCell ref="Y44:Z44"/>
    <mergeCell ref="AA44:AB44"/>
    <mergeCell ref="AC44:AD44"/>
    <mergeCell ref="AM43:AO44"/>
    <mergeCell ref="E44:F44"/>
    <mergeCell ref="G44:H44"/>
    <mergeCell ref="I44:J44"/>
    <mergeCell ref="K44:L44"/>
    <mergeCell ref="M44:N44"/>
    <mergeCell ref="AK44:AL44"/>
    <mergeCell ref="O44:P44"/>
    <mergeCell ref="Q44:R44"/>
    <mergeCell ref="S44:T44"/>
    <mergeCell ref="U44:V44"/>
    <mergeCell ref="W44:X44"/>
    <mergeCell ref="AE44:AF44"/>
    <mergeCell ref="AG44:AH4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1">
    <dataValidation type="whole" operator="greaterThanOrEqual" allowBlank="1" showInputMessage="1" showErrorMessage="1" sqref="D65:J77 C38:N41 E46:AO49 D10:P35 D52:M60 D82:I89 C94:G95 B98:C98 C103:U117" xr:uid="{00000000-0002-0000-1200-000000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CR229"/>
  <sheetViews>
    <sheetView showGridLines="0" zoomScaleNormal="100" workbookViewId="0"/>
  </sheetViews>
  <sheetFormatPr baseColWidth="10" defaultRowHeight="15" x14ac:dyDescent="0.25"/>
  <cols>
    <col min="1" max="1" width="52.140625" customWidth="1"/>
    <col min="2" max="2" width="26.71093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8" max="93" width="11.42578125" hidden="1" customWidth="1"/>
    <col min="94" max="94" width="11.42578125" customWidth="1"/>
  </cols>
  <sheetData>
    <row r="1" spans="1:96" x14ac:dyDescent="0.25">
      <c r="A1" s="779" t="s">
        <v>3878</v>
      </c>
    </row>
    <row r="2" spans="1:96" x14ac:dyDescent="0.25">
      <c r="A2" s="779" t="str">
        <f>CONCATENATE("COMUNA: ",NOMBRE!B2," - ","( ",NOMBRE!C2,NOMBRE!D2,NOMBRE!E2,NOMBRE!F2,NOMBRE!G2," )")</f>
        <v>COMUNA:  - (  )</v>
      </c>
    </row>
    <row r="3" spans="1:96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96" x14ac:dyDescent="0.25">
      <c r="A4" s="779" t="str">
        <f>CONCATENATE("MES: ",NOMBRE!B6," - ","( ",NOMBRE!C6,NOMBRE!D6," )")</f>
        <v>MES:  - (  )</v>
      </c>
    </row>
    <row r="5" spans="1:96" x14ac:dyDescent="0.25">
      <c r="A5" s="779" t="str">
        <f>CONCATENATE("AÑO: ",NOMBRE!B7)</f>
        <v>AÑO: 2024</v>
      </c>
    </row>
    <row r="6" spans="1:96" ht="18" customHeight="1" x14ac:dyDescent="0.25">
      <c r="A6" s="6914" t="s">
        <v>2240</v>
      </c>
      <c r="B6" s="6914"/>
      <c r="C6" s="6914"/>
      <c r="D6" s="6914"/>
      <c r="E6" s="6914"/>
      <c r="F6" s="6914"/>
      <c r="G6" s="6914"/>
      <c r="H6" s="6914"/>
      <c r="I6" s="6914"/>
      <c r="J6" s="6914"/>
      <c r="K6" s="6914"/>
      <c r="L6" s="6914"/>
      <c r="M6" s="6914"/>
      <c r="N6" s="6914"/>
      <c r="O6" s="6914"/>
      <c r="P6" s="6914"/>
      <c r="Q6" s="6914"/>
      <c r="R6" s="6914"/>
      <c r="S6" s="6914"/>
      <c r="T6" s="6914"/>
      <c r="U6" s="6914"/>
      <c r="V6" s="6914"/>
      <c r="W6" s="6914"/>
      <c r="X6" s="6914"/>
    </row>
    <row r="8" spans="1:96" s="17" customFormat="1" ht="18" customHeight="1" x14ac:dyDescent="0.2">
      <c r="A8" s="2852" t="s">
        <v>2241</v>
      </c>
      <c r="B8" s="2853"/>
      <c r="C8" s="2853"/>
      <c r="D8" s="2853"/>
      <c r="E8" s="2853"/>
      <c r="F8" s="2853"/>
      <c r="G8" s="2853"/>
      <c r="H8" s="2853"/>
      <c r="I8" s="2853"/>
      <c r="J8" s="2853"/>
      <c r="K8" s="2853"/>
      <c r="L8" s="2853"/>
      <c r="M8" s="2853"/>
      <c r="N8" s="2853"/>
      <c r="O8" s="2853"/>
      <c r="P8" s="123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647"/>
      <c r="AE8" s="647"/>
      <c r="AF8" s="647"/>
    </row>
    <row r="9" spans="1:96" s="170" customFormat="1" ht="15" customHeight="1" x14ac:dyDescent="0.15">
      <c r="A9" s="8331" t="s">
        <v>2242</v>
      </c>
      <c r="B9" s="6603"/>
      <c r="C9" s="8329"/>
      <c r="D9" s="6450" t="s">
        <v>24</v>
      </c>
      <c r="E9" s="8277" t="s">
        <v>2243</v>
      </c>
      <c r="F9" s="6453"/>
      <c r="G9" s="6453"/>
      <c r="H9" s="6453"/>
      <c r="I9" s="7123"/>
      <c r="J9" s="6833" t="s">
        <v>12</v>
      </c>
      <c r="K9" s="6834"/>
      <c r="L9" s="6834"/>
      <c r="M9" s="6834"/>
      <c r="N9" s="6834"/>
      <c r="O9" s="6834"/>
      <c r="P9" s="6834"/>
      <c r="Q9" s="6834"/>
      <c r="R9" s="6834"/>
      <c r="S9" s="6834"/>
      <c r="T9" s="6834"/>
      <c r="U9" s="6834"/>
      <c r="V9" s="6834"/>
      <c r="W9" s="6834"/>
      <c r="X9" s="8355"/>
      <c r="Y9" s="6834" t="s">
        <v>39</v>
      </c>
      <c r="Z9" s="6480"/>
      <c r="AA9" s="8286"/>
      <c r="AB9" s="6460" t="s">
        <v>2244</v>
      </c>
      <c r="AC9" s="6450" t="s">
        <v>2</v>
      </c>
      <c r="AD9" s="6450" t="s">
        <v>3</v>
      </c>
      <c r="AE9" s="6450" t="s">
        <v>17</v>
      </c>
      <c r="AF9" s="8277" t="s">
        <v>48</v>
      </c>
      <c r="AG9" s="7123"/>
    </row>
    <row r="10" spans="1:96" s="170" customFormat="1" ht="24" customHeight="1" x14ac:dyDescent="0.15">
      <c r="A10" s="6591"/>
      <c r="B10" s="6837"/>
      <c r="C10" s="6592"/>
      <c r="D10" s="6451"/>
      <c r="E10" s="2855" t="s">
        <v>682</v>
      </c>
      <c r="F10" s="2856" t="s">
        <v>3732</v>
      </c>
      <c r="G10" s="2856" t="s">
        <v>3769</v>
      </c>
      <c r="H10" s="2857" t="s">
        <v>3770</v>
      </c>
      <c r="I10" s="2858" t="s">
        <v>3771</v>
      </c>
      <c r="J10" s="4715" t="s">
        <v>38</v>
      </c>
      <c r="K10" s="4637" t="s">
        <v>4</v>
      </c>
      <c r="L10" s="4637" t="s">
        <v>5</v>
      </c>
      <c r="M10" s="4637" t="s">
        <v>6</v>
      </c>
      <c r="N10" s="4637" t="s">
        <v>7</v>
      </c>
      <c r="O10" s="4637" t="s">
        <v>8</v>
      </c>
      <c r="P10" s="4637" t="s">
        <v>9</v>
      </c>
      <c r="Q10" s="4637" t="s">
        <v>10</v>
      </c>
      <c r="R10" s="4637" t="s">
        <v>11</v>
      </c>
      <c r="S10" s="4637" t="s">
        <v>18</v>
      </c>
      <c r="T10" s="4637" t="s">
        <v>19</v>
      </c>
      <c r="U10" s="4637" t="s">
        <v>20</v>
      </c>
      <c r="V10" s="4637" t="s">
        <v>70</v>
      </c>
      <c r="W10" s="4637" t="s">
        <v>71</v>
      </c>
      <c r="X10" s="4719" t="s">
        <v>72</v>
      </c>
      <c r="Y10" s="4696" t="s">
        <v>220</v>
      </c>
      <c r="Z10" s="2835" t="s">
        <v>2245</v>
      </c>
      <c r="AA10" s="2860" t="s">
        <v>2246</v>
      </c>
      <c r="AB10" s="6451"/>
      <c r="AC10" s="6451"/>
      <c r="AD10" s="6451"/>
      <c r="AE10" s="6451"/>
      <c r="AF10" s="2479" t="s">
        <v>41</v>
      </c>
      <c r="AG10" s="2479" t="s">
        <v>42</v>
      </c>
    </row>
    <row r="11" spans="1:96" s="170" customFormat="1" ht="15" customHeight="1" x14ac:dyDescent="0.25">
      <c r="A11" s="8297" t="s">
        <v>2247</v>
      </c>
      <c r="B11" s="8298" t="s">
        <v>2248</v>
      </c>
      <c r="C11" s="8299"/>
      <c r="D11" s="2861">
        <f>SUM(E11:G11)</f>
        <v>0</v>
      </c>
      <c r="E11" s="2862"/>
      <c r="F11" s="2863"/>
      <c r="G11" s="2863"/>
      <c r="H11" s="2864"/>
      <c r="I11" s="2865"/>
      <c r="J11" s="2864"/>
      <c r="K11" s="2866"/>
      <c r="L11" s="2866"/>
      <c r="M11" s="2867"/>
      <c r="N11" s="2867"/>
      <c r="O11" s="2867"/>
      <c r="P11" s="2867"/>
      <c r="Q11" s="2867"/>
      <c r="R11" s="2867"/>
      <c r="S11" s="2867"/>
      <c r="T11" s="2867"/>
      <c r="U11" s="2867"/>
      <c r="V11" s="2867"/>
      <c r="W11" s="2867"/>
      <c r="X11" s="2867"/>
      <c r="Y11" s="2868"/>
      <c r="Z11" s="2866"/>
      <c r="AA11" s="2869"/>
      <c r="AB11" s="2870"/>
      <c r="AC11" s="2871"/>
      <c r="AD11" s="2871"/>
      <c r="AE11" s="2871"/>
      <c r="AF11" s="2871"/>
      <c r="AG11" s="2871"/>
      <c r="AH11" s="1755" t="str">
        <f>$CB11&amp;CC11&amp;CD11&amp;CE11</f>
        <v/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 s="2872"/>
      <c r="CB11" s="2873" t="str">
        <f>IF(AND($D11&lt;&gt;0,AC11=""),"* No olvide ingresar la variable "&amp;AC$9&amp;""&amp;" (Digite CERO si no tiene).  ",IF(AC11&gt;$D11,"* La variable Pueblos Originarios no puede superar el Total. ",""))</f>
        <v/>
      </c>
      <c r="CC11" s="2873" t="str">
        <f>IF(AND($D11&lt;&gt;0,AD11=""),"* No olvide ingresar la variable "&amp;AD$9&amp;""&amp;" (Digite CERO si no tiene).  ",IF(AD11&gt;$D11,"* La variable Migrantes no puede superar el Total. ",""))</f>
        <v/>
      </c>
      <c r="CD11" s="2873" t="str">
        <f>IF(AND($D11&lt;&gt;0,AE11=""),"* No olvide ingresar la variable "&amp;AE$9&amp;""&amp;" (Digite CERO si no tiene).  ",IF(AE11&gt;$D11,"* La variable Espacios Amigables/ Adolescentes no puede superar el Total. ",""))</f>
        <v/>
      </c>
      <c r="CE11" s="2873" t="str">
        <f>IF(AND(D11&gt;0,OR(AF11="",AG11="",))," * No olvide digitar la variable TRANS Masculino/Femenino (Digite CERO si no tiene). ",IF(AF11+AG11&gt;$D11,"* La suma de TRANS Masculino + Femenino no puede superar el Total. ",""))</f>
        <v/>
      </c>
      <c r="CF11" s="2718"/>
      <c r="CJ11" s="603"/>
      <c r="CK11" s="2872"/>
      <c r="CL11" s="1793">
        <f>IF(AND($D11&lt;&gt;0,AC11=""),1,IF(AC11&gt;$D11,1,0))</f>
        <v>0</v>
      </c>
      <c r="CM11" s="1793">
        <f>IF(AND($D11&lt;&gt;0,AD11=""),1,IF(AD11&gt;$D11,1,0))</f>
        <v>0</v>
      </c>
      <c r="CN11" s="1793">
        <f>IF(AND($D11&lt;&gt;0,AE11=""),1,IF(AE11&gt;$D11,1,0))</f>
        <v>0</v>
      </c>
      <c r="CO11" s="1793">
        <f>IF(AND(D11&gt;0,OR(AF11="",AG11="",)),1,IF(AF11+AG11&gt;$D11,1,0))</f>
        <v>0</v>
      </c>
      <c r="CP11"/>
      <c r="CQ11"/>
      <c r="CR11"/>
    </row>
    <row r="12" spans="1:96" s="170" customFormat="1" ht="21" x14ac:dyDescent="0.25">
      <c r="A12" s="6458"/>
      <c r="B12" s="8297" t="s">
        <v>2249</v>
      </c>
      <c r="C12" s="2874" t="s">
        <v>2250</v>
      </c>
      <c r="D12" s="2875">
        <f t="shared" ref="D12:D21" si="0">SUM(E12:X12)</f>
        <v>0</v>
      </c>
      <c r="E12" s="2496"/>
      <c r="F12" s="320"/>
      <c r="G12" s="320"/>
      <c r="H12" s="320"/>
      <c r="I12" s="2488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2497"/>
      <c r="Y12" s="2876"/>
      <c r="Z12" s="1444"/>
      <c r="AA12" s="2877"/>
      <c r="AB12" s="2871"/>
      <c r="AC12" s="2871"/>
      <c r="AD12" s="2871"/>
      <c r="AE12" s="2871"/>
      <c r="AF12" s="2871"/>
      <c r="AG12" s="2871"/>
      <c r="AH12" s="1755" t="str">
        <f>$CA12&amp;CB12&amp;CC12&amp;CD12&amp;CE12</f>
        <v/>
      </c>
      <c r="CA12" s="2873" t="str">
        <f>IF(AND($D12&lt;&gt;0,AB12=""),"* No olvide ingresar la columna "&amp;AB$9&amp;""&amp;" (Digite CERO si no tiene).  ",IF(AB12&gt;$D12,"* El Número de Familias en Riesgo no puede superar el Total. ",""))</f>
        <v/>
      </c>
      <c r="CB12" s="2873" t="str">
        <f t="shared" ref="CB12:CB45" si="1">IF(AND($D12&lt;&gt;0,AC12=""),"* No olvide ingresar la variable "&amp;AC$9&amp;""&amp;" (Digite CERO si no tiene).  ",IF(AC12&gt;$D12,"* La variable Pueblos Originarios no puede superar el Total. ",""))</f>
        <v/>
      </c>
      <c r="CC12" s="2873" t="str">
        <f t="shared" ref="CC12:CC45" si="2">IF(AND($D12&lt;&gt;0,AD12=""),"* No olvide ingresar la variable "&amp;AD$9&amp;""&amp;" (Digite CERO si no tiene).  ",IF(AD12&gt;$D12,"* La variable Migrantes no puede superar el Total. ",""))</f>
        <v/>
      </c>
      <c r="CD12" s="2873" t="str">
        <f t="shared" ref="CD12:CD45" si="3">IF(AND($D12&lt;&gt;0,AE12=""),"* No olvide ingresar la variable "&amp;AE$9&amp;""&amp;" (Digite CERO si no tiene).  ",IF(AE12&gt;$D12,"* La variable Espacios Amigables/ Adolescentes no puede superar el Total. ",""))</f>
        <v/>
      </c>
      <c r="CE12" s="2873" t="str">
        <f t="shared" ref="CE12:CE45" si="4">IF(AND(D12&gt;0,OR(AF12="",AG12="",))," * No olvide digitar la variable TRANS Masculino/Femenino (Digite CERO si no tiene). ",IF(AF12+AG12&gt;$D12,"* La suma de TRANS Masculino + Femenino no puede superar el Total. ",""))</f>
        <v/>
      </c>
      <c r="CF12" s="2718"/>
      <c r="CJ12" s="603"/>
      <c r="CK12" s="1793">
        <f>IF(AND($D12&lt;&gt;0,AB12=""),1,IF(AB12&gt;$D12,1,0))</f>
        <v>0</v>
      </c>
      <c r="CL12" s="1793">
        <f t="shared" ref="CL12:CL45" si="5">IF(AND($D12&lt;&gt;0,AC12=""),1,IF(AC12&gt;$D12,1,0))</f>
        <v>0</v>
      </c>
      <c r="CM12" s="1793">
        <f t="shared" ref="CM12:CM45" si="6">IF(AND($D12&lt;&gt;0,AD12=""),1,IF(AD12&gt;$D12,1,0))</f>
        <v>0</v>
      </c>
      <c r="CN12" s="1793">
        <f t="shared" ref="CN12:CN45" si="7">IF(AND($D12&lt;&gt;0,AE12=""),1,IF(AE12&gt;$D12,1,0))</f>
        <v>0</v>
      </c>
      <c r="CO12" s="1793">
        <f t="shared" ref="CO12:CO45" si="8">IF(AND(D12&gt;0,OR(AF12="",AG12="",)),1,IF(AF12+AG12&gt;$D12,1,0))</f>
        <v>0</v>
      </c>
    </row>
    <row r="13" spans="1:96" s="170" customFormat="1" ht="15" customHeight="1" x14ac:dyDescent="0.25">
      <c r="A13" s="6458"/>
      <c r="B13" s="6458"/>
      <c r="C13" s="1742" t="s">
        <v>2251</v>
      </c>
      <c r="D13" s="1075">
        <f t="shared" si="0"/>
        <v>0</v>
      </c>
      <c r="E13" s="106"/>
      <c r="F13" s="1086"/>
      <c r="G13" s="1086"/>
      <c r="H13" s="1086"/>
      <c r="I13" s="590"/>
      <c r="J13" s="1086"/>
      <c r="K13" s="1086"/>
      <c r="L13" s="1086"/>
      <c r="M13" s="1086"/>
      <c r="N13" s="1086"/>
      <c r="O13" s="1086"/>
      <c r="P13" s="1086"/>
      <c r="Q13" s="1086"/>
      <c r="R13" s="1086"/>
      <c r="S13" s="1086"/>
      <c r="T13" s="1086"/>
      <c r="U13" s="1086"/>
      <c r="V13" s="1086"/>
      <c r="W13" s="1086"/>
      <c r="X13" s="1078"/>
      <c r="Y13" s="896"/>
      <c r="Z13" s="2878"/>
      <c r="AA13" s="2879"/>
      <c r="AB13" s="105"/>
      <c r="AC13" s="105"/>
      <c r="AD13" s="105"/>
      <c r="AE13" s="105"/>
      <c r="AF13" s="105"/>
      <c r="AG13" s="105"/>
      <c r="AH13" s="1755" t="str">
        <f t="shared" ref="AH13:AH45" si="9">$CA13&amp;CB13&amp;CC13&amp;CD13&amp;CE13</f>
        <v/>
      </c>
      <c r="CA13" s="2873" t="str">
        <f t="shared" ref="CA13:CA45" si="10">IF(AND($D13&lt;&gt;0,AB13=""),"* No olvide ingresar la columna "&amp;AB$9&amp;""&amp;" (Digite CERO si no tiene).  ",IF(AB13&gt;$D13,"* El Número de Familias en Riesgo no puede superar el Total. ",""))</f>
        <v/>
      </c>
      <c r="CB13" s="2873" t="str">
        <f t="shared" si="1"/>
        <v/>
      </c>
      <c r="CC13" s="2873" t="str">
        <f t="shared" si="2"/>
        <v/>
      </c>
      <c r="CD13" s="2873" t="str">
        <f t="shared" si="3"/>
        <v/>
      </c>
      <c r="CE13" s="2873" t="str">
        <f t="shared" si="4"/>
        <v/>
      </c>
      <c r="CF13" s="2718"/>
      <c r="CJ13" s="603"/>
      <c r="CK13" s="1793">
        <f t="shared" ref="CK13:CK45" si="11">IF(AND($D13&lt;&gt;0,AB13=""),1,IF(AB13&gt;$D13,1,0))</f>
        <v>0</v>
      </c>
      <c r="CL13" s="1793">
        <f t="shared" si="5"/>
        <v>0</v>
      </c>
      <c r="CM13" s="1793">
        <f t="shared" si="6"/>
        <v>0</v>
      </c>
      <c r="CN13" s="1793">
        <f t="shared" si="7"/>
        <v>0</v>
      </c>
      <c r="CO13" s="1793">
        <f t="shared" si="8"/>
        <v>0</v>
      </c>
    </row>
    <row r="14" spans="1:96" s="170" customFormat="1" ht="15" customHeight="1" x14ac:dyDescent="0.25">
      <c r="A14" s="6458"/>
      <c r="B14" s="6458"/>
      <c r="C14" s="1100" t="s">
        <v>2252</v>
      </c>
      <c r="D14" s="1075">
        <f t="shared" si="0"/>
        <v>0</v>
      </c>
      <c r="E14" s="1089"/>
      <c r="F14" s="1090"/>
      <c r="G14" s="1090"/>
      <c r="H14" s="1090"/>
      <c r="I14" s="1077"/>
      <c r="J14" s="1090"/>
      <c r="K14" s="1090"/>
      <c r="L14" s="1090"/>
      <c r="M14" s="1090"/>
      <c r="N14" s="1090"/>
      <c r="O14" s="1090"/>
      <c r="P14" s="1090"/>
      <c r="Q14" s="1090"/>
      <c r="R14" s="1090"/>
      <c r="S14" s="1090"/>
      <c r="T14" s="1090"/>
      <c r="U14" s="1090"/>
      <c r="V14" s="1090"/>
      <c r="W14" s="1090"/>
      <c r="X14" s="1078"/>
      <c r="Y14" s="2880"/>
      <c r="Z14" s="2878"/>
      <c r="AA14" s="2879"/>
      <c r="AB14" s="83"/>
      <c r="AC14" s="83"/>
      <c r="AD14" s="83"/>
      <c r="AE14" s="83"/>
      <c r="AF14" s="83"/>
      <c r="AG14" s="83"/>
      <c r="AH14" s="1755" t="str">
        <f t="shared" si="9"/>
        <v/>
      </c>
      <c r="CA14" s="2873" t="str">
        <f t="shared" si="10"/>
        <v/>
      </c>
      <c r="CB14" s="2873" t="str">
        <f t="shared" si="1"/>
        <v/>
      </c>
      <c r="CC14" s="2873" t="str">
        <f t="shared" si="2"/>
        <v/>
      </c>
      <c r="CD14" s="2873" t="str">
        <f t="shared" si="3"/>
        <v/>
      </c>
      <c r="CE14" s="2873" t="str">
        <f t="shared" si="4"/>
        <v/>
      </c>
      <c r="CF14" s="2718"/>
      <c r="CJ14" s="603"/>
      <c r="CK14" s="1793">
        <f t="shared" si="11"/>
        <v>0</v>
      </c>
      <c r="CL14" s="1793">
        <f t="shared" si="5"/>
        <v>0</v>
      </c>
      <c r="CM14" s="1793">
        <f t="shared" si="6"/>
        <v>0</v>
      </c>
      <c r="CN14" s="1793">
        <f t="shared" si="7"/>
        <v>0</v>
      </c>
      <c r="CO14" s="1793">
        <f t="shared" si="8"/>
        <v>0</v>
      </c>
    </row>
    <row r="15" spans="1:96" s="170" customFormat="1" ht="15" customHeight="1" x14ac:dyDescent="0.25">
      <c r="A15" s="6458"/>
      <c r="B15" s="6459"/>
      <c r="C15" s="2881" t="s">
        <v>2253</v>
      </c>
      <c r="D15" s="2813">
        <f t="shared" si="0"/>
        <v>0</v>
      </c>
      <c r="E15" s="2498"/>
      <c r="F15" s="2499"/>
      <c r="G15" s="2499"/>
      <c r="H15" s="2499"/>
      <c r="I15" s="2882"/>
      <c r="J15" s="2499"/>
      <c r="K15" s="2499"/>
      <c r="L15" s="2499"/>
      <c r="M15" s="2499"/>
      <c r="N15" s="2499"/>
      <c r="O15" s="2499"/>
      <c r="P15" s="2499"/>
      <c r="Q15" s="2499"/>
      <c r="R15" s="2499"/>
      <c r="S15" s="2499"/>
      <c r="T15" s="2499"/>
      <c r="U15" s="2499"/>
      <c r="V15" s="2499"/>
      <c r="W15" s="2499"/>
      <c r="X15" s="2500"/>
      <c r="Y15" s="2883"/>
      <c r="Z15" s="1900"/>
      <c r="AA15" s="2884"/>
      <c r="AB15" s="2501"/>
      <c r="AC15" s="2501"/>
      <c r="AD15" s="2501"/>
      <c r="AE15" s="2501"/>
      <c r="AF15" s="2501"/>
      <c r="AG15" s="2501"/>
      <c r="AH15" s="1755" t="str">
        <f t="shared" si="9"/>
        <v/>
      </c>
      <c r="CA15" s="2873" t="str">
        <f t="shared" si="10"/>
        <v/>
      </c>
      <c r="CB15" s="2873" t="str">
        <f t="shared" si="1"/>
        <v/>
      </c>
      <c r="CC15" s="2873" t="str">
        <f t="shared" si="2"/>
        <v/>
      </c>
      <c r="CD15" s="2873" t="str">
        <f t="shared" si="3"/>
        <v/>
      </c>
      <c r="CE15" s="2873" t="str">
        <f t="shared" si="4"/>
        <v/>
      </c>
      <c r="CF15" s="2718"/>
      <c r="CJ15" s="603"/>
      <c r="CK15" s="1793">
        <f t="shared" si="11"/>
        <v>0</v>
      </c>
      <c r="CL15" s="1793">
        <f t="shared" si="5"/>
        <v>0</v>
      </c>
      <c r="CM15" s="1793">
        <f t="shared" si="6"/>
        <v>0</v>
      </c>
      <c r="CN15" s="1793">
        <f t="shared" si="7"/>
        <v>0</v>
      </c>
      <c r="CO15" s="1793">
        <f t="shared" si="8"/>
        <v>0</v>
      </c>
    </row>
    <row r="16" spans="1:96" s="170" customFormat="1" ht="15" customHeight="1" x14ac:dyDescent="0.25">
      <c r="A16" s="6458"/>
      <c r="B16" s="7402" t="s">
        <v>2254</v>
      </c>
      <c r="C16" s="8300"/>
      <c r="D16" s="1760">
        <f t="shared" si="0"/>
        <v>0</v>
      </c>
      <c r="E16" s="106"/>
      <c r="F16" s="1086"/>
      <c r="G16" s="1086"/>
      <c r="H16" s="1086"/>
      <c r="I16" s="105"/>
      <c r="J16" s="591"/>
      <c r="K16" s="1086"/>
      <c r="L16" s="1086"/>
      <c r="M16" s="844"/>
      <c r="N16" s="844"/>
      <c r="O16" s="844"/>
      <c r="P16" s="844"/>
      <c r="Q16" s="844"/>
      <c r="R16" s="844"/>
      <c r="S16" s="844"/>
      <c r="T16" s="844"/>
      <c r="U16" s="844"/>
      <c r="V16" s="844"/>
      <c r="W16" s="844"/>
      <c r="X16" s="844"/>
      <c r="Y16" s="2885"/>
      <c r="Z16" s="899"/>
      <c r="AA16" s="2886"/>
      <c r="AB16" s="105"/>
      <c r="AC16" s="105"/>
      <c r="AD16" s="105"/>
      <c r="AE16" s="105"/>
      <c r="AF16" s="105"/>
      <c r="AG16" s="105"/>
      <c r="AH16" s="1755" t="str">
        <f t="shared" si="9"/>
        <v/>
      </c>
      <c r="CA16" s="2873" t="str">
        <f t="shared" si="10"/>
        <v/>
      </c>
      <c r="CB16" s="2873" t="str">
        <f t="shared" si="1"/>
        <v/>
      </c>
      <c r="CC16" s="2873" t="str">
        <f t="shared" si="2"/>
        <v/>
      </c>
      <c r="CD16" s="2873" t="str">
        <f t="shared" si="3"/>
        <v/>
      </c>
      <c r="CE16" s="2873" t="str">
        <f t="shared" si="4"/>
        <v/>
      </c>
      <c r="CF16" s="2718"/>
      <c r="CJ16" s="603"/>
      <c r="CK16" s="1793">
        <f t="shared" si="11"/>
        <v>0</v>
      </c>
      <c r="CL16" s="1793">
        <f t="shared" si="5"/>
        <v>0</v>
      </c>
      <c r="CM16" s="1793">
        <f t="shared" si="6"/>
        <v>0</v>
      </c>
      <c r="CN16" s="1793">
        <f t="shared" si="7"/>
        <v>0</v>
      </c>
      <c r="CO16" s="1793">
        <f t="shared" si="8"/>
        <v>0</v>
      </c>
    </row>
    <row r="17" spans="1:93" s="170" customFormat="1" ht="15" customHeight="1" x14ac:dyDescent="0.25">
      <c r="A17" s="6458"/>
      <c r="B17" s="8301" t="s">
        <v>2255</v>
      </c>
      <c r="C17" s="7405"/>
      <c r="D17" s="1075">
        <f t="shared" si="0"/>
        <v>0</v>
      </c>
      <c r="E17" s="1089"/>
      <c r="F17" s="1090"/>
      <c r="G17" s="1090"/>
      <c r="H17" s="1090"/>
      <c r="I17" s="83"/>
      <c r="J17" s="2181"/>
      <c r="K17" s="1090"/>
      <c r="L17" s="1090"/>
      <c r="M17" s="1098"/>
      <c r="N17" s="1098"/>
      <c r="O17" s="1098"/>
      <c r="P17" s="1098"/>
      <c r="Q17" s="1098"/>
      <c r="R17" s="1098"/>
      <c r="S17" s="1098"/>
      <c r="T17" s="1098"/>
      <c r="U17" s="1098"/>
      <c r="V17" s="1098"/>
      <c r="W17" s="1098"/>
      <c r="X17" s="1098"/>
      <c r="Y17" s="2887"/>
      <c r="Z17" s="2878"/>
      <c r="AA17" s="2879"/>
      <c r="AB17" s="83"/>
      <c r="AC17" s="83"/>
      <c r="AD17" s="83"/>
      <c r="AE17" s="83"/>
      <c r="AF17" s="83"/>
      <c r="AG17" s="83"/>
      <c r="AH17" s="1755" t="str">
        <f t="shared" si="9"/>
        <v/>
      </c>
      <c r="CA17" s="2873" t="str">
        <f t="shared" si="10"/>
        <v/>
      </c>
      <c r="CB17" s="2873" t="str">
        <f t="shared" si="1"/>
        <v/>
      </c>
      <c r="CC17" s="2873" t="str">
        <f t="shared" si="2"/>
        <v/>
      </c>
      <c r="CD17" s="2873" t="str">
        <f t="shared" si="3"/>
        <v/>
      </c>
      <c r="CE17" s="2873" t="str">
        <f t="shared" si="4"/>
        <v/>
      </c>
      <c r="CF17" s="2718"/>
      <c r="CJ17" s="603"/>
      <c r="CK17" s="1793">
        <f t="shared" si="11"/>
        <v>0</v>
      </c>
      <c r="CL17" s="1793">
        <f t="shared" si="5"/>
        <v>0</v>
      </c>
      <c r="CM17" s="1793">
        <f t="shared" si="6"/>
        <v>0</v>
      </c>
      <c r="CN17" s="1793">
        <f t="shared" si="7"/>
        <v>0</v>
      </c>
      <c r="CO17" s="1793">
        <f t="shared" si="8"/>
        <v>0</v>
      </c>
    </row>
    <row r="18" spans="1:93" s="170" customFormat="1" ht="15" customHeight="1" x14ac:dyDescent="0.25">
      <c r="A18" s="6458"/>
      <c r="B18" s="8301" t="s">
        <v>2256</v>
      </c>
      <c r="C18" s="7405"/>
      <c r="D18" s="1075">
        <f t="shared" si="0"/>
        <v>0</v>
      </c>
      <c r="E18" s="1089"/>
      <c r="F18" s="1090"/>
      <c r="G18" s="1090"/>
      <c r="H18" s="1090"/>
      <c r="I18" s="83"/>
      <c r="J18" s="2181"/>
      <c r="K18" s="1090"/>
      <c r="L18" s="1090"/>
      <c r="M18" s="1098"/>
      <c r="N18" s="1098"/>
      <c r="O18" s="1098"/>
      <c r="P18" s="1098"/>
      <c r="Q18" s="1098"/>
      <c r="R18" s="1098"/>
      <c r="S18" s="1098"/>
      <c r="T18" s="1098"/>
      <c r="U18" s="1098"/>
      <c r="V18" s="1098"/>
      <c r="W18" s="1098"/>
      <c r="X18" s="1098"/>
      <c r="Y18" s="2887"/>
      <c r="Z18" s="2878"/>
      <c r="AA18" s="2879"/>
      <c r="AB18" s="83"/>
      <c r="AC18" s="83"/>
      <c r="AD18" s="83"/>
      <c r="AE18" s="83"/>
      <c r="AF18" s="83"/>
      <c r="AG18" s="83"/>
      <c r="AH18" s="1755" t="str">
        <f t="shared" si="9"/>
        <v/>
      </c>
      <c r="CA18" s="2873" t="str">
        <f t="shared" si="10"/>
        <v/>
      </c>
      <c r="CB18" s="2873" t="str">
        <f t="shared" si="1"/>
        <v/>
      </c>
      <c r="CC18" s="2873" t="str">
        <f t="shared" si="2"/>
        <v/>
      </c>
      <c r="CD18" s="2873" t="str">
        <f t="shared" si="3"/>
        <v/>
      </c>
      <c r="CE18" s="2873" t="str">
        <f t="shared" si="4"/>
        <v/>
      </c>
      <c r="CF18" s="2718"/>
      <c r="CJ18" s="603"/>
      <c r="CK18" s="1793">
        <f t="shared" si="11"/>
        <v>0</v>
      </c>
      <c r="CL18" s="1793">
        <f t="shared" si="5"/>
        <v>0</v>
      </c>
      <c r="CM18" s="1793">
        <f t="shared" si="6"/>
        <v>0</v>
      </c>
      <c r="CN18" s="1793">
        <f t="shared" si="7"/>
        <v>0</v>
      </c>
      <c r="CO18" s="1793">
        <f t="shared" si="8"/>
        <v>0</v>
      </c>
    </row>
    <row r="19" spans="1:93" s="170" customFormat="1" ht="15" customHeight="1" x14ac:dyDescent="0.25">
      <c r="A19" s="6458"/>
      <c r="B19" s="8278" t="s">
        <v>2257</v>
      </c>
      <c r="C19" s="8279"/>
      <c r="D19" s="150">
        <f t="shared" si="0"/>
        <v>0</v>
      </c>
      <c r="E19" s="114"/>
      <c r="F19" s="115"/>
      <c r="G19" s="115"/>
      <c r="H19" s="115"/>
      <c r="I19" s="2889"/>
      <c r="J19" s="121"/>
      <c r="K19" s="115"/>
      <c r="L19" s="115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563"/>
      <c r="Z19" s="115"/>
      <c r="AA19" s="162"/>
      <c r="AB19" s="2889"/>
      <c r="AC19" s="2889"/>
      <c r="AD19" s="2889"/>
      <c r="AE19" s="2889"/>
      <c r="AF19" s="2889"/>
      <c r="AG19" s="2889"/>
      <c r="AH19" s="1755" t="str">
        <f t="shared" si="9"/>
        <v/>
      </c>
      <c r="CA19" s="2873" t="str">
        <f t="shared" si="10"/>
        <v/>
      </c>
      <c r="CB19" s="2873" t="str">
        <f t="shared" si="1"/>
        <v/>
      </c>
      <c r="CC19" s="2873" t="str">
        <f t="shared" si="2"/>
        <v/>
      </c>
      <c r="CD19" s="2873" t="str">
        <f t="shared" si="3"/>
        <v/>
      </c>
      <c r="CE19" s="2873" t="str">
        <f t="shared" si="4"/>
        <v/>
      </c>
      <c r="CF19" s="2718"/>
      <c r="CJ19" s="603"/>
      <c r="CK19" s="1793">
        <f t="shared" si="11"/>
        <v>0</v>
      </c>
      <c r="CL19" s="1793">
        <f t="shared" si="5"/>
        <v>0</v>
      </c>
      <c r="CM19" s="1793">
        <f t="shared" si="6"/>
        <v>0</v>
      </c>
      <c r="CN19" s="1793">
        <f t="shared" si="7"/>
        <v>0</v>
      </c>
      <c r="CO19" s="1793">
        <f t="shared" si="8"/>
        <v>0</v>
      </c>
    </row>
    <row r="20" spans="1:93" s="170" customFormat="1" ht="15" customHeight="1" x14ac:dyDescent="0.25">
      <c r="A20" s="6458"/>
      <c r="B20" s="7400" t="s">
        <v>2258</v>
      </c>
      <c r="C20" s="5890" t="s">
        <v>27</v>
      </c>
      <c r="D20" s="5884">
        <f t="shared" si="0"/>
        <v>0</v>
      </c>
      <c r="E20" s="5891"/>
      <c r="F20" s="5419"/>
      <c r="G20" s="5419"/>
      <c r="H20" s="5419"/>
      <c r="I20" s="5892"/>
      <c r="J20" s="5893"/>
      <c r="K20" s="5419"/>
      <c r="L20" s="5419"/>
      <c r="M20" s="5894"/>
      <c r="N20" s="5894"/>
      <c r="O20" s="5894"/>
      <c r="P20" s="5894"/>
      <c r="Q20" s="5894"/>
      <c r="R20" s="5894"/>
      <c r="S20" s="5894"/>
      <c r="T20" s="5894"/>
      <c r="U20" s="5894"/>
      <c r="V20" s="5894"/>
      <c r="W20" s="5894"/>
      <c r="X20" s="5894"/>
      <c r="Y20" s="5895"/>
      <c r="Z20" s="5419"/>
      <c r="AA20" s="5612"/>
      <c r="AB20" s="5422"/>
      <c r="AC20" s="5422"/>
      <c r="AD20" s="5422"/>
      <c r="AE20" s="5464"/>
      <c r="AF20" s="5422"/>
      <c r="AG20" s="5422"/>
      <c r="AH20" s="1755" t="str">
        <f t="shared" si="9"/>
        <v/>
      </c>
      <c r="CA20" s="2873" t="str">
        <f t="shared" si="10"/>
        <v/>
      </c>
      <c r="CB20" s="2873" t="str">
        <f t="shared" si="1"/>
        <v/>
      </c>
      <c r="CC20" s="2873" t="str">
        <f t="shared" si="2"/>
        <v/>
      </c>
      <c r="CD20" s="2873" t="str">
        <f t="shared" si="3"/>
        <v/>
      </c>
      <c r="CE20" s="2873" t="str">
        <f t="shared" si="4"/>
        <v/>
      </c>
      <c r="CF20" s="2718"/>
      <c r="CJ20" s="603"/>
      <c r="CK20" s="1793">
        <f t="shared" si="11"/>
        <v>0</v>
      </c>
      <c r="CL20" s="1793">
        <f t="shared" si="5"/>
        <v>0</v>
      </c>
      <c r="CM20" s="1793">
        <f t="shared" si="6"/>
        <v>0</v>
      </c>
      <c r="CN20" s="1793">
        <f t="shared" si="7"/>
        <v>0</v>
      </c>
      <c r="CO20" s="1793">
        <f t="shared" si="8"/>
        <v>0</v>
      </c>
    </row>
    <row r="21" spans="1:93" s="170" customFormat="1" ht="15" customHeight="1" x14ac:dyDescent="0.25">
      <c r="A21" s="6458"/>
      <c r="B21" s="8356"/>
      <c r="C21" s="596" t="s">
        <v>22</v>
      </c>
      <c r="D21" s="150">
        <f t="shared" si="0"/>
        <v>0</v>
      </c>
      <c r="E21" s="114"/>
      <c r="F21" s="115"/>
      <c r="G21" s="115"/>
      <c r="H21" s="115"/>
      <c r="I21" s="2889"/>
      <c r="J21" s="121"/>
      <c r="K21" s="115"/>
      <c r="L21" s="115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563"/>
      <c r="Z21" s="115"/>
      <c r="AA21" s="162"/>
      <c r="AB21" s="2889"/>
      <c r="AC21" s="2889"/>
      <c r="AD21" s="2889"/>
      <c r="AE21" s="153"/>
      <c r="AF21" s="2889"/>
      <c r="AG21" s="2889"/>
      <c r="AH21" s="1755" t="str">
        <f t="shared" si="9"/>
        <v/>
      </c>
      <c r="CA21" s="2873" t="str">
        <f t="shared" si="10"/>
        <v/>
      </c>
      <c r="CB21" s="2873" t="str">
        <f t="shared" si="1"/>
        <v/>
      </c>
      <c r="CC21" s="2873" t="str">
        <f t="shared" si="2"/>
        <v/>
      </c>
      <c r="CD21" s="2873" t="str">
        <f t="shared" si="3"/>
        <v/>
      </c>
      <c r="CE21" s="2873" t="str">
        <f t="shared" si="4"/>
        <v/>
      </c>
      <c r="CF21" s="2718"/>
      <c r="CJ21" s="603"/>
      <c r="CK21" s="1793">
        <f t="shared" si="11"/>
        <v>0</v>
      </c>
      <c r="CL21" s="1793">
        <f t="shared" si="5"/>
        <v>0</v>
      </c>
      <c r="CM21" s="1793">
        <f t="shared" si="6"/>
        <v>0</v>
      </c>
      <c r="CN21" s="1793">
        <f t="shared" si="7"/>
        <v>0</v>
      </c>
      <c r="CO21" s="1793">
        <f t="shared" si="8"/>
        <v>0</v>
      </c>
    </row>
    <row r="22" spans="1:93" s="170" customFormat="1" ht="15" customHeight="1" x14ac:dyDescent="0.25">
      <c r="A22" s="6458"/>
      <c r="B22" s="8357" t="s">
        <v>2259</v>
      </c>
      <c r="C22" s="7403"/>
      <c r="D22" s="5887">
        <f>+E22+F22+G22+H22+I22+Q22+R22+S22+T22</f>
        <v>0</v>
      </c>
      <c r="E22" s="589"/>
      <c r="F22" s="5239"/>
      <c r="G22" s="5239"/>
      <c r="H22" s="5239"/>
      <c r="I22" s="4561"/>
      <c r="J22" s="2009"/>
      <c r="K22" s="4889"/>
      <c r="L22" s="4889"/>
      <c r="M22" s="4889"/>
      <c r="N22" s="4889"/>
      <c r="O22" s="4889"/>
      <c r="P22" s="2009"/>
      <c r="Q22" s="4952"/>
      <c r="R22" s="4952"/>
      <c r="S22" s="4952"/>
      <c r="T22" s="4952"/>
      <c r="U22" s="4889"/>
      <c r="V22" s="4889"/>
      <c r="W22" s="4889"/>
      <c r="X22" s="2892"/>
      <c r="Y22" s="5888"/>
      <c r="Z22" s="4890"/>
      <c r="AA22" s="5889"/>
      <c r="AB22" s="4561"/>
      <c r="AC22" s="4561"/>
      <c r="AD22" s="4561"/>
      <c r="AE22" s="789"/>
      <c r="AF22" s="4561"/>
      <c r="AG22" s="4561"/>
      <c r="AH22" s="1755" t="str">
        <f t="shared" si="9"/>
        <v/>
      </c>
      <c r="CA22" s="2873" t="str">
        <f t="shared" si="10"/>
        <v/>
      </c>
      <c r="CB22" s="2873" t="str">
        <f t="shared" si="1"/>
        <v/>
      </c>
      <c r="CC22" s="2873" t="str">
        <f t="shared" si="2"/>
        <v/>
      </c>
      <c r="CD22" s="2873" t="str">
        <f t="shared" si="3"/>
        <v/>
      </c>
      <c r="CE22" s="2873" t="str">
        <f t="shared" si="4"/>
        <v/>
      </c>
      <c r="CF22" s="2718"/>
      <c r="CJ22" s="603"/>
      <c r="CK22" s="1793">
        <f t="shared" si="11"/>
        <v>0</v>
      </c>
      <c r="CL22" s="1793">
        <f t="shared" si="5"/>
        <v>0</v>
      </c>
      <c r="CM22" s="1793">
        <f t="shared" si="6"/>
        <v>0</v>
      </c>
      <c r="CN22" s="1793">
        <f t="shared" si="7"/>
        <v>0</v>
      </c>
      <c r="CO22" s="1793">
        <f t="shared" si="8"/>
        <v>0</v>
      </c>
    </row>
    <row r="23" spans="1:93" s="170" customFormat="1" ht="24.75" customHeight="1" x14ac:dyDescent="0.25">
      <c r="A23" s="6458"/>
      <c r="B23" s="8358" t="s">
        <v>2260</v>
      </c>
      <c r="C23" s="7618"/>
      <c r="D23" s="1075">
        <f>SUM(J23:S23)</f>
        <v>0</v>
      </c>
      <c r="E23" s="1087"/>
      <c r="F23" s="2480"/>
      <c r="G23" s="2480"/>
      <c r="H23" s="2480"/>
      <c r="I23" s="194"/>
      <c r="J23" s="2181"/>
      <c r="K23" s="1090"/>
      <c r="L23" s="1090"/>
      <c r="M23" s="1090"/>
      <c r="N23" s="1090"/>
      <c r="O23" s="1090"/>
      <c r="P23" s="1090"/>
      <c r="Q23" s="1090"/>
      <c r="R23" s="1090"/>
      <c r="S23" s="1090"/>
      <c r="T23" s="2893"/>
      <c r="U23" s="2893"/>
      <c r="V23" s="2893"/>
      <c r="W23" s="2893"/>
      <c r="X23" s="2893"/>
      <c r="Y23" s="1132"/>
      <c r="Z23" s="1090"/>
      <c r="AA23" s="1078"/>
      <c r="AB23" s="83"/>
      <c r="AC23" s="83"/>
      <c r="AD23" s="83"/>
      <c r="AE23" s="4601"/>
      <c r="AF23" s="83"/>
      <c r="AG23" s="83"/>
      <c r="AH23" s="1755" t="str">
        <f t="shared" si="9"/>
        <v/>
      </c>
      <c r="CA23" s="2873" t="str">
        <f t="shared" si="10"/>
        <v/>
      </c>
      <c r="CB23" s="2873" t="str">
        <f t="shared" si="1"/>
        <v/>
      </c>
      <c r="CC23" s="2873" t="str">
        <f t="shared" si="2"/>
        <v/>
      </c>
      <c r="CD23" s="3107"/>
      <c r="CE23" s="2873" t="str">
        <f t="shared" si="4"/>
        <v/>
      </c>
      <c r="CF23" s="2718"/>
      <c r="CJ23" s="603"/>
      <c r="CK23" s="1793">
        <f t="shared" si="11"/>
        <v>0</v>
      </c>
      <c r="CL23" s="1793">
        <f t="shared" si="5"/>
        <v>0</v>
      </c>
      <c r="CM23" s="1793">
        <f t="shared" si="6"/>
        <v>0</v>
      </c>
      <c r="CN23" s="2872"/>
      <c r="CO23" s="1793">
        <f t="shared" si="8"/>
        <v>0</v>
      </c>
    </row>
    <row r="24" spans="1:93" s="170" customFormat="1" ht="15" customHeight="1" x14ac:dyDescent="0.25">
      <c r="A24" s="6458"/>
      <c r="B24" s="7454" t="s">
        <v>2261</v>
      </c>
      <c r="C24" s="7387"/>
      <c r="D24" s="926">
        <f>SUM(J24:S24)</f>
        <v>0</v>
      </c>
      <c r="E24" s="1087"/>
      <c r="F24" s="2480"/>
      <c r="G24" s="2480"/>
      <c r="H24" s="2480"/>
      <c r="I24" s="194"/>
      <c r="J24" s="2181"/>
      <c r="K24" s="127"/>
      <c r="L24" s="127"/>
      <c r="M24" s="127"/>
      <c r="N24" s="127"/>
      <c r="O24" s="127"/>
      <c r="P24" s="127"/>
      <c r="Q24" s="127"/>
      <c r="R24" s="127"/>
      <c r="S24" s="127"/>
      <c r="T24" s="2893"/>
      <c r="U24" s="2893"/>
      <c r="V24" s="2893"/>
      <c r="W24" s="2893"/>
      <c r="X24" s="2893"/>
      <c r="Y24" s="2887"/>
      <c r="Z24" s="2878"/>
      <c r="AA24" s="94"/>
      <c r="AB24" s="83"/>
      <c r="AC24" s="83"/>
      <c r="AD24" s="83"/>
      <c r="AE24" s="4601"/>
      <c r="AF24" s="83"/>
      <c r="AG24" s="83"/>
      <c r="AH24" s="1755" t="str">
        <f t="shared" si="9"/>
        <v/>
      </c>
      <c r="CA24" s="2873" t="str">
        <f t="shared" si="10"/>
        <v/>
      </c>
      <c r="CB24" s="2873" t="str">
        <f t="shared" si="1"/>
        <v/>
      </c>
      <c r="CC24" s="2873" t="str">
        <f t="shared" si="2"/>
        <v/>
      </c>
      <c r="CD24" s="3107"/>
      <c r="CE24" s="2873" t="str">
        <f t="shared" si="4"/>
        <v/>
      </c>
      <c r="CF24" s="2718"/>
      <c r="CJ24" s="603"/>
      <c r="CK24" s="1793">
        <f t="shared" si="11"/>
        <v>0</v>
      </c>
      <c r="CL24" s="1793">
        <f t="shared" si="5"/>
        <v>0</v>
      </c>
      <c r="CM24" s="1793">
        <f t="shared" si="6"/>
        <v>0</v>
      </c>
      <c r="CN24" s="2872"/>
      <c r="CO24" s="1793">
        <f t="shared" si="8"/>
        <v>0</v>
      </c>
    </row>
    <row r="25" spans="1:93" s="170" customFormat="1" ht="15" customHeight="1" x14ac:dyDescent="0.25">
      <c r="A25" s="6458"/>
      <c r="B25" s="8278" t="s">
        <v>2262</v>
      </c>
      <c r="C25" s="8279"/>
      <c r="D25" s="926">
        <f>SUM(H25:X25)</f>
        <v>0</v>
      </c>
      <c r="E25" s="151"/>
      <c r="F25" s="225"/>
      <c r="G25" s="225"/>
      <c r="H25" s="115"/>
      <c r="I25" s="2889"/>
      <c r="J25" s="121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563"/>
      <c r="Z25" s="115"/>
      <c r="AA25" s="162"/>
      <c r="AB25" s="775"/>
      <c r="AC25" s="2889"/>
      <c r="AD25" s="2889"/>
      <c r="AE25" s="153"/>
      <c r="AF25" s="2889"/>
      <c r="AG25" s="2889"/>
      <c r="AH25" s="1755" t="str">
        <f t="shared" si="9"/>
        <v/>
      </c>
      <c r="CA25" s="2873" t="str">
        <f t="shared" si="10"/>
        <v/>
      </c>
      <c r="CB25" s="2873" t="str">
        <f t="shared" si="1"/>
        <v/>
      </c>
      <c r="CC25" s="2873" t="str">
        <f t="shared" si="2"/>
        <v/>
      </c>
      <c r="CD25" s="2873" t="str">
        <f t="shared" si="3"/>
        <v/>
      </c>
      <c r="CE25" s="2873" t="str">
        <f t="shared" si="4"/>
        <v/>
      </c>
      <c r="CF25" s="2718"/>
      <c r="CJ25" s="603"/>
      <c r="CK25" s="1793">
        <f t="shared" si="11"/>
        <v>0</v>
      </c>
      <c r="CL25" s="1793">
        <f t="shared" si="5"/>
        <v>0</v>
      </c>
      <c r="CM25" s="1793">
        <f t="shared" si="6"/>
        <v>0</v>
      </c>
      <c r="CN25" s="1793">
        <f t="shared" si="7"/>
        <v>0</v>
      </c>
      <c r="CO25" s="1793">
        <f t="shared" si="8"/>
        <v>0</v>
      </c>
    </row>
    <row r="26" spans="1:93" s="170" customFormat="1" ht="15" customHeight="1" x14ac:dyDescent="0.25">
      <c r="A26" s="6458"/>
      <c r="B26" s="6456" t="s">
        <v>2263</v>
      </c>
      <c r="C26" s="2894" t="s">
        <v>2264</v>
      </c>
      <c r="D26" s="2861">
        <f>SUM(E26:F26)</f>
        <v>0</v>
      </c>
      <c r="E26" s="106"/>
      <c r="F26" s="2008"/>
      <c r="G26" s="2008"/>
      <c r="H26" s="2895"/>
      <c r="I26" s="2896"/>
      <c r="J26" s="2009"/>
      <c r="K26" s="2008"/>
      <c r="L26" s="2008"/>
      <c r="M26" s="2008"/>
      <c r="N26" s="2008"/>
      <c r="O26" s="2008"/>
      <c r="P26" s="2008"/>
      <c r="Q26" s="2008"/>
      <c r="R26" s="2008"/>
      <c r="S26" s="2008"/>
      <c r="T26" s="2008"/>
      <c r="U26" s="2008"/>
      <c r="V26" s="2008"/>
      <c r="W26" s="2008"/>
      <c r="X26" s="2892"/>
      <c r="Y26" s="2897"/>
      <c r="Z26" s="2895"/>
      <c r="AA26" s="2898"/>
      <c r="AB26" s="2899"/>
      <c r="AC26" s="2871"/>
      <c r="AD26" s="2871"/>
      <c r="AE26" s="4601"/>
      <c r="AF26" s="2871"/>
      <c r="AG26" s="2871"/>
      <c r="AH26" s="1755" t="str">
        <f t="shared" si="9"/>
        <v/>
      </c>
      <c r="CA26" s="2873" t="str">
        <f t="shared" si="10"/>
        <v/>
      </c>
      <c r="CB26" s="2873" t="str">
        <f t="shared" si="1"/>
        <v/>
      </c>
      <c r="CC26" s="2873" t="str">
        <f t="shared" si="2"/>
        <v/>
      </c>
      <c r="CD26" s="3107"/>
      <c r="CE26" s="2873" t="str">
        <f t="shared" si="4"/>
        <v/>
      </c>
      <c r="CF26" s="2718"/>
      <c r="CJ26" s="603"/>
      <c r="CK26" s="1793">
        <f t="shared" si="11"/>
        <v>0</v>
      </c>
      <c r="CL26" s="1793">
        <f t="shared" si="5"/>
        <v>0</v>
      </c>
      <c r="CM26" s="1793">
        <f t="shared" si="6"/>
        <v>0</v>
      </c>
      <c r="CN26" s="2872"/>
      <c r="CO26" s="1793">
        <f t="shared" si="8"/>
        <v>0</v>
      </c>
    </row>
    <row r="27" spans="1:93" s="170" customFormat="1" ht="15" customHeight="1" x14ac:dyDescent="0.25">
      <c r="A27" s="6458"/>
      <c r="B27" s="6455"/>
      <c r="C27" s="2888" t="s">
        <v>2265</v>
      </c>
      <c r="D27" s="926">
        <f>SUM(E27:G27)</f>
        <v>0</v>
      </c>
      <c r="E27" s="1089"/>
      <c r="F27" s="2008"/>
      <c r="G27" s="2008"/>
      <c r="H27" s="2039"/>
      <c r="I27" s="876"/>
      <c r="J27" s="2900"/>
      <c r="K27" s="2480"/>
      <c r="L27" s="2480"/>
      <c r="M27" s="2480"/>
      <c r="N27" s="2480"/>
      <c r="O27" s="2480"/>
      <c r="P27" s="2480"/>
      <c r="Q27" s="2480"/>
      <c r="R27" s="2480"/>
      <c r="S27" s="2480"/>
      <c r="T27" s="2480"/>
      <c r="U27" s="2480"/>
      <c r="V27" s="2480"/>
      <c r="W27" s="2480"/>
      <c r="X27" s="924"/>
      <c r="Y27" s="2901"/>
      <c r="Z27" s="2039"/>
      <c r="AA27" s="2902"/>
      <c r="AB27" s="1079"/>
      <c r="AC27" s="83"/>
      <c r="AD27" s="83"/>
      <c r="AE27" s="3234"/>
      <c r="AF27" s="83"/>
      <c r="AG27" s="83"/>
      <c r="AH27" s="1755" t="str">
        <f t="shared" si="9"/>
        <v/>
      </c>
      <c r="CA27" s="2873" t="str">
        <f t="shared" si="10"/>
        <v/>
      </c>
      <c r="CB27" s="2873" t="str">
        <f t="shared" si="1"/>
        <v/>
      </c>
      <c r="CC27" s="2873" t="str">
        <f t="shared" si="2"/>
        <v/>
      </c>
      <c r="CD27" s="2873" t="str">
        <f t="shared" si="3"/>
        <v/>
      </c>
      <c r="CE27" s="2873" t="str">
        <f t="shared" si="4"/>
        <v/>
      </c>
      <c r="CF27" s="2718"/>
      <c r="CJ27" s="603"/>
      <c r="CK27" s="1793">
        <f t="shared" si="11"/>
        <v>0</v>
      </c>
      <c r="CL27" s="1793">
        <f t="shared" si="5"/>
        <v>0</v>
      </c>
      <c r="CM27" s="1793">
        <f t="shared" si="6"/>
        <v>0</v>
      </c>
      <c r="CN27" s="1793">
        <f t="shared" si="7"/>
        <v>0</v>
      </c>
      <c r="CO27" s="1793">
        <f t="shared" si="8"/>
        <v>0</v>
      </c>
    </row>
    <row r="28" spans="1:93" s="170" customFormat="1" ht="15" customHeight="1" x14ac:dyDescent="0.25">
      <c r="A28" s="6458"/>
      <c r="B28" s="6457"/>
      <c r="C28" s="2903" t="s">
        <v>28</v>
      </c>
      <c r="D28" s="150">
        <f>SUM(E28:G28)</f>
        <v>0</v>
      </c>
      <c r="E28" s="114"/>
      <c r="F28" s="2904"/>
      <c r="G28" s="2904"/>
      <c r="H28" s="197"/>
      <c r="I28" s="874"/>
      <c r="J28" s="197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929"/>
      <c r="Y28" s="2905"/>
      <c r="Z28" s="225"/>
      <c r="AA28" s="2906"/>
      <c r="AB28" s="2501"/>
      <c r="AC28" s="2501"/>
      <c r="AD28" s="2501"/>
      <c r="AE28" s="4602"/>
      <c r="AF28" s="2501"/>
      <c r="AG28" s="2501"/>
      <c r="AH28" s="1755" t="str">
        <f t="shared" si="9"/>
        <v/>
      </c>
      <c r="CA28" s="2873" t="str">
        <f t="shared" si="10"/>
        <v/>
      </c>
      <c r="CB28" s="2873" t="str">
        <f t="shared" si="1"/>
        <v/>
      </c>
      <c r="CC28" s="2873" t="str">
        <f t="shared" si="2"/>
        <v/>
      </c>
      <c r="CD28" s="2873" t="str">
        <f t="shared" si="3"/>
        <v/>
      </c>
      <c r="CE28" s="2873" t="str">
        <f t="shared" si="4"/>
        <v/>
      </c>
      <c r="CF28" s="2718"/>
      <c r="CJ28" s="603"/>
      <c r="CK28" s="1793">
        <f t="shared" si="11"/>
        <v>0</v>
      </c>
      <c r="CL28" s="1793">
        <f t="shared" si="5"/>
        <v>0</v>
      </c>
      <c r="CM28" s="1793">
        <f t="shared" si="6"/>
        <v>0</v>
      </c>
      <c r="CN28" s="1793">
        <f t="shared" si="7"/>
        <v>0</v>
      </c>
      <c r="CO28" s="1793">
        <f t="shared" si="8"/>
        <v>0</v>
      </c>
    </row>
    <row r="29" spans="1:93" s="170" customFormat="1" ht="15" customHeight="1" x14ac:dyDescent="0.25">
      <c r="A29" s="6458"/>
      <c r="B29" s="6456" t="s">
        <v>2266</v>
      </c>
      <c r="C29" s="2874" t="s">
        <v>2267</v>
      </c>
      <c r="D29" s="2875">
        <f>SUM(E29:H29)</f>
        <v>0</v>
      </c>
      <c r="E29" s="2496"/>
      <c r="F29" s="320"/>
      <c r="G29" s="320"/>
      <c r="H29" s="320"/>
      <c r="I29" s="2907"/>
      <c r="J29" s="2908"/>
      <c r="K29" s="2909"/>
      <c r="L29" s="2909"/>
      <c r="M29" s="2910"/>
      <c r="N29" s="2910"/>
      <c r="O29" s="2910"/>
      <c r="P29" s="2910"/>
      <c r="Q29" s="2910"/>
      <c r="R29" s="2910"/>
      <c r="S29" s="2910"/>
      <c r="T29" s="2910"/>
      <c r="U29" s="2910"/>
      <c r="V29" s="2910"/>
      <c r="W29" s="2910"/>
      <c r="X29" s="2910"/>
      <c r="Y29" s="2911"/>
      <c r="Z29" s="2866"/>
      <c r="AA29" s="2869"/>
      <c r="AB29" s="2871"/>
      <c r="AC29" s="2871"/>
      <c r="AD29" s="2871"/>
      <c r="AE29" s="2871"/>
      <c r="AF29" s="2871"/>
      <c r="AG29" s="2871"/>
      <c r="AH29" s="1755" t="str">
        <f t="shared" si="9"/>
        <v/>
      </c>
      <c r="CA29" s="2873" t="str">
        <f t="shared" si="10"/>
        <v/>
      </c>
      <c r="CB29" s="2873" t="str">
        <f t="shared" si="1"/>
        <v/>
      </c>
      <c r="CC29" s="2873" t="str">
        <f t="shared" si="2"/>
        <v/>
      </c>
      <c r="CD29" s="2873" t="str">
        <f t="shared" si="3"/>
        <v/>
      </c>
      <c r="CE29" s="2873" t="str">
        <f t="shared" si="4"/>
        <v/>
      </c>
      <c r="CF29" s="2718"/>
      <c r="CJ29" s="603"/>
      <c r="CK29" s="1793">
        <f t="shared" si="11"/>
        <v>0</v>
      </c>
      <c r="CL29" s="1793">
        <f t="shared" si="5"/>
        <v>0</v>
      </c>
      <c r="CM29" s="1793">
        <f t="shared" si="6"/>
        <v>0</v>
      </c>
      <c r="CN29" s="1793">
        <f t="shared" si="7"/>
        <v>0</v>
      </c>
      <c r="CO29" s="1793">
        <f t="shared" si="8"/>
        <v>0</v>
      </c>
    </row>
    <row r="30" spans="1:93" s="170" customFormat="1" ht="15" customHeight="1" x14ac:dyDescent="0.25">
      <c r="A30" s="6458"/>
      <c r="B30" s="6455"/>
      <c r="C30" s="2912" t="s">
        <v>2268</v>
      </c>
      <c r="D30" s="1075">
        <f>SUM(I30+J30)</f>
        <v>0</v>
      </c>
      <c r="E30" s="3938"/>
      <c r="F30" s="899"/>
      <c r="G30" s="899"/>
      <c r="H30" s="899"/>
      <c r="I30" s="83"/>
      <c r="J30" s="2181"/>
      <c r="K30" s="2480"/>
      <c r="L30" s="2480"/>
      <c r="M30" s="2893"/>
      <c r="N30" s="2893"/>
      <c r="O30" s="2893"/>
      <c r="P30" s="2893"/>
      <c r="Q30" s="2893"/>
      <c r="R30" s="2893"/>
      <c r="S30" s="2893"/>
      <c r="T30" s="2893"/>
      <c r="U30" s="2893"/>
      <c r="V30" s="2893"/>
      <c r="W30" s="2893"/>
      <c r="X30" s="2893"/>
      <c r="Y30" s="2901"/>
      <c r="Z30" s="2039"/>
      <c r="AA30" s="2902"/>
      <c r="AB30" s="83"/>
      <c r="AC30" s="83"/>
      <c r="AD30" s="83"/>
      <c r="AE30" s="83"/>
      <c r="AF30" s="83"/>
      <c r="AG30" s="83"/>
      <c r="AH30" s="1755" t="str">
        <f t="shared" si="9"/>
        <v/>
      </c>
      <c r="CA30" s="2873" t="str">
        <f t="shared" si="10"/>
        <v/>
      </c>
      <c r="CB30" s="2873" t="str">
        <f t="shared" si="1"/>
        <v/>
      </c>
      <c r="CC30" s="2873" t="str">
        <f t="shared" si="2"/>
        <v/>
      </c>
      <c r="CD30" s="2873" t="str">
        <f t="shared" si="3"/>
        <v/>
      </c>
      <c r="CE30" s="2873" t="str">
        <f t="shared" si="4"/>
        <v/>
      </c>
      <c r="CF30" s="2718"/>
      <c r="CJ30" s="603"/>
      <c r="CK30" s="1793">
        <f t="shared" si="11"/>
        <v>0</v>
      </c>
      <c r="CL30" s="1793">
        <f t="shared" si="5"/>
        <v>0</v>
      </c>
      <c r="CM30" s="1793">
        <f t="shared" si="6"/>
        <v>0</v>
      </c>
      <c r="CN30" s="1793">
        <f t="shared" si="7"/>
        <v>0</v>
      </c>
      <c r="CO30" s="1793">
        <f t="shared" si="8"/>
        <v>0</v>
      </c>
    </row>
    <row r="31" spans="1:93" s="170" customFormat="1" ht="15" customHeight="1" x14ac:dyDescent="0.25">
      <c r="A31" s="6458"/>
      <c r="B31" s="6457"/>
      <c r="C31" s="2903" t="s">
        <v>28</v>
      </c>
      <c r="D31" s="150">
        <f>SUM(E31:I31)</f>
        <v>0</v>
      </c>
      <c r="E31" s="2498"/>
      <c r="F31" s="2499"/>
      <c r="G31" s="2499"/>
      <c r="H31" s="2499"/>
      <c r="I31" s="2889"/>
      <c r="J31" s="197"/>
      <c r="K31" s="225"/>
      <c r="L31" s="225"/>
      <c r="M31" s="929"/>
      <c r="N31" s="929"/>
      <c r="O31" s="929"/>
      <c r="P31" s="929"/>
      <c r="Q31" s="929"/>
      <c r="R31" s="929"/>
      <c r="S31" s="929"/>
      <c r="T31" s="929"/>
      <c r="U31" s="929"/>
      <c r="V31" s="929"/>
      <c r="W31" s="929"/>
      <c r="X31" s="929"/>
      <c r="Y31" s="2905"/>
      <c r="Z31" s="225"/>
      <c r="AA31" s="2906"/>
      <c r="AB31" s="2889"/>
      <c r="AC31" s="2889"/>
      <c r="AD31" s="2889"/>
      <c r="AE31" s="2889"/>
      <c r="AF31" s="2889"/>
      <c r="AG31" s="2889"/>
      <c r="AH31" s="1755" t="str">
        <f t="shared" si="9"/>
        <v/>
      </c>
      <c r="CA31" s="2873" t="str">
        <f t="shared" si="10"/>
        <v/>
      </c>
      <c r="CB31" s="2873" t="str">
        <f t="shared" si="1"/>
        <v/>
      </c>
      <c r="CC31" s="2873" t="str">
        <f t="shared" si="2"/>
        <v/>
      </c>
      <c r="CD31" s="2873" t="str">
        <f t="shared" si="3"/>
        <v/>
      </c>
      <c r="CE31" s="2873" t="str">
        <f t="shared" si="4"/>
        <v/>
      </c>
      <c r="CF31" s="2718"/>
      <c r="CJ31" s="603"/>
      <c r="CK31" s="1793">
        <f t="shared" si="11"/>
        <v>0</v>
      </c>
      <c r="CL31" s="1793">
        <f t="shared" si="5"/>
        <v>0</v>
      </c>
      <c r="CM31" s="1793">
        <f t="shared" si="6"/>
        <v>0</v>
      </c>
      <c r="CN31" s="1793">
        <f t="shared" si="7"/>
        <v>0</v>
      </c>
      <c r="CO31" s="1793">
        <f t="shared" si="8"/>
        <v>0</v>
      </c>
    </row>
    <row r="32" spans="1:93" s="170" customFormat="1" ht="15" customHeight="1" x14ac:dyDescent="0.25">
      <c r="A32" s="6458"/>
      <c r="B32" s="8302" t="s">
        <v>2269</v>
      </c>
      <c r="C32" s="8303"/>
      <c r="D32" s="2913">
        <f>SUM(E32:X32)</f>
        <v>0</v>
      </c>
      <c r="E32" s="2914"/>
      <c r="F32" s="2915"/>
      <c r="G32" s="2915"/>
      <c r="H32" s="2915"/>
      <c r="I32" s="2916"/>
      <c r="J32" s="2917"/>
      <c r="K32" s="2915"/>
      <c r="L32" s="2915"/>
      <c r="M32" s="2918"/>
      <c r="N32" s="2918"/>
      <c r="O32" s="2918"/>
      <c r="P32" s="2918"/>
      <c r="Q32" s="2918"/>
      <c r="R32" s="2918"/>
      <c r="S32" s="2918"/>
      <c r="T32" s="2918"/>
      <c r="U32" s="2918"/>
      <c r="V32" s="2918"/>
      <c r="W32" s="2918"/>
      <c r="X32" s="2918"/>
      <c r="Y32" s="2919"/>
      <c r="Z32" s="2915"/>
      <c r="AA32" s="2920"/>
      <c r="AB32" s="2916"/>
      <c r="AC32" s="2916"/>
      <c r="AD32" s="2916"/>
      <c r="AE32" s="2916"/>
      <c r="AF32" s="2916"/>
      <c r="AG32" s="2916"/>
      <c r="AH32" s="1755" t="str">
        <f t="shared" si="9"/>
        <v/>
      </c>
      <c r="CA32" s="2873" t="str">
        <f t="shared" si="10"/>
        <v/>
      </c>
      <c r="CB32" s="2873" t="str">
        <f t="shared" si="1"/>
        <v/>
      </c>
      <c r="CC32" s="2873" t="str">
        <f t="shared" si="2"/>
        <v/>
      </c>
      <c r="CD32" s="2873" t="str">
        <f t="shared" si="3"/>
        <v/>
      </c>
      <c r="CE32" s="2873" t="str">
        <f t="shared" si="4"/>
        <v/>
      </c>
      <c r="CF32" s="2718"/>
      <c r="CJ32" s="603"/>
      <c r="CK32" s="1793">
        <f t="shared" si="11"/>
        <v>0</v>
      </c>
      <c r="CL32" s="1793">
        <f t="shared" si="5"/>
        <v>0</v>
      </c>
      <c r="CM32" s="1793">
        <f t="shared" si="6"/>
        <v>0</v>
      </c>
      <c r="CN32" s="1793">
        <f t="shared" si="7"/>
        <v>0</v>
      </c>
      <c r="CO32" s="1793">
        <f t="shared" si="8"/>
        <v>0</v>
      </c>
    </row>
    <row r="33" spans="1:93" s="170" customFormat="1" ht="15" customHeight="1" x14ac:dyDescent="0.25">
      <c r="A33" s="6458"/>
      <c r="B33" s="6457" t="s">
        <v>2270</v>
      </c>
      <c r="C33" s="2015" t="s">
        <v>2271</v>
      </c>
      <c r="D33" s="1760">
        <f>SUM(E33:X33)</f>
        <v>0</v>
      </c>
      <c r="E33" s="106"/>
      <c r="F33" s="1086"/>
      <c r="G33" s="1086"/>
      <c r="H33" s="1086"/>
      <c r="I33" s="105"/>
      <c r="J33" s="591"/>
      <c r="K33" s="1086"/>
      <c r="L33" s="1086"/>
      <c r="M33" s="844"/>
      <c r="N33" s="844"/>
      <c r="O33" s="844"/>
      <c r="P33" s="844"/>
      <c r="Q33" s="844"/>
      <c r="R33" s="844"/>
      <c r="S33" s="844"/>
      <c r="T33" s="844"/>
      <c r="U33" s="844"/>
      <c r="V33" s="844"/>
      <c r="W33" s="844"/>
      <c r="X33" s="844"/>
      <c r="Y33" s="2891"/>
      <c r="Z33" s="1086"/>
      <c r="AA33" s="776"/>
      <c r="AB33" s="105"/>
      <c r="AC33" s="105"/>
      <c r="AD33" s="105"/>
      <c r="AE33" s="105"/>
      <c r="AF33" s="105"/>
      <c r="AG33" s="105"/>
      <c r="AH33" s="1755" t="str">
        <f t="shared" si="9"/>
        <v/>
      </c>
      <c r="CA33" s="2873" t="str">
        <f t="shared" si="10"/>
        <v/>
      </c>
      <c r="CB33" s="2873" t="str">
        <f t="shared" si="1"/>
        <v/>
      </c>
      <c r="CC33" s="2873" t="str">
        <f t="shared" si="2"/>
        <v/>
      </c>
      <c r="CD33" s="2873" t="str">
        <f t="shared" si="3"/>
        <v/>
      </c>
      <c r="CE33" s="2873" t="str">
        <f t="shared" si="4"/>
        <v/>
      </c>
      <c r="CF33" s="2718"/>
      <c r="CJ33" s="603"/>
      <c r="CK33" s="1793">
        <f t="shared" si="11"/>
        <v>0</v>
      </c>
      <c r="CL33" s="1793">
        <f t="shared" si="5"/>
        <v>0</v>
      </c>
      <c r="CM33" s="1793">
        <f t="shared" si="6"/>
        <v>0</v>
      </c>
      <c r="CN33" s="1793">
        <f t="shared" si="7"/>
        <v>0</v>
      </c>
      <c r="CO33" s="1793">
        <f t="shared" si="8"/>
        <v>0</v>
      </c>
    </row>
    <row r="34" spans="1:93" s="170" customFormat="1" ht="15" customHeight="1" x14ac:dyDescent="0.25">
      <c r="A34" s="6458"/>
      <c r="B34" s="8304"/>
      <c r="C34" s="2881" t="s">
        <v>2272</v>
      </c>
      <c r="D34" s="1075">
        <f>SUM(E34:X34)</f>
        <v>0</v>
      </c>
      <c r="E34" s="1089"/>
      <c r="F34" s="1090"/>
      <c r="G34" s="1090"/>
      <c r="H34" s="1090"/>
      <c r="I34" s="83"/>
      <c r="J34" s="2181"/>
      <c r="K34" s="1090"/>
      <c r="L34" s="1090"/>
      <c r="M34" s="1098"/>
      <c r="N34" s="1098"/>
      <c r="O34" s="1098"/>
      <c r="P34" s="1098"/>
      <c r="Q34" s="1098"/>
      <c r="R34" s="1098"/>
      <c r="S34" s="1098"/>
      <c r="T34" s="1098"/>
      <c r="U34" s="1098"/>
      <c r="V34" s="1098"/>
      <c r="W34" s="1098"/>
      <c r="X34" s="1098"/>
      <c r="Y34" s="1132"/>
      <c r="Z34" s="1090"/>
      <c r="AA34" s="1078"/>
      <c r="AB34" s="83"/>
      <c r="AC34" s="83"/>
      <c r="AD34" s="83"/>
      <c r="AE34" s="83"/>
      <c r="AF34" s="83"/>
      <c r="AG34" s="83"/>
      <c r="AH34" s="1755" t="str">
        <f t="shared" si="9"/>
        <v/>
      </c>
      <c r="CA34" s="2873" t="str">
        <f t="shared" si="10"/>
        <v/>
      </c>
      <c r="CB34" s="2873" t="str">
        <f t="shared" si="1"/>
        <v/>
      </c>
      <c r="CC34" s="2873" t="str">
        <f t="shared" si="2"/>
        <v/>
      </c>
      <c r="CD34" s="2873" t="str">
        <f t="shared" si="3"/>
        <v/>
      </c>
      <c r="CE34" s="2873" t="str">
        <f t="shared" si="4"/>
        <v/>
      </c>
      <c r="CF34" s="2718"/>
      <c r="CJ34" s="603"/>
      <c r="CK34" s="1793">
        <f t="shared" si="11"/>
        <v>0</v>
      </c>
      <c r="CL34" s="1793">
        <f t="shared" si="5"/>
        <v>0</v>
      </c>
      <c r="CM34" s="1793">
        <f t="shared" si="6"/>
        <v>0</v>
      </c>
      <c r="CN34" s="1793">
        <f t="shared" si="7"/>
        <v>0</v>
      </c>
      <c r="CO34" s="1793">
        <f t="shared" si="8"/>
        <v>0</v>
      </c>
    </row>
    <row r="35" spans="1:93" s="170" customFormat="1" ht="15" customHeight="1" x14ac:dyDescent="0.25">
      <c r="A35" s="6458"/>
      <c r="B35" s="8305" t="s">
        <v>2273</v>
      </c>
      <c r="C35" s="8305"/>
      <c r="D35" s="1075">
        <f>SUM(E35:X35)</f>
        <v>0</v>
      </c>
      <c r="E35" s="1089"/>
      <c r="F35" s="1090"/>
      <c r="G35" s="1090"/>
      <c r="H35" s="1090"/>
      <c r="I35" s="83"/>
      <c r="J35" s="2181"/>
      <c r="K35" s="1090"/>
      <c r="L35" s="1090"/>
      <c r="M35" s="1098"/>
      <c r="N35" s="1098"/>
      <c r="O35" s="1098"/>
      <c r="P35" s="1098"/>
      <c r="Q35" s="1098"/>
      <c r="R35" s="1098"/>
      <c r="S35" s="1098"/>
      <c r="T35" s="1098"/>
      <c r="U35" s="1098"/>
      <c r="V35" s="1098"/>
      <c r="W35" s="1098"/>
      <c r="X35" s="1098"/>
      <c r="Y35" s="1132"/>
      <c r="Z35" s="1090"/>
      <c r="AA35" s="1078"/>
      <c r="AB35" s="83"/>
      <c r="AC35" s="83"/>
      <c r="AD35" s="83"/>
      <c r="AE35" s="83"/>
      <c r="AF35" s="83"/>
      <c r="AG35" s="83"/>
      <c r="AH35" s="1755" t="str">
        <f t="shared" si="9"/>
        <v/>
      </c>
      <c r="CA35" s="2873" t="str">
        <f t="shared" si="10"/>
        <v/>
      </c>
      <c r="CB35" s="2873" t="str">
        <f t="shared" si="1"/>
        <v/>
      </c>
      <c r="CC35" s="2873" t="str">
        <f t="shared" si="2"/>
        <v/>
      </c>
      <c r="CD35" s="2873" t="str">
        <f t="shared" si="3"/>
        <v/>
      </c>
      <c r="CE35" s="2873" t="str">
        <f t="shared" si="4"/>
        <v/>
      </c>
      <c r="CF35" s="2718"/>
      <c r="CJ35" s="603"/>
      <c r="CK35" s="1793">
        <f t="shared" si="11"/>
        <v>0</v>
      </c>
      <c r="CL35" s="1793">
        <f t="shared" si="5"/>
        <v>0</v>
      </c>
      <c r="CM35" s="1793">
        <f t="shared" si="6"/>
        <v>0</v>
      </c>
      <c r="CN35" s="1793">
        <f t="shared" si="7"/>
        <v>0</v>
      </c>
      <c r="CO35" s="1793">
        <f t="shared" si="8"/>
        <v>0</v>
      </c>
    </row>
    <row r="36" spans="1:93" s="170" customFormat="1" ht="15" customHeight="1" x14ac:dyDescent="0.25">
      <c r="A36" s="6458"/>
      <c r="B36" s="7402" t="s">
        <v>2274</v>
      </c>
      <c r="C36" s="8300"/>
      <c r="D36" s="1075">
        <f>SUM(E36:X36)</f>
        <v>0</v>
      </c>
      <c r="E36" s="1089"/>
      <c r="F36" s="1090"/>
      <c r="G36" s="1090"/>
      <c r="H36" s="1090"/>
      <c r="I36" s="83"/>
      <c r="J36" s="2181"/>
      <c r="K36" s="1090"/>
      <c r="L36" s="1090"/>
      <c r="M36" s="1098"/>
      <c r="N36" s="1098"/>
      <c r="O36" s="1098"/>
      <c r="P36" s="1098"/>
      <c r="Q36" s="1098"/>
      <c r="R36" s="1098"/>
      <c r="S36" s="1098"/>
      <c r="T36" s="1098"/>
      <c r="U36" s="1098"/>
      <c r="V36" s="1098"/>
      <c r="W36" s="1098"/>
      <c r="X36" s="1098"/>
      <c r="Y36" s="1132"/>
      <c r="Z36" s="1090"/>
      <c r="AA36" s="1078"/>
      <c r="AB36" s="83"/>
      <c r="AC36" s="83"/>
      <c r="AD36" s="83"/>
      <c r="AE36" s="83"/>
      <c r="AF36" s="83"/>
      <c r="AG36" s="83"/>
      <c r="AH36" s="1755" t="str">
        <f t="shared" si="9"/>
        <v/>
      </c>
      <c r="CA36" s="2873" t="str">
        <f t="shared" si="10"/>
        <v/>
      </c>
      <c r="CB36" s="2873" t="str">
        <f t="shared" si="1"/>
        <v/>
      </c>
      <c r="CC36" s="2873" t="str">
        <f t="shared" si="2"/>
        <v/>
      </c>
      <c r="CD36" s="2873" t="str">
        <f t="shared" si="3"/>
        <v/>
      </c>
      <c r="CE36" s="2873" t="str">
        <f t="shared" si="4"/>
        <v/>
      </c>
      <c r="CF36" s="2718"/>
      <c r="CJ36" s="603"/>
      <c r="CK36" s="1793">
        <f t="shared" si="11"/>
        <v>0</v>
      </c>
      <c r="CL36" s="1793">
        <f t="shared" si="5"/>
        <v>0</v>
      </c>
      <c r="CM36" s="1793">
        <f t="shared" si="6"/>
        <v>0</v>
      </c>
      <c r="CN36" s="1793">
        <f t="shared" si="7"/>
        <v>0</v>
      </c>
      <c r="CO36" s="1793">
        <f t="shared" si="8"/>
        <v>0</v>
      </c>
    </row>
    <row r="37" spans="1:93" s="170" customFormat="1" ht="15" customHeight="1" x14ac:dyDescent="0.25">
      <c r="A37" s="6458"/>
      <c r="B37" s="7454" t="s">
        <v>2275</v>
      </c>
      <c r="C37" s="7387"/>
      <c r="D37" s="2921">
        <f>SUM(J37:S37)</f>
        <v>0</v>
      </c>
      <c r="E37" s="1087"/>
      <c r="F37" s="2480"/>
      <c r="G37" s="2480"/>
      <c r="H37" s="2480"/>
      <c r="I37" s="194"/>
      <c r="J37" s="2181"/>
      <c r="K37" s="1090"/>
      <c r="L37" s="1090"/>
      <c r="M37" s="1098"/>
      <c r="N37" s="1098"/>
      <c r="O37" s="1098"/>
      <c r="P37" s="1098"/>
      <c r="Q37" s="1098"/>
      <c r="R37" s="1098"/>
      <c r="S37" s="1098"/>
      <c r="T37" s="2893"/>
      <c r="U37" s="2893"/>
      <c r="V37" s="2893"/>
      <c r="W37" s="2893"/>
      <c r="X37" s="2893"/>
      <c r="Y37" s="1132"/>
      <c r="Z37" s="1090"/>
      <c r="AA37" s="1078"/>
      <c r="AB37" s="83"/>
      <c r="AC37" s="83"/>
      <c r="AD37" s="83"/>
      <c r="AE37" s="83"/>
      <c r="AF37" s="83"/>
      <c r="AG37" s="83"/>
      <c r="AH37" s="1755" t="str">
        <f t="shared" si="9"/>
        <v/>
      </c>
      <c r="CA37" s="2873" t="str">
        <f t="shared" si="10"/>
        <v/>
      </c>
      <c r="CB37" s="2873" t="str">
        <f t="shared" si="1"/>
        <v/>
      </c>
      <c r="CC37" s="2873" t="str">
        <f t="shared" si="2"/>
        <v/>
      </c>
      <c r="CD37" s="2873" t="str">
        <f t="shared" si="3"/>
        <v/>
      </c>
      <c r="CE37" s="2873" t="str">
        <f t="shared" si="4"/>
        <v/>
      </c>
      <c r="CF37" s="2718"/>
      <c r="CJ37" s="603"/>
      <c r="CK37" s="1793">
        <f t="shared" si="11"/>
        <v>0</v>
      </c>
      <c r="CL37" s="1793">
        <f t="shared" si="5"/>
        <v>0</v>
      </c>
      <c r="CM37" s="1793">
        <f t="shared" si="6"/>
        <v>0</v>
      </c>
      <c r="CN37" s="1793">
        <f t="shared" si="7"/>
        <v>0</v>
      </c>
      <c r="CO37" s="1793">
        <f t="shared" si="8"/>
        <v>0</v>
      </c>
    </row>
    <row r="38" spans="1:93" s="170" customFormat="1" ht="15" customHeight="1" x14ac:dyDescent="0.25">
      <c r="A38" s="6458"/>
      <c r="B38" s="8278" t="s">
        <v>2276</v>
      </c>
      <c r="C38" s="8279"/>
      <c r="D38" s="926">
        <f>SUM(E38:X38)</f>
        <v>0</v>
      </c>
      <c r="E38" s="90"/>
      <c r="F38" s="127"/>
      <c r="G38" s="127"/>
      <c r="H38" s="127"/>
      <c r="I38" s="91"/>
      <c r="J38" s="129"/>
      <c r="K38" s="127"/>
      <c r="L38" s="127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2922"/>
      <c r="Z38" s="127"/>
      <c r="AA38" s="94"/>
      <c r="AB38" s="91"/>
      <c r="AC38" s="91"/>
      <c r="AD38" s="91"/>
      <c r="AE38" s="91"/>
      <c r="AF38" s="91"/>
      <c r="AG38" s="91"/>
      <c r="AH38" s="1755" t="str">
        <f t="shared" si="9"/>
        <v/>
      </c>
      <c r="CA38" s="2873" t="str">
        <f t="shared" si="10"/>
        <v/>
      </c>
      <c r="CB38" s="2873" t="str">
        <f t="shared" si="1"/>
        <v/>
      </c>
      <c r="CC38" s="2873" t="str">
        <f t="shared" si="2"/>
        <v/>
      </c>
      <c r="CD38" s="2873" t="str">
        <f t="shared" si="3"/>
        <v/>
      </c>
      <c r="CE38" s="2873" t="str">
        <f t="shared" si="4"/>
        <v/>
      </c>
      <c r="CF38" s="2718"/>
      <c r="CJ38" s="603"/>
      <c r="CK38" s="1793">
        <f t="shared" si="11"/>
        <v>0</v>
      </c>
      <c r="CL38" s="1793">
        <f t="shared" si="5"/>
        <v>0</v>
      </c>
      <c r="CM38" s="1793">
        <f t="shared" si="6"/>
        <v>0</v>
      </c>
      <c r="CN38" s="1793">
        <f t="shared" si="7"/>
        <v>0</v>
      </c>
      <c r="CO38" s="1793">
        <f t="shared" si="8"/>
        <v>0</v>
      </c>
    </row>
    <row r="39" spans="1:93" s="170" customFormat="1" ht="15" customHeight="1" x14ac:dyDescent="0.25">
      <c r="A39" s="6458"/>
      <c r="B39" s="6456" t="s">
        <v>2277</v>
      </c>
      <c r="C39" s="2923" t="s">
        <v>2278</v>
      </c>
      <c r="D39" s="2875">
        <f>SUM(U39:X39)</f>
        <v>0</v>
      </c>
      <c r="E39" s="2502"/>
      <c r="F39" s="2909"/>
      <c r="G39" s="2909"/>
      <c r="H39" s="2909"/>
      <c r="I39" s="2907"/>
      <c r="J39" s="2908"/>
      <c r="K39" s="2909"/>
      <c r="L39" s="2909"/>
      <c r="M39" s="2909"/>
      <c r="N39" s="2909"/>
      <c r="O39" s="2909"/>
      <c r="P39" s="2909"/>
      <c r="Q39" s="2909"/>
      <c r="R39" s="2909"/>
      <c r="S39" s="2909"/>
      <c r="T39" s="2909"/>
      <c r="U39" s="2924"/>
      <c r="V39" s="2924"/>
      <c r="W39" s="2924"/>
      <c r="X39" s="2924"/>
      <c r="Y39" s="2925"/>
      <c r="Z39" s="2909"/>
      <c r="AA39" s="2926"/>
      <c r="AB39" s="83"/>
      <c r="AC39" s="83"/>
      <c r="AD39" s="83"/>
      <c r="AE39" s="83"/>
      <c r="AF39" s="83"/>
      <c r="AG39" s="83"/>
      <c r="AH39" s="1755" t="str">
        <f t="shared" si="9"/>
        <v/>
      </c>
      <c r="CA39" s="2873" t="str">
        <f t="shared" si="10"/>
        <v/>
      </c>
      <c r="CB39" s="2873" t="str">
        <f t="shared" si="1"/>
        <v/>
      </c>
      <c r="CC39" s="2873" t="str">
        <f t="shared" si="2"/>
        <v/>
      </c>
      <c r="CD39" s="2873" t="str">
        <f t="shared" si="3"/>
        <v/>
      </c>
      <c r="CE39" s="2873" t="str">
        <f t="shared" si="4"/>
        <v/>
      </c>
      <c r="CF39" s="2718"/>
      <c r="CJ39" s="603"/>
      <c r="CK39" s="1793">
        <f t="shared" si="11"/>
        <v>0</v>
      </c>
      <c r="CL39" s="1793">
        <f t="shared" si="5"/>
        <v>0</v>
      </c>
      <c r="CM39" s="1793">
        <f t="shared" si="6"/>
        <v>0</v>
      </c>
      <c r="CN39" s="1793">
        <f t="shared" si="7"/>
        <v>0</v>
      </c>
      <c r="CO39" s="1793">
        <f t="shared" si="8"/>
        <v>0</v>
      </c>
    </row>
    <row r="40" spans="1:93" s="170" customFormat="1" ht="15" customHeight="1" x14ac:dyDescent="0.25">
      <c r="A40" s="6458"/>
      <c r="B40" s="6455"/>
      <c r="C40" s="2927" t="s">
        <v>2279</v>
      </c>
      <c r="D40" s="1075">
        <f>SUM(U40:X40)</f>
        <v>0</v>
      </c>
      <c r="E40" s="1087"/>
      <c r="F40" s="2480"/>
      <c r="G40" s="2480"/>
      <c r="H40" s="2480"/>
      <c r="I40" s="194"/>
      <c r="J40" s="2900"/>
      <c r="K40" s="2480"/>
      <c r="L40" s="2480"/>
      <c r="M40" s="2480"/>
      <c r="N40" s="2480"/>
      <c r="O40" s="2480"/>
      <c r="P40" s="2480"/>
      <c r="Q40" s="2480"/>
      <c r="R40" s="2480"/>
      <c r="S40" s="2480"/>
      <c r="T40" s="2480"/>
      <c r="U40" s="1098"/>
      <c r="V40" s="1098"/>
      <c r="W40" s="1098"/>
      <c r="X40" s="1098"/>
      <c r="Y40" s="2928"/>
      <c r="Z40" s="2480"/>
      <c r="AA40" s="2034"/>
      <c r="AB40" s="83"/>
      <c r="AC40" s="83"/>
      <c r="AD40" s="83"/>
      <c r="AE40" s="83"/>
      <c r="AF40" s="83"/>
      <c r="AG40" s="83"/>
      <c r="AH40" s="1755" t="str">
        <f t="shared" si="9"/>
        <v/>
      </c>
      <c r="CA40" s="2873" t="str">
        <f t="shared" si="10"/>
        <v/>
      </c>
      <c r="CB40" s="2873" t="str">
        <f t="shared" si="1"/>
        <v/>
      </c>
      <c r="CC40" s="2873" t="str">
        <f t="shared" si="2"/>
        <v/>
      </c>
      <c r="CD40" s="2873" t="str">
        <f t="shared" si="3"/>
        <v/>
      </c>
      <c r="CE40" s="2873" t="str">
        <f t="shared" si="4"/>
        <v/>
      </c>
      <c r="CF40" s="2718"/>
      <c r="CJ40" s="603"/>
      <c r="CK40" s="1793">
        <f t="shared" si="11"/>
        <v>0</v>
      </c>
      <c r="CL40" s="1793">
        <f t="shared" si="5"/>
        <v>0</v>
      </c>
      <c r="CM40" s="1793">
        <f t="shared" si="6"/>
        <v>0</v>
      </c>
      <c r="CN40" s="1793">
        <f t="shared" si="7"/>
        <v>0</v>
      </c>
      <c r="CO40" s="1793">
        <f t="shared" si="8"/>
        <v>0</v>
      </c>
    </row>
    <row r="41" spans="1:93" s="170" customFormat="1" ht="15" customHeight="1" x14ac:dyDescent="0.25">
      <c r="A41" s="6458"/>
      <c r="B41" s="6455"/>
      <c r="C41" s="2929" t="s">
        <v>2280</v>
      </c>
      <c r="D41" s="1075">
        <f>SUM(U41:X41)</f>
        <v>0</v>
      </c>
      <c r="E41" s="1087"/>
      <c r="F41" s="2480"/>
      <c r="G41" s="2480"/>
      <c r="H41" s="2480"/>
      <c r="I41" s="194"/>
      <c r="J41" s="2900"/>
      <c r="K41" s="2480"/>
      <c r="L41" s="2480"/>
      <c r="M41" s="2480"/>
      <c r="N41" s="2480"/>
      <c r="O41" s="2480"/>
      <c r="P41" s="2480"/>
      <c r="Q41" s="2480"/>
      <c r="R41" s="2480"/>
      <c r="S41" s="2480"/>
      <c r="T41" s="2480"/>
      <c r="U41" s="1098"/>
      <c r="V41" s="1098"/>
      <c r="W41" s="1098"/>
      <c r="X41" s="1098"/>
      <c r="Y41" s="2928"/>
      <c r="Z41" s="2480"/>
      <c r="AA41" s="2034"/>
      <c r="AB41" s="1079"/>
      <c r="AC41" s="83"/>
      <c r="AD41" s="83"/>
      <c r="AE41" s="83"/>
      <c r="AF41" s="83"/>
      <c r="AG41" s="83"/>
      <c r="AH41" s="1755" t="str">
        <f t="shared" si="9"/>
        <v/>
      </c>
      <c r="CA41" s="2873" t="str">
        <f t="shared" si="10"/>
        <v/>
      </c>
      <c r="CB41" s="2873" t="str">
        <f t="shared" si="1"/>
        <v/>
      </c>
      <c r="CC41" s="2873" t="str">
        <f t="shared" si="2"/>
        <v/>
      </c>
      <c r="CD41" s="2873" t="str">
        <f t="shared" si="3"/>
        <v/>
      </c>
      <c r="CE41" s="2873" t="str">
        <f t="shared" si="4"/>
        <v/>
      </c>
      <c r="CF41" s="2718"/>
      <c r="CJ41" s="603"/>
      <c r="CK41" s="1793">
        <f t="shared" si="11"/>
        <v>0</v>
      </c>
      <c r="CL41" s="1793">
        <f t="shared" si="5"/>
        <v>0</v>
      </c>
      <c r="CM41" s="1793">
        <f t="shared" si="6"/>
        <v>0</v>
      </c>
      <c r="CN41" s="1793">
        <f t="shared" si="7"/>
        <v>0</v>
      </c>
      <c r="CO41" s="1793">
        <f t="shared" si="8"/>
        <v>0</v>
      </c>
    </row>
    <row r="42" spans="1:93" s="170" customFormat="1" ht="15" customHeight="1" x14ac:dyDescent="0.25">
      <c r="A42" s="6458"/>
      <c r="B42" s="6455"/>
      <c r="C42" s="1753" t="s">
        <v>2281</v>
      </c>
      <c r="D42" s="1075">
        <f>SUM(U42:X42)</f>
        <v>0</v>
      </c>
      <c r="E42" s="1087"/>
      <c r="F42" s="3141"/>
      <c r="G42" s="3141"/>
      <c r="H42" s="3141"/>
      <c r="I42" s="3142"/>
      <c r="J42" s="4319"/>
      <c r="K42" s="3141"/>
      <c r="L42" s="3141"/>
      <c r="M42" s="2893"/>
      <c r="N42" s="2893"/>
      <c r="O42" s="2893"/>
      <c r="P42" s="2893"/>
      <c r="Q42" s="2893"/>
      <c r="R42" s="2893"/>
      <c r="S42" s="2893"/>
      <c r="T42" s="2893"/>
      <c r="U42" s="1098"/>
      <c r="V42" s="1098"/>
      <c r="W42" s="1098"/>
      <c r="X42" s="1098"/>
      <c r="Y42" s="2928"/>
      <c r="Z42" s="3141"/>
      <c r="AA42" s="2034"/>
      <c r="AB42" s="3166"/>
      <c r="AC42" s="3166"/>
      <c r="AD42" s="3166"/>
      <c r="AE42" s="3166"/>
      <c r="AF42" s="3166"/>
      <c r="AG42" s="3166"/>
      <c r="AH42" s="1755" t="str">
        <f t="shared" si="9"/>
        <v/>
      </c>
      <c r="CA42" s="2873" t="str">
        <f t="shared" si="10"/>
        <v/>
      </c>
      <c r="CB42" s="2873" t="str">
        <f t="shared" si="1"/>
        <v/>
      </c>
      <c r="CC42" s="2873" t="str">
        <f t="shared" si="2"/>
        <v/>
      </c>
      <c r="CD42" s="2873" t="str">
        <f t="shared" si="3"/>
        <v/>
      </c>
      <c r="CE42" s="2873" t="str">
        <f t="shared" si="4"/>
        <v/>
      </c>
      <c r="CF42" s="2718"/>
      <c r="CJ42" s="603"/>
      <c r="CK42" s="1793">
        <f t="shared" si="11"/>
        <v>0</v>
      </c>
      <c r="CL42" s="1793">
        <f t="shared" si="5"/>
        <v>0</v>
      </c>
      <c r="CM42" s="1793">
        <f t="shared" si="6"/>
        <v>0</v>
      </c>
      <c r="CN42" s="1793">
        <f t="shared" si="7"/>
        <v>0</v>
      </c>
      <c r="CO42" s="1793">
        <f t="shared" si="8"/>
        <v>0</v>
      </c>
    </row>
    <row r="43" spans="1:93" s="170" customFormat="1" ht="15" customHeight="1" x14ac:dyDescent="0.25">
      <c r="A43" s="6458"/>
      <c r="B43" s="6455"/>
      <c r="C43" s="2932" t="s">
        <v>2282</v>
      </c>
      <c r="D43" s="926">
        <f>SUM(U43:X43)</f>
        <v>0</v>
      </c>
      <c r="E43" s="2930"/>
      <c r="F43" s="2895"/>
      <c r="G43" s="2895"/>
      <c r="H43" s="2895"/>
      <c r="I43" s="906"/>
      <c r="J43" s="2931"/>
      <c r="K43" s="2895"/>
      <c r="L43" s="2895"/>
      <c r="M43" s="2892"/>
      <c r="N43" s="2892"/>
      <c r="O43" s="2892"/>
      <c r="P43" s="2892"/>
      <c r="Q43" s="2892"/>
      <c r="R43" s="2892"/>
      <c r="S43" s="2892"/>
      <c r="T43" s="2892"/>
      <c r="U43" s="1520"/>
      <c r="V43" s="1520"/>
      <c r="W43" s="1520"/>
      <c r="X43" s="1520"/>
      <c r="Y43" s="2897"/>
      <c r="Z43" s="2895"/>
      <c r="AA43" s="2898"/>
      <c r="AB43" s="878"/>
      <c r="AC43" s="878"/>
      <c r="AD43" s="878"/>
      <c r="AE43" s="878"/>
      <c r="AF43" s="878"/>
      <c r="AG43" s="878"/>
      <c r="AH43" s="1755" t="str">
        <f t="shared" si="9"/>
        <v/>
      </c>
      <c r="CA43" s="2873" t="str">
        <f t="shared" si="10"/>
        <v/>
      </c>
      <c r="CB43" s="2873" t="str">
        <f t="shared" si="1"/>
        <v/>
      </c>
      <c r="CC43" s="2873" t="str">
        <f t="shared" si="2"/>
        <v/>
      </c>
      <c r="CD43" s="2873" t="str">
        <f t="shared" si="3"/>
        <v/>
      </c>
      <c r="CE43" s="2873" t="str">
        <f t="shared" si="4"/>
        <v/>
      </c>
      <c r="CF43" s="2718"/>
      <c r="CJ43" s="603"/>
      <c r="CK43" s="1793">
        <f t="shared" si="11"/>
        <v>0</v>
      </c>
      <c r="CL43" s="1793">
        <f t="shared" si="5"/>
        <v>0</v>
      </c>
      <c r="CM43" s="1793">
        <f t="shared" si="6"/>
        <v>0</v>
      </c>
      <c r="CN43" s="1793">
        <f t="shared" si="7"/>
        <v>0</v>
      </c>
      <c r="CO43" s="1793">
        <f t="shared" si="8"/>
        <v>0</v>
      </c>
    </row>
    <row r="44" spans="1:93" s="170" customFormat="1" ht="15" customHeight="1" x14ac:dyDescent="0.25">
      <c r="A44" s="6458"/>
      <c r="B44" s="8280" t="s">
        <v>2283</v>
      </c>
      <c r="C44" s="8281"/>
      <c r="D44" s="2875">
        <f>SUM(E44:X44)</f>
        <v>0</v>
      </c>
      <c r="E44" s="2496"/>
      <c r="F44" s="320"/>
      <c r="G44" s="320"/>
      <c r="H44" s="320"/>
      <c r="I44" s="2871"/>
      <c r="J44" s="2933"/>
      <c r="K44" s="320"/>
      <c r="L44" s="320"/>
      <c r="M44" s="2924"/>
      <c r="N44" s="2924"/>
      <c r="O44" s="2924"/>
      <c r="P44" s="2924"/>
      <c r="Q44" s="2924"/>
      <c r="R44" s="2924"/>
      <c r="S44" s="2924"/>
      <c r="T44" s="2924"/>
      <c r="U44" s="2924"/>
      <c r="V44" s="2924"/>
      <c r="W44" s="2924"/>
      <c r="X44" s="2924"/>
      <c r="Y44" s="2925"/>
      <c r="Z44" s="2909"/>
      <c r="AA44" s="2926"/>
      <c r="AB44" s="2871"/>
      <c r="AC44" s="2871"/>
      <c r="AD44" s="2871"/>
      <c r="AE44" s="2871"/>
      <c r="AF44" s="2871"/>
      <c r="AG44" s="2871"/>
      <c r="AH44" s="1755" t="str">
        <f t="shared" si="9"/>
        <v/>
      </c>
      <c r="CA44" s="2873" t="str">
        <f t="shared" si="10"/>
        <v/>
      </c>
      <c r="CB44" s="2873" t="str">
        <f t="shared" si="1"/>
        <v/>
      </c>
      <c r="CC44" s="2873" t="str">
        <f t="shared" si="2"/>
        <v/>
      </c>
      <c r="CD44" s="2873" t="str">
        <f t="shared" si="3"/>
        <v/>
      </c>
      <c r="CE44" s="2873" t="str">
        <f t="shared" si="4"/>
        <v/>
      </c>
      <c r="CF44" s="2718"/>
      <c r="CJ44" s="603"/>
      <c r="CK44" s="1793">
        <f t="shared" si="11"/>
        <v>0</v>
      </c>
      <c r="CL44" s="1793">
        <f t="shared" si="5"/>
        <v>0</v>
      </c>
      <c r="CM44" s="1793">
        <f t="shared" si="6"/>
        <v>0</v>
      </c>
      <c r="CN44" s="1793">
        <f t="shared" si="7"/>
        <v>0</v>
      </c>
      <c r="CO44" s="1793">
        <f t="shared" si="8"/>
        <v>0</v>
      </c>
    </row>
    <row r="45" spans="1:93" s="170" customFormat="1" ht="15" customHeight="1" x14ac:dyDescent="0.25">
      <c r="A45" s="6458"/>
      <c r="B45" s="8282" t="s">
        <v>2284</v>
      </c>
      <c r="C45" s="8283"/>
      <c r="D45" s="2813">
        <f>SUM(E45:X45)</f>
        <v>0</v>
      </c>
      <c r="E45" s="2498"/>
      <c r="F45" s="2499"/>
      <c r="G45" s="2499"/>
      <c r="H45" s="2499"/>
      <c r="I45" s="2501"/>
      <c r="J45" s="2904"/>
      <c r="K45" s="2499"/>
      <c r="L45" s="2499"/>
      <c r="M45" s="2934"/>
      <c r="N45" s="2934"/>
      <c r="O45" s="2934"/>
      <c r="P45" s="2934"/>
      <c r="Q45" s="2934"/>
      <c r="R45" s="2934"/>
      <c r="S45" s="2934"/>
      <c r="T45" s="2934"/>
      <c r="U45" s="2934"/>
      <c r="V45" s="2934"/>
      <c r="W45" s="2934"/>
      <c r="X45" s="2934"/>
      <c r="Y45" s="2935"/>
      <c r="Z45" s="2936"/>
      <c r="AA45" s="2937"/>
      <c r="AB45" s="2889"/>
      <c r="AC45" s="2889"/>
      <c r="AD45" s="2889"/>
      <c r="AE45" s="2889"/>
      <c r="AF45" s="2889"/>
      <c r="AG45" s="2889"/>
      <c r="AH45" s="1755" t="str">
        <f t="shared" si="9"/>
        <v/>
      </c>
      <c r="CA45" s="2873" t="str">
        <f t="shared" si="10"/>
        <v/>
      </c>
      <c r="CB45" s="2873" t="str">
        <f t="shared" si="1"/>
        <v/>
      </c>
      <c r="CC45" s="2873" t="str">
        <f t="shared" si="2"/>
        <v/>
      </c>
      <c r="CD45" s="2873" t="str">
        <f t="shared" si="3"/>
        <v/>
      </c>
      <c r="CE45" s="2873" t="str">
        <f t="shared" si="4"/>
        <v/>
      </c>
      <c r="CF45" s="2718"/>
      <c r="CJ45" s="603"/>
      <c r="CK45" s="1793">
        <f t="shared" si="11"/>
        <v>0</v>
      </c>
      <c r="CL45" s="1793">
        <f t="shared" si="5"/>
        <v>0</v>
      </c>
      <c r="CM45" s="1793">
        <f t="shared" si="6"/>
        <v>0</v>
      </c>
      <c r="CN45" s="1793">
        <f t="shared" si="7"/>
        <v>0</v>
      </c>
      <c r="CO45" s="1793">
        <f t="shared" si="8"/>
        <v>0</v>
      </c>
    </row>
    <row r="46" spans="1:93" s="170" customFormat="1" ht="15" customHeight="1" x14ac:dyDescent="0.15">
      <c r="A46" s="6459"/>
      <c r="B46" s="8353" t="s">
        <v>24</v>
      </c>
      <c r="C46" s="8354"/>
      <c r="D46" s="2913">
        <f>SUM(E46:X46)</f>
        <v>0</v>
      </c>
      <c r="E46" s="2938">
        <f t="shared" ref="E46:AG46" si="12">SUM(E11:E45)</f>
        <v>0</v>
      </c>
      <c r="F46" s="2939">
        <f t="shared" si="12"/>
        <v>0</v>
      </c>
      <c r="G46" s="2939">
        <f t="shared" si="12"/>
        <v>0</v>
      </c>
      <c r="H46" s="2939">
        <f t="shared" si="12"/>
        <v>0</v>
      </c>
      <c r="I46" s="2940">
        <f t="shared" si="12"/>
        <v>0</v>
      </c>
      <c r="J46" s="2941">
        <f t="shared" si="12"/>
        <v>0</v>
      </c>
      <c r="K46" s="2939">
        <f t="shared" si="12"/>
        <v>0</v>
      </c>
      <c r="L46" s="2939">
        <f t="shared" si="12"/>
        <v>0</v>
      </c>
      <c r="M46" s="2942">
        <f t="shared" si="12"/>
        <v>0</v>
      </c>
      <c r="N46" s="2942">
        <f t="shared" si="12"/>
        <v>0</v>
      </c>
      <c r="O46" s="2942">
        <f t="shared" si="12"/>
        <v>0</v>
      </c>
      <c r="P46" s="2942">
        <f t="shared" si="12"/>
        <v>0</v>
      </c>
      <c r="Q46" s="2942">
        <f t="shared" si="12"/>
        <v>0</v>
      </c>
      <c r="R46" s="2942">
        <f t="shared" si="12"/>
        <v>0</v>
      </c>
      <c r="S46" s="2942">
        <f t="shared" si="12"/>
        <v>0</v>
      </c>
      <c r="T46" s="2942">
        <f t="shared" si="12"/>
        <v>0</v>
      </c>
      <c r="U46" s="2942">
        <f t="shared" si="12"/>
        <v>0</v>
      </c>
      <c r="V46" s="2942">
        <f t="shared" si="12"/>
        <v>0</v>
      </c>
      <c r="W46" s="2942">
        <f t="shared" si="12"/>
        <v>0</v>
      </c>
      <c r="X46" s="2942">
        <f t="shared" si="12"/>
        <v>0</v>
      </c>
      <c r="Y46" s="2943">
        <f t="shared" si="12"/>
        <v>0</v>
      </c>
      <c r="Z46" s="2939">
        <f t="shared" si="12"/>
        <v>0</v>
      </c>
      <c r="AA46" s="2939">
        <f t="shared" si="12"/>
        <v>0</v>
      </c>
      <c r="AB46" s="2940">
        <f t="shared" si="12"/>
        <v>0</v>
      </c>
      <c r="AC46" s="2940">
        <f t="shared" si="12"/>
        <v>0</v>
      </c>
      <c r="AD46" s="2940">
        <f t="shared" si="12"/>
        <v>0</v>
      </c>
      <c r="AE46" s="2940">
        <f t="shared" si="12"/>
        <v>0</v>
      </c>
      <c r="AF46" s="2940">
        <f t="shared" si="12"/>
        <v>0</v>
      </c>
      <c r="AG46" s="2940">
        <f t="shared" si="12"/>
        <v>0</v>
      </c>
    </row>
    <row r="47" spans="1:93" s="17" customFormat="1" ht="18" customHeight="1" x14ac:dyDescent="0.2">
      <c r="A47" s="2852" t="s">
        <v>2285</v>
      </c>
      <c r="B47" s="2852"/>
      <c r="C47" s="2852"/>
      <c r="D47" s="2852"/>
      <c r="E47" s="2852"/>
      <c r="F47" s="2852"/>
      <c r="G47" s="2944"/>
      <c r="H47" s="2944"/>
      <c r="I47" s="101"/>
    </row>
    <row r="48" spans="1:93" ht="42" x14ac:dyDescent="0.25">
      <c r="A48" s="8277" t="s">
        <v>2242</v>
      </c>
      <c r="B48" s="6453"/>
      <c r="C48" s="7123"/>
      <c r="D48" s="2840" t="s">
        <v>24</v>
      </c>
      <c r="E48" s="2855" t="s">
        <v>2286</v>
      </c>
      <c r="F48" s="2857" t="s">
        <v>2287</v>
      </c>
      <c r="G48" s="2857" t="s">
        <v>2288</v>
      </c>
      <c r="H48" s="2860" t="s">
        <v>632</v>
      </c>
      <c r="I48" s="2945" t="s">
        <v>2289</v>
      </c>
    </row>
    <row r="49" spans="1:9" ht="15" customHeight="1" x14ac:dyDescent="0.25">
      <c r="A49" s="8297" t="s">
        <v>2247</v>
      </c>
      <c r="B49" s="8298" t="s">
        <v>2248</v>
      </c>
      <c r="C49" s="8299"/>
      <c r="D49" s="2861">
        <f t="shared" ref="D49:D83" si="13">SUM(E49:H49)</f>
        <v>0</v>
      </c>
      <c r="E49" s="2862"/>
      <c r="F49" s="2863"/>
      <c r="G49" s="2863"/>
      <c r="H49" s="2946"/>
      <c r="I49" s="2947"/>
    </row>
    <row r="50" spans="1:9" ht="21" x14ac:dyDescent="0.25">
      <c r="A50" s="6458"/>
      <c r="B50" s="8297" t="s">
        <v>2249</v>
      </c>
      <c r="C50" s="2874" t="s">
        <v>2250</v>
      </c>
      <c r="D50" s="2861">
        <f t="shared" si="13"/>
        <v>0</v>
      </c>
      <c r="E50" s="2496"/>
      <c r="F50" s="320"/>
      <c r="G50" s="320"/>
      <c r="H50" s="2924"/>
      <c r="I50" s="2899"/>
    </row>
    <row r="51" spans="1:9" x14ac:dyDescent="0.25">
      <c r="A51" s="6458"/>
      <c r="B51" s="6458"/>
      <c r="C51" s="1742" t="s">
        <v>2251</v>
      </c>
      <c r="D51" s="926">
        <f t="shared" si="13"/>
        <v>0</v>
      </c>
      <c r="E51" s="1089"/>
      <c r="F51" s="1090"/>
      <c r="G51" s="1090"/>
      <c r="H51" s="1098"/>
      <c r="I51" s="1079"/>
    </row>
    <row r="52" spans="1:9" x14ac:dyDescent="0.25">
      <c r="A52" s="6458"/>
      <c r="B52" s="6458"/>
      <c r="C52" s="1100" t="s">
        <v>2252</v>
      </c>
      <c r="D52" s="1075">
        <f t="shared" si="13"/>
        <v>0</v>
      </c>
      <c r="E52" s="1089"/>
      <c r="F52" s="1090"/>
      <c r="G52" s="1090"/>
      <c r="H52" s="1098"/>
      <c r="I52" s="1079"/>
    </row>
    <row r="53" spans="1:9" x14ac:dyDescent="0.25">
      <c r="A53" s="6458"/>
      <c r="B53" s="6459"/>
      <c r="C53" s="2881" t="s">
        <v>2253</v>
      </c>
      <c r="D53" s="2813">
        <f t="shared" si="13"/>
        <v>0</v>
      </c>
      <c r="E53" s="2498"/>
      <c r="F53" s="2948"/>
      <c r="G53" s="2948"/>
      <c r="H53" s="2934"/>
      <c r="I53" s="2949"/>
    </row>
    <row r="54" spans="1:9" x14ac:dyDescent="0.25">
      <c r="A54" s="6458"/>
      <c r="B54" s="7402" t="s">
        <v>2254</v>
      </c>
      <c r="C54" s="8300"/>
      <c r="D54" s="2921">
        <f t="shared" si="13"/>
        <v>0</v>
      </c>
      <c r="E54" s="106"/>
      <c r="F54" s="1086"/>
      <c r="G54" s="1086"/>
      <c r="H54" s="844"/>
      <c r="I54" s="772"/>
    </row>
    <row r="55" spans="1:9" x14ac:dyDescent="0.25">
      <c r="A55" s="6458"/>
      <c r="B55" s="8301" t="s">
        <v>2255</v>
      </c>
      <c r="C55" s="7405"/>
      <c r="D55" s="926">
        <f t="shared" si="13"/>
        <v>0</v>
      </c>
      <c r="E55" s="1089"/>
      <c r="F55" s="1090"/>
      <c r="G55" s="1090"/>
      <c r="H55" s="1098"/>
      <c r="I55" s="1079"/>
    </row>
    <row r="56" spans="1:9" x14ac:dyDescent="0.25">
      <c r="A56" s="6458"/>
      <c r="B56" s="8301" t="s">
        <v>2256</v>
      </c>
      <c r="C56" s="7405"/>
      <c r="D56" s="926">
        <f t="shared" si="13"/>
        <v>0</v>
      </c>
      <c r="E56" s="1089"/>
      <c r="F56" s="1090"/>
      <c r="G56" s="1090"/>
      <c r="H56" s="1098"/>
      <c r="I56" s="1079"/>
    </row>
    <row r="57" spans="1:9" x14ac:dyDescent="0.25">
      <c r="A57" s="6458"/>
      <c r="B57" s="8278" t="s">
        <v>2257</v>
      </c>
      <c r="C57" s="8279"/>
      <c r="D57" s="926">
        <f t="shared" si="13"/>
        <v>0</v>
      </c>
      <c r="E57" s="1089"/>
      <c r="F57" s="1090"/>
      <c r="G57" s="1090"/>
      <c r="H57" s="1098"/>
      <c r="I57" s="1079"/>
    </row>
    <row r="58" spans="1:9" x14ac:dyDescent="0.25">
      <c r="A58" s="6458"/>
      <c r="B58" s="8301" t="s">
        <v>2290</v>
      </c>
      <c r="C58" s="7405"/>
      <c r="D58" s="926">
        <f t="shared" si="13"/>
        <v>0</v>
      </c>
      <c r="E58" s="1089"/>
      <c r="F58" s="1090"/>
      <c r="G58" s="1090"/>
      <c r="H58" s="1098"/>
      <c r="I58" s="1079"/>
    </row>
    <row r="59" spans="1:9" x14ac:dyDescent="0.25">
      <c r="A59" s="6458"/>
      <c r="B59" s="7402" t="s">
        <v>2259</v>
      </c>
      <c r="C59" s="8300"/>
      <c r="D59" s="926">
        <f t="shared" si="13"/>
        <v>0</v>
      </c>
      <c r="E59" s="90"/>
      <c r="F59" s="127"/>
      <c r="G59" s="127"/>
      <c r="H59" s="128"/>
      <c r="I59" s="884"/>
    </row>
    <row r="60" spans="1:9" ht="21" customHeight="1" x14ac:dyDescent="0.25">
      <c r="A60" s="6458"/>
      <c r="B60" s="7454" t="s">
        <v>2260</v>
      </c>
      <c r="C60" s="7387"/>
      <c r="D60" s="926">
        <f t="shared" si="13"/>
        <v>0</v>
      </c>
      <c r="E60" s="90"/>
      <c r="F60" s="127"/>
      <c r="G60" s="127"/>
      <c r="H60" s="128"/>
      <c r="I60" s="884"/>
    </row>
    <row r="61" spans="1:9" ht="15" customHeight="1" x14ac:dyDescent="0.25">
      <c r="A61" s="6458"/>
      <c r="B61" s="7454" t="s">
        <v>2261</v>
      </c>
      <c r="C61" s="7387"/>
      <c r="D61" s="926">
        <f t="shared" si="13"/>
        <v>0</v>
      </c>
      <c r="E61" s="90"/>
      <c r="F61" s="127"/>
      <c r="G61" s="127"/>
      <c r="H61" s="128"/>
      <c r="I61" s="884"/>
    </row>
    <row r="62" spans="1:9" x14ac:dyDescent="0.25">
      <c r="A62" s="6458"/>
      <c r="B62" s="8278" t="s">
        <v>2262</v>
      </c>
      <c r="C62" s="8279"/>
      <c r="D62" s="926">
        <f t="shared" si="13"/>
        <v>0</v>
      </c>
      <c r="E62" s="90"/>
      <c r="F62" s="127"/>
      <c r="G62" s="127"/>
      <c r="H62" s="128"/>
      <c r="I62" s="884"/>
    </row>
    <row r="63" spans="1:9" ht="15" customHeight="1" x14ac:dyDescent="0.25">
      <c r="A63" s="6458"/>
      <c r="B63" s="6456" t="s">
        <v>2263</v>
      </c>
      <c r="C63" s="2894" t="s">
        <v>2264</v>
      </c>
      <c r="D63" s="2875">
        <f t="shared" si="13"/>
        <v>0</v>
      </c>
      <c r="E63" s="2933"/>
      <c r="F63" s="320"/>
      <c r="G63" s="320"/>
      <c r="H63" s="2924"/>
      <c r="I63" s="2899"/>
    </row>
    <row r="64" spans="1:9" ht="15" customHeight="1" x14ac:dyDescent="0.25">
      <c r="A64" s="6458"/>
      <c r="B64" s="6455"/>
      <c r="C64" s="2888" t="s">
        <v>2265</v>
      </c>
      <c r="D64" s="1075">
        <f t="shared" si="13"/>
        <v>0</v>
      </c>
      <c r="E64" s="2181"/>
      <c r="F64" s="1090"/>
      <c r="G64" s="1090"/>
      <c r="H64" s="1098"/>
      <c r="I64" s="1079"/>
    </row>
    <row r="65" spans="1:9" x14ac:dyDescent="0.25">
      <c r="A65" s="6458"/>
      <c r="B65" s="6457"/>
      <c r="C65" s="2903" t="s">
        <v>28</v>
      </c>
      <c r="D65" s="150">
        <f t="shared" si="13"/>
        <v>0</v>
      </c>
      <c r="E65" s="121"/>
      <c r="F65" s="115"/>
      <c r="G65" s="115"/>
      <c r="H65" s="137"/>
      <c r="I65" s="775"/>
    </row>
    <row r="66" spans="1:9" x14ac:dyDescent="0.25">
      <c r="A66" s="6458"/>
      <c r="B66" s="6456" t="s">
        <v>2266</v>
      </c>
      <c r="C66" s="2874" t="s">
        <v>2267</v>
      </c>
      <c r="D66" s="2861">
        <f t="shared" si="13"/>
        <v>0</v>
      </c>
      <c r="E66" s="2496"/>
      <c r="F66" s="320"/>
      <c r="G66" s="320"/>
      <c r="H66" s="2924"/>
      <c r="I66" s="2899"/>
    </row>
    <row r="67" spans="1:9" ht="15" customHeight="1" x14ac:dyDescent="0.25">
      <c r="A67" s="6458"/>
      <c r="B67" s="6455"/>
      <c r="C67" s="2912" t="s">
        <v>2268</v>
      </c>
      <c r="D67" s="926">
        <f t="shared" si="13"/>
        <v>0</v>
      </c>
      <c r="E67" s="1089"/>
      <c r="F67" s="1090"/>
      <c r="G67" s="1090"/>
      <c r="H67" s="1098"/>
      <c r="I67" s="1079"/>
    </row>
    <row r="68" spans="1:9" x14ac:dyDescent="0.25">
      <c r="A68" s="6458"/>
      <c r="B68" s="6457"/>
      <c r="C68" s="2903" t="s">
        <v>28</v>
      </c>
      <c r="D68" s="150">
        <f t="shared" si="13"/>
        <v>0</v>
      </c>
      <c r="E68" s="114"/>
      <c r="F68" s="115"/>
      <c r="G68" s="115"/>
      <c r="H68" s="137"/>
      <c r="I68" s="775"/>
    </row>
    <row r="69" spans="1:9" x14ac:dyDescent="0.25">
      <c r="A69" s="6458"/>
      <c r="B69" s="8302" t="s">
        <v>2269</v>
      </c>
      <c r="C69" s="8303"/>
      <c r="D69" s="2913">
        <f t="shared" si="13"/>
        <v>0</v>
      </c>
      <c r="E69" s="2914"/>
      <c r="F69" s="2915"/>
      <c r="G69" s="2915"/>
      <c r="H69" s="2918"/>
      <c r="I69" s="2950"/>
    </row>
    <row r="70" spans="1:9" ht="15" customHeight="1" x14ac:dyDescent="0.25">
      <c r="A70" s="6458"/>
      <c r="B70" s="6457" t="s">
        <v>2270</v>
      </c>
      <c r="C70" s="2015" t="s">
        <v>2271</v>
      </c>
      <c r="D70" s="2921">
        <f t="shared" si="13"/>
        <v>0</v>
      </c>
      <c r="E70" s="106"/>
      <c r="F70" s="1086"/>
      <c r="G70" s="1086"/>
      <c r="H70" s="844"/>
      <c r="I70" s="772"/>
    </row>
    <row r="71" spans="1:9" x14ac:dyDescent="0.25">
      <c r="A71" s="6458"/>
      <c r="B71" s="8304"/>
      <c r="C71" s="2881" t="s">
        <v>2272</v>
      </c>
      <c r="D71" s="926">
        <f t="shared" si="13"/>
        <v>0</v>
      </c>
      <c r="E71" s="1089"/>
      <c r="F71" s="1090"/>
      <c r="G71" s="1090"/>
      <c r="H71" s="1098"/>
      <c r="I71" s="1079"/>
    </row>
    <row r="72" spans="1:9" ht="15" customHeight="1" x14ac:dyDescent="0.25">
      <c r="A72" s="6458"/>
      <c r="B72" s="8305" t="s">
        <v>2273</v>
      </c>
      <c r="C72" s="8305"/>
      <c r="D72" s="926">
        <f t="shared" si="13"/>
        <v>0</v>
      </c>
      <c r="E72" s="1089"/>
      <c r="F72" s="1090"/>
      <c r="G72" s="1090"/>
      <c r="H72" s="1098"/>
      <c r="I72" s="1079"/>
    </row>
    <row r="73" spans="1:9" x14ac:dyDescent="0.25">
      <c r="A73" s="6458"/>
      <c r="B73" s="7402" t="s">
        <v>2274</v>
      </c>
      <c r="C73" s="8300"/>
      <c r="D73" s="926">
        <f t="shared" si="13"/>
        <v>0</v>
      </c>
      <c r="E73" s="1089"/>
      <c r="F73" s="1090"/>
      <c r="G73" s="1090"/>
      <c r="H73" s="1098"/>
      <c r="I73" s="1079"/>
    </row>
    <row r="74" spans="1:9" ht="15" customHeight="1" x14ac:dyDescent="0.25">
      <c r="A74" s="6458"/>
      <c r="B74" s="7454" t="s">
        <v>2275</v>
      </c>
      <c r="C74" s="7387"/>
      <c r="D74" s="926">
        <f t="shared" si="13"/>
        <v>0</v>
      </c>
      <c r="E74" s="90"/>
      <c r="F74" s="127"/>
      <c r="G74" s="127"/>
      <c r="H74" s="128"/>
      <c r="I74" s="884"/>
    </row>
    <row r="75" spans="1:9" x14ac:dyDescent="0.25">
      <c r="A75" s="6458"/>
      <c r="B75" s="8278" t="s">
        <v>2276</v>
      </c>
      <c r="C75" s="8279"/>
      <c r="D75" s="926">
        <f t="shared" si="13"/>
        <v>0</v>
      </c>
      <c r="E75" s="90"/>
      <c r="F75" s="127"/>
      <c r="G75" s="127"/>
      <c r="H75" s="128"/>
      <c r="I75" s="884"/>
    </row>
    <row r="76" spans="1:9" ht="15" customHeight="1" x14ac:dyDescent="0.25">
      <c r="A76" s="6458"/>
      <c r="B76" s="6456" t="s">
        <v>2277</v>
      </c>
      <c r="C76" s="2923" t="s">
        <v>2278</v>
      </c>
      <c r="D76" s="2861">
        <f t="shared" si="13"/>
        <v>0</v>
      </c>
      <c r="E76" s="2496"/>
      <c r="F76" s="320"/>
      <c r="G76" s="320"/>
      <c r="H76" s="2924"/>
      <c r="I76" s="2899"/>
    </row>
    <row r="77" spans="1:9" x14ac:dyDescent="0.25">
      <c r="A77" s="6458"/>
      <c r="B77" s="6455"/>
      <c r="C77" s="2927" t="s">
        <v>2279</v>
      </c>
      <c r="D77" s="926">
        <f t="shared" si="13"/>
        <v>0</v>
      </c>
      <c r="E77" s="1089"/>
      <c r="F77" s="1090"/>
      <c r="G77" s="1090"/>
      <c r="H77" s="1098"/>
      <c r="I77" s="1079"/>
    </row>
    <row r="78" spans="1:9" ht="15" customHeight="1" x14ac:dyDescent="0.25">
      <c r="A78" s="6458"/>
      <c r="B78" s="6455"/>
      <c r="C78" s="2929" t="s">
        <v>2280</v>
      </c>
      <c r="D78" s="926">
        <f t="shared" si="13"/>
        <v>0</v>
      </c>
      <c r="E78" s="90"/>
      <c r="F78" s="127"/>
      <c r="G78" s="127"/>
      <c r="H78" s="128"/>
      <c r="I78" s="884"/>
    </row>
    <row r="79" spans="1:9" x14ac:dyDescent="0.25">
      <c r="A79" s="6458"/>
      <c r="B79" s="6455"/>
      <c r="C79" s="1753" t="s">
        <v>2281</v>
      </c>
      <c r="D79" s="926">
        <f t="shared" si="13"/>
        <v>0</v>
      </c>
      <c r="E79" s="90"/>
      <c r="F79" s="127"/>
      <c r="G79" s="127"/>
      <c r="H79" s="128"/>
      <c r="I79" s="884"/>
    </row>
    <row r="80" spans="1:9" ht="15" customHeight="1" x14ac:dyDescent="0.25">
      <c r="A80" s="6458"/>
      <c r="B80" s="6457"/>
      <c r="C80" s="322" t="s">
        <v>2282</v>
      </c>
      <c r="D80" s="926">
        <f t="shared" si="13"/>
        <v>0</v>
      </c>
      <c r="E80" s="90"/>
      <c r="F80" s="127"/>
      <c r="G80" s="127"/>
      <c r="H80" s="128"/>
      <c r="I80" s="884"/>
    </row>
    <row r="81" spans="1:23" ht="15" customHeight="1" x14ac:dyDescent="0.25">
      <c r="A81" s="6458"/>
      <c r="B81" s="8280" t="s">
        <v>2283</v>
      </c>
      <c r="C81" s="8281"/>
      <c r="D81" s="2875">
        <f t="shared" si="13"/>
        <v>0</v>
      </c>
      <c r="E81" s="2496"/>
      <c r="F81" s="320"/>
      <c r="G81" s="320"/>
      <c r="H81" s="2951"/>
      <c r="I81" s="2899"/>
    </row>
    <row r="82" spans="1:23" ht="15" customHeight="1" x14ac:dyDescent="0.25">
      <c r="A82" s="6458"/>
      <c r="B82" s="8282" t="s">
        <v>2284</v>
      </c>
      <c r="C82" s="8283"/>
      <c r="D82" s="2813">
        <f t="shared" si="13"/>
        <v>0</v>
      </c>
      <c r="E82" s="2498"/>
      <c r="F82" s="2499"/>
      <c r="G82" s="2499"/>
      <c r="H82" s="2952"/>
      <c r="I82" s="2949"/>
    </row>
    <row r="83" spans="1:23" x14ac:dyDescent="0.25">
      <c r="A83" s="6459"/>
      <c r="B83" s="8351" t="s">
        <v>24</v>
      </c>
      <c r="C83" s="8352"/>
      <c r="D83" s="2913">
        <f t="shared" si="13"/>
        <v>0</v>
      </c>
      <c r="E83" s="2938">
        <f>SUM(E49:E82)</f>
        <v>0</v>
      </c>
      <c r="F83" s="2941">
        <f>SUM(F49:F82)</f>
        <v>0</v>
      </c>
      <c r="G83" s="2941">
        <f>SUM(G49:G82)</f>
        <v>0</v>
      </c>
      <c r="H83" s="2953">
        <f>SUM(H49:H82)</f>
        <v>0</v>
      </c>
      <c r="I83" s="2954">
        <f>SUM(I49:I82)</f>
        <v>0</v>
      </c>
    </row>
    <row r="84" spans="1:23" s="17" customFormat="1" ht="18" customHeight="1" x14ac:dyDescent="0.2">
      <c r="A84" s="2852" t="s">
        <v>2291</v>
      </c>
      <c r="B84" s="2852"/>
      <c r="C84" s="2852"/>
      <c r="D84" s="2852"/>
      <c r="E84" s="2955"/>
      <c r="F84" s="2955"/>
      <c r="G84" s="2955"/>
      <c r="H84" s="2955"/>
      <c r="I84" s="2955"/>
      <c r="J84" s="2955"/>
      <c r="K84" s="123"/>
      <c r="L84" s="123"/>
      <c r="M84" s="123"/>
      <c r="N84" s="101"/>
      <c r="O84" s="101"/>
      <c r="P84" s="101"/>
      <c r="Q84" s="101"/>
      <c r="R84" s="101"/>
      <c r="S84" s="101"/>
      <c r="T84" s="101"/>
      <c r="U84" s="101"/>
      <c r="V84" s="101"/>
      <c r="W84" s="101"/>
    </row>
    <row r="85" spans="1:23" ht="15" customHeight="1" x14ac:dyDescent="0.25">
      <c r="A85" s="8277" t="s">
        <v>1079</v>
      </c>
      <c r="B85" s="6453"/>
      <c r="C85" s="7123"/>
      <c r="D85" s="2840" t="s">
        <v>2292</v>
      </c>
      <c r="E85" s="8346"/>
      <c r="F85" s="8346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2"/>
      <c r="S85" s="102"/>
      <c r="T85" s="102"/>
      <c r="U85" s="102"/>
      <c r="V85" s="102"/>
      <c r="W85" s="102"/>
    </row>
    <row r="86" spans="1:23" ht="15" customHeight="1" x14ac:dyDescent="0.25">
      <c r="A86" s="8343" t="s">
        <v>1074</v>
      </c>
      <c r="B86" s="8344"/>
      <c r="C86" s="8345"/>
      <c r="D86" s="2956"/>
      <c r="E86" s="8346"/>
      <c r="F86" s="8346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2"/>
      <c r="S86" s="102"/>
      <c r="T86" s="102"/>
      <c r="U86" s="102"/>
      <c r="V86" s="102"/>
      <c r="W86" s="102"/>
    </row>
    <row r="87" spans="1:23" ht="15" customHeight="1" x14ac:dyDescent="0.25">
      <c r="A87" s="8347" t="s">
        <v>2293</v>
      </c>
      <c r="B87" s="7449"/>
      <c r="C87" s="7450"/>
      <c r="D87" s="2956"/>
      <c r="E87" s="8346"/>
      <c r="F87" s="8346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2"/>
      <c r="S87" s="102"/>
      <c r="T87" s="102"/>
      <c r="U87" s="102"/>
      <c r="V87" s="102"/>
      <c r="W87" s="102"/>
    </row>
    <row r="88" spans="1:23" ht="15" customHeight="1" x14ac:dyDescent="0.25">
      <c r="A88" s="8348" t="s">
        <v>2294</v>
      </c>
      <c r="B88" s="8349"/>
      <c r="C88" s="8350"/>
      <c r="D88" s="2957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2"/>
      <c r="S88" s="102"/>
      <c r="T88" s="102"/>
      <c r="U88" s="102"/>
      <c r="V88" s="102"/>
      <c r="W88" s="102"/>
    </row>
    <row r="89" spans="1:23" ht="18" customHeight="1" x14ac:dyDescent="0.25">
      <c r="A89" s="2958" t="s">
        <v>2295</v>
      </c>
      <c r="B89" s="2959"/>
      <c r="C89" s="2960"/>
      <c r="D89" s="602"/>
      <c r="E89" s="2961"/>
      <c r="F89" s="602"/>
      <c r="G89" s="602"/>
      <c r="H89" s="602"/>
      <c r="I89" s="602"/>
      <c r="J89" s="602"/>
      <c r="K89" s="602"/>
      <c r="L89" s="602"/>
      <c r="M89" s="602"/>
      <c r="N89" s="602"/>
      <c r="O89" s="602"/>
      <c r="P89" s="602"/>
      <c r="Q89" s="602"/>
      <c r="R89" s="602"/>
      <c r="S89" s="602"/>
      <c r="T89" s="602"/>
      <c r="U89" s="602"/>
      <c r="V89" s="602"/>
      <c r="W89" s="602"/>
    </row>
    <row r="90" spans="1:23" ht="21" x14ac:dyDescent="0.25">
      <c r="A90" s="8342" t="s">
        <v>1456</v>
      </c>
      <c r="B90" s="8342"/>
      <c r="C90" s="8342"/>
      <c r="D90" s="5813" t="s">
        <v>2296</v>
      </c>
      <c r="E90" s="5789" t="s">
        <v>2297</v>
      </c>
      <c r="F90" s="602"/>
      <c r="G90" s="602"/>
      <c r="H90" s="602"/>
      <c r="I90" s="602"/>
      <c r="J90" s="602"/>
      <c r="K90" s="602"/>
      <c r="L90" s="602"/>
      <c r="M90" s="602"/>
      <c r="N90" s="602"/>
      <c r="O90" s="602"/>
      <c r="P90" s="602"/>
      <c r="Q90" s="602"/>
      <c r="R90" s="602"/>
      <c r="S90" s="602"/>
      <c r="T90" s="602"/>
      <c r="U90" s="602"/>
      <c r="V90" s="602"/>
      <c r="W90" s="602"/>
    </row>
    <row r="91" spans="1:23" ht="15" customHeight="1" x14ac:dyDescent="0.25">
      <c r="A91" s="8338" t="s">
        <v>2298</v>
      </c>
      <c r="B91" s="8339"/>
      <c r="C91" s="8340"/>
      <c r="D91" s="5814"/>
      <c r="E91" s="5817"/>
      <c r="F91" s="602"/>
      <c r="G91" s="602"/>
      <c r="H91" s="602"/>
      <c r="I91" s="602"/>
      <c r="J91" s="602"/>
      <c r="K91" s="602"/>
      <c r="L91" s="602"/>
      <c r="M91" s="602"/>
      <c r="N91" s="602"/>
      <c r="O91" s="602"/>
      <c r="P91" s="602"/>
      <c r="Q91" s="602"/>
      <c r="R91" s="602"/>
      <c r="S91" s="602"/>
      <c r="T91" s="602"/>
      <c r="U91" s="602"/>
      <c r="V91" s="602"/>
      <c r="W91" s="602"/>
    </row>
    <row r="92" spans="1:23" ht="15" customHeight="1" x14ac:dyDescent="0.25">
      <c r="A92" s="8326" t="s">
        <v>2299</v>
      </c>
      <c r="B92" s="8327"/>
      <c r="C92" s="8328"/>
      <c r="D92" s="5815"/>
      <c r="E92" s="5818"/>
      <c r="F92" s="602"/>
      <c r="G92" s="602"/>
      <c r="H92" s="602"/>
      <c r="I92" s="602"/>
      <c r="J92" s="602"/>
      <c r="K92" s="602"/>
      <c r="L92" s="602"/>
      <c r="M92" s="602"/>
      <c r="N92" s="602"/>
      <c r="O92" s="602"/>
      <c r="P92" s="602"/>
      <c r="Q92" s="602"/>
      <c r="R92" s="602"/>
      <c r="S92" s="602"/>
      <c r="T92" s="602"/>
      <c r="U92" s="602"/>
      <c r="V92" s="602"/>
      <c r="W92" s="602"/>
    </row>
    <row r="93" spans="1:23" ht="15" customHeight="1" x14ac:dyDescent="0.25">
      <c r="A93" s="7300" t="s">
        <v>2300</v>
      </c>
      <c r="B93" s="8341"/>
      <c r="C93" s="7301"/>
      <c r="D93" s="5816"/>
      <c r="E93" s="5819"/>
      <c r="F93" s="602"/>
      <c r="G93" s="602"/>
      <c r="H93" s="602"/>
      <c r="I93" s="602"/>
      <c r="J93" s="602"/>
      <c r="K93" s="602"/>
      <c r="L93" s="602"/>
      <c r="M93" s="602"/>
      <c r="N93" s="602"/>
      <c r="O93" s="602"/>
      <c r="P93" s="602"/>
      <c r="Q93" s="602"/>
      <c r="R93" s="602"/>
      <c r="S93" s="602"/>
      <c r="T93" s="602"/>
      <c r="U93" s="602"/>
      <c r="V93" s="602"/>
      <c r="W93" s="602"/>
    </row>
    <row r="94" spans="1:23" ht="18" customHeight="1" x14ac:dyDescent="0.25">
      <c r="A94" s="2958" t="s">
        <v>2301</v>
      </c>
      <c r="B94" s="2959"/>
      <c r="C94" s="2960"/>
      <c r="D94" s="602"/>
      <c r="E94" s="2961"/>
      <c r="F94" s="602"/>
      <c r="G94" s="602"/>
      <c r="H94" s="602"/>
      <c r="I94" s="602"/>
      <c r="J94" s="602"/>
      <c r="K94" s="602"/>
      <c r="L94" s="602"/>
      <c r="M94" s="602"/>
      <c r="N94" s="602"/>
      <c r="O94" s="602"/>
      <c r="P94" s="602"/>
      <c r="Q94" s="602"/>
      <c r="R94" s="602"/>
      <c r="S94" s="602"/>
      <c r="T94" s="602"/>
      <c r="U94" s="602"/>
      <c r="V94" s="602"/>
      <c r="W94" s="602"/>
    </row>
    <row r="95" spans="1:23" s="170" customFormat="1" ht="15" customHeight="1" x14ac:dyDescent="0.15">
      <c r="A95" s="8342" t="s">
        <v>1456</v>
      </c>
      <c r="B95" s="8342"/>
      <c r="C95" s="8342"/>
      <c r="D95" s="6499" t="s">
        <v>2296</v>
      </c>
      <c r="E95" s="7123" t="s">
        <v>2297</v>
      </c>
      <c r="F95" s="8277" t="s">
        <v>2302</v>
      </c>
      <c r="G95" s="7123"/>
      <c r="H95" s="8333" t="s">
        <v>12</v>
      </c>
      <c r="I95" s="8333"/>
      <c r="J95" s="8333"/>
      <c r="K95" s="8333"/>
      <c r="L95" s="8333"/>
      <c r="M95" s="8333"/>
      <c r="N95" s="8333"/>
      <c r="O95" s="8333"/>
      <c r="P95" s="8333"/>
      <c r="Q95" s="8333"/>
      <c r="R95" s="8333"/>
      <c r="S95" s="8333"/>
      <c r="T95" s="8333"/>
      <c r="U95" s="8334"/>
      <c r="V95" s="6603" t="s">
        <v>39</v>
      </c>
      <c r="W95" s="6448" t="s">
        <v>1112</v>
      </c>
    </row>
    <row r="96" spans="1:23" s="170" customFormat="1" ht="23.25" customHeight="1" x14ac:dyDescent="0.15">
      <c r="A96" s="8342"/>
      <c r="B96" s="8342"/>
      <c r="C96" s="8342"/>
      <c r="D96" s="6499"/>
      <c r="E96" s="7123"/>
      <c r="F96" s="2963" t="s">
        <v>1448</v>
      </c>
      <c r="G96" s="2858" t="s">
        <v>3732</v>
      </c>
      <c r="H96" s="2970" t="s">
        <v>1450</v>
      </c>
      <c r="I96" s="2857" t="s">
        <v>1451</v>
      </c>
      <c r="J96" s="2971" t="s">
        <v>37</v>
      </c>
      <c r="K96" s="2971" t="s">
        <v>38</v>
      </c>
      <c r="L96" s="2971" t="s">
        <v>4</v>
      </c>
      <c r="M96" s="2971" t="s">
        <v>5</v>
      </c>
      <c r="N96" s="2971" t="s">
        <v>6</v>
      </c>
      <c r="O96" s="2971" t="s">
        <v>7</v>
      </c>
      <c r="P96" s="2971" t="s">
        <v>8</v>
      </c>
      <c r="Q96" s="2971" t="s">
        <v>9</v>
      </c>
      <c r="R96" s="2971" t="s">
        <v>10</v>
      </c>
      <c r="S96" s="2971" t="s">
        <v>11</v>
      </c>
      <c r="T96" s="2971" t="s">
        <v>18</v>
      </c>
      <c r="U96" s="2972" t="s">
        <v>19</v>
      </c>
      <c r="V96" s="6837"/>
      <c r="W96" s="6449"/>
    </row>
    <row r="97" spans="1:91" s="170" customFormat="1" ht="15" customHeight="1" x14ac:dyDescent="0.15">
      <c r="A97" s="8335" t="s">
        <v>2303</v>
      </c>
      <c r="B97" s="8336"/>
      <c r="C97" s="8337"/>
      <c r="D97" s="5814"/>
      <c r="E97" s="2973">
        <f>+F97+G97+H97+I97+J97+K97+L97+M97+N97+O97+P97+Q97+R97+S97+T97+U97</f>
        <v>0</v>
      </c>
      <c r="F97" s="2964"/>
      <c r="G97" s="2974"/>
      <c r="H97" s="2975"/>
      <c r="I97" s="2976"/>
      <c r="J97" s="2976"/>
      <c r="K97" s="2976"/>
      <c r="L97" s="2976"/>
      <c r="M97" s="2976"/>
      <c r="N97" s="2976"/>
      <c r="O97" s="2976"/>
      <c r="P97" s="2976"/>
      <c r="Q97" s="2976"/>
      <c r="R97" s="2976"/>
      <c r="S97" s="2976"/>
      <c r="T97" s="2976"/>
      <c r="U97" s="2977"/>
      <c r="V97" s="2974"/>
      <c r="W97" s="2965"/>
      <c r="X97" s="170" t="str">
        <f>CA97&amp;CB97&amp;CC97</f>
        <v/>
      </c>
      <c r="CA97" s="4980" t="str">
        <f>IF(AND(E97&gt;0,V97="")," * No olvide digitar la variable Gestantes. Digite CERO si no tiene.","")</f>
        <v/>
      </c>
      <c r="CB97" s="4980" t="str">
        <f>IF(AND(E97&gt;0,W97="")," * No olvide digitar la variable Post Parto. Digite CERO si no tiene.","")</f>
        <v/>
      </c>
      <c r="CC97" s="4980" t="str">
        <f>IF(CM97=1," * La suma de Gestantes y Post Parto debe ser menor o igual al Nº de Participantes.","")</f>
        <v/>
      </c>
      <c r="CK97" s="2554">
        <f>IF(AND(E97&gt;0,V97=""),1,0)</f>
        <v>0</v>
      </c>
      <c r="CL97" s="2554">
        <f>IF(AND(E97&gt;0,W97=""),1,0)</f>
        <v>0</v>
      </c>
      <c r="CM97" s="2554">
        <f>IF((V97+W97)&gt;E97,1,0)</f>
        <v>0</v>
      </c>
    </row>
    <row r="98" spans="1:91" s="170" customFormat="1" ht="15" customHeight="1" x14ac:dyDescent="0.15">
      <c r="A98" s="8326" t="s">
        <v>2304</v>
      </c>
      <c r="B98" s="8327"/>
      <c r="C98" s="8328"/>
      <c r="D98" s="5815"/>
      <c r="E98" s="1435">
        <f>+F98+G98+H98+I98+J98+K98+L98+M98+N98+O98+P98+Q98+R98+S98+T98+U98</f>
        <v>0</v>
      </c>
      <c r="F98" s="2966"/>
      <c r="G98" s="2978"/>
      <c r="H98" s="2979"/>
      <c r="I98" s="2980"/>
      <c r="J98" s="2980"/>
      <c r="K98" s="2980"/>
      <c r="L98" s="2980"/>
      <c r="M98" s="2980"/>
      <c r="N98" s="2980"/>
      <c r="O98" s="2980"/>
      <c r="P98" s="2980"/>
      <c r="Q98" s="2980"/>
      <c r="R98" s="2980"/>
      <c r="S98" s="2980"/>
      <c r="T98" s="2980"/>
      <c r="U98" s="2981"/>
      <c r="V98" s="2978"/>
      <c r="W98" s="2967"/>
      <c r="X98" s="170" t="str">
        <f t="shared" ref="X98:X99" si="14">CA98&amp;CB98&amp;CC98</f>
        <v/>
      </c>
      <c r="CA98" s="4980" t="str">
        <f t="shared" ref="CA98:CA99" si="15">IF(AND(E98&gt;0,V98="")," * No olvide digitar la variable Gestantes. Digite CERO si no tiene.","")</f>
        <v/>
      </c>
      <c r="CB98" s="4980" t="str">
        <f t="shared" ref="CB98:CB99" si="16">IF(AND(E98&gt;0,W98="")," * No olvide digitar la variable Post Parto. Digite CERO si no tiene.","")</f>
        <v/>
      </c>
      <c r="CC98" s="4980" t="str">
        <f t="shared" ref="CC98:CC99" si="17">IF(CM98=1," * La suma de Gestantes y Post Parto debe ser menor o igual al Nº de Participantes.","")</f>
        <v/>
      </c>
      <c r="CK98" s="2554">
        <f t="shared" ref="CK98:CK99" si="18">IF(AND(E98&gt;0,V98=""),1,0)</f>
        <v>0</v>
      </c>
      <c r="CL98" s="2554">
        <f t="shared" ref="CL98" si="19">IF(AND(E98&gt;0,W98=""),1,0)</f>
        <v>0</v>
      </c>
      <c r="CM98" s="2554">
        <f t="shared" ref="CM98:CM99" si="20">IF((V98+W98)&gt;E98,1,0)</f>
        <v>0</v>
      </c>
    </row>
    <row r="99" spans="1:91" s="170" customFormat="1" ht="15" customHeight="1" x14ac:dyDescent="0.15">
      <c r="A99" s="8326" t="s">
        <v>2305</v>
      </c>
      <c r="B99" s="8327"/>
      <c r="C99" s="8328"/>
      <c r="D99" s="5816"/>
      <c r="E99" s="2982">
        <f>+F99+G99+H99+I99+J99+K99+L99+M99+N99+O99+P99+Q99+R99+S99+T99+U99</f>
        <v>0</v>
      </c>
      <c r="F99" s="2968"/>
      <c r="G99" s="2983"/>
      <c r="H99" s="2984"/>
      <c r="I99" s="2985"/>
      <c r="J99" s="2985"/>
      <c r="K99" s="2985"/>
      <c r="L99" s="2985"/>
      <c r="M99" s="2985"/>
      <c r="N99" s="2985"/>
      <c r="O99" s="2985"/>
      <c r="P99" s="2985"/>
      <c r="Q99" s="2985"/>
      <c r="R99" s="2985"/>
      <c r="S99" s="2985"/>
      <c r="T99" s="2985"/>
      <c r="U99" s="2986"/>
      <c r="V99" s="2983"/>
      <c r="W99" s="2969"/>
      <c r="X99" s="170" t="str">
        <f t="shared" si="14"/>
        <v/>
      </c>
      <c r="CA99" s="4980" t="str">
        <f t="shared" si="15"/>
        <v/>
      </c>
      <c r="CB99" s="4980" t="str">
        <f t="shared" si="16"/>
        <v/>
      </c>
      <c r="CC99" s="4980" t="str">
        <f t="shared" si="17"/>
        <v/>
      </c>
      <c r="CK99" s="2554">
        <f t="shared" si="18"/>
        <v>0</v>
      </c>
      <c r="CL99" s="2554">
        <f>IF(AND(E99&gt;0,W99=""),1,0)</f>
        <v>0</v>
      </c>
      <c r="CM99" s="2554">
        <f t="shared" si="20"/>
        <v>0</v>
      </c>
    </row>
    <row r="100" spans="1:91" ht="18" customHeight="1" x14ac:dyDescent="0.25">
      <c r="A100" s="2958" t="s">
        <v>2306</v>
      </c>
      <c r="B100" s="2960"/>
      <c r="C100" s="2960"/>
      <c r="D100" s="2987"/>
      <c r="E100" s="602"/>
      <c r="F100" s="602"/>
      <c r="G100" s="602"/>
      <c r="H100" s="163"/>
      <c r="I100" s="602"/>
      <c r="J100" s="602"/>
      <c r="K100" s="602"/>
      <c r="L100" s="602"/>
      <c r="M100" s="602"/>
    </row>
    <row r="101" spans="1:91" s="170" customFormat="1" ht="15" customHeight="1" x14ac:dyDescent="0.15">
      <c r="A101" s="6603" t="s">
        <v>2307</v>
      </c>
      <c r="B101" s="6603"/>
      <c r="C101" s="8329"/>
      <c r="D101" s="8330" t="s">
        <v>2308</v>
      </c>
      <c r="E101" s="8331" t="s">
        <v>12</v>
      </c>
      <c r="F101" s="6603"/>
      <c r="G101" s="6603"/>
      <c r="H101" s="6603"/>
      <c r="I101" s="6603"/>
      <c r="J101" s="8332"/>
      <c r="K101" s="6480" t="s">
        <v>523</v>
      </c>
      <c r="L101" s="8273"/>
    </row>
    <row r="102" spans="1:91" s="170" customFormat="1" ht="15" customHeight="1" x14ac:dyDescent="0.15">
      <c r="A102" s="6837"/>
      <c r="B102" s="6837"/>
      <c r="C102" s="6592"/>
      <c r="D102" s="8330"/>
      <c r="E102" s="2963" t="s">
        <v>554</v>
      </c>
      <c r="F102" s="2970" t="s">
        <v>568</v>
      </c>
      <c r="G102" s="2857" t="s">
        <v>559</v>
      </c>
      <c r="H102" s="2857" t="s">
        <v>2309</v>
      </c>
      <c r="I102" s="2835" t="s">
        <v>400</v>
      </c>
      <c r="J102" s="2860" t="s">
        <v>2574</v>
      </c>
      <c r="K102" s="2970" t="s">
        <v>22</v>
      </c>
      <c r="L102" s="2836" t="s">
        <v>27</v>
      </c>
    </row>
    <row r="103" spans="1:91" s="170" customFormat="1" ht="15" customHeight="1" x14ac:dyDescent="0.25">
      <c r="A103" s="8320" t="s">
        <v>2310</v>
      </c>
      <c r="B103" s="8321"/>
      <c r="C103" s="2890" t="s">
        <v>2311</v>
      </c>
      <c r="D103" s="2031">
        <f>SUM(E103:J103)</f>
        <v>0</v>
      </c>
      <c r="E103" s="2496"/>
      <c r="F103" s="2933"/>
      <c r="G103" s="320"/>
      <c r="H103" s="320"/>
      <c r="I103" s="320"/>
      <c r="J103" s="2988"/>
      <c r="K103" s="2933"/>
      <c r="L103" s="2871"/>
      <c r="M103" s="2989" t="str">
        <f>CA103&amp;CB103</f>
        <v/>
      </c>
      <c r="CA103" s="2873" t="str">
        <f>IF((K103+L103)&lt;&gt;D103," * La Suma por edad NO DEBE ser distinto al total por Sexo.","")</f>
        <v/>
      </c>
      <c r="CB103" s="2873"/>
      <c r="CK103" s="1793">
        <f>IF((K103+L103)&lt;&gt;D103,1,0)</f>
        <v>0</v>
      </c>
    </row>
    <row r="104" spans="1:91" s="170" customFormat="1" ht="15" customHeight="1" x14ac:dyDescent="0.25">
      <c r="A104" s="8322"/>
      <c r="B104" s="6614"/>
      <c r="C104" s="2990" t="s">
        <v>2312</v>
      </c>
      <c r="D104" s="2031">
        <f t="shared" ref="D104:D111" si="21">SUM(E104:J104)</f>
        <v>0</v>
      </c>
      <c r="E104" s="1089"/>
      <c r="F104" s="2181"/>
      <c r="G104" s="1090"/>
      <c r="H104" s="1090"/>
      <c r="I104" s="1090"/>
      <c r="J104" s="2991"/>
      <c r="K104" s="2181"/>
      <c r="L104" s="83"/>
      <c r="M104" s="2989" t="str">
        <f t="shared" ref="M104:M111" si="22">CA104&amp;CB104</f>
        <v/>
      </c>
      <c r="CA104" s="2873" t="str">
        <f t="shared" ref="CA104:CA111" si="23">IF((K104+L104)&lt;&gt;D104," * La Suma por edad NO DEBE ser distinto al total por Sexo.","")</f>
        <v/>
      </c>
      <c r="CB104" s="2873"/>
      <c r="CK104" s="1793">
        <f t="shared" ref="CK104:CK111" si="24">IF((K104+L104)&lt;&gt;D104,1,0)</f>
        <v>0</v>
      </c>
    </row>
    <row r="105" spans="1:91" s="170" customFormat="1" ht="15" customHeight="1" x14ac:dyDescent="0.25">
      <c r="A105" s="8322"/>
      <c r="B105" s="6614"/>
      <c r="C105" s="2990" t="s">
        <v>2313</v>
      </c>
      <c r="D105" s="150">
        <f t="shared" si="21"/>
        <v>0</v>
      </c>
      <c r="E105" s="114"/>
      <c r="F105" s="121"/>
      <c r="G105" s="115"/>
      <c r="H105" s="115"/>
      <c r="I105" s="115"/>
      <c r="J105" s="774"/>
      <c r="K105" s="121"/>
      <c r="L105" s="117"/>
      <c r="M105" s="2989" t="str">
        <f t="shared" si="22"/>
        <v/>
      </c>
      <c r="CA105" s="2873" t="str">
        <f t="shared" si="23"/>
        <v/>
      </c>
      <c r="CB105" s="2873"/>
      <c r="CK105" s="1793">
        <f t="shared" si="24"/>
        <v>0</v>
      </c>
    </row>
    <row r="106" spans="1:91" s="170" customFormat="1" ht="15" customHeight="1" x14ac:dyDescent="0.25">
      <c r="A106" s="8320" t="s">
        <v>2314</v>
      </c>
      <c r="B106" s="8321"/>
      <c r="C106" s="2890" t="s">
        <v>2311</v>
      </c>
      <c r="D106" s="2028">
        <f t="shared" si="21"/>
        <v>0</v>
      </c>
      <c r="E106" s="106"/>
      <c r="F106" s="591"/>
      <c r="G106" s="1086"/>
      <c r="H106" s="1086"/>
      <c r="I106" s="1086"/>
      <c r="J106" s="771"/>
      <c r="K106" s="591"/>
      <c r="L106" s="105"/>
      <c r="M106" s="2989" t="str">
        <f t="shared" si="22"/>
        <v/>
      </c>
      <c r="CA106" s="2873" t="str">
        <f t="shared" si="23"/>
        <v/>
      </c>
      <c r="CB106" s="2873"/>
      <c r="CK106" s="1793">
        <f t="shared" si="24"/>
        <v>0</v>
      </c>
    </row>
    <row r="107" spans="1:91" s="170" customFormat="1" ht="15" customHeight="1" x14ac:dyDescent="0.25">
      <c r="A107" s="8322"/>
      <c r="B107" s="6614"/>
      <c r="C107" s="2990" t="s">
        <v>2312</v>
      </c>
      <c r="D107" s="2031">
        <f t="shared" si="21"/>
        <v>0</v>
      </c>
      <c r="E107" s="90"/>
      <c r="F107" s="129"/>
      <c r="G107" s="127"/>
      <c r="H107" s="127"/>
      <c r="I107" s="127"/>
      <c r="J107" s="1096"/>
      <c r="K107" s="129"/>
      <c r="L107" s="91"/>
      <c r="M107" s="2989" t="str">
        <f t="shared" si="22"/>
        <v/>
      </c>
      <c r="CA107" s="2873" t="str">
        <f t="shared" si="23"/>
        <v/>
      </c>
      <c r="CB107" s="2873"/>
      <c r="CK107" s="1793">
        <f t="shared" si="24"/>
        <v>0</v>
      </c>
    </row>
    <row r="108" spans="1:91" s="170" customFormat="1" ht="15" customHeight="1" x14ac:dyDescent="0.25">
      <c r="A108" s="8322"/>
      <c r="B108" s="6614"/>
      <c r="C108" s="2990" t="s">
        <v>2313</v>
      </c>
      <c r="D108" s="150">
        <f t="shared" si="21"/>
        <v>0</v>
      </c>
      <c r="E108" s="90"/>
      <c r="F108" s="129"/>
      <c r="G108" s="127"/>
      <c r="H108" s="127"/>
      <c r="I108" s="127"/>
      <c r="J108" s="1096"/>
      <c r="K108" s="129"/>
      <c r="L108" s="91"/>
      <c r="M108" s="2989" t="str">
        <f t="shared" si="22"/>
        <v/>
      </c>
      <c r="CA108" s="2873" t="str">
        <f t="shared" si="23"/>
        <v/>
      </c>
      <c r="CB108" s="2873"/>
      <c r="CK108" s="1793">
        <f t="shared" si="24"/>
        <v>0</v>
      </c>
    </row>
    <row r="109" spans="1:91" s="170" customFormat="1" ht="15" customHeight="1" x14ac:dyDescent="0.25">
      <c r="A109" s="8320" t="s">
        <v>2315</v>
      </c>
      <c r="B109" s="8323"/>
      <c r="C109" s="2890" t="s">
        <v>2311</v>
      </c>
      <c r="D109" s="2028">
        <f t="shared" si="21"/>
        <v>0</v>
      </c>
      <c r="E109" s="2496"/>
      <c r="F109" s="2933"/>
      <c r="G109" s="320"/>
      <c r="H109" s="320"/>
      <c r="I109" s="320"/>
      <c r="J109" s="2988"/>
      <c r="K109" s="2933"/>
      <c r="L109" s="2871"/>
      <c r="M109" s="2989" t="str">
        <f t="shared" si="22"/>
        <v/>
      </c>
      <c r="CA109" s="2873" t="str">
        <f t="shared" si="23"/>
        <v/>
      </c>
      <c r="CB109" s="2873"/>
      <c r="CK109" s="1793">
        <f t="shared" si="24"/>
        <v>0</v>
      </c>
    </row>
    <row r="110" spans="1:91" s="170" customFormat="1" ht="15" customHeight="1" x14ac:dyDescent="0.25">
      <c r="A110" s="8324"/>
      <c r="B110" s="7474"/>
      <c r="C110" s="2990" t="s">
        <v>2312</v>
      </c>
      <c r="D110" s="2031">
        <f t="shared" si="21"/>
        <v>0</v>
      </c>
      <c r="E110" s="1089"/>
      <c r="F110" s="2181"/>
      <c r="G110" s="1090"/>
      <c r="H110" s="1090"/>
      <c r="I110" s="1090"/>
      <c r="J110" s="2991"/>
      <c r="K110" s="2181"/>
      <c r="L110" s="83"/>
      <c r="M110" s="2989" t="str">
        <f t="shared" si="22"/>
        <v/>
      </c>
      <c r="CA110" s="2873" t="str">
        <f t="shared" si="23"/>
        <v/>
      </c>
      <c r="CB110" s="2873"/>
      <c r="CK110" s="1793">
        <f t="shared" si="24"/>
        <v>0</v>
      </c>
    </row>
    <row r="111" spans="1:91" s="170" customFormat="1" ht="15" customHeight="1" x14ac:dyDescent="0.25">
      <c r="A111" s="6572"/>
      <c r="B111" s="6548"/>
      <c r="C111" s="2990" t="s">
        <v>2313</v>
      </c>
      <c r="D111" s="150">
        <f t="shared" si="21"/>
        <v>0</v>
      </c>
      <c r="E111" s="114"/>
      <c r="F111" s="121"/>
      <c r="G111" s="115"/>
      <c r="H111" s="115"/>
      <c r="I111" s="115"/>
      <c r="J111" s="774"/>
      <c r="K111" s="121"/>
      <c r="L111" s="117"/>
      <c r="M111" s="2989" t="str">
        <f t="shared" si="22"/>
        <v/>
      </c>
      <c r="CA111" s="2873" t="str">
        <f t="shared" si="23"/>
        <v/>
      </c>
      <c r="CB111" s="2873"/>
      <c r="CK111" s="1793">
        <f t="shared" si="24"/>
        <v>0</v>
      </c>
    </row>
    <row r="112" spans="1:91" ht="18" customHeight="1" x14ac:dyDescent="0.25">
      <c r="A112" s="2958" t="s">
        <v>2316</v>
      </c>
      <c r="B112" s="2959"/>
      <c r="C112" s="2959"/>
      <c r="D112" s="2959"/>
      <c r="E112" s="2992"/>
      <c r="F112" s="2992"/>
      <c r="G112" s="602"/>
      <c r="H112" s="602"/>
      <c r="I112" s="602"/>
      <c r="J112" s="602"/>
      <c r="K112" s="602"/>
      <c r="L112" s="602"/>
    </row>
    <row r="113" spans="1:94" ht="24" customHeight="1" x14ac:dyDescent="0.25">
      <c r="A113" s="2829" t="s">
        <v>2317</v>
      </c>
      <c r="B113" s="2993" t="s">
        <v>2318</v>
      </c>
      <c r="C113" s="2828" t="s">
        <v>2319</v>
      </c>
      <c r="D113" s="2479" t="s">
        <v>2292</v>
      </c>
      <c r="E113" s="602"/>
      <c r="F113" s="602"/>
      <c r="G113" s="602"/>
      <c r="H113" s="602"/>
      <c r="I113" s="602"/>
      <c r="J113" s="602"/>
      <c r="K113" s="602"/>
      <c r="L113" s="602"/>
    </row>
    <row r="114" spans="1:94" ht="15" customHeight="1" x14ac:dyDescent="0.25">
      <c r="A114" s="2994" t="s">
        <v>2320</v>
      </c>
      <c r="B114" s="2995"/>
      <c r="C114" s="2917"/>
      <c r="D114" s="2996"/>
      <c r="E114" s="2997"/>
      <c r="F114" s="602"/>
      <c r="G114" s="602"/>
      <c r="H114" s="602"/>
      <c r="I114" s="602"/>
      <c r="J114" s="602"/>
      <c r="K114" s="602"/>
      <c r="L114" s="602"/>
    </row>
    <row r="115" spans="1:94" ht="18" customHeight="1" x14ac:dyDescent="0.25">
      <c r="A115" s="2958" t="s">
        <v>2321</v>
      </c>
      <c r="B115" s="2959"/>
      <c r="C115" s="2959"/>
      <c r="D115" s="2959"/>
      <c r="E115" s="2998"/>
      <c r="F115" s="2998"/>
      <c r="G115" s="2998"/>
      <c r="H115" s="2998"/>
      <c r="I115" s="2998"/>
      <c r="J115" s="602"/>
      <c r="K115" s="602"/>
      <c r="L115" s="602"/>
    </row>
    <row r="116" spans="1:94" s="170" customFormat="1" ht="15" customHeight="1" x14ac:dyDescent="0.15">
      <c r="A116" s="6463" t="s">
        <v>23</v>
      </c>
      <c r="B116" s="8277" t="s">
        <v>2322</v>
      </c>
      <c r="C116" s="6453"/>
      <c r="D116" s="6453"/>
      <c r="E116" s="6453"/>
      <c r="F116" s="6453"/>
      <c r="G116" s="6453"/>
      <c r="H116" s="6453"/>
      <c r="I116" s="7123"/>
      <c r="J116" s="102"/>
      <c r="K116" s="102"/>
      <c r="L116" s="102"/>
    </row>
    <row r="117" spans="1:94" s="170" customFormat="1" ht="30" customHeight="1" x14ac:dyDescent="0.15">
      <c r="A117" s="6464"/>
      <c r="B117" s="2854" t="s">
        <v>2323</v>
      </c>
      <c r="C117" s="2840" t="s">
        <v>2324</v>
      </c>
      <c r="D117" s="2840" t="s">
        <v>2325</v>
      </c>
      <c r="E117" s="2840" t="s">
        <v>2326</v>
      </c>
      <c r="F117" s="2840" t="s">
        <v>2327</v>
      </c>
      <c r="G117" s="2840" t="s">
        <v>2328</v>
      </c>
      <c r="H117" s="2840" t="s">
        <v>2329</v>
      </c>
      <c r="I117" s="2840" t="s">
        <v>2330</v>
      </c>
      <c r="J117" s="102"/>
      <c r="K117" s="102"/>
      <c r="L117" s="102"/>
    </row>
    <row r="118" spans="1:94" s="170" customFormat="1" ht="21" x14ac:dyDescent="0.15">
      <c r="A118" s="2999" t="s">
        <v>2331</v>
      </c>
      <c r="B118" s="3000">
        <f>SUM(C118:I118)</f>
        <v>0</v>
      </c>
      <c r="C118" s="2507"/>
      <c r="D118" s="2507"/>
      <c r="E118" s="2507"/>
      <c r="F118" s="2507"/>
      <c r="G118" s="2507"/>
      <c r="H118" s="2507"/>
      <c r="I118" s="3001"/>
      <c r="J118" s="102"/>
      <c r="K118" s="102"/>
      <c r="L118" s="102"/>
    </row>
    <row r="119" spans="1:94" s="170" customFormat="1" ht="21" x14ac:dyDescent="0.15">
      <c r="A119" s="3002" t="s">
        <v>2332</v>
      </c>
      <c r="B119" s="3003">
        <f>SUM(C119:I119)</f>
        <v>0</v>
      </c>
      <c r="C119" s="3004"/>
      <c r="D119" s="3004"/>
      <c r="E119" s="3004"/>
      <c r="F119" s="3004"/>
      <c r="G119" s="3004"/>
      <c r="H119" s="3004"/>
      <c r="I119" s="3005"/>
      <c r="J119" s="102"/>
      <c r="K119" s="102"/>
      <c r="L119" s="102"/>
    </row>
    <row r="120" spans="1:94" ht="18" customHeight="1" x14ac:dyDescent="0.25">
      <c r="A120" s="2958" t="s">
        <v>2333</v>
      </c>
      <c r="B120" s="602"/>
      <c r="C120" s="602"/>
      <c r="D120" s="602"/>
      <c r="E120" s="602"/>
      <c r="F120" s="602"/>
      <c r="G120" s="602"/>
      <c r="H120" s="602"/>
      <c r="I120" s="602"/>
      <c r="J120" s="602"/>
      <c r="K120" s="602"/>
      <c r="L120" s="602"/>
      <c r="M120" s="602"/>
    </row>
    <row r="121" spans="1:94" s="170" customFormat="1" ht="15" customHeight="1" x14ac:dyDescent="0.15">
      <c r="A121" s="6463" t="s">
        <v>23</v>
      </c>
      <c r="B121" s="6450" t="s">
        <v>2334</v>
      </c>
      <c r="C121" s="8325" t="s">
        <v>2335</v>
      </c>
      <c r="D121" s="7098"/>
      <c r="E121" s="7098"/>
      <c r="F121" s="7098"/>
      <c r="G121" s="7098"/>
      <c r="H121" s="7098"/>
      <c r="I121" s="7098"/>
      <c r="J121" s="7098"/>
      <c r="K121" s="7098"/>
      <c r="L121" s="7098"/>
      <c r="M121" s="7099"/>
    </row>
    <row r="122" spans="1:94" s="170" customFormat="1" ht="31.5" x14ac:dyDescent="0.15">
      <c r="A122" s="6464"/>
      <c r="B122" s="6451"/>
      <c r="C122" s="2963" t="s">
        <v>2336</v>
      </c>
      <c r="D122" s="2857" t="s">
        <v>2337</v>
      </c>
      <c r="E122" s="2857" t="s">
        <v>2338</v>
      </c>
      <c r="F122" s="2857" t="s">
        <v>2339</v>
      </c>
      <c r="G122" s="2857" t="s">
        <v>2340</v>
      </c>
      <c r="H122" s="2857" t="s">
        <v>2341</v>
      </c>
      <c r="I122" s="2857" t="s">
        <v>2342</v>
      </c>
      <c r="J122" s="2857" t="s">
        <v>2343</v>
      </c>
      <c r="K122" s="2857" t="s">
        <v>2344</v>
      </c>
      <c r="L122" s="2857" t="s">
        <v>2345</v>
      </c>
      <c r="M122" s="2836" t="s">
        <v>2346</v>
      </c>
    </row>
    <row r="123" spans="1:94" s="170" customFormat="1" ht="21" x14ac:dyDescent="0.15">
      <c r="A123" s="2999" t="s">
        <v>2347</v>
      </c>
      <c r="B123" s="3000">
        <f>SUM(C123:M123)</f>
        <v>0</v>
      </c>
      <c r="C123" s="2496"/>
      <c r="D123" s="320"/>
      <c r="E123" s="320"/>
      <c r="F123" s="320"/>
      <c r="G123" s="320"/>
      <c r="H123" s="320"/>
      <c r="I123" s="320"/>
      <c r="J123" s="320"/>
      <c r="K123" s="320"/>
      <c r="L123" s="320"/>
      <c r="M123" s="2871"/>
    </row>
    <row r="124" spans="1:94" s="170" customFormat="1" ht="31.5" x14ac:dyDescent="0.15">
      <c r="A124" s="3002" t="s">
        <v>2348</v>
      </c>
      <c r="B124" s="3003">
        <f>SUM(C124:M124)</f>
        <v>0</v>
      </c>
      <c r="C124" s="2498"/>
      <c r="D124" s="2499"/>
      <c r="E124" s="2499"/>
      <c r="F124" s="2499"/>
      <c r="G124" s="2499"/>
      <c r="H124" s="2499"/>
      <c r="I124" s="2499"/>
      <c r="J124" s="2499"/>
      <c r="K124" s="2499"/>
      <c r="L124" s="2499"/>
      <c r="M124" s="2501"/>
    </row>
    <row r="125" spans="1:94" ht="18" customHeight="1" x14ac:dyDescent="0.25">
      <c r="A125" s="2958" t="s">
        <v>2349</v>
      </c>
      <c r="B125" s="1749"/>
      <c r="C125" s="602"/>
      <c r="D125" s="602"/>
      <c r="E125" s="602"/>
      <c r="F125" s="602"/>
      <c r="G125" s="602"/>
      <c r="H125" s="602"/>
      <c r="I125" s="602"/>
      <c r="J125" s="602"/>
      <c r="K125" s="602"/>
      <c r="L125" s="602"/>
      <c r="M125" s="602"/>
      <c r="N125" s="602"/>
      <c r="O125" s="602"/>
      <c r="P125" s="602"/>
    </row>
    <row r="126" spans="1:94" s="170" customFormat="1" ht="15" customHeight="1" x14ac:dyDescent="0.15">
      <c r="A126" s="6463" t="s">
        <v>23</v>
      </c>
      <c r="B126" s="8306" t="s">
        <v>2350</v>
      </c>
      <c r="C126" s="8308" t="s">
        <v>12</v>
      </c>
      <c r="D126" s="8309"/>
      <c r="E126" s="8309"/>
      <c r="F126" s="8310"/>
      <c r="G126" s="8311" t="s">
        <v>2</v>
      </c>
      <c r="H126" s="6460" t="s">
        <v>3</v>
      </c>
      <c r="I126" s="102"/>
      <c r="J126" s="102"/>
      <c r="K126" s="102"/>
      <c r="L126" s="102"/>
      <c r="M126" s="102"/>
      <c r="N126" s="102"/>
      <c r="O126" s="102"/>
      <c r="P126" s="102"/>
    </row>
    <row r="127" spans="1:94" s="170" customFormat="1" ht="30" customHeight="1" x14ac:dyDescent="0.15">
      <c r="A127" s="6464"/>
      <c r="B127" s="8307"/>
      <c r="C127" s="2859" t="s">
        <v>1852</v>
      </c>
      <c r="D127" s="2857" t="s">
        <v>1853</v>
      </c>
      <c r="E127" s="2857" t="s">
        <v>1854</v>
      </c>
      <c r="F127" s="2860" t="s">
        <v>1855</v>
      </c>
      <c r="G127" s="6564"/>
      <c r="H127" s="6461"/>
      <c r="I127" s="102"/>
      <c r="J127" s="102"/>
      <c r="K127" s="102"/>
      <c r="L127" s="102"/>
      <c r="M127" s="102"/>
      <c r="N127" s="102"/>
      <c r="O127" s="102"/>
      <c r="P127" s="102"/>
    </row>
    <row r="128" spans="1:94" s="170" customFormat="1" ht="21" x14ac:dyDescent="0.25">
      <c r="A128" s="2999" t="s">
        <v>3807</v>
      </c>
      <c r="B128" s="3006"/>
      <c r="C128" s="3007"/>
      <c r="D128" s="320"/>
      <c r="E128" s="320"/>
      <c r="F128" s="2497"/>
      <c r="G128" s="2933"/>
      <c r="H128" s="2488"/>
      <c r="I128" s="2989" t="str">
        <f>CA128&amp;CB128&amp;CC128&amp;CD128</f>
        <v/>
      </c>
      <c r="J128" s="602"/>
      <c r="K128" s="602"/>
      <c r="L128" s="602"/>
      <c r="M128" s="602"/>
      <c r="N128" s="602"/>
      <c r="O128" s="602"/>
      <c r="P128" s="602"/>
      <c r="Q128" s="602"/>
      <c r="R128" s="602"/>
      <c r="S128" s="602"/>
      <c r="T128" s="602"/>
      <c r="U128" s="602"/>
      <c r="V128" s="602"/>
      <c r="W128" s="602"/>
      <c r="X128" s="602"/>
      <c r="Y128" s="602"/>
      <c r="Z128" s="602"/>
      <c r="AA128" s="602"/>
      <c r="AB128" s="602"/>
      <c r="AC128" s="602"/>
      <c r="AD128" s="602"/>
      <c r="AE128" s="602"/>
      <c r="AF128" s="602"/>
      <c r="AG128" s="602"/>
      <c r="AH128" s="602"/>
      <c r="AI128" s="602"/>
      <c r="AJ128" s="602"/>
      <c r="AK128" s="602"/>
      <c r="AL128" s="602"/>
      <c r="AM128" s="602"/>
      <c r="AN128" s="602"/>
      <c r="AO128" s="602"/>
      <c r="AP128" s="602"/>
      <c r="AQ128" s="602"/>
      <c r="AR128" s="602"/>
      <c r="AS128" s="602"/>
      <c r="AT128" s="602"/>
      <c r="AU128" s="602"/>
      <c r="AV128" s="602"/>
      <c r="AW128" s="602"/>
      <c r="AX128" s="602"/>
      <c r="AY128" s="602"/>
      <c r="AZ128" s="602"/>
      <c r="BA128" s="602"/>
      <c r="BB128" s="602"/>
      <c r="BC128" s="602"/>
      <c r="BD128" s="602"/>
      <c r="BE128" s="602"/>
      <c r="BF128" s="602"/>
      <c r="BG128" s="602"/>
      <c r="BH128" s="602"/>
      <c r="BI128" s="602"/>
      <c r="BJ128" s="602"/>
      <c r="BK128" s="602"/>
      <c r="BL128" s="602"/>
      <c r="BM128" s="602"/>
      <c r="BN128" s="602"/>
      <c r="BO128" s="602"/>
      <c r="BP128" s="602"/>
      <c r="BQ128" s="602"/>
      <c r="BR128" s="602"/>
      <c r="BS128" s="602"/>
      <c r="BT128" s="602"/>
      <c r="BU128" s="602"/>
      <c r="BV128" s="602"/>
      <c r="BW128" s="602"/>
      <c r="BX128" s="602"/>
      <c r="BY128" s="636"/>
      <c r="BZ128" s="636"/>
      <c r="CA128" s="3008" t="str">
        <f>IF(CK128=1,"* No olvide ingresar la variable Pueblos Originarios. Si no tiene digite Cero. ","")</f>
        <v/>
      </c>
      <c r="CB128" s="3008" t="str">
        <f>IF(CL128=1,"* No olvide ingresar la variable Migrantes. Si no tiene digite Cero. ","")</f>
        <v/>
      </c>
      <c r="CC128" s="3008" t="str">
        <f>IF(CM128=1,"* El total de Pueblos Originarios NO DEBE superar la suma por Rango Etario. ","")</f>
        <v/>
      </c>
      <c r="CD128" s="3008" t="str">
        <f>IF(CN128=1,"* El total de Migrantes NO DEBE superar la suma por grupo de edad","")</f>
        <v/>
      </c>
      <c r="CE128" s="2718"/>
      <c r="CF128" s="2718"/>
      <c r="CK128" s="3009">
        <f>IF(AND(G128="",SUM(C128:F128)&lt;&gt;0),1,0)</f>
        <v>0</v>
      </c>
      <c r="CL128" s="3009">
        <f>IF(AND(H128="",SUM(C128:F128)&lt;&gt;0),1,0)</f>
        <v>0</v>
      </c>
      <c r="CM128" s="3009">
        <f>IF(SUM(C128:F128)&lt;G128,1,0)</f>
        <v>0</v>
      </c>
      <c r="CN128" s="3009">
        <f>IF(SUM(C128:F128)&lt;H128,1,0)</f>
        <v>0</v>
      </c>
      <c r="CO128"/>
      <c r="CP128"/>
    </row>
    <row r="129" spans="1:92" s="170" customFormat="1" ht="21" x14ac:dyDescent="0.25">
      <c r="A129" s="3002" t="s">
        <v>2351</v>
      </c>
      <c r="B129" s="3010"/>
      <c r="C129" s="3011"/>
      <c r="D129" s="2499"/>
      <c r="E129" s="2499"/>
      <c r="F129" s="3012"/>
      <c r="G129" s="2904"/>
      <c r="H129" s="3013"/>
      <c r="I129" s="2989" t="str">
        <f>CA129&amp;CB129&amp;CC129&amp;CD129</f>
        <v/>
      </c>
      <c r="J129" s="602"/>
      <c r="K129" s="602"/>
      <c r="L129" s="602"/>
      <c r="M129" s="602"/>
      <c r="N129" s="602"/>
      <c r="O129" s="602"/>
      <c r="P129" s="602"/>
      <c r="Q129" s="602"/>
      <c r="R129" s="602"/>
      <c r="S129" s="602"/>
      <c r="T129" s="602"/>
      <c r="U129" s="602"/>
      <c r="V129" s="602"/>
      <c r="W129" s="602"/>
      <c r="X129" s="602"/>
      <c r="Y129" s="602"/>
      <c r="Z129" s="602"/>
      <c r="AA129" s="602"/>
      <c r="AB129" s="602"/>
      <c r="AC129" s="602"/>
      <c r="AD129" s="602"/>
      <c r="AE129" s="602"/>
      <c r="AF129" s="602"/>
      <c r="AG129" s="602"/>
      <c r="AH129" s="602"/>
      <c r="AI129" s="602"/>
      <c r="AJ129" s="602"/>
      <c r="AK129" s="602"/>
      <c r="AL129" s="602"/>
      <c r="AM129" s="602"/>
      <c r="AN129" s="602"/>
      <c r="AO129" s="602"/>
      <c r="AP129" s="602"/>
      <c r="AQ129" s="602"/>
      <c r="AR129" s="602"/>
      <c r="AS129" s="602"/>
      <c r="AT129" s="602"/>
      <c r="AU129" s="602"/>
      <c r="AV129" s="602"/>
      <c r="AW129" s="602"/>
      <c r="AX129" s="602"/>
      <c r="AY129" s="602"/>
      <c r="AZ129" s="602"/>
      <c r="BA129" s="602"/>
      <c r="BB129" s="602"/>
      <c r="BC129" s="602"/>
      <c r="BD129" s="602"/>
      <c r="BE129" s="602"/>
      <c r="BF129" s="602"/>
      <c r="BG129" s="602"/>
      <c r="BH129" s="602"/>
      <c r="BI129" s="602"/>
      <c r="BJ129" s="602"/>
      <c r="BK129" s="602"/>
      <c r="BL129" s="602"/>
      <c r="BM129" s="602"/>
      <c r="BN129" s="602"/>
      <c r="BO129" s="602"/>
      <c r="BP129" s="602"/>
      <c r="BQ129" s="602"/>
      <c r="BR129" s="602"/>
      <c r="BS129" s="602"/>
      <c r="BT129" s="602"/>
      <c r="BU129" s="602"/>
      <c r="BV129" s="602"/>
      <c r="BW129" s="602"/>
      <c r="BX129" s="602"/>
      <c r="BY129" s="636"/>
      <c r="BZ129" s="636"/>
      <c r="CA129" s="3008" t="str">
        <f>IF(CK129=1,"* No olvide ingresar la variable Pueblos Originarios. Si no tiene digite Cero. ","")</f>
        <v/>
      </c>
      <c r="CB129" s="3008" t="str">
        <f>IF(CL129=1,"* No olvide ingresar la variable Migrantes. Si no tiene digite Cero. ","")</f>
        <v/>
      </c>
      <c r="CC129" s="3008" t="str">
        <f>IF(CM129=1,"* El total de Pueblos Originarios NO DEBE superar la suma por Rango Etario. ","")</f>
        <v/>
      </c>
      <c r="CD129" s="3008" t="str">
        <f>IF(CN129=1,"* El total de Migrantes NO DEBE superar la suma por grupo de edad","")</f>
        <v/>
      </c>
      <c r="CE129" s="2718"/>
      <c r="CF129" s="2718"/>
      <c r="CK129" s="3009">
        <f>IF(AND(G129="",SUM(C129:F129)&lt;&gt;0),1,0)</f>
        <v>0</v>
      </c>
      <c r="CL129" s="3009">
        <f>IF(AND(H129="",SUM(C129:F129)&lt;&gt;0),1,0)</f>
        <v>0</v>
      </c>
      <c r="CM129" s="3009">
        <f>IF(SUM(C129:F129)&lt;G129,1,0)</f>
        <v>0</v>
      </c>
      <c r="CN129" s="3009">
        <f>IF(SUM(C129:F129)&lt;H129,1,0)</f>
        <v>0</v>
      </c>
    </row>
    <row r="130" spans="1:92" ht="18" customHeight="1" x14ac:dyDescent="0.25">
      <c r="A130" s="3014" t="s">
        <v>2352</v>
      </c>
      <c r="B130" s="3014"/>
      <c r="C130" s="3014"/>
      <c r="D130" s="3015"/>
      <c r="E130" s="3016"/>
      <c r="F130" s="3016"/>
      <c r="G130" s="3016"/>
      <c r="H130" s="3016"/>
      <c r="I130" s="3016"/>
      <c r="J130" s="3017"/>
      <c r="K130" s="3016"/>
      <c r="L130" s="3016"/>
      <c r="M130" s="3016"/>
      <c r="N130" s="3016"/>
      <c r="O130" s="3016"/>
      <c r="P130" s="3016"/>
    </row>
    <row r="131" spans="1:92" s="170" customFormat="1" ht="15" customHeight="1" x14ac:dyDescent="0.15">
      <c r="A131" s="8312" t="s">
        <v>2307</v>
      </c>
      <c r="B131" s="8313"/>
      <c r="C131" s="8314"/>
      <c r="D131" s="8317" t="s">
        <v>2308</v>
      </c>
      <c r="E131" s="6725" t="s">
        <v>1468</v>
      </c>
      <c r="F131" s="6726"/>
      <c r="G131" s="6726"/>
      <c r="H131" s="6726"/>
      <c r="I131" s="6726"/>
      <c r="J131" s="6726"/>
      <c r="K131" s="6726"/>
      <c r="L131" s="6726"/>
      <c r="M131" s="6726"/>
      <c r="N131" s="8319"/>
      <c r="O131" s="6726" t="s">
        <v>523</v>
      </c>
      <c r="P131" s="8287"/>
    </row>
    <row r="132" spans="1:92" s="170" customFormat="1" ht="20.100000000000001" customHeight="1" x14ac:dyDescent="0.15">
      <c r="A132" s="8315"/>
      <c r="B132" s="8315"/>
      <c r="C132" s="8316"/>
      <c r="D132" s="8318"/>
      <c r="E132" s="3018" t="s">
        <v>2353</v>
      </c>
      <c r="F132" s="3019" t="s">
        <v>553</v>
      </c>
      <c r="G132" s="3019" t="s">
        <v>554</v>
      </c>
      <c r="H132" s="3019" t="s">
        <v>568</v>
      </c>
      <c r="I132" s="3019" t="s">
        <v>559</v>
      </c>
      <c r="J132" s="3019" t="s">
        <v>2309</v>
      </c>
      <c r="K132" s="3019" t="s">
        <v>400</v>
      </c>
      <c r="L132" s="3019" t="s">
        <v>557</v>
      </c>
      <c r="M132" s="3019" t="s">
        <v>2354</v>
      </c>
      <c r="N132" s="3020" t="s">
        <v>32</v>
      </c>
      <c r="O132" s="3021" t="s">
        <v>22</v>
      </c>
      <c r="P132" s="3022" t="s">
        <v>27</v>
      </c>
    </row>
    <row r="133" spans="1:92" s="170" customFormat="1" ht="15" customHeight="1" x14ac:dyDescent="0.25">
      <c r="A133" s="8288" t="s">
        <v>2355</v>
      </c>
      <c r="B133" s="8289"/>
      <c r="C133" s="3023" t="s">
        <v>2356</v>
      </c>
      <c r="D133" s="3024">
        <f>+E133</f>
        <v>0</v>
      </c>
      <c r="E133" s="3025"/>
      <c r="F133" s="3026"/>
      <c r="G133" s="3026"/>
      <c r="H133" s="3026"/>
      <c r="I133" s="3026"/>
      <c r="J133" s="3026"/>
      <c r="K133" s="3026"/>
      <c r="L133" s="3026"/>
      <c r="M133" s="3026"/>
      <c r="N133" s="3027"/>
      <c r="O133" s="3028"/>
      <c r="P133" s="3029"/>
      <c r="Q133" s="2989" t="str">
        <f>CA133</f>
        <v/>
      </c>
      <c r="CA133" s="2873" t="str">
        <f>IF((O133+P133)&lt;&gt;D133," * El desglose por Sexo no puede ser distinto al Total.","")</f>
        <v/>
      </c>
      <c r="CK133" s="1793">
        <f>IF((O133+P133)&lt;&gt;D133,1,0)</f>
        <v>0</v>
      </c>
    </row>
    <row r="134" spans="1:92" s="170" customFormat="1" ht="15" customHeight="1" x14ac:dyDescent="0.25">
      <c r="A134" s="8290"/>
      <c r="B134" s="8291"/>
      <c r="C134" s="3030" t="s">
        <v>2357</v>
      </c>
      <c r="D134" s="3024">
        <f>+F134</f>
        <v>0</v>
      </c>
      <c r="E134" s="3031"/>
      <c r="F134" s="3032"/>
      <c r="G134" s="3033"/>
      <c r="H134" s="3033"/>
      <c r="I134" s="3033"/>
      <c r="J134" s="3033"/>
      <c r="K134" s="3033"/>
      <c r="L134" s="3033"/>
      <c r="M134" s="3033"/>
      <c r="N134" s="3034"/>
      <c r="O134" s="3035"/>
      <c r="P134" s="3036"/>
      <c r="Q134" s="2989" t="str">
        <f t="shared" ref="Q134:Q148" si="25">CA134</f>
        <v/>
      </c>
      <c r="CA134" s="2873" t="str">
        <f t="shared" ref="CA134:CA148" si="26">IF((O134+P134)&lt;&gt;D134," * El desglose por Sexo no puede ser distinto al Total.","")</f>
        <v/>
      </c>
      <c r="CK134" s="1793">
        <f t="shared" ref="CK134:CK148" si="27">IF((O134+P134)&lt;&gt;D134,1,0)</f>
        <v>0</v>
      </c>
    </row>
    <row r="135" spans="1:92" s="170" customFormat="1" ht="15" customHeight="1" x14ac:dyDescent="0.25">
      <c r="A135" s="8290"/>
      <c r="B135" s="8291"/>
      <c r="C135" s="3030" t="s">
        <v>2358</v>
      </c>
      <c r="D135" s="3024">
        <f>+G135</f>
        <v>0</v>
      </c>
      <c r="E135" s="3031"/>
      <c r="F135" s="3033"/>
      <c r="G135" s="3032"/>
      <c r="H135" s="3033"/>
      <c r="I135" s="3033"/>
      <c r="J135" s="3033"/>
      <c r="K135" s="3033"/>
      <c r="L135" s="3033"/>
      <c r="M135" s="3033"/>
      <c r="N135" s="3034"/>
      <c r="O135" s="3035"/>
      <c r="P135" s="3036"/>
      <c r="Q135" s="2989" t="str">
        <f t="shared" si="25"/>
        <v/>
      </c>
      <c r="CA135" s="2873" t="str">
        <f t="shared" si="26"/>
        <v/>
      </c>
      <c r="CK135" s="1793">
        <f t="shared" si="27"/>
        <v>0</v>
      </c>
    </row>
    <row r="136" spans="1:92" s="170" customFormat="1" ht="23.25" customHeight="1" x14ac:dyDescent="0.25">
      <c r="A136" s="8290"/>
      <c r="B136" s="8291"/>
      <c r="C136" s="3037" t="s">
        <v>2359</v>
      </c>
      <c r="D136" s="3024">
        <f>+H136</f>
        <v>0</v>
      </c>
      <c r="E136" s="3031"/>
      <c r="F136" s="3033"/>
      <c r="G136" s="3033"/>
      <c r="H136" s="3032"/>
      <c r="I136" s="3033"/>
      <c r="J136" s="3033"/>
      <c r="K136" s="3033"/>
      <c r="L136" s="3033"/>
      <c r="M136" s="3033"/>
      <c r="N136" s="3034"/>
      <c r="O136" s="3035"/>
      <c r="P136" s="3036"/>
      <c r="Q136" s="2989" t="str">
        <f t="shared" si="25"/>
        <v/>
      </c>
      <c r="CA136" s="2873" t="str">
        <f t="shared" si="26"/>
        <v/>
      </c>
      <c r="CK136" s="1793">
        <f t="shared" si="27"/>
        <v>0</v>
      </c>
    </row>
    <row r="137" spans="1:92" s="170" customFormat="1" ht="22.5" customHeight="1" x14ac:dyDescent="0.25">
      <c r="A137" s="8290"/>
      <c r="B137" s="8291"/>
      <c r="C137" s="3037" t="s">
        <v>2360</v>
      </c>
      <c r="D137" s="3024">
        <f>+I137+J137+K137</f>
        <v>0</v>
      </c>
      <c r="E137" s="3031"/>
      <c r="F137" s="3033"/>
      <c r="G137" s="3033"/>
      <c r="H137" s="3033"/>
      <c r="I137" s="3032"/>
      <c r="J137" s="3032"/>
      <c r="K137" s="3032"/>
      <c r="L137" s="3033"/>
      <c r="M137" s="3033"/>
      <c r="N137" s="3034"/>
      <c r="O137" s="3035"/>
      <c r="P137" s="3036"/>
      <c r="Q137" s="2989" t="str">
        <f t="shared" si="25"/>
        <v/>
      </c>
      <c r="CA137" s="2873" t="str">
        <f t="shared" si="26"/>
        <v/>
      </c>
      <c r="CK137" s="1793">
        <f t="shared" si="27"/>
        <v>0</v>
      </c>
    </row>
    <row r="138" spans="1:92" s="170" customFormat="1" ht="15" customHeight="1" x14ac:dyDescent="0.25">
      <c r="A138" s="8290"/>
      <c r="B138" s="8291"/>
      <c r="C138" s="3038" t="s">
        <v>2361</v>
      </c>
      <c r="D138" s="3024">
        <f>+G138+H138+I138</f>
        <v>0</v>
      </c>
      <c r="E138" s="3031"/>
      <c r="F138" s="3033"/>
      <c r="G138" s="3032"/>
      <c r="H138" s="3032"/>
      <c r="I138" s="3032"/>
      <c r="J138" s="3033"/>
      <c r="K138" s="3033"/>
      <c r="L138" s="3033"/>
      <c r="M138" s="3033"/>
      <c r="N138" s="3034"/>
      <c r="O138" s="3035"/>
      <c r="P138" s="3036"/>
      <c r="Q138" s="2989" t="str">
        <f t="shared" si="25"/>
        <v/>
      </c>
      <c r="CA138" s="2873" t="str">
        <f t="shared" si="26"/>
        <v/>
      </c>
      <c r="CK138" s="1793">
        <f t="shared" si="27"/>
        <v>0</v>
      </c>
    </row>
    <row r="139" spans="1:92" s="170" customFormat="1" ht="15" customHeight="1" x14ac:dyDescent="0.25">
      <c r="A139" s="8290"/>
      <c r="B139" s="8291"/>
      <c r="C139" s="3038" t="s">
        <v>2362</v>
      </c>
      <c r="D139" s="3024">
        <f>+G139+H139+I139</f>
        <v>0</v>
      </c>
      <c r="E139" s="3031"/>
      <c r="F139" s="3033"/>
      <c r="G139" s="3032"/>
      <c r="H139" s="3032"/>
      <c r="I139" s="3032"/>
      <c r="J139" s="3033"/>
      <c r="K139" s="3033"/>
      <c r="L139" s="3033"/>
      <c r="M139" s="3033"/>
      <c r="N139" s="3034"/>
      <c r="O139" s="3039"/>
      <c r="P139" s="3040"/>
      <c r="Q139" s="2989" t="str">
        <f t="shared" si="25"/>
        <v/>
      </c>
      <c r="CA139" s="2873" t="str">
        <f t="shared" si="26"/>
        <v/>
      </c>
      <c r="CK139" s="1793">
        <f t="shared" si="27"/>
        <v>0</v>
      </c>
    </row>
    <row r="140" spans="1:92" s="170" customFormat="1" ht="23.25" customHeight="1" x14ac:dyDescent="0.25">
      <c r="A140" s="8290"/>
      <c r="B140" s="8291"/>
      <c r="C140" s="4604" t="s">
        <v>2363</v>
      </c>
      <c r="D140" s="4605">
        <f>+L140+M140+N140</f>
        <v>0</v>
      </c>
      <c r="E140" s="3041"/>
      <c r="F140" s="3042"/>
      <c r="G140" s="3042"/>
      <c r="H140" s="3042"/>
      <c r="I140" s="3042"/>
      <c r="J140" s="3042"/>
      <c r="K140" s="3042"/>
      <c r="L140" s="3043"/>
      <c r="M140" s="3043"/>
      <c r="N140" s="3044"/>
      <c r="O140" s="3045"/>
      <c r="P140" s="3046"/>
      <c r="Q140" s="2989" t="str">
        <f t="shared" si="25"/>
        <v/>
      </c>
      <c r="CA140" s="2873" t="str">
        <f t="shared" si="26"/>
        <v/>
      </c>
      <c r="CK140" s="1793">
        <f t="shared" si="27"/>
        <v>0</v>
      </c>
    </row>
    <row r="141" spans="1:92" s="170" customFormat="1" ht="15" customHeight="1" x14ac:dyDescent="0.25">
      <c r="A141" s="8292" t="s">
        <v>2364</v>
      </c>
      <c r="B141" s="8293"/>
      <c r="C141" s="4606" t="s">
        <v>2356</v>
      </c>
      <c r="D141" s="4607">
        <f>+E141</f>
        <v>0</v>
      </c>
      <c r="E141" s="3050"/>
      <c r="F141" s="3048"/>
      <c r="G141" s="3048"/>
      <c r="H141" s="3048"/>
      <c r="I141" s="3048"/>
      <c r="J141" s="3048"/>
      <c r="K141" s="3048"/>
      <c r="L141" s="3048"/>
      <c r="M141" s="3048"/>
      <c r="N141" s="3049"/>
      <c r="O141" s="3050"/>
      <c r="P141" s="3051"/>
      <c r="Q141" s="2989" t="str">
        <f t="shared" si="25"/>
        <v/>
      </c>
      <c r="CA141" s="2873" t="str">
        <f t="shared" si="26"/>
        <v/>
      </c>
      <c r="CK141" s="1793">
        <f t="shared" si="27"/>
        <v>0</v>
      </c>
    </row>
    <row r="142" spans="1:92" s="170" customFormat="1" ht="15" customHeight="1" x14ac:dyDescent="0.25">
      <c r="A142" s="8294"/>
      <c r="B142" s="8291"/>
      <c r="C142" s="3030" t="s">
        <v>2357</v>
      </c>
      <c r="D142" s="4608">
        <f>+F142</f>
        <v>0</v>
      </c>
      <c r="E142" s="4603"/>
      <c r="F142" s="3032"/>
      <c r="G142" s="3033"/>
      <c r="H142" s="3033"/>
      <c r="I142" s="3033"/>
      <c r="J142" s="3033"/>
      <c r="K142" s="3033"/>
      <c r="L142" s="3033"/>
      <c r="M142" s="3033"/>
      <c r="N142" s="3034"/>
      <c r="O142" s="3035"/>
      <c r="P142" s="3036"/>
      <c r="Q142" s="2989" t="str">
        <f t="shared" si="25"/>
        <v/>
      </c>
      <c r="CA142" s="2873" t="str">
        <f t="shared" si="26"/>
        <v/>
      </c>
      <c r="CK142" s="1793">
        <f t="shared" si="27"/>
        <v>0</v>
      </c>
    </row>
    <row r="143" spans="1:92" s="170" customFormat="1" ht="15" customHeight="1" x14ac:dyDescent="0.25">
      <c r="A143" s="8294"/>
      <c r="B143" s="8291"/>
      <c r="C143" s="3030" t="s">
        <v>2358</v>
      </c>
      <c r="D143" s="4608">
        <f>+G143</f>
        <v>0</v>
      </c>
      <c r="E143" s="4603"/>
      <c r="F143" s="3033"/>
      <c r="G143" s="3032"/>
      <c r="H143" s="3033"/>
      <c r="I143" s="3033"/>
      <c r="J143" s="3033"/>
      <c r="K143" s="3033"/>
      <c r="L143" s="3033"/>
      <c r="M143" s="3033"/>
      <c r="N143" s="3034"/>
      <c r="O143" s="3035"/>
      <c r="P143" s="3036"/>
      <c r="Q143" s="2989" t="str">
        <f t="shared" si="25"/>
        <v/>
      </c>
      <c r="CA143" s="2873" t="str">
        <f t="shared" si="26"/>
        <v/>
      </c>
      <c r="CK143" s="1793">
        <f t="shared" si="27"/>
        <v>0</v>
      </c>
    </row>
    <row r="144" spans="1:92" s="170" customFormat="1" ht="23.25" customHeight="1" x14ac:dyDescent="0.25">
      <c r="A144" s="8294"/>
      <c r="B144" s="8291"/>
      <c r="C144" s="3037" t="s">
        <v>2359</v>
      </c>
      <c r="D144" s="4608">
        <f>+H144</f>
        <v>0</v>
      </c>
      <c r="E144" s="4603"/>
      <c r="F144" s="3033"/>
      <c r="G144" s="3033"/>
      <c r="H144" s="3032"/>
      <c r="I144" s="3033"/>
      <c r="J144" s="3033"/>
      <c r="K144" s="3033"/>
      <c r="L144" s="3033"/>
      <c r="M144" s="3033"/>
      <c r="N144" s="3034"/>
      <c r="O144" s="3035"/>
      <c r="P144" s="3036"/>
      <c r="Q144" s="2989" t="str">
        <f t="shared" si="25"/>
        <v/>
      </c>
      <c r="CA144" s="2873" t="str">
        <f t="shared" si="26"/>
        <v/>
      </c>
      <c r="CK144" s="1793">
        <f t="shared" si="27"/>
        <v>0</v>
      </c>
    </row>
    <row r="145" spans="1:89" s="170" customFormat="1" ht="20.100000000000001" customHeight="1" x14ac:dyDescent="0.25">
      <c r="A145" s="8294"/>
      <c r="B145" s="8291"/>
      <c r="C145" s="3037" t="s">
        <v>2360</v>
      </c>
      <c r="D145" s="4608">
        <f>+I145+J145+K145</f>
        <v>0</v>
      </c>
      <c r="E145" s="4603"/>
      <c r="F145" s="3033"/>
      <c r="G145" s="3033"/>
      <c r="H145" s="3033"/>
      <c r="I145" s="3032"/>
      <c r="J145" s="3032"/>
      <c r="K145" s="3032"/>
      <c r="L145" s="3033"/>
      <c r="M145" s="3033"/>
      <c r="N145" s="3034"/>
      <c r="O145" s="3035"/>
      <c r="P145" s="3036"/>
      <c r="Q145" s="2989" t="str">
        <f t="shared" si="25"/>
        <v/>
      </c>
      <c r="CA145" s="2873" t="str">
        <f t="shared" si="26"/>
        <v/>
      </c>
      <c r="CK145" s="1793">
        <f t="shared" si="27"/>
        <v>0</v>
      </c>
    </row>
    <row r="146" spans="1:89" s="170" customFormat="1" ht="15" customHeight="1" x14ac:dyDescent="0.25">
      <c r="A146" s="8294"/>
      <c r="B146" s="8291"/>
      <c r="C146" s="3038" t="s">
        <v>2361</v>
      </c>
      <c r="D146" s="4608">
        <f>+G146+H146+I146</f>
        <v>0</v>
      </c>
      <c r="E146" s="4603"/>
      <c r="F146" s="3033"/>
      <c r="G146" s="3032"/>
      <c r="H146" s="3032"/>
      <c r="I146" s="3032"/>
      <c r="J146" s="3033"/>
      <c r="K146" s="3033"/>
      <c r="L146" s="3033"/>
      <c r="M146" s="3033"/>
      <c r="N146" s="3034"/>
      <c r="O146" s="3035"/>
      <c r="P146" s="3036"/>
      <c r="Q146" s="2989" t="str">
        <f t="shared" si="25"/>
        <v/>
      </c>
      <c r="CA146" s="2873" t="str">
        <f t="shared" si="26"/>
        <v/>
      </c>
      <c r="CK146" s="1793">
        <f t="shared" si="27"/>
        <v>0</v>
      </c>
    </row>
    <row r="147" spans="1:89" s="170" customFormat="1" ht="15" customHeight="1" x14ac:dyDescent="0.25">
      <c r="A147" s="8294"/>
      <c r="B147" s="8291"/>
      <c r="C147" s="3038" t="s">
        <v>2362</v>
      </c>
      <c r="D147" s="4608">
        <f>+G147+H147+I147</f>
        <v>0</v>
      </c>
      <c r="E147" s="4603"/>
      <c r="F147" s="3033"/>
      <c r="G147" s="3032"/>
      <c r="H147" s="3032"/>
      <c r="I147" s="3032"/>
      <c r="J147" s="3033"/>
      <c r="K147" s="3033"/>
      <c r="L147" s="3033"/>
      <c r="M147" s="3033"/>
      <c r="N147" s="3034"/>
      <c r="O147" s="3039"/>
      <c r="P147" s="3040"/>
      <c r="Q147" s="2989" t="str">
        <f t="shared" si="25"/>
        <v/>
      </c>
      <c r="CA147" s="2873" t="str">
        <f t="shared" si="26"/>
        <v/>
      </c>
      <c r="CK147" s="1793">
        <f t="shared" si="27"/>
        <v>0</v>
      </c>
    </row>
    <row r="148" spans="1:89" s="170" customFormat="1" ht="24.75" customHeight="1" x14ac:dyDescent="0.25">
      <c r="A148" s="8295"/>
      <c r="B148" s="8296"/>
      <c r="C148" s="4609" t="s">
        <v>2363</v>
      </c>
      <c r="D148" s="4610">
        <f>+L148+M148+N148</f>
        <v>0</v>
      </c>
      <c r="E148" s="3541"/>
      <c r="F148" s="3042"/>
      <c r="G148" s="3042"/>
      <c r="H148" s="3042"/>
      <c r="I148" s="3042"/>
      <c r="J148" s="3042"/>
      <c r="K148" s="3042"/>
      <c r="L148" s="3052"/>
      <c r="M148" s="3052"/>
      <c r="N148" s="3053"/>
      <c r="O148" s="3045"/>
      <c r="P148" s="3046"/>
      <c r="Q148" s="2989" t="str">
        <f t="shared" si="25"/>
        <v/>
      </c>
      <c r="CA148" s="2873" t="str">
        <f t="shared" si="26"/>
        <v/>
      </c>
      <c r="CK148" s="1793">
        <f t="shared" si="27"/>
        <v>0</v>
      </c>
    </row>
    <row r="149" spans="1:89" ht="18" customHeight="1" x14ac:dyDescent="0.25">
      <c r="A149" s="3054" t="s">
        <v>2365</v>
      </c>
      <c r="B149" s="632"/>
      <c r="C149" s="102"/>
      <c r="D149" s="102"/>
      <c r="E149" s="102"/>
      <c r="F149" s="103"/>
      <c r="G149" s="103"/>
      <c r="H149" s="103"/>
      <c r="I149" s="103"/>
      <c r="J149" s="602"/>
      <c r="K149" s="602"/>
      <c r="L149" s="602"/>
      <c r="M149" s="602"/>
      <c r="N149" s="602"/>
      <c r="O149" s="602"/>
      <c r="P149" s="602"/>
      <c r="Q149" s="602"/>
      <c r="R149" s="602"/>
      <c r="S149" s="602"/>
      <c r="T149" s="602"/>
      <c r="U149" s="602"/>
      <c r="V149" s="602"/>
      <c r="W149" s="602"/>
      <c r="X149" s="602"/>
      <c r="Y149" s="602"/>
      <c r="Z149" s="602"/>
      <c r="AA149" s="602"/>
      <c r="AB149" s="602"/>
      <c r="AC149" s="602"/>
      <c r="AD149" s="602"/>
      <c r="AE149" s="602"/>
      <c r="AF149" s="602"/>
      <c r="AG149" s="602"/>
      <c r="AH149" s="602"/>
      <c r="AI149" s="602"/>
    </row>
    <row r="150" spans="1:89" ht="42" x14ac:dyDescent="0.25">
      <c r="A150" s="8277" t="s">
        <v>2242</v>
      </c>
      <c r="B150" s="6453"/>
      <c r="C150" s="7123"/>
      <c r="D150" s="2840" t="s">
        <v>24</v>
      </c>
      <c r="E150" s="2855" t="s">
        <v>1125</v>
      </c>
      <c r="F150" s="2857" t="s">
        <v>2287</v>
      </c>
      <c r="G150" s="2857" t="s">
        <v>2288</v>
      </c>
      <c r="H150" s="2860" t="s">
        <v>632</v>
      </c>
      <c r="I150" s="2945" t="s">
        <v>2289</v>
      </c>
      <c r="J150" s="602"/>
      <c r="K150" s="602"/>
      <c r="L150" s="602"/>
      <c r="M150" s="602"/>
      <c r="N150" s="602"/>
      <c r="O150" s="602"/>
      <c r="P150" s="602"/>
      <c r="Q150" s="602"/>
      <c r="R150" s="602"/>
      <c r="S150" s="602"/>
      <c r="T150" s="602"/>
      <c r="U150" s="602"/>
      <c r="V150" s="602"/>
      <c r="W150" s="602"/>
      <c r="X150" s="602"/>
      <c r="Y150" s="602"/>
      <c r="Z150" s="602"/>
      <c r="AA150" s="602"/>
      <c r="AB150" s="602"/>
      <c r="AC150" s="602"/>
      <c r="AD150" s="602"/>
      <c r="AE150" s="602"/>
      <c r="AF150" s="602"/>
      <c r="AG150" s="602"/>
      <c r="AH150" s="602"/>
      <c r="AI150" s="602"/>
    </row>
    <row r="151" spans="1:89" ht="15" customHeight="1" x14ac:dyDescent="0.25">
      <c r="A151" s="8297" t="s">
        <v>2247</v>
      </c>
      <c r="B151" s="8298" t="s">
        <v>2248</v>
      </c>
      <c r="C151" s="8299"/>
      <c r="D151" s="2861">
        <f t="shared" ref="D151:D183" si="28">SUM(E151:H151)</f>
        <v>0</v>
      </c>
      <c r="E151" s="2862"/>
      <c r="F151" s="2863"/>
      <c r="G151" s="2863"/>
      <c r="H151" s="2946"/>
      <c r="I151" s="2947"/>
      <c r="J151" s="602"/>
      <c r="K151" s="602"/>
      <c r="L151" s="602"/>
      <c r="M151" s="602"/>
      <c r="N151" s="602"/>
      <c r="O151" s="602"/>
      <c r="P151" s="602"/>
      <c r="Q151" s="602"/>
      <c r="R151" s="602"/>
      <c r="S151" s="602"/>
      <c r="T151" s="602"/>
      <c r="U151" s="602"/>
      <c r="V151" s="602"/>
      <c r="W151" s="602"/>
      <c r="X151" s="602"/>
      <c r="Y151" s="602"/>
      <c r="Z151" s="602"/>
      <c r="AA151" s="602"/>
      <c r="AB151" s="602"/>
      <c r="AC151" s="602"/>
      <c r="AD151" s="602"/>
      <c r="AE151" s="602"/>
      <c r="AF151" s="602"/>
      <c r="AG151" s="602"/>
      <c r="AH151" s="602"/>
      <c r="AI151" s="602"/>
    </row>
    <row r="152" spans="1:89" ht="21" x14ac:dyDescent="0.25">
      <c r="A152" s="6458"/>
      <c r="B152" s="8297" t="s">
        <v>2249</v>
      </c>
      <c r="C152" s="2874" t="s">
        <v>2250</v>
      </c>
      <c r="D152" s="2861">
        <f t="shared" si="28"/>
        <v>0</v>
      </c>
      <c r="E152" s="2496"/>
      <c r="F152" s="320"/>
      <c r="G152" s="320"/>
      <c r="H152" s="2924"/>
      <c r="I152" s="2899"/>
      <c r="J152" s="602"/>
      <c r="K152" s="602"/>
      <c r="L152" s="602"/>
      <c r="M152" s="602"/>
      <c r="N152" s="602"/>
      <c r="O152" s="602"/>
      <c r="P152" s="602"/>
      <c r="Q152" s="602"/>
      <c r="R152" s="602"/>
      <c r="S152" s="602"/>
      <c r="T152" s="602"/>
      <c r="U152" s="602"/>
      <c r="V152" s="602"/>
      <c r="W152" s="602"/>
      <c r="X152" s="602"/>
      <c r="Y152" s="602"/>
      <c r="Z152" s="602"/>
      <c r="AA152" s="602"/>
      <c r="AB152" s="602"/>
      <c r="AC152" s="602"/>
      <c r="AD152" s="602"/>
      <c r="AE152" s="602"/>
      <c r="AF152" s="602"/>
      <c r="AG152" s="602"/>
      <c r="AH152" s="602"/>
      <c r="AI152" s="602"/>
    </row>
    <row r="153" spans="1:89" ht="15" customHeight="1" x14ac:dyDescent="0.25">
      <c r="A153" s="6458"/>
      <c r="B153" s="6458"/>
      <c r="C153" s="1742" t="s">
        <v>2251</v>
      </c>
      <c r="D153" s="926">
        <f t="shared" si="28"/>
        <v>0</v>
      </c>
      <c r="E153" s="1089"/>
      <c r="F153" s="1090"/>
      <c r="G153" s="1090"/>
      <c r="H153" s="1098"/>
      <c r="I153" s="1079"/>
      <c r="J153" s="602"/>
      <c r="K153" s="602"/>
      <c r="L153" s="602"/>
      <c r="M153" s="602"/>
      <c r="N153" s="602"/>
      <c r="O153" s="602"/>
      <c r="P153" s="602"/>
      <c r="Q153" s="602"/>
      <c r="R153" s="602"/>
      <c r="S153" s="602"/>
      <c r="T153" s="602"/>
      <c r="U153" s="602"/>
      <c r="V153" s="602"/>
      <c r="W153" s="602"/>
      <c r="X153" s="602"/>
      <c r="Y153" s="602"/>
      <c r="Z153" s="602"/>
      <c r="AA153" s="602"/>
      <c r="AB153" s="602"/>
      <c r="AC153" s="602"/>
      <c r="AD153" s="602"/>
      <c r="AE153" s="602"/>
      <c r="AF153" s="602"/>
      <c r="AG153" s="602"/>
      <c r="AH153" s="602"/>
      <c r="AI153" s="602"/>
    </row>
    <row r="154" spans="1:89" ht="15" customHeight="1" x14ac:dyDescent="0.25">
      <c r="A154" s="6458"/>
      <c r="B154" s="6458"/>
      <c r="C154" s="1100" t="s">
        <v>2252</v>
      </c>
      <c r="D154" s="1075">
        <f t="shared" si="28"/>
        <v>0</v>
      </c>
      <c r="E154" s="1089"/>
      <c r="F154" s="1090"/>
      <c r="G154" s="1090"/>
      <c r="H154" s="1098"/>
      <c r="I154" s="1079"/>
      <c r="J154" s="602"/>
      <c r="K154" s="602"/>
      <c r="L154" s="602"/>
      <c r="M154" s="602"/>
      <c r="N154" s="602"/>
      <c r="O154" s="602"/>
      <c r="P154" s="602"/>
      <c r="Q154" s="602"/>
      <c r="R154" s="602"/>
      <c r="S154" s="602"/>
      <c r="T154" s="602"/>
      <c r="U154" s="602"/>
      <c r="V154" s="602"/>
      <c r="W154" s="602"/>
      <c r="X154" s="602"/>
      <c r="Y154" s="602"/>
      <c r="Z154" s="602"/>
      <c r="AA154" s="602"/>
      <c r="AB154" s="602"/>
      <c r="AC154" s="602"/>
      <c r="AD154" s="602"/>
      <c r="AE154" s="602"/>
      <c r="AF154" s="602"/>
      <c r="AG154" s="602"/>
      <c r="AH154" s="602"/>
      <c r="AI154" s="602"/>
    </row>
    <row r="155" spans="1:89" ht="15" customHeight="1" x14ac:dyDescent="0.25">
      <c r="A155" s="6458"/>
      <c r="B155" s="6459"/>
      <c r="C155" s="2881" t="s">
        <v>2253</v>
      </c>
      <c r="D155" s="2813">
        <f t="shared" si="28"/>
        <v>0</v>
      </c>
      <c r="E155" s="2498"/>
      <c r="F155" s="2499"/>
      <c r="G155" s="2499"/>
      <c r="H155" s="2934"/>
      <c r="I155" s="2949"/>
      <c r="J155" s="602"/>
      <c r="K155" s="602"/>
      <c r="L155" s="602"/>
      <c r="M155" s="602"/>
      <c r="N155" s="602"/>
      <c r="O155" s="602"/>
      <c r="P155" s="602"/>
      <c r="Q155" s="602"/>
      <c r="R155" s="602"/>
      <c r="S155" s="602"/>
      <c r="T155" s="602"/>
      <c r="U155" s="602"/>
      <c r="V155" s="602"/>
      <c r="W155" s="602"/>
      <c r="X155" s="602"/>
      <c r="Y155" s="602"/>
      <c r="Z155" s="602"/>
      <c r="AA155" s="602"/>
      <c r="AB155" s="602"/>
      <c r="AC155" s="602"/>
      <c r="AD155" s="602"/>
      <c r="AE155" s="602"/>
      <c r="AF155" s="602"/>
      <c r="AG155" s="602"/>
      <c r="AH155" s="602"/>
      <c r="AI155" s="602"/>
    </row>
    <row r="156" spans="1:89" ht="15" customHeight="1" x14ac:dyDescent="0.25">
      <c r="A156" s="6458"/>
      <c r="B156" s="7402" t="s">
        <v>2254</v>
      </c>
      <c r="C156" s="8300"/>
      <c r="D156" s="2921">
        <f t="shared" si="28"/>
        <v>0</v>
      </c>
      <c r="E156" s="106"/>
      <c r="F156" s="1086"/>
      <c r="G156" s="1086"/>
      <c r="H156" s="844"/>
      <c r="I156" s="772"/>
      <c r="J156" s="602"/>
      <c r="K156" s="602"/>
      <c r="L156" s="602"/>
      <c r="M156" s="602"/>
      <c r="N156" s="602"/>
      <c r="O156" s="602"/>
      <c r="P156" s="602"/>
      <c r="Q156" s="602"/>
      <c r="R156" s="602"/>
      <c r="S156" s="602"/>
      <c r="T156" s="602"/>
      <c r="U156" s="602"/>
      <c r="V156" s="602"/>
      <c r="W156" s="602"/>
      <c r="X156" s="602"/>
      <c r="Y156" s="602"/>
      <c r="Z156" s="602"/>
      <c r="AA156" s="602"/>
      <c r="AB156" s="602"/>
      <c r="AC156" s="602"/>
      <c r="AD156" s="602"/>
      <c r="AE156" s="602"/>
      <c r="AF156" s="602"/>
      <c r="AG156" s="602"/>
      <c r="AH156" s="602"/>
      <c r="AI156" s="602"/>
    </row>
    <row r="157" spans="1:89" ht="15" customHeight="1" x14ac:dyDescent="0.25">
      <c r="A157" s="6458"/>
      <c r="B157" s="8301" t="s">
        <v>2255</v>
      </c>
      <c r="C157" s="7405"/>
      <c r="D157" s="926">
        <f t="shared" si="28"/>
        <v>0</v>
      </c>
      <c r="E157" s="1089"/>
      <c r="F157" s="1090"/>
      <c r="G157" s="1090"/>
      <c r="H157" s="1098"/>
      <c r="I157" s="1079"/>
      <c r="J157" s="602"/>
      <c r="K157" s="602"/>
      <c r="L157" s="602"/>
      <c r="M157" s="602"/>
      <c r="N157" s="602"/>
      <c r="O157" s="602"/>
      <c r="P157" s="602"/>
      <c r="Q157" s="602"/>
      <c r="R157" s="602"/>
      <c r="S157" s="602"/>
      <c r="T157" s="602"/>
      <c r="U157" s="602"/>
      <c r="V157" s="602"/>
      <c r="W157" s="602"/>
      <c r="X157" s="602"/>
      <c r="Y157" s="602"/>
      <c r="Z157" s="602"/>
      <c r="AA157" s="602"/>
      <c r="AB157" s="602"/>
      <c r="AC157" s="602"/>
      <c r="AD157" s="602"/>
      <c r="AE157" s="602"/>
      <c r="AF157" s="602"/>
      <c r="AG157" s="602"/>
      <c r="AH157" s="602"/>
      <c r="AI157" s="602"/>
    </row>
    <row r="158" spans="1:89" ht="15" customHeight="1" x14ac:dyDescent="0.25">
      <c r="A158" s="6458"/>
      <c r="B158" s="8301" t="s">
        <v>2256</v>
      </c>
      <c r="C158" s="7405"/>
      <c r="D158" s="926">
        <f t="shared" si="28"/>
        <v>0</v>
      </c>
      <c r="E158" s="1089"/>
      <c r="F158" s="1090"/>
      <c r="G158" s="1090"/>
      <c r="H158" s="1098"/>
      <c r="I158" s="1079"/>
      <c r="J158" s="602"/>
      <c r="K158" s="602"/>
      <c r="L158" s="602"/>
      <c r="M158" s="602"/>
      <c r="N158" s="602"/>
      <c r="O158" s="602"/>
      <c r="P158" s="602"/>
      <c r="Q158" s="602"/>
      <c r="R158" s="602"/>
      <c r="S158" s="602"/>
      <c r="T158" s="602"/>
      <c r="U158" s="602"/>
      <c r="V158" s="602"/>
      <c r="W158" s="602"/>
      <c r="X158" s="602"/>
      <c r="Y158" s="602"/>
      <c r="Z158" s="602"/>
      <c r="AA158" s="602"/>
      <c r="AB158" s="602"/>
      <c r="AC158" s="602"/>
      <c r="AD158" s="602"/>
      <c r="AE158" s="602"/>
      <c r="AF158" s="602"/>
      <c r="AG158" s="602"/>
      <c r="AH158" s="602"/>
      <c r="AI158" s="602"/>
    </row>
    <row r="159" spans="1:89" ht="15" customHeight="1" x14ac:dyDescent="0.25">
      <c r="A159" s="6458"/>
      <c r="B159" s="8278" t="s">
        <v>2257</v>
      </c>
      <c r="C159" s="8279"/>
      <c r="D159" s="926">
        <f t="shared" si="28"/>
        <v>0</v>
      </c>
      <c r="E159" s="1089"/>
      <c r="F159" s="1090"/>
      <c r="G159" s="1090"/>
      <c r="H159" s="1098"/>
      <c r="I159" s="1079"/>
      <c r="J159" s="602"/>
      <c r="K159" s="602"/>
      <c r="L159" s="602"/>
      <c r="M159" s="602"/>
      <c r="N159" s="602"/>
      <c r="O159" s="602"/>
      <c r="P159" s="602"/>
      <c r="Q159" s="602"/>
      <c r="R159" s="602"/>
      <c r="S159" s="602"/>
      <c r="T159" s="602"/>
      <c r="U159" s="602"/>
      <c r="V159" s="602"/>
      <c r="W159" s="602"/>
      <c r="X159" s="602"/>
      <c r="Y159" s="602"/>
      <c r="Z159" s="602"/>
      <c r="AA159" s="602"/>
      <c r="AB159" s="602"/>
      <c r="AC159" s="602"/>
      <c r="AD159" s="602"/>
      <c r="AE159" s="602"/>
      <c r="AF159" s="602"/>
      <c r="AG159" s="602"/>
      <c r="AH159" s="602"/>
      <c r="AI159" s="602"/>
    </row>
    <row r="160" spans="1:89" ht="15" customHeight="1" x14ac:dyDescent="0.25">
      <c r="A160" s="6458"/>
      <c r="B160" s="8301" t="s">
        <v>2290</v>
      </c>
      <c r="C160" s="7405"/>
      <c r="D160" s="926">
        <f t="shared" si="28"/>
        <v>0</v>
      </c>
      <c r="E160" s="1089"/>
      <c r="F160" s="1090"/>
      <c r="G160" s="1090"/>
      <c r="H160" s="1098"/>
      <c r="I160" s="1079"/>
      <c r="J160" s="602"/>
      <c r="K160" s="602"/>
      <c r="L160" s="602"/>
      <c r="M160" s="602"/>
      <c r="N160" s="602"/>
      <c r="O160" s="602"/>
      <c r="P160" s="602"/>
      <c r="Q160" s="602"/>
      <c r="R160" s="602"/>
      <c r="S160" s="602"/>
      <c r="T160" s="602"/>
      <c r="U160" s="602"/>
      <c r="V160" s="602"/>
      <c r="W160" s="602"/>
      <c r="X160" s="602"/>
      <c r="Y160" s="602"/>
      <c r="Z160" s="602"/>
      <c r="AA160" s="602"/>
      <c r="AB160" s="602"/>
      <c r="AC160" s="602"/>
      <c r="AD160" s="602"/>
      <c r="AE160" s="602"/>
      <c r="AF160" s="602"/>
      <c r="AG160" s="602"/>
      <c r="AH160" s="602"/>
      <c r="AI160" s="602"/>
    </row>
    <row r="161" spans="1:35" ht="15" customHeight="1" x14ac:dyDescent="0.25">
      <c r="A161" s="6458"/>
      <c r="B161" s="7402" t="s">
        <v>2259</v>
      </c>
      <c r="C161" s="8300"/>
      <c r="D161" s="926">
        <f t="shared" si="28"/>
        <v>0</v>
      </c>
      <c r="E161" s="90"/>
      <c r="F161" s="127"/>
      <c r="G161" s="127"/>
      <c r="H161" s="128"/>
      <c r="I161" s="884"/>
      <c r="J161" s="602"/>
      <c r="K161" s="602"/>
      <c r="L161" s="602"/>
      <c r="M161" s="602"/>
      <c r="N161" s="602"/>
      <c r="O161" s="602"/>
      <c r="P161" s="602"/>
      <c r="Q161" s="602"/>
      <c r="R161" s="602"/>
      <c r="S161" s="602"/>
      <c r="T161" s="602"/>
      <c r="U161" s="602"/>
      <c r="V161" s="602"/>
      <c r="W161" s="602"/>
      <c r="X161" s="602"/>
      <c r="Y161" s="602"/>
      <c r="Z161" s="602"/>
      <c r="AA161" s="602"/>
      <c r="AB161" s="602"/>
      <c r="AC161" s="602"/>
      <c r="AD161" s="602"/>
      <c r="AE161" s="602"/>
      <c r="AF161" s="602"/>
      <c r="AG161" s="602"/>
      <c r="AH161" s="602"/>
      <c r="AI161" s="602"/>
    </row>
    <row r="162" spans="1:35" ht="22.5" customHeight="1" x14ac:dyDescent="0.25">
      <c r="A162" s="6458"/>
      <c r="B162" s="7454" t="s">
        <v>2260</v>
      </c>
      <c r="C162" s="7387"/>
      <c r="D162" s="926">
        <f t="shared" si="28"/>
        <v>0</v>
      </c>
      <c r="E162" s="90"/>
      <c r="F162" s="127"/>
      <c r="G162" s="127"/>
      <c r="H162" s="128"/>
      <c r="I162" s="884"/>
      <c r="J162" s="602"/>
      <c r="K162" s="602"/>
      <c r="L162" s="602"/>
      <c r="M162" s="602"/>
      <c r="N162" s="602"/>
      <c r="O162" s="602"/>
      <c r="P162" s="602"/>
      <c r="Q162" s="602"/>
      <c r="R162" s="602"/>
      <c r="S162" s="602"/>
      <c r="T162" s="602"/>
      <c r="U162" s="602"/>
      <c r="V162" s="602"/>
      <c r="W162" s="602"/>
      <c r="X162" s="602"/>
      <c r="Y162" s="602"/>
      <c r="Z162" s="602"/>
      <c r="AA162" s="602"/>
      <c r="AB162" s="602"/>
      <c r="AC162" s="602"/>
      <c r="AD162" s="602"/>
      <c r="AE162" s="602"/>
      <c r="AF162" s="602"/>
      <c r="AG162" s="602"/>
      <c r="AH162" s="602"/>
      <c r="AI162" s="602"/>
    </row>
    <row r="163" spans="1:35" ht="15" customHeight="1" x14ac:dyDescent="0.25">
      <c r="A163" s="6458"/>
      <c r="B163" s="7454" t="s">
        <v>2261</v>
      </c>
      <c r="C163" s="7387"/>
      <c r="D163" s="926">
        <f t="shared" si="28"/>
        <v>0</v>
      </c>
      <c r="E163" s="90"/>
      <c r="F163" s="127"/>
      <c r="G163" s="127"/>
      <c r="H163" s="128"/>
      <c r="I163" s="884"/>
      <c r="J163" s="602"/>
      <c r="K163" s="602"/>
      <c r="L163" s="602"/>
      <c r="M163" s="602"/>
      <c r="N163" s="602"/>
      <c r="O163" s="602"/>
      <c r="P163" s="602"/>
      <c r="Q163" s="602"/>
      <c r="R163" s="602"/>
      <c r="S163" s="602"/>
      <c r="T163" s="602"/>
      <c r="U163" s="602"/>
      <c r="V163" s="602"/>
      <c r="W163" s="602"/>
      <c r="X163" s="602"/>
      <c r="Y163" s="602"/>
      <c r="Z163" s="602"/>
      <c r="AA163" s="602"/>
      <c r="AB163" s="602"/>
      <c r="AC163" s="602"/>
      <c r="AD163" s="602"/>
      <c r="AE163" s="602"/>
      <c r="AF163" s="602"/>
      <c r="AG163" s="602"/>
      <c r="AH163" s="602"/>
      <c r="AI163" s="602"/>
    </row>
    <row r="164" spans="1:35" ht="15" customHeight="1" x14ac:dyDescent="0.25">
      <c r="A164" s="6458"/>
      <c r="B164" s="8278" t="s">
        <v>2262</v>
      </c>
      <c r="C164" s="8279"/>
      <c r="D164" s="926">
        <f t="shared" si="28"/>
        <v>0</v>
      </c>
      <c r="E164" s="90"/>
      <c r="F164" s="127"/>
      <c r="G164" s="127"/>
      <c r="H164" s="128"/>
      <c r="I164" s="884"/>
      <c r="J164" s="602"/>
      <c r="K164" s="602"/>
      <c r="L164" s="602"/>
      <c r="M164" s="602"/>
      <c r="N164" s="602"/>
      <c r="O164" s="602"/>
      <c r="P164" s="602"/>
      <c r="Q164" s="602"/>
      <c r="R164" s="602"/>
      <c r="S164" s="602"/>
      <c r="T164" s="602"/>
      <c r="U164" s="602"/>
      <c r="V164" s="602"/>
      <c r="W164" s="602"/>
      <c r="X164" s="602"/>
      <c r="Y164" s="602"/>
      <c r="Z164" s="602"/>
      <c r="AA164" s="602"/>
      <c r="AB164" s="602"/>
      <c r="AC164" s="602"/>
      <c r="AD164" s="602"/>
      <c r="AE164" s="602"/>
      <c r="AF164" s="602"/>
      <c r="AG164" s="602"/>
      <c r="AH164" s="602"/>
      <c r="AI164" s="602"/>
    </row>
    <row r="165" spans="1:35" ht="15" customHeight="1" x14ac:dyDescent="0.25">
      <c r="A165" s="6458"/>
      <c r="B165" s="6456" t="s">
        <v>2263</v>
      </c>
      <c r="C165" s="2894" t="s">
        <v>2264</v>
      </c>
      <c r="D165" s="2875">
        <f t="shared" si="28"/>
        <v>0</v>
      </c>
      <c r="E165" s="2933"/>
      <c r="F165" s="320"/>
      <c r="G165" s="320"/>
      <c r="H165" s="2924"/>
      <c r="I165" s="2899"/>
      <c r="J165" s="602"/>
      <c r="K165" s="602"/>
      <c r="L165" s="602"/>
      <c r="M165" s="602"/>
      <c r="N165" s="602"/>
      <c r="O165" s="602"/>
      <c r="P165" s="602"/>
      <c r="Q165" s="602"/>
      <c r="R165" s="602"/>
      <c r="S165" s="602"/>
      <c r="T165" s="602"/>
      <c r="U165" s="602"/>
      <c r="V165" s="602"/>
      <c r="W165" s="602"/>
      <c r="X165" s="602"/>
      <c r="Y165" s="602"/>
      <c r="Z165" s="602"/>
      <c r="AA165" s="602"/>
      <c r="AB165" s="602"/>
      <c r="AC165" s="602"/>
      <c r="AD165" s="602"/>
      <c r="AE165" s="602"/>
      <c r="AF165" s="602"/>
      <c r="AG165" s="602"/>
      <c r="AH165" s="602"/>
      <c r="AI165" s="602"/>
    </row>
    <row r="166" spans="1:35" ht="15" customHeight="1" x14ac:dyDescent="0.25">
      <c r="A166" s="6458"/>
      <c r="B166" s="6455"/>
      <c r="C166" s="2888" t="s">
        <v>2265</v>
      </c>
      <c r="D166" s="1075">
        <f t="shared" si="28"/>
        <v>0</v>
      </c>
      <c r="E166" s="2181"/>
      <c r="F166" s="1090"/>
      <c r="G166" s="1090"/>
      <c r="H166" s="1098"/>
      <c r="I166" s="1079"/>
      <c r="J166" s="602"/>
      <c r="K166" s="602"/>
      <c r="L166" s="602"/>
      <c r="M166" s="602"/>
      <c r="N166" s="602"/>
      <c r="O166" s="602"/>
      <c r="P166" s="602"/>
      <c r="Q166" s="602"/>
      <c r="R166" s="602"/>
      <c r="S166" s="602"/>
      <c r="T166" s="602"/>
      <c r="U166" s="602"/>
      <c r="V166" s="602"/>
      <c r="W166" s="602"/>
      <c r="X166" s="602"/>
      <c r="Y166" s="602"/>
      <c r="Z166" s="602"/>
      <c r="AA166" s="602"/>
      <c r="AB166" s="602"/>
      <c r="AC166" s="602"/>
      <c r="AD166" s="602"/>
      <c r="AE166" s="602"/>
      <c r="AF166" s="602"/>
      <c r="AG166" s="602"/>
      <c r="AH166" s="602"/>
      <c r="AI166" s="602"/>
    </row>
    <row r="167" spans="1:35" ht="15" customHeight="1" x14ac:dyDescent="0.25">
      <c r="A167" s="6458"/>
      <c r="B167" s="6457"/>
      <c r="C167" s="613" t="s">
        <v>28</v>
      </c>
      <c r="D167" s="150">
        <f t="shared" si="28"/>
        <v>0</v>
      </c>
      <c r="E167" s="121"/>
      <c r="F167" s="115"/>
      <c r="G167" s="115"/>
      <c r="H167" s="137"/>
      <c r="I167" s="775"/>
      <c r="J167" s="602"/>
      <c r="K167" s="602"/>
      <c r="L167" s="602"/>
      <c r="M167" s="602"/>
      <c r="N167" s="602"/>
      <c r="O167" s="602"/>
      <c r="P167" s="602"/>
      <c r="Q167" s="602"/>
      <c r="R167" s="602"/>
      <c r="S167" s="602"/>
      <c r="T167" s="602"/>
      <c r="U167" s="602"/>
      <c r="V167" s="602"/>
      <c r="W167" s="602"/>
      <c r="X167" s="602"/>
      <c r="Y167" s="602"/>
      <c r="Z167" s="602"/>
      <c r="AA167" s="602"/>
      <c r="AB167" s="602"/>
      <c r="AC167" s="602"/>
      <c r="AD167" s="602"/>
      <c r="AE167" s="602"/>
      <c r="AF167" s="602"/>
      <c r="AG167" s="602"/>
      <c r="AH167" s="602"/>
      <c r="AI167" s="602"/>
    </row>
    <row r="168" spans="1:35" ht="15" customHeight="1" x14ac:dyDescent="0.25">
      <c r="A168" s="6458"/>
      <c r="B168" s="6456" t="s">
        <v>2266</v>
      </c>
      <c r="C168" s="2874" t="s">
        <v>2267</v>
      </c>
      <c r="D168" s="2861">
        <f t="shared" si="28"/>
        <v>0</v>
      </c>
      <c r="E168" s="2496"/>
      <c r="F168" s="320"/>
      <c r="G168" s="320"/>
      <c r="H168" s="2924"/>
      <c r="I168" s="2899"/>
      <c r="J168" s="602"/>
      <c r="K168" s="602"/>
      <c r="L168" s="602"/>
      <c r="M168" s="602"/>
      <c r="N168" s="602"/>
      <c r="O168" s="602"/>
      <c r="P168" s="602"/>
      <c r="Q168" s="602"/>
      <c r="R168" s="602"/>
      <c r="S168" s="602"/>
      <c r="T168" s="602"/>
      <c r="U168" s="602"/>
      <c r="V168" s="602"/>
      <c r="W168" s="602"/>
      <c r="X168" s="602"/>
      <c r="Y168" s="602"/>
      <c r="Z168" s="602"/>
      <c r="AA168" s="602"/>
      <c r="AB168" s="602"/>
      <c r="AC168" s="602"/>
      <c r="AD168" s="602"/>
      <c r="AE168" s="602"/>
      <c r="AF168" s="602"/>
      <c r="AG168" s="602"/>
      <c r="AH168" s="602"/>
      <c r="AI168" s="602"/>
    </row>
    <row r="169" spans="1:35" ht="15" customHeight="1" x14ac:dyDescent="0.25">
      <c r="A169" s="6458"/>
      <c r="B169" s="6455"/>
      <c r="C169" s="2912" t="s">
        <v>2268</v>
      </c>
      <c r="D169" s="926">
        <f t="shared" si="28"/>
        <v>0</v>
      </c>
      <c r="E169" s="1089"/>
      <c r="F169" s="1090"/>
      <c r="G169" s="1090"/>
      <c r="H169" s="1098"/>
      <c r="I169" s="1079"/>
      <c r="J169" s="602"/>
      <c r="K169" s="602"/>
      <c r="L169" s="602"/>
      <c r="M169" s="602"/>
      <c r="N169" s="602"/>
      <c r="O169" s="602"/>
      <c r="P169" s="602"/>
      <c r="Q169" s="602"/>
      <c r="R169" s="602"/>
      <c r="S169" s="602"/>
      <c r="T169" s="602"/>
      <c r="U169" s="602"/>
      <c r="V169" s="602"/>
      <c r="W169" s="602"/>
      <c r="X169" s="602"/>
      <c r="Y169" s="602"/>
      <c r="Z169" s="602"/>
      <c r="AA169" s="602"/>
      <c r="AB169" s="602"/>
      <c r="AC169" s="602"/>
      <c r="AD169" s="602"/>
      <c r="AE169" s="602"/>
      <c r="AF169" s="602"/>
      <c r="AG169" s="602"/>
      <c r="AH169" s="602"/>
      <c r="AI169" s="602"/>
    </row>
    <row r="170" spans="1:35" ht="15" customHeight="1" x14ac:dyDescent="0.25">
      <c r="A170" s="6458"/>
      <c r="B170" s="6457"/>
      <c r="C170" s="613" t="s">
        <v>28</v>
      </c>
      <c r="D170" s="150">
        <f t="shared" si="28"/>
        <v>0</v>
      </c>
      <c r="E170" s="114"/>
      <c r="F170" s="115"/>
      <c r="G170" s="115"/>
      <c r="H170" s="137"/>
      <c r="I170" s="775"/>
      <c r="J170" s="602"/>
      <c r="K170" s="602"/>
      <c r="L170" s="602"/>
      <c r="M170" s="602"/>
      <c r="N170" s="602"/>
      <c r="O170" s="602"/>
      <c r="P170" s="602"/>
      <c r="Q170" s="602"/>
      <c r="R170" s="602"/>
      <c r="S170" s="602"/>
      <c r="T170" s="602"/>
      <c r="U170" s="602"/>
      <c r="V170" s="602"/>
      <c r="W170" s="602"/>
      <c r="X170" s="602"/>
      <c r="Y170" s="602"/>
      <c r="Z170" s="602"/>
      <c r="AA170" s="602"/>
      <c r="AB170" s="602"/>
      <c r="AC170" s="602"/>
      <c r="AD170" s="602"/>
      <c r="AE170" s="602"/>
      <c r="AF170" s="602"/>
      <c r="AG170" s="602"/>
      <c r="AH170" s="602"/>
      <c r="AI170" s="602"/>
    </row>
    <row r="171" spans="1:35" ht="15" customHeight="1" x14ac:dyDescent="0.25">
      <c r="A171" s="6458"/>
      <c r="B171" s="8302" t="s">
        <v>2269</v>
      </c>
      <c r="C171" s="8303"/>
      <c r="D171" s="2913">
        <f t="shared" si="28"/>
        <v>0</v>
      </c>
      <c r="E171" s="2914"/>
      <c r="F171" s="2915"/>
      <c r="G171" s="2915"/>
      <c r="H171" s="2918"/>
      <c r="I171" s="2950"/>
      <c r="J171" s="602"/>
      <c r="K171" s="602"/>
      <c r="L171" s="602"/>
      <c r="M171" s="602"/>
      <c r="N171" s="602"/>
      <c r="O171" s="602"/>
      <c r="P171" s="602"/>
      <c r="Q171" s="602"/>
      <c r="R171" s="602"/>
      <c r="S171" s="602"/>
      <c r="T171" s="602"/>
      <c r="U171" s="602"/>
      <c r="V171" s="602"/>
      <c r="W171" s="602"/>
      <c r="X171" s="602"/>
      <c r="Y171" s="602"/>
      <c r="Z171" s="602"/>
      <c r="AA171" s="602"/>
      <c r="AB171" s="602"/>
      <c r="AC171" s="602"/>
      <c r="AD171" s="602"/>
      <c r="AE171" s="602"/>
      <c r="AF171" s="602"/>
      <c r="AG171" s="602"/>
      <c r="AH171" s="602"/>
      <c r="AI171" s="602"/>
    </row>
    <row r="172" spans="1:35" ht="15" customHeight="1" x14ac:dyDescent="0.25">
      <c r="A172" s="6458"/>
      <c r="B172" s="6457" t="s">
        <v>2270</v>
      </c>
      <c r="C172" s="2015" t="s">
        <v>2271</v>
      </c>
      <c r="D172" s="2921">
        <f t="shared" si="28"/>
        <v>0</v>
      </c>
      <c r="E172" s="106"/>
      <c r="F172" s="1086"/>
      <c r="G172" s="1086"/>
      <c r="H172" s="844"/>
      <c r="I172" s="772"/>
      <c r="J172" s="602"/>
      <c r="K172" s="602"/>
      <c r="L172" s="602"/>
      <c r="M172" s="602"/>
      <c r="N172" s="602"/>
      <c r="O172" s="602"/>
      <c r="P172" s="602"/>
      <c r="Q172" s="602"/>
      <c r="R172" s="602"/>
      <c r="S172" s="602"/>
      <c r="T172" s="602"/>
      <c r="U172" s="602"/>
      <c r="V172" s="602"/>
      <c r="W172" s="602"/>
      <c r="X172" s="602"/>
      <c r="Y172" s="602"/>
      <c r="Z172" s="602"/>
      <c r="AA172" s="602"/>
      <c r="AB172" s="602"/>
      <c r="AC172" s="602"/>
      <c r="AD172" s="602"/>
      <c r="AE172" s="602"/>
      <c r="AF172" s="602"/>
      <c r="AG172" s="602"/>
      <c r="AH172" s="602"/>
      <c r="AI172" s="602"/>
    </row>
    <row r="173" spans="1:35" ht="15" customHeight="1" x14ac:dyDescent="0.25">
      <c r="A173" s="6458"/>
      <c r="B173" s="8304"/>
      <c r="C173" s="2881" t="s">
        <v>2272</v>
      </c>
      <c r="D173" s="926">
        <f t="shared" si="28"/>
        <v>0</v>
      </c>
      <c r="E173" s="1089"/>
      <c r="F173" s="1090"/>
      <c r="G173" s="1090"/>
      <c r="H173" s="1098"/>
      <c r="I173" s="1079"/>
      <c r="J173" s="602"/>
      <c r="K173" s="602"/>
      <c r="L173" s="602"/>
      <c r="M173" s="602"/>
      <c r="N173" s="602"/>
      <c r="O173" s="602"/>
      <c r="P173" s="602"/>
      <c r="Q173" s="602"/>
      <c r="R173" s="602"/>
      <c r="S173" s="602"/>
      <c r="T173" s="602"/>
      <c r="U173" s="602"/>
      <c r="V173" s="602"/>
      <c r="W173" s="602"/>
      <c r="X173" s="602"/>
      <c r="Y173" s="602"/>
      <c r="Z173" s="602"/>
      <c r="AA173" s="602"/>
      <c r="AB173" s="602"/>
      <c r="AC173" s="602"/>
      <c r="AD173" s="602"/>
      <c r="AE173" s="602"/>
      <c r="AF173" s="602"/>
      <c r="AG173" s="602"/>
      <c r="AH173" s="602"/>
      <c r="AI173" s="602"/>
    </row>
    <row r="174" spans="1:35" ht="15" customHeight="1" x14ac:dyDescent="0.25">
      <c r="A174" s="6458"/>
      <c r="B174" s="8305" t="s">
        <v>2273</v>
      </c>
      <c r="C174" s="8305"/>
      <c r="D174" s="926">
        <f t="shared" si="28"/>
        <v>0</v>
      </c>
      <c r="E174" s="1089"/>
      <c r="F174" s="1090"/>
      <c r="G174" s="1090"/>
      <c r="H174" s="1098"/>
      <c r="I174" s="1079"/>
      <c r="J174" s="602"/>
      <c r="K174" s="602"/>
      <c r="L174" s="602"/>
      <c r="M174" s="602"/>
      <c r="N174" s="602"/>
      <c r="O174" s="602"/>
      <c r="P174" s="602"/>
      <c r="Q174" s="602"/>
      <c r="R174" s="602"/>
      <c r="S174" s="602"/>
      <c r="T174" s="602"/>
      <c r="U174" s="602"/>
      <c r="V174" s="602"/>
      <c r="W174" s="602"/>
      <c r="X174" s="602"/>
      <c r="Y174" s="602"/>
      <c r="Z174" s="602"/>
      <c r="AA174" s="602"/>
      <c r="AB174" s="602"/>
      <c r="AC174" s="602"/>
      <c r="AD174" s="602"/>
      <c r="AE174" s="602"/>
      <c r="AF174" s="602"/>
      <c r="AG174" s="602"/>
      <c r="AH174" s="602"/>
      <c r="AI174" s="602"/>
    </row>
    <row r="175" spans="1:35" ht="15" customHeight="1" x14ac:dyDescent="0.25">
      <c r="A175" s="6458"/>
      <c r="B175" s="7402" t="s">
        <v>2274</v>
      </c>
      <c r="C175" s="8300"/>
      <c r="D175" s="926">
        <f t="shared" si="28"/>
        <v>0</v>
      </c>
      <c r="E175" s="1089"/>
      <c r="F175" s="1090"/>
      <c r="G175" s="1090"/>
      <c r="H175" s="1098"/>
      <c r="I175" s="1079"/>
      <c r="J175" s="602"/>
      <c r="K175" s="602"/>
      <c r="L175" s="602"/>
      <c r="M175" s="602"/>
      <c r="N175" s="602"/>
      <c r="O175" s="602"/>
      <c r="P175" s="602"/>
      <c r="Q175" s="602"/>
      <c r="R175" s="602"/>
      <c r="S175" s="602"/>
      <c r="T175" s="602"/>
      <c r="U175" s="602"/>
      <c r="V175" s="602"/>
      <c r="W175" s="602"/>
      <c r="X175" s="602"/>
      <c r="Y175" s="602"/>
      <c r="Z175" s="602"/>
      <c r="AA175" s="602"/>
      <c r="AB175" s="602"/>
      <c r="AC175" s="602"/>
      <c r="AD175" s="602"/>
      <c r="AE175" s="602"/>
      <c r="AF175" s="602"/>
      <c r="AG175" s="602"/>
      <c r="AH175" s="602"/>
      <c r="AI175" s="602"/>
    </row>
    <row r="176" spans="1:35" ht="15" customHeight="1" x14ac:dyDescent="0.25">
      <c r="A176" s="6458"/>
      <c r="B176" s="7454" t="s">
        <v>2275</v>
      </c>
      <c r="C176" s="7387"/>
      <c r="D176" s="926">
        <f t="shared" si="28"/>
        <v>0</v>
      </c>
      <c r="E176" s="90"/>
      <c r="F176" s="127"/>
      <c r="G176" s="127"/>
      <c r="H176" s="128"/>
      <c r="I176" s="884"/>
      <c r="J176" s="602"/>
      <c r="K176" s="602"/>
      <c r="L176" s="602"/>
      <c r="M176" s="602"/>
      <c r="N176" s="602"/>
      <c r="O176" s="602"/>
      <c r="P176" s="602"/>
      <c r="Q176" s="602"/>
      <c r="R176" s="602"/>
      <c r="S176" s="602"/>
      <c r="T176" s="602"/>
      <c r="U176" s="602"/>
      <c r="V176" s="602"/>
      <c r="W176" s="602"/>
      <c r="X176" s="602"/>
      <c r="Y176" s="602"/>
      <c r="Z176" s="602"/>
      <c r="AA176" s="602"/>
      <c r="AB176" s="602"/>
      <c r="AC176" s="602"/>
      <c r="AD176" s="602"/>
      <c r="AE176" s="602"/>
      <c r="AF176" s="602"/>
      <c r="AG176" s="602"/>
      <c r="AH176" s="602"/>
      <c r="AI176" s="602"/>
    </row>
    <row r="177" spans="1:89" ht="15" customHeight="1" x14ac:dyDescent="0.25">
      <c r="A177" s="6458"/>
      <c r="B177" s="8278" t="s">
        <v>2276</v>
      </c>
      <c r="C177" s="8279"/>
      <c r="D177" s="926">
        <f t="shared" si="28"/>
        <v>0</v>
      </c>
      <c r="E177" s="90"/>
      <c r="F177" s="127"/>
      <c r="G177" s="127"/>
      <c r="H177" s="128"/>
      <c r="I177" s="884"/>
      <c r="J177" s="602"/>
      <c r="K177" s="602"/>
      <c r="L177" s="602"/>
      <c r="M177" s="602"/>
      <c r="N177" s="602"/>
      <c r="O177" s="602"/>
      <c r="P177" s="602"/>
      <c r="Q177" s="602"/>
      <c r="R177" s="602"/>
      <c r="S177" s="602"/>
      <c r="T177" s="602"/>
      <c r="U177" s="602"/>
      <c r="V177" s="602"/>
      <c r="W177" s="602"/>
      <c r="X177" s="602"/>
      <c r="Y177" s="602"/>
      <c r="Z177" s="602"/>
      <c r="AA177" s="602"/>
      <c r="AB177" s="602"/>
      <c r="AC177" s="602"/>
      <c r="AD177" s="602"/>
      <c r="AE177" s="602"/>
      <c r="AF177" s="602"/>
      <c r="AG177" s="602"/>
      <c r="AH177" s="602"/>
      <c r="AI177" s="602"/>
    </row>
    <row r="178" spans="1:89" ht="15" customHeight="1" x14ac:dyDescent="0.25">
      <c r="A178" s="6458"/>
      <c r="B178" s="6456" t="s">
        <v>2277</v>
      </c>
      <c r="C178" s="2923" t="s">
        <v>2278</v>
      </c>
      <c r="D178" s="2861">
        <f t="shared" si="28"/>
        <v>0</v>
      </c>
      <c r="E178" s="2496"/>
      <c r="F178" s="320"/>
      <c r="G178" s="320"/>
      <c r="H178" s="2924"/>
      <c r="I178" s="2899"/>
      <c r="J178" s="602"/>
      <c r="K178" s="602"/>
      <c r="L178" s="602"/>
      <c r="M178" s="602"/>
      <c r="N178" s="602"/>
      <c r="O178" s="602"/>
      <c r="P178" s="602"/>
      <c r="Q178" s="602"/>
      <c r="R178" s="602"/>
      <c r="S178" s="602"/>
      <c r="T178" s="602"/>
      <c r="U178" s="602"/>
      <c r="V178" s="602"/>
      <c r="W178" s="602"/>
      <c r="X178" s="602"/>
      <c r="Y178" s="602"/>
      <c r="Z178" s="602"/>
      <c r="AA178" s="602"/>
      <c r="AB178" s="602"/>
      <c r="AC178" s="602"/>
      <c r="AD178" s="602"/>
      <c r="AE178" s="602"/>
      <c r="AF178" s="602"/>
      <c r="AG178" s="602"/>
      <c r="AH178" s="602"/>
      <c r="AI178" s="602"/>
    </row>
    <row r="179" spans="1:89" ht="15" customHeight="1" x14ac:dyDescent="0.25">
      <c r="A179" s="6458"/>
      <c r="B179" s="6455"/>
      <c r="C179" s="2927" t="s">
        <v>2279</v>
      </c>
      <c r="D179" s="926">
        <f t="shared" si="28"/>
        <v>0</v>
      </c>
      <c r="E179" s="1089"/>
      <c r="F179" s="1090"/>
      <c r="G179" s="1090"/>
      <c r="H179" s="1098"/>
      <c r="I179" s="1079"/>
      <c r="J179" s="602"/>
      <c r="K179" s="602"/>
      <c r="L179" s="602"/>
      <c r="M179" s="602"/>
      <c r="N179" s="602"/>
      <c r="O179" s="602"/>
      <c r="P179" s="602"/>
      <c r="Q179" s="602"/>
      <c r="R179" s="602"/>
      <c r="S179" s="602"/>
      <c r="T179" s="602"/>
      <c r="U179" s="602"/>
      <c r="V179" s="602"/>
      <c r="W179" s="602"/>
      <c r="X179" s="602"/>
      <c r="Y179" s="602"/>
      <c r="Z179" s="602"/>
      <c r="AA179" s="602"/>
      <c r="AB179" s="602"/>
      <c r="AC179" s="602"/>
      <c r="AD179" s="602"/>
      <c r="AE179" s="602"/>
      <c r="AF179" s="602"/>
      <c r="AG179" s="602"/>
      <c r="AH179" s="602"/>
      <c r="AI179" s="602"/>
    </row>
    <row r="180" spans="1:89" ht="15" customHeight="1" x14ac:dyDescent="0.25">
      <c r="A180" s="6458"/>
      <c r="B180" s="6457"/>
      <c r="C180" s="2929" t="s">
        <v>2280</v>
      </c>
      <c r="D180" s="926">
        <f t="shared" si="28"/>
        <v>0</v>
      </c>
      <c r="E180" s="90"/>
      <c r="F180" s="127"/>
      <c r="G180" s="127"/>
      <c r="H180" s="128"/>
      <c r="I180" s="884"/>
      <c r="J180" s="602"/>
      <c r="K180" s="602"/>
      <c r="L180" s="602"/>
      <c r="M180" s="602"/>
      <c r="N180" s="602"/>
      <c r="O180" s="602"/>
      <c r="P180" s="602"/>
      <c r="Q180" s="602"/>
      <c r="R180" s="602"/>
      <c r="S180" s="602"/>
      <c r="T180" s="602"/>
      <c r="U180" s="602"/>
      <c r="V180" s="602"/>
      <c r="W180" s="602"/>
      <c r="X180" s="602"/>
      <c r="Y180" s="602"/>
      <c r="Z180" s="602"/>
      <c r="AA180" s="602"/>
      <c r="AB180" s="602"/>
      <c r="AC180" s="602"/>
      <c r="AD180" s="602"/>
      <c r="AE180" s="602"/>
      <c r="AF180" s="602"/>
      <c r="AG180" s="602"/>
      <c r="AH180" s="602"/>
      <c r="AI180" s="602"/>
    </row>
    <row r="181" spans="1:89" ht="15" customHeight="1" x14ac:dyDescent="0.25">
      <c r="A181" s="6458"/>
      <c r="B181" s="8280" t="s">
        <v>2283</v>
      </c>
      <c r="C181" s="8281"/>
      <c r="D181" s="2875">
        <f t="shared" si="28"/>
        <v>0</v>
      </c>
      <c r="E181" s="2496"/>
      <c r="F181" s="320"/>
      <c r="G181" s="320"/>
      <c r="H181" s="2951"/>
      <c r="I181" s="2899"/>
      <c r="J181" s="602"/>
      <c r="K181" s="602"/>
      <c r="L181" s="602"/>
      <c r="M181" s="602"/>
      <c r="N181" s="602"/>
      <c r="O181" s="602"/>
      <c r="P181" s="602"/>
      <c r="Q181" s="602"/>
      <c r="R181" s="602"/>
      <c r="S181" s="602"/>
      <c r="T181" s="602"/>
      <c r="U181" s="602"/>
      <c r="V181" s="602"/>
      <c r="W181" s="602"/>
      <c r="X181" s="602"/>
      <c r="Y181" s="602"/>
      <c r="Z181" s="602"/>
      <c r="AA181" s="602"/>
      <c r="AB181" s="602"/>
      <c r="AC181" s="602"/>
      <c r="AD181" s="602"/>
      <c r="AE181" s="602"/>
      <c r="AF181" s="602"/>
      <c r="AG181" s="602"/>
      <c r="AH181" s="602"/>
      <c r="AI181" s="602"/>
    </row>
    <row r="182" spans="1:89" ht="15" customHeight="1" x14ac:dyDescent="0.25">
      <c r="A182" s="6458"/>
      <c r="B182" s="8282" t="s">
        <v>2284</v>
      </c>
      <c r="C182" s="8283"/>
      <c r="D182" s="2813">
        <f t="shared" si="28"/>
        <v>0</v>
      </c>
      <c r="E182" s="2498"/>
      <c r="F182" s="2499"/>
      <c r="G182" s="2499"/>
      <c r="H182" s="2952"/>
      <c r="I182" s="2949"/>
      <c r="J182" s="602"/>
      <c r="K182" s="602"/>
      <c r="L182" s="602"/>
      <c r="M182" s="602"/>
      <c r="N182" s="602"/>
      <c r="O182" s="602"/>
      <c r="P182" s="602"/>
      <c r="Q182" s="602"/>
      <c r="R182" s="602"/>
      <c r="S182" s="602"/>
      <c r="T182" s="602"/>
      <c r="U182" s="602"/>
      <c r="V182" s="602"/>
      <c r="W182" s="602"/>
      <c r="X182" s="602"/>
      <c r="Y182" s="602"/>
      <c r="Z182" s="602"/>
      <c r="AA182" s="602"/>
      <c r="AB182" s="602"/>
      <c r="AC182" s="602"/>
      <c r="AD182" s="602"/>
      <c r="AE182" s="602"/>
      <c r="AF182" s="602"/>
      <c r="AG182" s="602"/>
      <c r="AH182" s="602"/>
      <c r="AI182" s="602"/>
    </row>
    <row r="183" spans="1:89" ht="15" customHeight="1" x14ac:dyDescent="0.25">
      <c r="A183" s="6459"/>
      <c r="B183" s="8284" t="s">
        <v>24</v>
      </c>
      <c r="C183" s="8285"/>
      <c r="D183" s="2913">
        <f t="shared" si="28"/>
        <v>0</v>
      </c>
      <c r="E183" s="2938">
        <f>SUM(E151:E182)</f>
        <v>0</v>
      </c>
      <c r="F183" s="2941">
        <f>SUM(F151:F182)</f>
        <v>0</v>
      </c>
      <c r="G183" s="2941">
        <f>SUM(G151:G182)</f>
        <v>0</v>
      </c>
      <c r="H183" s="2953">
        <f>SUM(H151:H182)</f>
        <v>0</v>
      </c>
      <c r="I183" s="2954">
        <f>SUM(I151:I182)</f>
        <v>0</v>
      </c>
      <c r="J183" s="2997"/>
      <c r="K183" s="602"/>
      <c r="L183" s="602"/>
      <c r="M183" s="602"/>
      <c r="N183" s="602"/>
      <c r="O183" s="602"/>
      <c r="P183" s="602"/>
      <c r="Q183" s="602"/>
      <c r="R183" s="602"/>
      <c r="S183" s="602"/>
      <c r="T183" s="602"/>
      <c r="U183" s="602"/>
      <c r="V183" s="602"/>
      <c r="W183" s="602"/>
      <c r="X183" s="602"/>
      <c r="Y183" s="602"/>
      <c r="Z183" s="602"/>
      <c r="AA183" s="602"/>
      <c r="AB183" s="602"/>
      <c r="AC183" s="602"/>
      <c r="AD183" s="602"/>
      <c r="AE183" s="602"/>
      <c r="AF183" s="602"/>
      <c r="AG183" s="602"/>
      <c r="AH183" s="602"/>
      <c r="AI183" s="602"/>
    </row>
    <row r="184" spans="1:89" ht="18" customHeight="1" x14ac:dyDescent="0.25">
      <c r="A184" s="3054" t="s">
        <v>2366</v>
      </c>
      <c r="B184" s="1749"/>
      <c r="C184" s="1749"/>
      <c r="D184" s="1749"/>
      <c r="E184" s="1749"/>
      <c r="F184" s="2959"/>
      <c r="G184" s="2959" t="s">
        <v>1760</v>
      </c>
      <c r="H184" s="3055"/>
      <c r="I184" s="3055"/>
      <c r="J184" s="2998"/>
      <c r="K184" s="2998"/>
      <c r="L184" s="2998"/>
      <c r="M184" s="2998"/>
      <c r="N184" s="2998"/>
      <c r="O184" s="2998"/>
      <c r="P184" s="2998"/>
      <c r="Q184" s="2998"/>
      <c r="R184" s="2998"/>
      <c r="S184" s="2998"/>
      <c r="T184" s="2998"/>
      <c r="U184" s="2998"/>
      <c r="V184" s="2998"/>
      <c r="W184" s="2998"/>
      <c r="X184" s="2998"/>
      <c r="Y184" s="3056"/>
      <c r="Z184" s="3056"/>
      <c r="AA184" s="3056"/>
      <c r="AB184" s="3056"/>
      <c r="AC184" s="3056"/>
      <c r="AD184" s="3056"/>
      <c r="AE184" s="3056"/>
      <c r="AF184" s="3056"/>
      <c r="AG184" s="3056"/>
      <c r="AH184" s="3056"/>
      <c r="AI184" s="102"/>
    </row>
    <row r="185" spans="1:89" ht="15" customHeight="1" x14ac:dyDescent="0.25">
      <c r="A185" s="8274" t="s">
        <v>2367</v>
      </c>
      <c r="B185" s="6448" t="s">
        <v>2368</v>
      </c>
      <c r="C185" s="6468" t="s">
        <v>24</v>
      </c>
      <c r="D185" s="6468"/>
      <c r="E185" s="6460"/>
      <c r="F185" s="6452" t="s">
        <v>2369</v>
      </c>
      <c r="G185" s="6453"/>
      <c r="H185" s="6453"/>
      <c r="I185" s="6453"/>
      <c r="J185" s="6453"/>
      <c r="K185" s="6453"/>
      <c r="L185" s="6453"/>
      <c r="M185" s="6453"/>
      <c r="N185" s="6453"/>
      <c r="O185" s="6453"/>
      <c r="P185" s="6453"/>
      <c r="Q185" s="6453"/>
      <c r="R185" s="6453"/>
      <c r="S185" s="6453"/>
      <c r="T185" s="6453"/>
      <c r="U185" s="6453"/>
      <c r="V185" s="6453"/>
      <c r="W185" s="6453"/>
      <c r="X185" s="6453"/>
      <c r="Y185" s="6453"/>
      <c r="Z185" s="6453"/>
      <c r="AA185" s="6453"/>
      <c r="AB185" s="6453"/>
      <c r="AC185" s="6453"/>
      <c r="AD185" s="6453"/>
      <c r="AE185" s="6453"/>
      <c r="AF185" s="6453"/>
      <c r="AG185" s="6462"/>
      <c r="AH185" s="8276" t="s">
        <v>67</v>
      </c>
      <c r="AI185" s="3058"/>
    </row>
    <row r="186" spans="1:89" ht="15" customHeight="1" x14ac:dyDescent="0.25">
      <c r="A186" s="8275"/>
      <c r="B186" s="6466"/>
      <c r="C186" s="6471"/>
      <c r="D186" s="6471"/>
      <c r="E186" s="6472"/>
      <c r="F186" s="8277" t="s">
        <v>4</v>
      </c>
      <c r="G186" s="7123"/>
      <c r="H186" s="8272" t="s">
        <v>5</v>
      </c>
      <c r="I186" s="8273"/>
      <c r="J186" s="8272" t="s">
        <v>6</v>
      </c>
      <c r="K186" s="8273"/>
      <c r="L186" s="8272" t="s">
        <v>7</v>
      </c>
      <c r="M186" s="8273"/>
      <c r="N186" s="8272" t="s">
        <v>8</v>
      </c>
      <c r="O186" s="8273"/>
      <c r="P186" s="8272" t="s">
        <v>9</v>
      </c>
      <c r="Q186" s="8273"/>
      <c r="R186" s="8272" t="s">
        <v>10</v>
      </c>
      <c r="S186" s="8273"/>
      <c r="T186" s="8272" t="s">
        <v>11</v>
      </c>
      <c r="U186" s="8273"/>
      <c r="V186" s="8272" t="s">
        <v>18</v>
      </c>
      <c r="W186" s="8273"/>
      <c r="X186" s="8272" t="s">
        <v>19</v>
      </c>
      <c r="Y186" s="8273"/>
      <c r="Z186" s="8272" t="s">
        <v>20</v>
      </c>
      <c r="AA186" s="8273"/>
      <c r="AB186" s="8272" t="s">
        <v>70</v>
      </c>
      <c r="AC186" s="8273"/>
      <c r="AD186" s="8272" t="s">
        <v>71</v>
      </c>
      <c r="AE186" s="8273"/>
      <c r="AF186" s="8272" t="s">
        <v>72</v>
      </c>
      <c r="AG186" s="8286"/>
      <c r="AH186" s="6539"/>
    </row>
    <row r="187" spans="1:89" ht="15" customHeight="1" x14ac:dyDescent="0.25">
      <c r="A187" s="8275"/>
      <c r="B187" s="6449"/>
      <c r="C187" s="2962" t="s">
        <v>26</v>
      </c>
      <c r="D187" s="2970" t="s">
        <v>22</v>
      </c>
      <c r="E187" s="2836" t="s">
        <v>27</v>
      </c>
      <c r="F187" s="2963" t="s">
        <v>22</v>
      </c>
      <c r="G187" s="2836" t="s">
        <v>27</v>
      </c>
      <c r="H187" s="2963" t="s">
        <v>22</v>
      </c>
      <c r="I187" s="2836" t="s">
        <v>27</v>
      </c>
      <c r="J187" s="2963" t="s">
        <v>22</v>
      </c>
      <c r="K187" s="2836" t="s">
        <v>27</v>
      </c>
      <c r="L187" s="2963" t="s">
        <v>22</v>
      </c>
      <c r="M187" s="2836" t="s">
        <v>27</v>
      </c>
      <c r="N187" s="2963" t="s">
        <v>22</v>
      </c>
      <c r="O187" s="2836" t="s">
        <v>27</v>
      </c>
      <c r="P187" s="2963" t="s">
        <v>22</v>
      </c>
      <c r="Q187" s="2836" t="s">
        <v>27</v>
      </c>
      <c r="R187" s="2963" t="s">
        <v>22</v>
      </c>
      <c r="S187" s="2836" t="s">
        <v>27</v>
      </c>
      <c r="T187" s="2963" t="s">
        <v>22</v>
      </c>
      <c r="U187" s="2836" t="s">
        <v>27</v>
      </c>
      <c r="V187" s="2963" t="s">
        <v>22</v>
      </c>
      <c r="W187" s="2836" t="s">
        <v>27</v>
      </c>
      <c r="X187" s="2963" t="s">
        <v>22</v>
      </c>
      <c r="Y187" s="2836" t="s">
        <v>27</v>
      </c>
      <c r="Z187" s="2963" t="s">
        <v>22</v>
      </c>
      <c r="AA187" s="2836" t="s">
        <v>27</v>
      </c>
      <c r="AB187" s="2963" t="s">
        <v>22</v>
      </c>
      <c r="AC187" s="2836" t="s">
        <v>27</v>
      </c>
      <c r="AD187" s="2963" t="s">
        <v>22</v>
      </c>
      <c r="AE187" s="2836" t="s">
        <v>27</v>
      </c>
      <c r="AF187" s="2963" t="s">
        <v>22</v>
      </c>
      <c r="AG187" s="3057" t="s">
        <v>27</v>
      </c>
      <c r="AH187" s="6527"/>
    </row>
    <row r="188" spans="1:89" ht="15" customHeight="1" x14ac:dyDescent="0.25">
      <c r="A188" s="8269" t="s">
        <v>2370</v>
      </c>
      <c r="B188" s="3059" t="s">
        <v>74</v>
      </c>
      <c r="C188" s="3060">
        <f>SUM(D188:E188)</f>
        <v>0</v>
      </c>
      <c r="D188" s="3061">
        <f>+F188+H188+J188+L188+N188+P188+R188+T188+V188+X188+Z188+AB188+AD188+AF188</f>
        <v>0</v>
      </c>
      <c r="E188" s="3062">
        <f>+G188+I188+K188+M188+O188+Q188+S188+U188+W188+Y188+AA188+AC188+AE188+AG188</f>
        <v>0</v>
      </c>
      <c r="F188" s="1089"/>
      <c r="G188" s="1077"/>
      <c r="H188" s="1089"/>
      <c r="I188" s="1077"/>
      <c r="J188" s="1089"/>
      <c r="K188" s="1077"/>
      <c r="L188" s="1089"/>
      <c r="M188" s="1077"/>
      <c r="N188" s="1089"/>
      <c r="O188" s="1077"/>
      <c r="P188" s="1089"/>
      <c r="Q188" s="1077"/>
      <c r="R188" s="1089"/>
      <c r="S188" s="1077"/>
      <c r="T188" s="1089"/>
      <c r="U188" s="1077"/>
      <c r="V188" s="1089"/>
      <c r="W188" s="1077"/>
      <c r="X188" s="1089"/>
      <c r="Y188" s="1077"/>
      <c r="Z188" s="1089"/>
      <c r="AA188" s="1077"/>
      <c r="AB188" s="1089"/>
      <c r="AC188" s="1077"/>
      <c r="AD188" s="1089"/>
      <c r="AE188" s="1077"/>
      <c r="AF188" s="1089"/>
      <c r="AG188" s="1078"/>
      <c r="AH188" s="83"/>
      <c r="AI188" s="2989" t="str">
        <f>$BZ188</f>
        <v/>
      </c>
      <c r="BZ188" s="2873" t="str">
        <f>IF(AND($C188&lt;&gt;0,AH188=""),"* No olvide ingresar la variable "&amp;AH$185&amp;""&amp;" (Digite CERO si no tiene).  ",IF(AH188&gt;$C188,"* La variable Beneficiarios no puede superar el Total Ambos Sexos. ",""))</f>
        <v/>
      </c>
      <c r="CK188" s="1793">
        <f>IF(AND($C188&lt;&gt;0,AH188=""),1,IF(AH188&gt;$C188,1,0))</f>
        <v>0</v>
      </c>
    </row>
    <row r="189" spans="1:89" ht="15" customHeight="1" x14ac:dyDescent="0.25">
      <c r="A189" s="8270"/>
      <c r="B189" s="1748" t="s">
        <v>76</v>
      </c>
      <c r="C189" s="3063">
        <f t="shared" ref="C189:C194" si="29">SUM(D189:E189)</f>
        <v>0</v>
      </c>
      <c r="D189" s="3064">
        <f t="shared" ref="D189:E194" si="30">+F189+H189+J189+L189+N189+P189+R189+T189+V189+X189+Z189+AB189+AD189+AF189</f>
        <v>0</v>
      </c>
      <c r="E189" s="3065">
        <f t="shared" si="30"/>
        <v>0</v>
      </c>
      <c r="F189" s="90"/>
      <c r="G189" s="92"/>
      <c r="H189" s="90"/>
      <c r="I189" s="92"/>
      <c r="J189" s="90"/>
      <c r="K189" s="92"/>
      <c r="L189" s="90"/>
      <c r="M189" s="92"/>
      <c r="N189" s="90"/>
      <c r="O189" s="92"/>
      <c r="P189" s="90"/>
      <c r="Q189" s="92"/>
      <c r="R189" s="90"/>
      <c r="S189" s="92"/>
      <c r="T189" s="90"/>
      <c r="U189" s="92"/>
      <c r="V189" s="90"/>
      <c r="W189" s="92"/>
      <c r="X189" s="90"/>
      <c r="Y189" s="92"/>
      <c r="Z189" s="90"/>
      <c r="AA189" s="92"/>
      <c r="AB189" s="90"/>
      <c r="AC189" s="92"/>
      <c r="AD189" s="90"/>
      <c r="AE189" s="92"/>
      <c r="AF189" s="90"/>
      <c r="AG189" s="94"/>
      <c r="AH189" s="91"/>
      <c r="AI189" s="2989" t="str">
        <f t="shared" ref="AI189:AI194" si="31">$BZ189</f>
        <v/>
      </c>
      <c r="BZ189" s="2873" t="str">
        <f t="shared" ref="BZ189:BZ194" si="32">IF(AND($C189&lt;&gt;0,AH189=""),"* No olvide ingresar la variable "&amp;AH$185&amp;""&amp;" (Digite CERO si no tiene).  ",IF(AH189&gt;$C189,"* La variable Beneficiarios no puede superar el Total Ambos Sexos. ",""))</f>
        <v/>
      </c>
      <c r="CK189" s="1793">
        <f t="shared" ref="CK189:CK194" si="33">IF(AND($C189&lt;&gt;0,AH189=""),1,IF(AH189&gt;$C189,1,0))</f>
        <v>0</v>
      </c>
    </row>
    <row r="190" spans="1:89" ht="15" customHeight="1" x14ac:dyDescent="0.25">
      <c r="A190" s="8270"/>
      <c r="B190" s="1075" t="s">
        <v>247</v>
      </c>
      <c r="C190" s="3063">
        <f t="shared" si="29"/>
        <v>0</v>
      </c>
      <c r="D190" s="3064">
        <f t="shared" si="30"/>
        <v>0</v>
      </c>
      <c r="E190" s="3065">
        <f t="shared" si="30"/>
        <v>0</v>
      </c>
      <c r="F190" s="90"/>
      <c r="G190" s="92"/>
      <c r="H190" s="90"/>
      <c r="I190" s="92"/>
      <c r="J190" s="90"/>
      <c r="K190" s="92"/>
      <c r="L190" s="90"/>
      <c r="M190" s="92"/>
      <c r="N190" s="90"/>
      <c r="O190" s="92"/>
      <c r="P190" s="90"/>
      <c r="Q190" s="92"/>
      <c r="R190" s="90"/>
      <c r="S190" s="92"/>
      <c r="T190" s="90"/>
      <c r="U190" s="92"/>
      <c r="V190" s="90"/>
      <c r="W190" s="92"/>
      <c r="X190" s="90"/>
      <c r="Y190" s="92"/>
      <c r="Z190" s="90"/>
      <c r="AA190" s="92"/>
      <c r="AB190" s="90"/>
      <c r="AC190" s="92"/>
      <c r="AD190" s="90"/>
      <c r="AE190" s="92"/>
      <c r="AF190" s="90"/>
      <c r="AG190" s="94"/>
      <c r="AH190" s="91"/>
      <c r="AI190" s="2989" t="str">
        <f t="shared" si="31"/>
        <v/>
      </c>
      <c r="BZ190" s="2873" t="str">
        <f t="shared" si="32"/>
        <v/>
      </c>
      <c r="CK190" s="1793">
        <f t="shared" si="33"/>
        <v>0</v>
      </c>
    </row>
    <row r="191" spans="1:89" ht="15" customHeight="1" x14ac:dyDescent="0.25">
      <c r="A191" s="8270"/>
      <c r="B191" s="2037" t="s">
        <v>2371</v>
      </c>
      <c r="C191" s="3063">
        <f t="shared" si="29"/>
        <v>0</v>
      </c>
      <c r="D191" s="3064">
        <f t="shared" si="30"/>
        <v>0</v>
      </c>
      <c r="E191" s="3065">
        <f t="shared" si="30"/>
        <v>0</v>
      </c>
      <c r="F191" s="90"/>
      <c r="G191" s="92"/>
      <c r="H191" s="90"/>
      <c r="I191" s="92"/>
      <c r="J191" s="90"/>
      <c r="K191" s="92"/>
      <c r="L191" s="90"/>
      <c r="M191" s="92"/>
      <c r="N191" s="90"/>
      <c r="O191" s="92"/>
      <c r="P191" s="90"/>
      <c r="Q191" s="92"/>
      <c r="R191" s="90"/>
      <c r="S191" s="92"/>
      <c r="T191" s="90"/>
      <c r="U191" s="92"/>
      <c r="V191" s="90"/>
      <c r="W191" s="92"/>
      <c r="X191" s="90"/>
      <c r="Y191" s="92"/>
      <c r="Z191" s="90"/>
      <c r="AA191" s="92"/>
      <c r="AB191" s="90"/>
      <c r="AC191" s="92"/>
      <c r="AD191" s="90"/>
      <c r="AE191" s="92"/>
      <c r="AF191" s="90"/>
      <c r="AG191" s="94"/>
      <c r="AH191" s="91"/>
      <c r="AI191" s="2989" t="str">
        <f t="shared" si="31"/>
        <v/>
      </c>
      <c r="BZ191" s="2873" t="str">
        <f t="shared" si="32"/>
        <v/>
      </c>
      <c r="CK191" s="1793">
        <f t="shared" si="33"/>
        <v>0</v>
      </c>
    </row>
    <row r="192" spans="1:89" ht="15" customHeight="1" x14ac:dyDescent="0.25">
      <c r="A192" s="8270"/>
      <c r="B192" s="1748" t="s">
        <v>192</v>
      </c>
      <c r="C192" s="3066">
        <f t="shared" si="29"/>
        <v>0</v>
      </c>
      <c r="D192" s="3061">
        <f t="shared" si="30"/>
        <v>0</v>
      </c>
      <c r="E192" s="3062">
        <f t="shared" si="30"/>
        <v>0</v>
      </c>
      <c r="F192" s="1089"/>
      <c r="G192" s="1077"/>
      <c r="H192" s="1089"/>
      <c r="I192" s="1077"/>
      <c r="J192" s="1089"/>
      <c r="K192" s="1077"/>
      <c r="L192" s="1089"/>
      <c r="M192" s="1077"/>
      <c r="N192" s="1089"/>
      <c r="O192" s="1077"/>
      <c r="P192" s="1089"/>
      <c r="Q192" s="1077"/>
      <c r="R192" s="1089"/>
      <c r="S192" s="1077"/>
      <c r="T192" s="1089"/>
      <c r="U192" s="1077"/>
      <c r="V192" s="1089"/>
      <c r="W192" s="1077"/>
      <c r="X192" s="1089"/>
      <c r="Y192" s="1077"/>
      <c r="Z192" s="1089"/>
      <c r="AA192" s="1077"/>
      <c r="AB192" s="1089"/>
      <c r="AC192" s="1077"/>
      <c r="AD192" s="1089"/>
      <c r="AE192" s="1077"/>
      <c r="AF192" s="1089"/>
      <c r="AG192" s="1078"/>
      <c r="AH192" s="1079"/>
      <c r="AI192" s="2989" t="str">
        <f t="shared" si="31"/>
        <v/>
      </c>
      <c r="BZ192" s="2873" t="str">
        <f t="shared" si="32"/>
        <v/>
      </c>
      <c r="CK192" s="1793">
        <f t="shared" si="33"/>
        <v>0</v>
      </c>
    </row>
    <row r="193" spans="1:89" ht="15" customHeight="1" x14ac:dyDescent="0.25">
      <c r="A193" s="8271"/>
      <c r="B193" s="562" t="s">
        <v>1318</v>
      </c>
      <c r="C193" s="3066">
        <f t="shared" si="29"/>
        <v>0</v>
      </c>
      <c r="D193" s="3061">
        <f t="shared" si="30"/>
        <v>0</v>
      </c>
      <c r="E193" s="3062">
        <f t="shared" si="30"/>
        <v>0</v>
      </c>
      <c r="F193" s="114"/>
      <c r="G193" s="116"/>
      <c r="H193" s="114"/>
      <c r="I193" s="116"/>
      <c r="J193" s="114"/>
      <c r="K193" s="116"/>
      <c r="L193" s="114"/>
      <c r="M193" s="116"/>
      <c r="N193" s="114"/>
      <c r="O193" s="116"/>
      <c r="P193" s="114"/>
      <c r="Q193" s="116"/>
      <c r="R193" s="114"/>
      <c r="S193" s="116"/>
      <c r="T193" s="114"/>
      <c r="U193" s="116"/>
      <c r="V193" s="114"/>
      <c r="W193" s="116"/>
      <c r="X193" s="114"/>
      <c r="Y193" s="116"/>
      <c r="Z193" s="114"/>
      <c r="AA193" s="116"/>
      <c r="AB193" s="114"/>
      <c r="AC193" s="116"/>
      <c r="AD193" s="114"/>
      <c r="AE193" s="116"/>
      <c r="AF193" s="114"/>
      <c r="AG193" s="162"/>
      <c r="AH193" s="775"/>
      <c r="AI193" s="2989" t="str">
        <f t="shared" si="31"/>
        <v/>
      </c>
      <c r="BZ193" s="2873" t="str">
        <f t="shared" si="32"/>
        <v/>
      </c>
      <c r="CK193" s="1793">
        <f t="shared" si="33"/>
        <v>0</v>
      </c>
    </row>
    <row r="194" spans="1:89" ht="15" customHeight="1" x14ac:dyDescent="0.25">
      <c r="A194" s="3067" t="s">
        <v>2372</v>
      </c>
      <c r="B194" s="3068" t="s">
        <v>2373</v>
      </c>
      <c r="C194" s="3069">
        <f t="shared" si="29"/>
        <v>0</v>
      </c>
      <c r="D194" s="3070">
        <f t="shared" si="30"/>
        <v>0</v>
      </c>
      <c r="E194" s="3071">
        <f t="shared" si="30"/>
        <v>0</v>
      </c>
      <c r="F194" s="3072"/>
      <c r="G194" s="3073"/>
      <c r="H194" s="3072"/>
      <c r="I194" s="3073"/>
      <c r="J194" s="3072"/>
      <c r="K194" s="3073"/>
      <c r="L194" s="3072"/>
      <c r="M194" s="3073"/>
      <c r="N194" s="3072"/>
      <c r="O194" s="3073"/>
      <c r="P194" s="3072"/>
      <c r="Q194" s="3073"/>
      <c r="R194" s="3072"/>
      <c r="S194" s="3073"/>
      <c r="T194" s="3072"/>
      <c r="U194" s="3073"/>
      <c r="V194" s="3072"/>
      <c r="W194" s="3073"/>
      <c r="X194" s="3072"/>
      <c r="Y194" s="3073"/>
      <c r="Z194" s="3072"/>
      <c r="AA194" s="3073"/>
      <c r="AB194" s="3072"/>
      <c r="AC194" s="3073"/>
      <c r="AD194" s="3072"/>
      <c r="AE194" s="3073"/>
      <c r="AF194" s="3072"/>
      <c r="AG194" s="3074"/>
      <c r="AH194" s="3075"/>
      <c r="AI194" s="2989" t="str">
        <f t="shared" si="31"/>
        <v/>
      </c>
      <c r="BZ194" s="2873" t="str">
        <f t="shared" si="32"/>
        <v/>
      </c>
      <c r="CK194" s="1793">
        <f t="shared" si="33"/>
        <v>0</v>
      </c>
    </row>
    <row r="229" spans="1:2" hidden="1" x14ac:dyDescent="0.25">
      <c r="A229" s="3076">
        <f>SUM(D10:D45,D49:D82,D86:D88,D91:E93,D97:E99,D103:D111,B114:D114,B118:B119,B123:B124,B128:F129,D133:D148,D151:D182,C188:C194)</f>
        <v>0</v>
      </c>
      <c r="B229" s="3076">
        <f>SUM(CK11:CO194)</f>
        <v>0</v>
      </c>
    </row>
  </sheetData>
  <sheetProtection algorithmName="SHA-512" hashValue="xSmSkMlV8ZN++C+J5AvJ6yfZR/LC21HxYuNlx+V5MFZw51N/EQHscb4xTg23FYMUc9fR6rgxIYuE6+F85mCqYQ==" saltValue="1CgActlfanSEjIYuVpff/A==" spinCount="100000" sheet="1" objects="1" scenarios="1"/>
  <mergeCells count="149">
    <mergeCell ref="AE9:AE10"/>
    <mergeCell ref="AF9:AG9"/>
    <mergeCell ref="A11:A46"/>
    <mergeCell ref="B11:C11"/>
    <mergeCell ref="B12:B15"/>
    <mergeCell ref="B16:C16"/>
    <mergeCell ref="B17:C17"/>
    <mergeCell ref="A6:X6"/>
    <mergeCell ref="A9:C10"/>
    <mergeCell ref="D9:D10"/>
    <mergeCell ref="E9:I9"/>
    <mergeCell ref="J9:X9"/>
    <mergeCell ref="Y9:AA9"/>
    <mergeCell ref="B18:C18"/>
    <mergeCell ref="B19:C19"/>
    <mergeCell ref="B20:B21"/>
    <mergeCell ref="B22:C22"/>
    <mergeCell ref="B23:C23"/>
    <mergeCell ref="B24:C24"/>
    <mergeCell ref="AB9:AB10"/>
    <mergeCell ref="AC9:AC10"/>
    <mergeCell ref="AD9:AD10"/>
    <mergeCell ref="B36:C36"/>
    <mergeCell ref="B37:C37"/>
    <mergeCell ref="B38:C38"/>
    <mergeCell ref="B39:B43"/>
    <mergeCell ref="B44:C44"/>
    <mergeCell ref="B45:C45"/>
    <mergeCell ref="B25:C25"/>
    <mergeCell ref="B26:B28"/>
    <mergeCell ref="B29:B31"/>
    <mergeCell ref="B32:C32"/>
    <mergeCell ref="B33:B34"/>
    <mergeCell ref="B35:C35"/>
    <mergeCell ref="B46:C46"/>
    <mergeCell ref="A48:C48"/>
    <mergeCell ref="A49:A83"/>
    <mergeCell ref="B49:C49"/>
    <mergeCell ref="B50:B53"/>
    <mergeCell ref="B54:C54"/>
    <mergeCell ref="B55:C55"/>
    <mergeCell ref="B56:C56"/>
    <mergeCell ref="B57:C57"/>
    <mergeCell ref="B58:C58"/>
    <mergeCell ref="B69:C69"/>
    <mergeCell ref="B70:B71"/>
    <mergeCell ref="B72:C72"/>
    <mergeCell ref="B73:C73"/>
    <mergeCell ref="B74:C74"/>
    <mergeCell ref="B75:C75"/>
    <mergeCell ref="B59:C59"/>
    <mergeCell ref="B60:C60"/>
    <mergeCell ref="B61:C61"/>
    <mergeCell ref="B62:C62"/>
    <mergeCell ref="B63:B65"/>
    <mergeCell ref="B66:B68"/>
    <mergeCell ref="A86:C86"/>
    <mergeCell ref="E86:F86"/>
    <mergeCell ref="A87:C87"/>
    <mergeCell ref="E87:F87"/>
    <mergeCell ref="A88:C88"/>
    <mergeCell ref="A90:C90"/>
    <mergeCell ref="B76:B80"/>
    <mergeCell ref="B81:C81"/>
    <mergeCell ref="B82:C82"/>
    <mergeCell ref="B83:C83"/>
    <mergeCell ref="A85:C85"/>
    <mergeCell ref="E85:F85"/>
    <mergeCell ref="W95:W96"/>
    <mergeCell ref="A97:C97"/>
    <mergeCell ref="A98:C98"/>
    <mergeCell ref="A91:C91"/>
    <mergeCell ref="A92:C92"/>
    <mergeCell ref="A93:C93"/>
    <mergeCell ref="A95:C96"/>
    <mergeCell ref="D95:D96"/>
    <mergeCell ref="E95:E96"/>
    <mergeCell ref="A99:C99"/>
    <mergeCell ref="A101:C102"/>
    <mergeCell ref="D101:D102"/>
    <mergeCell ref="E101:J101"/>
    <mergeCell ref="K101:L101"/>
    <mergeCell ref="A103:B105"/>
    <mergeCell ref="F95:G95"/>
    <mergeCell ref="H95:U95"/>
    <mergeCell ref="V95:V96"/>
    <mergeCell ref="A126:A127"/>
    <mergeCell ref="B126:B127"/>
    <mergeCell ref="C126:F126"/>
    <mergeCell ref="G126:G127"/>
    <mergeCell ref="H126:H127"/>
    <mergeCell ref="A131:C132"/>
    <mergeCell ref="D131:D132"/>
    <mergeCell ref="E131:N131"/>
    <mergeCell ref="A106:B108"/>
    <mergeCell ref="A109:B111"/>
    <mergeCell ref="A116:A117"/>
    <mergeCell ref="B116:I116"/>
    <mergeCell ref="A121:A122"/>
    <mergeCell ref="B121:B122"/>
    <mergeCell ref="C121:M121"/>
    <mergeCell ref="O131:P131"/>
    <mergeCell ref="A133:B140"/>
    <mergeCell ref="A141:B148"/>
    <mergeCell ref="A150:C150"/>
    <mergeCell ref="A151:A183"/>
    <mergeCell ref="B151:C151"/>
    <mergeCell ref="B152:B155"/>
    <mergeCell ref="B156:C156"/>
    <mergeCell ref="B157:C157"/>
    <mergeCell ref="B158:C158"/>
    <mergeCell ref="B165:B167"/>
    <mergeCell ref="B168:B170"/>
    <mergeCell ref="B171:C171"/>
    <mergeCell ref="B172:B173"/>
    <mergeCell ref="B174:C174"/>
    <mergeCell ref="B175:C175"/>
    <mergeCell ref="B159:C159"/>
    <mergeCell ref="B160:C160"/>
    <mergeCell ref="B161:C161"/>
    <mergeCell ref="B162:C162"/>
    <mergeCell ref="B163:C163"/>
    <mergeCell ref="B164:C164"/>
    <mergeCell ref="AH185:AH187"/>
    <mergeCell ref="F186:G186"/>
    <mergeCell ref="H186:I186"/>
    <mergeCell ref="J186:K186"/>
    <mergeCell ref="L186:M186"/>
    <mergeCell ref="N186:O186"/>
    <mergeCell ref="B176:C176"/>
    <mergeCell ref="B177:C177"/>
    <mergeCell ref="B178:B180"/>
    <mergeCell ref="B181:C181"/>
    <mergeCell ref="B182:C182"/>
    <mergeCell ref="B183:C183"/>
    <mergeCell ref="AB186:AC186"/>
    <mergeCell ref="AD186:AE186"/>
    <mergeCell ref="AF186:AG186"/>
    <mergeCell ref="A188:A193"/>
    <mergeCell ref="P186:Q186"/>
    <mergeCell ref="R186:S186"/>
    <mergeCell ref="T186:U186"/>
    <mergeCell ref="V186:W186"/>
    <mergeCell ref="X186:Y186"/>
    <mergeCell ref="Z186:AA186"/>
    <mergeCell ref="A185:A187"/>
    <mergeCell ref="B185:B187"/>
    <mergeCell ref="C185:E186"/>
    <mergeCell ref="F185:AG185"/>
  </mergeCells>
  <dataValidations count="3">
    <dataValidation type="whole" operator="greaterThanOrEqual" allowBlank="1" showInputMessage="1" showErrorMessage="1" sqref="D133:P148" xr:uid="{00000000-0002-0000-1300-000000000000}">
      <formula1>0</formula1>
    </dataValidation>
    <dataValidation type="whole" operator="greaterThanOrEqual" allowBlank="1" showInputMessage="1" showErrorMessage="1" error="Valor no Permitido" sqref="D49:I83 D86:D88 D91:E93 D97:W99 D103:L111 B114:D114 B118:I119 B123:M124 B128:H129 D151:I183 C188:AH194 D11:AG46" xr:uid="{00000000-0002-0000-1300-000001000000}">
      <formula1>0</formula1>
    </dataValidation>
    <dataValidation allowBlank="1" showInputMessage="1" showErrorMessage="1" error="Valor no Permitido" sqref="A6 B8:B20 Z8:AA8 C8:C23 AC8:AF8 AC9 B22:B39 AB8:AB10 Z10:AA10 D8:Y10 C25:C60 D120:I120 D122:M122 B120:B121 A125:P125 G126:H126 D127:F127 F84:W96 B126:C127 A194 C150:C162 A126:A129 D185:F187 G186:AG187 D184:I184 B44:B76 D47:I48 A150:A188 B150:B194 J149:J184 M149:AI184 K149:L169 K177:L184 D84:D85 D89:D90 D94:E96 E84:E90 AG10 D100:L102 C120:C122 D112:D113 J112:L120 E112:I117 B115:D117 D150:I150 C164:C187 AD9:AF10 M100:M120 CK128:CN129 I126:P129 Q133:Q148 AI188:AI194 AH185 A229:B229 A8:A124 C62:C113 B81:B113 Q128:CF129" xr:uid="{00000000-0002-0000-1300-000002000000}"/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DZ349"/>
  <sheetViews>
    <sheetView showGridLines="0" zoomScaleNormal="100" workbookViewId="0"/>
  </sheetViews>
  <sheetFormatPr baseColWidth="10" defaultColWidth="11.42578125" defaultRowHeight="15" x14ac:dyDescent="0.25"/>
  <cols>
    <col min="1" max="1" width="49.85546875" customWidth="1"/>
    <col min="2" max="2" width="35.140625" bestFit="1" customWidth="1"/>
    <col min="3" max="3" width="16.28515625" customWidth="1"/>
    <col min="4" max="38" width="19.28515625" customWidth="1"/>
    <col min="3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hidden="1" customWidth="1"/>
    <col min="79" max="97" width="11.42578125" style="1134" hidden="1" customWidth="1"/>
    <col min="98" max="105" width="11.42578125" style="1134" customWidth="1"/>
    <col min="106" max="113" width="11.42578125" style="1134"/>
  </cols>
  <sheetData>
    <row r="1" spans="1:130" x14ac:dyDescent="0.25">
      <c r="A1" s="779" t="s">
        <v>3878</v>
      </c>
    </row>
    <row r="2" spans="1:130" x14ac:dyDescent="0.25">
      <c r="A2" s="779" t="str">
        <f>CONCATENATE("COMUNA: ",NOMBRE!B2," - ","( ",NOMBRE!C2,NOMBRE!D2,NOMBRE!E2,NOMBRE!F2,NOMBRE!G2," )")</f>
        <v>COMUNA:  - (  )</v>
      </c>
    </row>
    <row r="3" spans="1:130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30" x14ac:dyDescent="0.25">
      <c r="A4" s="779" t="str">
        <f>CONCATENATE("MES: ",NOMBRE!B6," - ","( ",NOMBRE!C6,NOMBRE!D6," )")</f>
        <v>MES:  - (  )</v>
      </c>
    </row>
    <row r="5" spans="1:130" x14ac:dyDescent="0.25">
      <c r="A5" s="779" t="str">
        <f>CONCATENATE("AÑO: ",NOMBRE!B7)</f>
        <v>AÑO: 2024</v>
      </c>
    </row>
    <row r="6" spans="1:130" s="103" customFormat="1" ht="18" customHeight="1" x14ac:dyDescent="0.25">
      <c r="A6" s="6914" t="s">
        <v>3174</v>
      </c>
      <c r="B6" s="6914"/>
      <c r="C6" s="6914"/>
      <c r="D6" s="6914"/>
      <c r="E6" s="6914"/>
      <c r="F6" s="6914"/>
      <c r="G6" s="6914"/>
      <c r="H6" s="6914"/>
      <c r="I6" s="6914"/>
      <c r="J6" s="6914"/>
      <c r="K6" s="6914"/>
      <c r="L6" s="6914"/>
      <c r="M6" s="6914"/>
      <c r="N6" s="6914"/>
      <c r="O6" s="3978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632"/>
      <c r="AQ6" s="632"/>
      <c r="AR6" s="632"/>
      <c r="AS6" s="632"/>
      <c r="AT6" s="632"/>
      <c r="AU6" s="632"/>
      <c r="AV6" s="632"/>
      <c r="AW6" s="632"/>
      <c r="AX6" s="632"/>
      <c r="AY6" s="632"/>
      <c r="AZ6" s="632"/>
      <c r="BA6" s="632"/>
      <c r="BB6" s="632"/>
      <c r="BC6" s="632"/>
      <c r="BD6" s="632"/>
      <c r="BE6" s="632"/>
      <c r="BF6" s="632"/>
      <c r="BG6" s="632"/>
      <c r="BH6" s="632"/>
      <c r="BI6" s="632"/>
      <c r="BJ6" s="632"/>
      <c r="BK6" s="632"/>
      <c r="BL6" s="632"/>
      <c r="BM6" s="632"/>
      <c r="BN6" s="632"/>
      <c r="BO6" s="632"/>
      <c r="BP6" s="632"/>
      <c r="BQ6" s="632"/>
      <c r="BR6" s="632"/>
      <c r="BS6" s="632"/>
      <c r="BT6" s="632"/>
      <c r="BU6" s="3551"/>
      <c r="BV6" s="3551"/>
      <c r="BW6" s="3551"/>
      <c r="BX6" s="3551"/>
      <c r="BY6" s="3551"/>
      <c r="BZ6" s="3551"/>
      <c r="CA6" s="3979"/>
      <c r="CB6" s="3979"/>
      <c r="CC6" s="3979"/>
      <c r="CD6" s="3979"/>
      <c r="CE6" s="3979"/>
      <c r="CF6" s="3979"/>
      <c r="CG6" s="3979"/>
      <c r="CH6" s="3979"/>
      <c r="CI6" s="3979"/>
      <c r="CJ6" s="3979"/>
      <c r="CK6" s="3979"/>
      <c r="CL6" s="3979"/>
      <c r="CM6" s="3979"/>
      <c r="CN6" s="3979"/>
      <c r="CO6" s="3979"/>
      <c r="CP6" s="3979"/>
      <c r="CQ6" s="3979"/>
      <c r="CR6" s="3979"/>
      <c r="CS6" s="3979"/>
      <c r="CT6" s="3979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780"/>
      <c r="DK6" s="780"/>
      <c r="DL6" s="780"/>
      <c r="DM6" s="780"/>
      <c r="DN6" s="780"/>
      <c r="DO6" s="780"/>
      <c r="DP6" s="780"/>
      <c r="DQ6" s="780"/>
      <c r="DR6" s="780"/>
      <c r="DS6" s="780"/>
      <c r="DT6" s="780"/>
      <c r="DU6" s="780"/>
      <c r="DV6" s="780"/>
      <c r="DW6" s="780"/>
      <c r="DX6" s="780"/>
      <c r="DY6" s="780"/>
      <c r="DZ6" s="780"/>
    </row>
    <row r="8" spans="1:130" ht="18" customHeight="1" x14ac:dyDescent="0.25">
      <c r="A8" s="123" t="s">
        <v>3175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</row>
    <row r="9" spans="1:130" ht="18" customHeight="1" x14ac:dyDescent="0.25">
      <c r="A9" s="3980" t="s">
        <v>3176</v>
      </c>
      <c r="B9" s="3981"/>
      <c r="C9" s="101"/>
      <c r="D9" s="507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</row>
    <row r="10" spans="1:130" x14ac:dyDescent="0.25">
      <c r="A10" s="6516" t="s">
        <v>3177</v>
      </c>
      <c r="B10" s="8417" t="s">
        <v>24</v>
      </c>
      <c r="C10" s="6689"/>
      <c r="D10" s="7672"/>
      <c r="E10" s="8406" t="s">
        <v>30</v>
      </c>
      <c r="F10" s="6498"/>
      <c r="G10" s="6498"/>
      <c r="H10" s="6498"/>
      <c r="I10" s="6498"/>
      <c r="J10" s="6498"/>
      <c r="K10" s="6498"/>
      <c r="L10" s="6498"/>
      <c r="M10" s="6498"/>
      <c r="N10" s="6498"/>
      <c r="O10" s="6498"/>
      <c r="P10" s="6498"/>
      <c r="Q10" s="6498"/>
      <c r="R10" s="6498"/>
      <c r="S10" s="6498"/>
      <c r="T10" s="6498"/>
      <c r="U10" s="6498"/>
      <c r="V10" s="6498"/>
      <c r="W10" s="6498"/>
      <c r="X10" s="6498"/>
      <c r="Y10" s="6498"/>
      <c r="Z10" s="6498"/>
      <c r="AA10" s="6498"/>
      <c r="AB10" s="6498"/>
      <c r="AC10" s="6498"/>
      <c r="AD10" s="6498"/>
      <c r="AE10" s="6498"/>
      <c r="AF10" s="6498"/>
      <c r="AG10" s="6498"/>
      <c r="AH10" s="6498"/>
      <c r="AI10" s="6498"/>
      <c r="AJ10" s="6498"/>
      <c r="AK10" s="6498"/>
      <c r="AL10" s="8407"/>
      <c r="AM10" s="8416" t="s">
        <v>466</v>
      </c>
      <c r="AN10" s="6498"/>
      <c r="AO10" s="6498"/>
      <c r="AP10" s="8419"/>
      <c r="AQ10" s="6516" t="s">
        <v>3178</v>
      </c>
      <c r="AR10" s="6516" t="s">
        <v>2</v>
      </c>
      <c r="AS10" s="6516" t="s">
        <v>3</v>
      </c>
    </row>
    <row r="11" spans="1:130" x14ac:dyDescent="0.25">
      <c r="A11" s="7151"/>
      <c r="B11" s="6600"/>
      <c r="C11" s="6471"/>
      <c r="D11" s="6472"/>
      <c r="E11" s="7304" t="s">
        <v>36</v>
      </c>
      <c r="F11" s="7305"/>
      <c r="G11" s="7304" t="s">
        <v>37</v>
      </c>
      <c r="H11" s="7305"/>
      <c r="I11" s="7304" t="s">
        <v>38</v>
      </c>
      <c r="J11" s="7305"/>
      <c r="K11" s="7304" t="s">
        <v>4</v>
      </c>
      <c r="L11" s="7305"/>
      <c r="M11" s="7304" t="s">
        <v>5</v>
      </c>
      <c r="N11" s="7305"/>
      <c r="O11" s="7304" t="s">
        <v>560</v>
      </c>
      <c r="P11" s="7305"/>
      <c r="Q11" s="7304" t="s">
        <v>561</v>
      </c>
      <c r="R11" s="7305"/>
      <c r="S11" s="7304" t="s">
        <v>8</v>
      </c>
      <c r="T11" s="7305"/>
      <c r="U11" s="7304" t="s">
        <v>9</v>
      </c>
      <c r="V11" s="7305"/>
      <c r="W11" s="7304" t="s">
        <v>576</v>
      </c>
      <c r="X11" s="7305"/>
      <c r="Y11" s="7304" t="s">
        <v>11</v>
      </c>
      <c r="Z11" s="7305"/>
      <c r="AA11" s="7304" t="s">
        <v>18</v>
      </c>
      <c r="AB11" s="7305"/>
      <c r="AC11" s="7304" t="s">
        <v>19</v>
      </c>
      <c r="AD11" s="7305"/>
      <c r="AE11" s="7304" t="s">
        <v>20</v>
      </c>
      <c r="AF11" s="7305"/>
      <c r="AG11" s="7304" t="s">
        <v>70</v>
      </c>
      <c r="AH11" s="7305"/>
      <c r="AI11" s="7304" t="s">
        <v>71</v>
      </c>
      <c r="AJ11" s="7305"/>
      <c r="AK11" s="8406" t="s">
        <v>72</v>
      </c>
      <c r="AL11" s="8407"/>
      <c r="AM11" s="6540" t="s">
        <v>3179</v>
      </c>
      <c r="AN11" s="8420" t="s">
        <v>3180</v>
      </c>
      <c r="AO11" s="8422" t="s">
        <v>3181</v>
      </c>
      <c r="AP11" s="6471" t="s">
        <v>3182</v>
      </c>
      <c r="AQ11" s="7151"/>
      <c r="AR11" s="7151"/>
      <c r="AS11" s="7151"/>
    </row>
    <row r="12" spans="1:130" x14ac:dyDescent="0.25">
      <c r="A12" s="8393"/>
      <c r="B12" s="5548" t="s">
        <v>26</v>
      </c>
      <c r="C12" s="5506" t="s">
        <v>22</v>
      </c>
      <c r="D12" s="5503" t="s">
        <v>27</v>
      </c>
      <c r="E12" s="5507" t="s">
        <v>22</v>
      </c>
      <c r="F12" s="5503" t="s">
        <v>27</v>
      </c>
      <c r="G12" s="5507" t="s">
        <v>22</v>
      </c>
      <c r="H12" s="5503" t="s">
        <v>27</v>
      </c>
      <c r="I12" s="5507" t="s">
        <v>22</v>
      </c>
      <c r="J12" s="5503" t="s">
        <v>27</v>
      </c>
      <c r="K12" s="5507" t="s">
        <v>22</v>
      </c>
      <c r="L12" s="5503" t="s">
        <v>27</v>
      </c>
      <c r="M12" s="5507" t="s">
        <v>22</v>
      </c>
      <c r="N12" s="5503" t="s">
        <v>27</v>
      </c>
      <c r="O12" s="5507" t="s">
        <v>22</v>
      </c>
      <c r="P12" s="5503" t="s">
        <v>27</v>
      </c>
      <c r="Q12" s="5507" t="s">
        <v>22</v>
      </c>
      <c r="R12" s="5503" t="s">
        <v>27</v>
      </c>
      <c r="S12" s="5507" t="s">
        <v>22</v>
      </c>
      <c r="T12" s="5503" t="s">
        <v>27</v>
      </c>
      <c r="U12" s="5507" t="s">
        <v>22</v>
      </c>
      <c r="V12" s="5503" t="s">
        <v>27</v>
      </c>
      <c r="W12" s="5507" t="s">
        <v>22</v>
      </c>
      <c r="X12" s="5503" t="s">
        <v>27</v>
      </c>
      <c r="Y12" s="5507" t="s">
        <v>22</v>
      </c>
      <c r="Z12" s="5503" t="s">
        <v>27</v>
      </c>
      <c r="AA12" s="5507" t="s">
        <v>22</v>
      </c>
      <c r="AB12" s="5503" t="s">
        <v>27</v>
      </c>
      <c r="AC12" s="5507" t="s">
        <v>22</v>
      </c>
      <c r="AD12" s="5503" t="s">
        <v>27</v>
      </c>
      <c r="AE12" s="5507" t="s">
        <v>22</v>
      </c>
      <c r="AF12" s="5503" t="s">
        <v>27</v>
      </c>
      <c r="AG12" s="5507" t="s">
        <v>22</v>
      </c>
      <c r="AH12" s="5503" t="s">
        <v>27</v>
      </c>
      <c r="AI12" s="5507" t="s">
        <v>22</v>
      </c>
      <c r="AJ12" s="5503" t="s">
        <v>27</v>
      </c>
      <c r="AK12" s="5507" t="s">
        <v>22</v>
      </c>
      <c r="AL12" s="5571" t="s">
        <v>27</v>
      </c>
      <c r="AM12" s="6542"/>
      <c r="AN12" s="8421"/>
      <c r="AO12" s="8084"/>
      <c r="AP12" s="7700"/>
      <c r="AQ12" s="8393"/>
      <c r="AR12" s="8393"/>
      <c r="AS12" s="8393"/>
    </row>
    <row r="13" spans="1:130" ht="15" customHeight="1" x14ac:dyDescent="0.25">
      <c r="A13" s="5559" t="s">
        <v>25</v>
      </c>
      <c r="B13" s="5570">
        <f t="shared" ref="B13:B24" si="0">SUM(C13:D13)</f>
        <v>0</v>
      </c>
      <c r="C13" s="5556">
        <f t="shared" ref="C13:C24" si="1">SUM(E13,G13,I13,K13,M13,O13,Q13,S13,U13,W13,Y13,AA13,AC13,AE13,AG13,AI13,AK13)</f>
        <v>0</v>
      </c>
      <c r="D13" s="5554">
        <f t="shared" ref="D13:D24" si="2">SUM(F13,H13,J13,L13,N13,P13,R13,T13,V13,X13,Z13,AB13,AD13,AF13,AH13,AJ13,AL13)</f>
        <v>0</v>
      </c>
      <c r="E13" s="5569"/>
      <c r="F13" s="5566"/>
      <c r="G13" s="5569"/>
      <c r="H13" s="5565"/>
      <c r="I13" s="5569"/>
      <c r="J13" s="5565"/>
      <c r="K13" s="5569"/>
      <c r="L13" s="5565"/>
      <c r="M13" s="5569"/>
      <c r="N13" s="5565"/>
      <c r="O13" s="5569"/>
      <c r="P13" s="5565"/>
      <c r="Q13" s="5569"/>
      <c r="R13" s="5565"/>
      <c r="S13" s="5569"/>
      <c r="T13" s="5565"/>
      <c r="U13" s="5569"/>
      <c r="V13" s="5565"/>
      <c r="W13" s="5569"/>
      <c r="X13" s="5565"/>
      <c r="Y13" s="5569"/>
      <c r="Z13" s="5565"/>
      <c r="AA13" s="5569"/>
      <c r="AB13" s="5565"/>
      <c r="AC13" s="5569"/>
      <c r="AD13" s="5565"/>
      <c r="AE13" s="5569"/>
      <c r="AF13" s="5565"/>
      <c r="AG13" s="5569"/>
      <c r="AH13" s="5565"/>
      <c r="AI13" s="5569"/>
      <c r="AJ13" s="5565"/>
      <c r="AK13" s="5569"/>
      <c r="AL13" s="5568"/>
      <c r="AM13" s="6159"/>
      <c r="AN13" s="6160"/>
      <c r="AO13" s="5567"/>
      <c r="AP13" s="5566"/>
      <c r="AQ13" s="5565"/>
      <c r="AR13" s="5565"/>
      <c r="AS13" s="5565"/>
      <c r="AT13" s="1755" t="str">
        <f>CA13&amp;CB13&amp;CC13&amp;CD13</f>
        <v/>
      </c>
      <c r="BY13" s="2718"/>
      <c r="BZ13" s="2718"/>
      <c r="CA13" s="2873" t="str">
        <f>IF(AM13+AN13+AO13+AP13&lt;&gt;$B13,"* El número de "&amp;AM$10&amp;""&amp;" no puede ser distinto del Total. ","")</f>
        <v/>
      </c>
      <c r="CB13" s="2873" t="str">
        <f>IF(AND($B13&lt;&gt;0,AQ13=""),"* No olvide ingresar la variable Personas con discapacidad (con RND). Si no tiene digite CERO.  ",IF(AQ13&gt;$B13,"* La variable Personas con discapacidad (con RND) no puede superar el Total. ",""))</f>
        <v/>
      </c>
      <c r="CC13" s="2873" t="str">
        <f>IF(AND($B13&lt;&gt;0,AR13=""),"* No olvide ingresar la variable Pueblos Originarios (Digite CERO si no tiene). ",IF(AR13&gt;$B13,"* La variable Pueblos Originarios no puede superar el Total. ",""))</f>
        <v/>
      </c>
      <c r="CD13" s="2873" t="str">
        <f>IF(AND($B13&lt;&gt;0,AS13=""),"* No olvide ingresar la variable Migrantes. Si no tiene digite CERO.  ",IF(AS13&gt;$B13,"* La variable Migrantes no puede superar el Total. ",""))</f>
        <v/>
      </c>
      <c r="CE13" s="2718"/>
      <c r="CF13" s="2718"/>
      <c r="CG13" s="1793">
        <f>IF(AM13+AN13+AO13+AP13&lt;&gt;$B13,1,0)</f>
        <v>0</v>
      </c>
      <c r="CH13" s="1791"/>
      <c r="CI13" s="1791"/>
      <c r="CJ13" s="1791"/>
      <c r="CK13" s="1793">
        <f>IF(AND($B13&lt;&gt;0,AQ13=""),1,IF(AQ13&gt;$B13,1,0))</f>
        <v>0</v>
      </c>
      <c r="CL13" s="1793">
        <f t="shared" ref="CK13:CM18" si="3">IF(AND($B13&lt;&gt;0,AR13=""),1,IF(AR13&gt;$B13,1,0))</f>
        <v>0</v>
      </c>
      <c r="CM13" s="1793">
        <f>IF(AND($B13&lt;&gt;0,AS13=""),1,IF(AS13&gt;$B13,1,0))</f>
        <v>0</v>
      </c>
      <c r="DJ13" s="1134"/>
    </row>
    <row r="14" spans="1:130" ht="15" customHeight="1" x14ac:dyDescent="0.25">
      <c r="A14" s="1743" t="s">
        <v>3183</v>
      </c>
      <c r="B14" s="1743">
        <f t="shared" si="0"/>
        <v>0</v>
      </c>
      <c r="C14" s="3351">
        <f t="shared" si="1"/>
        <v>0</v>
      </c>
      <c r="D14" s="4856">
        <f t="shared" si="2"/>
        <v>0</v>
      </c>
      <c r="E14" s="106"/>
      <c r="F14" s="4561"/>
      <c r="G14" s="106"/>
      <c r="H14" s="5238"/>
      <c r="I14" s="106"/>
      <c r="J14" s="5238"/>
      <c r="K14" s="106"/>
      <c r="L14" s="5238"/>
      <c r="M14" s="106"/>
      <c r="N14" s="5238"/>
      <c r="O14" s="106"/>
      <c r="P14" s="5238"/>
      <c r="Q14" s="106"/>
      <c r="R14" s="5238"/>
      <c r="S14" s="106"/>
      <c r="T14" s="5238"/>
      <c r="U14" s="106"/>
      <c r="V14" s="5238"/>
      <c r="W14" s="106"/>
      <c r="X14" s="5238"/>
      <c r="Y14" s="106"/>
      <c r="Z14" s="5238"/>
      <c r="AA14" s="106"/>
      <c r="AB14" s="5238"/>
      <c r="AC14" s="106"/>
      <c r="AD14" s="5238"/>
      <c r="AE14" s="106"/>
      <c r="AF14" s="5238"/>
      <c r="AG14" s="106"/>
      <c r="AH14" s="5238"/>
      <c r="AI14" s="106"/>
      <c r="AJ14" s="5238"/>
      <c r="AK14" s="106"/>
      <c r="AL14" s="5297"/>
      <c r="AM14" s="5524"/>
      <c r="AN14" s="5239"/>
      <c r="AO14" s="5239"/>
      <c r="AP14" s="4561"/>
      <c r="AQ14" s="5238"/>
      <c r="AR14" s="5238"/>
      <c r="AS14" s="5238"/>
      <c r="AT14" s="1755" t="str">
        <f t="shared" ref="AT14:AT18" si="4">CA14&amp;CB14&amp;CC14&amp;CD14</f>
        <v/>
      </c>
      <c r="BY14" s="2718"/>
      <c r="BZ14" s="2718"/>
      <c r="CA14" s="2873" t="str">
        <f t="shared" ref="CA14:CA18" si="5">IF(AM14+AN14+AO14+AP14&lt;&gt;$B14,"* El número de "&amp;AM$10&amp;""&amp;" no puede ser distinto del Total. ","")</f>
        <v/>
      </c>
      <c r="CB14" s="2873" t="str">
        <f t="shared" ref="CB14:CB24" si="6">IF(AND($B14&lt;&gt;0,AQ14=""),"* No olvide ingresar la variable Personas con discapacidad (con RND). Si no tiene digite CERO.  ",IF(AQ14&gt;$B14,"* La variable Personas con discapacidad (con RND) no puede superar el Total. ",""))</f>
        <v/>
      </c>
      <c r="CC14" s="2873" t="str">
        <f t="shared" ref="CC14:CC24" si="7">IF(AND($B14&lt;&gt;0,AR14=""),"* No olvide ingresar la variable Pueblos Originarios (Digite CERO si no tiene). ",IF(AR14&gt;$B14,"* La variable Pueblos Originarios no puede superar el Total. ",""))</f>
        <v/>
      </c>
      <c r="CD14" s="2873" t="str">
        <f t="shared" ref="CD14:CD24" si="8">IF(AND($B14&lt;&gt;0,AS14=""),"* No olvide ingresar la variable Migrantes. Si no tiene digite CERO.  ",IF(AS14&gt;$B14,"* La variable Migrantes no puede superar el Total. ",""))</f>
        <v/>
      </c>
      <c r="CE14" s="2718"/>
      <c r="CF14" s="2718"/>
      <c r="CG14" s="1793">
        <f t="shared" ref="CG14:CG24" si="9">IF(AM14+AN14+AO14+AP14&lt;&gt;$B14,1,0)</f>
        <v>0</v>
      </c>
      <c r="CH14" s="1791"/>
      <c r="CI14" s="1791"/>
      <c r="CJ14" s="1791"/>
      <c r="CK14" s="1793">
        <f t="shared" si="3"/>
        <v>0</v>
      </c>
      <c r="CL14" s="1793">
        <f t="shared" si="3"/>
        <v>0</v>
      </c>
      <c r="CM14" s="1793">
        <f t="shared" si="3"/>
        <v>0</v>
      </c>
    </row>
    <row r="15" spans="1:130" ht="19.5" customHeight="1" x14ac:dyDescent="0.25">
      <c r="A15" s="3603" t="s">
        <v>3184</v>
      </c>
      <c r="B15" s="3603">
        <f t="shared" si="0"/>
        <v>0</v>
      </c>
      <c r="C15" s="4705">
        <f t="shared" si="1"/>
        <v>0</v>
      </c>
      <c r="D15" s="3280">
        <f t="shared" si="2"/>
        <v>0</v>
      </c>
      <c r="E15" s="1087"/>
      <c r="F15" s="3142"/>
      <c r="G15" s="1087"/>
      <c r="H15" s="1088"/>
      <c r="I15" s="1087"/>
      <c r="J15" s="1088"/>
      <c r="K15" s="1087"/>
      <c r="L15" s="1088"/>
      <c r="M15" s="106"/>
      <c r="N15" s="5238"/>
      <c r="O15" s="106"/>
      <c r="P15" s="5238"/>
      <c r="Q15" s="1089"/>
      <c r="R15" s="1077"/>
      <c r="S15" s="1089"/>
      <c r="T15" s="1077"/>
      <c r="U15" s="1089"/>
      <c r="V15" s="1077"/>
      <c r="W15" s="1089"/>
      <c r="X15" s="1077"/>
      <c r="Y15" s="1089"/>
      <c r="Z15" s="1077"/>
      <c r="AA15" s="1089"/>
      <c r="AB15" s="1077"/>
      <c r="AC15" s="1089"/>
      <c r="AD15" s="1077"/>
      <c r="AE15" s="1089"/>
      <c r="AF15" s="1077"/>
      <c r="AG15" s="1089"/>
      <c r="AH15" s="1077"/>
      <c r="AI15" s="1089"/>
      <c r="AJ15" s="1077"/>
      <c r="AK15" s="1089"/>
      <c r="AL15" s="1078"/>
      <c r="AM15" s="933"/>
      <c r="AN15" s="621"/>
      <c r="AO15" s="1090"/>
      <c r="AP15" s="3166"/>
      <c r="AQ15" s="1077"/>
      <c r="AR15" s="1077"/>
      <c r="AS15" s="1077"/>
      <c r="AT15" s="1755" t="str">
        <f>CA15&amp;CB15&amp;CC15&amp;CD15</f>
        <v/>
      </c>
      <c r="BY15" s="2718"/>
      <c r="BZ15" s="2718"/>
      <c r="CA15" s="2873" t="str">
        <f t="shared" si="5"/>
        <v/>
      </c>
      <c r="CB15" s="2873" t="str">
        <f t="shared" si="6"/>
        <v/>
      </c>
      <c r="CC15" s="2873" t="str">
        <f t="shared" si="7"/>
        <v/>
      </c>
      <c r="CD15" s="2873" t="str">
        <f t="shared" si="8"/>
        <v/>
      </c>
      <c r="CE15" s="2718"/>
      <c r="CF15" s="2718"/>
      <c r="CG15" s="1793">
        <f t="shared" si="9"/>
        <v>0</v>
      </c>
      <c r="CH15" s="1791"/>
      <c r="CI15" s="1791"/>
      <c r="CJ15" s="1791"/>
      <c r="CK15" s="1793">
        <f t="shared" si="3"/>
        <v>0</v>
      </c>
      <c r="CL15" s="1793">
        <f t="shared" si="3"/>
        <v>0</v>
      </c>
      <c r="CM15" s="1793">
        <f t="shared" si="3"/>
        <v>0</v>
      </c>
    </row>
    <row r="16" spans="1:130" ht="15" customHeight="1" x14ac:dyDescent="0.25">
      <c r="A16" s="3982" t="s">
        <v>3185</v>
      </c>
      <c r="B16" s="3982">
        <f t="shared" si="0"/>
        <v>0</v>
      </c>
      <c r="C16" s="4706">
        <f t="shared" si="1"/>
        <v>0</v>
      </c>
      <c r="D16" s="5564">
        <f t="shared" si="2"/>
        <v>0</v>
      </c>
      <c r="E16" s="1089"/>
      <c r="F16" s="3166"/>
      <c r="G16" s="1089"/>
      <c r="H16" s="1077"/>
      <c r="I16" s="1089"/>
      <c r="J16" s="1077"/>
      <c r="K16" s="1089"/>
      <c r="L16" s="1077"/>
      <c r="M16" s="1089"/>
      <c r="N16" s="1077"/>
      <c r="O16" s="1089"/>
      <c r="P16" s="1077"/>
      <c r="Q16" s="1089"/>
      <c r="R16" s="1077"/>
      <c r="S16" s="1089"/>
      <c r="T16" s="1077"/>
      <c r="U16" s="1089"/>
      <c r="V16" s="1077"/>
      <c r="W16" s="1089"/>
      <c r="X16" s="1077"/>
      <c r="Y16" s="1089"/>
      <c r="Z16" s="1077"/>
      <c r="AA16" s="1089"/>
      <c r="AB16" s="1077"/>
      <c r="AC16" s="1089"/>
      <c r="AD16" s="1077"/>
      <c r="AE16" s="1089"/>
      <c r="AF16" s="1077"/>
      <c r="AG16" s="1089"/>
      <c r="AH16" s="1077"/>
      <c r="AI16" s="1089"/>
      <c r="AJ16" s="1077"/>
      <c r="AK16" s="1089"/>
      <c r="AL16" s="1078"/>
      <c r="AM16" s="933"/>
      <c r="AN16" s="621"/>
      <c r="AO16" s="1090"/>
      <c r="AP16" s="3166"/>
      <c r="AQ16" s="1077"/>
      <c r="AR16" s="1077"/>
      <c r="AS16" s="1077"/>
      <c r="AT16" s="1755" t="str">
        <f t="shared" si="4"/>
        <v/>
      </c>
      <c r="BY16" s="2718"/>
      <c r="BZ16" s="2718"/>
      <c r="CA16" s="2873" t="str">
        <f t="shared" si="5"/>
        <v/>
      </c>
      <c r="CB16" s="2873" t="str">
        <f t="shared" si="6"/>
        <v/>
      </c>
      <c r="CC16" s="2873" t="str">
        <f t="shared" si="7"/>
        <v/>
      </c>
      <c r="CD16" s="2873" t="str">
        <f t="shared" si="8"/>
        <v/>
      </c>
      <c r="CE16" s="2718"/>
      <c r="CF16" s="2718"/>
      <c r="CG16" s="1793">
        <f t="shared" si="9"/>
        <v>0</v>
      </c>
      <c r="CH16" s="1791"/>
      <c r="CI16" s="1791"/>
      <c r="CJ16" s="1791"/>
      <c r="CK16" s="1793">
        <f t="shared" si="3"/>
        <v>0</v>
      </c>
      <c r="CL16" s="1793">
        <f t="shared" si="3"/>
        <v>0</v>
      </c>
      <c r="CM16" s="1793">
        <f t="shared" si="3"/>
        <v>0</v>
      </c>
    </row>
    <row r="17" spans="1:113" ht="15" customHeight="1" x14ac:dyDescent="0.25">
      <c r="A17" s="3603" t="s">
        <v>943</v>
      </c>
      <c r="B17" s="4710">
        <f t="shared" si="0"/>
        <v>0</v>
      </c>
      <c r="C17" s="4707">
        <f t="shared" si="1"/>
        <v>0</v>
      </c>
      <c r="D17" s="5564">
        <f t="shared" si="2"/>
        <v>0</v>
      </c>
      <c r="E17" s="131"/>
      <c r="F17" s="1077"/>
      <c r="G17" s="1089"/>
      <c r="H17" s="1077"/>
      <c r="I17" s="1089"/>
      <c r="J17" s="1077"/>
      <c r="K17" s="1089"/>
      <c r="L17" s="1077"/>
      <c r="M17" s="1089"/>
      <c r="N17" s="1077"/>
      <c r="O17" s="1089"/>
      <c r="P17" s="1077"/>
      <c r="Q17" s="1089"/>
      <c r="R17" s="1077"/>
      <c r="S17" s="1089"/>
      <c r="T17" s="1077"/>
      <c r="U17" s="1089"/>
      <c r="V17" s="1077"/>
      <c r="W17" s="1089"/>
      <c r="X17" s="1077"/>
      <c r="Y17" s="1089"/>
      <c r="Z17" s="1077"/>
      <c r="AA17" s="1089"/>
      <c r="AB17" s="1077"/>
      <c r="AC17" s="1089"/>
      <c r="AD17" s="1077"/>
      <c r="AE17" s="1089"/>
      <c r="AF17" s="1077"/>
      <c r="AG17" s="1089"/>
      <c r="AH17" s="1077"/>
      <c r="AI17" s="1089"/>
      <c r="AJ17" s="1077"/>
      <c r="AK17" s="1089"/>
      <c r="AL17" s="1078"/>
      <c r="AM17" s="2922"/>
      <c r="AN17" s="621"/>
      <c r="AO17" s="1090"/>
      <c r="AP17" s="3166"/>
      <c r="AQ17" s="158"/>
      <c r="AR17" s="158"/>
      <c r="AS17" s="158"/>
      <c r="AT17" s="1755" t="str">
        <f t="shared" si="4"/>
        <v/>
      </c>
      <c r="BY17" s="2718"/>
      <c r="BZ17" s="2718"/>
      <c r="CA17" s="2873" t="str">
        <f>IF(AM17+AN17+AO17+AP17&lt;&gt;$B17,"* El número de "&amp;AM$10&amp;""&amp;" no puede ser distinto del Total. ","")</f>
        <v/>
      </c>
      <c r="CB17" s="2873" t="str">
        <f t="shared" si="6"/>
        <v/>
      </c>
      <c r="CC17" s="2873" t="str">
        <f t="shared" si="7"/>
        <v/>
      </c>
      <c r="CD17" s="2873" t="str">
        <f t="shared" si="8"/>
        <v/>
      </c>
      <c r="CE17" s="2718"/>
      <c r="CF17" s="2718"/>
      <c r="CG17" s="1793">
        <f t="shared" si="9"/>
        <v>0</v>
      </c>
      <c r="CH17" s="1791"/>
      <c r="CI17" s="1791"/>
      <c r="CJ17" s="1791"/>
      <c r="CK17" s="1793">
        <f t="shared" si="3"/>
        <v>0</v>
      </c>
      <c r="CL17" s="1793">
        <f t="shared" si="3"/>
        <v>0</v>
      </c>
      <c r="CM17" s="1793">
        <f t="shared" si="3"/>
        <v>0</v>
      </c>
    </row>
    <row r="18" spans="1:113" ht="15" customHeight="1" x14ac:dyDescent="0.25">
      <c r="A18" s="3603" t="s">
        <v>3186</v>
      </c>
      <c r="B18" s="4711">
        <f t="shared" si="0"/>
        <v>0</v>
      </c>
      <c r="C18" s="5563">
        <f t="shared" si="1"/>
        <v>0</v>
      </c>
      <c r="D18" s="777">
        <f t="shared" si="2"/>
        <v>0</v>
      </c>
      <c r="E18" s="3108"/>
      <c r="F18" s="5562"/>
      <c r="G18" s="5561"/>
      <c r="H18" s="5560"/>
      <c r="I18" s="5561"/>
      <c r="J18" s="5560"/>
      <c r="K18" s="1089"/>
      <c r="L18" s="1077"/>
      <c r="M18" s="1089"/>
      <c r="N18" s="1077"/>
      <c r="O18" s="5281"/>
      <c r="P18" s="4948"/>
      <c r="Q18" s="5281"/>
      <c r="R18" s="4948"/>
      <c r="S18" s="5281"/>
      <c r="T18" s="4948"/>
      <c r="U18" s="5281"/>
      <c r="V18" s="4948"/>
      <c r="W18" s="5281"/>
      <c r="X18" s="4948"/>
      <c r="Y18" s="5281"/>
      <c r="Z18" s="4948"/>
      <c r="AA18" s="5281"/>
      <c r="AB18" s="4948"/>
      <c r="AC18" s="5281"/>
      <c r="AD18" s="4948"/>
      <c r="AE18" s="5281"/>
      <c r="AF18" s="4948"/>
      <c r="AG18" s="5281"/>
      <c r="AH18" s="4948"/>
      <c r="AI18" s="5281"/>
      <c r="AJ18" s="4948"/>
      <c r="AK18" s="5281"/>
      <c r="AL18" s="2500"/>
      <c r="AM18" s="563"/>
      <c r="AN18" s="5619"/>
      <c r="AO18" s="2499"/>
      <c r="AP18" s="117"/>
      <c r="AQ18" s="153"/>
      <c r="AR18" s="153"/>
      <c r="AS18" s="153"/>
      <c r="AT18" s="1755" t="str">
        <f t="shared" si="4"/>
        <v/>
      </c>
      <c r="BY18" s="2718"/>
      <c r="BZ18" s="2718"/>
      <c r="CA18" s="2873" t="str">
        <f t="shared" si="5"/>
        <v/>
      </c>
      <c r="CB18" s="2873" t="str">
        <f t="shared" si="6"/>
        <v/>
      </c>
      <c r="CC18" s="2873" t="str">
        <f t="shared" si="7"/>
        <v/>
      </c>
      <c r="CD18" s="2873" t="str">
        <f t="shared" si="8"/>
        <v/>
      </c>
      <c r="CE18" s="2718"/>
      <c r="CF18" s="2718"/>
      <c r="CG18" s="1793">
        <f t="shared" si="9"/>
        <v>0</v>
      </c>
      <c r="CH18" s="1791"/>
      <c r="CI18" s="1791"/>
      <c r="CJ18" s="1791"/>
      <c r="CK18" s="1793">
        <f t="shared" si="3"/>
        <v>0</v>
      </c>
      <c r="CL18" s="1793">
        <f t="shared" si="3"/>
        <v>0</v>
      </c>
      <c r="CM18" s="1793">
        <f t="shared" si="3"/>
        <v>0</v>
      </c>
    </row>
    <row r="19" spans="1:113" ht="15" customHeight="1" x14ac:dyDescent="0.25">
      <c r="A19" s="5559" t="s">
        <v>31</v>
      </c>
      <c r="B19" s="4711">
        <f t="shared" si="0"/>
        <v>0</v>
      </c>
      <c r="C19" s="4708">
        <f t="shared" si="1"/>
        <v>0</v>
      </c>
      <c r="D19" s="5554">
        <f t="shared" si="2"/>
        <v>0</v>
      </c>
      <c r="E19" s="5558">
        <f t="shared" ref="E19:AS19" si="10">SUM(E20:E24)</f>
        <v>0</v>
      </c>
      <c r="F19" s="5554">
        <f t="shared" si="10"/>
        <v>0</v>
      </c>
      <c r="G19" s="5558">
        <f t="shared" si="10"/>
        <v>0</v>
      </c>
      <c r="H19" s="5553">
        <f t="shared" si="10"/>
        <v>0</v>
      </c>
      <c r="I19" s="5558">
        <f t="shared" si="10"/>
        <v>0</v>
      </c>
      <c r="J19" s="5553">
        <f t="shared" si="10"/>
        <v>0</v>
      </c>
      <c r="K19" s="5558">
        <f t="shared" si="10"/>
        <v>0</v>
      </c>
      <c r="L19" s="5553">
        <f t="shared" si="10"/>
        <v>0</v>
      </c>
      <c r="M19" s="5558">
        <f t="shared" si="10"/>
        <v>0</v>
      </c>
      <c r="N19" s="5553">
        <f t="shared" si="10"/>
        <v>0</v>
      </c>
      <c r="O19" s="5558">
        <f t="shared" si="10"/>
        <v>0</v>
      </c>
      <c r="P19" s="5553">
        <f t="shared" si="10"/>
        <v>0</v>
      </c>
      <c r="Q19" s="5558">
        <f t="shared" si="10"/>
        <v>0</v>
      </c>
      <c r="R19" s="5553">
        <f t="shared" si="10"/>
        <v>0</v>
      </c>
      <c r="S19" s="5558">
        <f t="shared" si="10"/>
        <v>0</v>
      </c>
      <c r="T19" s="5553">
        <f t="shared" si="10"/>
        <v>0</v>
      </c>
      <c r="U19" s="5558">
        <f t="shared" si="10"/>
        <v>0</v>
      </c>
      <c r="V19" s="5553">
        <f t="shared" si="10"/>
        <v>0</v>
      </c>
      <c r="W19" s="5558">
        <f t="shared" si="10"/>
        <v>0</v>
      </c>
      <c r="X19" s="5553">
        <f t="shared" si="10"/>
        <v>0</v>
      </c>
      <c r="Y19" s="5558">
        <f t="shared" si="10"/>
        <v>0</v>
      </c>
      <c r="Z19" s="5553">
        <f t="shared" si="10"/>
        <v>0</v>
      </c>
      <c r="AA19" s="5558">
        <f t="shared" si="10"/>
        <v>0</v>
      </c>
      <c r="AB19" s="5553">
        <f t="shared" si="10"/>
        <v>0</v>
      </c>
      <c r="AC19" s="5558">
        <f t="shared" si="10"/>
        <v>0</v>
      </c>
      <c r="AD19" s="5553">
        <f t="shared" si="10"/>
        <v>0</v>
      </c>
      <c r="AE19" s="5558">
        <f t="shared" si="10"/>
        <v>0</v>
      </c>
      <c r="AF19" s="5553">
        <f t="shared" si="10"/>
        <v>0</v>
      </c>
      <c r="AG19" s="5558">
        <f t="shared" si="10"/>
        <v>0</v>
      </c>
      <c r="AH19" s="5553">
        <f t="shared" si="10"/>
        <v>0</v>
      </c>
      <c r="AI19" s="5558">
        <f t="shared" si="10"/>
        <v>0</v>
      </c>
      <c r="AJ19" s="5553">
        <f t="shared" si="10"/>
        <v>0</v>
      </c>
      <c r="AK19" s="5558">
        <f t="shared" si="10"/>
        <v>0</v>
      </c>
      <c r="AL19" s="5557">
        <f t="shared" si="10"/>
        <v>0</v>
      </c>
      <c r="AM19" s="6161">
        <f t="shared" si="10"/>
        <v>0</v>
      </c>
      <c r="AN19" s="6162">
        <f t="shared" si="10"/>
        <v>0</v>
      </c>
      <c r="AO19" s="5555">
        <f t="shared" si="10"/>
        <v>0</v>
      </c>
      <c r="AP19" s="5554">
        <f t="shared" si="10"/>
        <v>0</v>
      </c>
      <c r="AQ19" s="5553">
        <f t="shared" si="10"/>
        <v>0</v>
      </c>
      <c r="AR19" s="5553">
        <f t="shared" si="10"/>
        <v>0</v>
      </c>
      <c r="AS19" s="5553">
        <f t="shared" si="10"/>
        <v>0</v>
      </c>
      <c r="AT19" s="3984"/>
      <c r="BY19" s="2718"/>
      <c r="BZ19" s="2718"/>
      <c r="CA19" s="2718"/>
      <c r="CB19" s="2718"/>
      <c r="CC19" s="2718"/>
      <c r="CD19" s="2718"/>
      <c r="CE19" s="2718"/>
      <c r="CF19" s="2718"/>
      <c r="CG19"/>
      <c r="CH19" s="1791"/>
      <c r="CI19" s="1791"/>
      <c r="CJ19" s="1791"/>
      <c r="CK19"/>
      <c r="CL19"/>
      <c r="CM19"/>
    </row>
    <row r="20" spans="1:113" ht="15" customHeight="1" x14ac:dyDescent="0.25">
      <c r="A20" s="5552" t="s">
        <v>3187</v>
      </c>
      <c r="B20" s="4710">
        <f t="shared" si="0"/>
        <v>0</v>
      </c>
      <c r="C20" s="4706">
        <f t="shared" si="1"/>
        <v>0</v>
      </c>
      <c r="D20" s="5551">
        <f t="shared" si="2"/>
        <v>0</v>
      </c>
      <c r="E20" s="90"/>
      <c r="F20" s="91"/>
      <c r="G20" s="90"/>
      <c r="H20" s="92"/>
      <c r="I20" s="90"/>
      <c r="J20" s="92"/>
      <c r="K20" s="90"/>
      <c r="L20" s="92"/>
      <c r="M20" s="90"/>
      <c r="N20" s="92"/>
      <c r="O20" s="90"/>
      <c r="P20" s="92"/>
      <c r="Q20" s="90"/>
      <c r="R20" s="92"/>
      <c r="S20" s="90"/>
      <c r="T20" s="92"/>
      <c r="U20" s="90"/>
      <c r="V20" s="92"/>
      <c r="W20" s="90"/>
      <c r="X20" s="92"/>
      <c r="Y20" s="90"/>
      <c r="Z20" s="92"/>
      <c r="AA20" s="90"/>
      <c r="AB20" s="92"/>
      <c r="AC20" s="90"/>
      <c r="AD20" s="92"/>
      <c r="AE20" s="90"/>
      <c r="AF20" s="92"/>
      <c r="AG20" s="90"/>
      <c r="AH20" s="92"/>
      <c r="AI20" s="90"/>
      <c r="AJ20" s="92"/>
      <c r="AK20" s="90"/>
      <c r="AL20" s="94"/>
      <c r="AM20" s="5631"/>
      <c r="AN20" s="127"/>
      <c r="AO20" s="127"/>
      <c r="AP20" s="91"/>
      <c r="AQ20" s="5550"/>
      <c r="AR20" s="5550"/>
      <c r="AS20" s="5550"/>
      <c r="AT20" s="1755" t="str">
        <f>CA20&amp;CB20&amp;CC20&amp;CD20</f>
        <v/>
      </c>
      <c r="BY20" s="2718"/>
      <c r="BZ20" s="2718"/>
      <c r="CA20" s="2873" t="str">
        <f t="shared" ref="CA20:CA24" si="11">IF(AM20+AN20+AO20+AP20&lt;&gt;$B20,"* El número de "&amp;AM$10&amp;""&amp;" no puede ser distinto del Total. ","")</f>
        <v/>
      </c>
      <c r="CB20" s="2873" t="str">
        <f t="shared" si="6"/>
        <v/>
      </c>
      <c r="CC20" s="2873" t="str">
        <f t="shared" si="7"/>
        <v/>
      </c>
      <c r="CD20" s="2873" t="str">
        <f t="shared" si="8"/>
        <v/>
      </c>
      <c r="CE20" s="2718"/>
      <c r="CF20" s="2718"/>
      <c r="CG20" s="1793">
        <f t="shared" si="9"/>
        <v>0</v>
      </c>
      <c r="CH20" s="1791"/>
      <c r="CI20" s="1791"/>
      <c r="CJ20" s="1791"/>
      <c r="CK20" s="1793">
        <f t="shared" ref="CK20:CM24" si="12">IF(AND($B20&lt;&gt;0,AQ20=""),1,IF(AQ20&gt;$B20,1,0))</f>
        <v>0</v>
      </c>
      <c r="CL20" s="1793">
        <f t="shared" si="12"/>
        <v>0</v>
      </c>
      <c r="CM20" s="1793">
        <f t="shared" si="12"/>
        <v>0</v>
      </c>
    </row>
    <row r="21" spans="1:113" ht="15" customHeight="1" x14ac:dyDescent="0.25">
      <c r="A21" s="3603" t="s">
        <v>729</v>
      </c>
      <c r="B21" s="3982">
        <f t="shared" si="0"/>
        <v>0</v>
      </c>
      <c r="C21" s="4707">
        <f t="shared" si="1"/>
        <v>0</v>
      </c>
      <c r="D21" s="3280">
        <f t="shared" si="2"/>
        <v>0</v>
      </c>
      <c r="E21" s="1089"/>
      <c r="F21" s="3166"/>
      <c r="G21" s="1089"/>
      <c r="H21" s="1077"/>
      <c r="I21" s="1089"/>
      <c r="J21" s="1077"/>
      <c r="K21" s="1089"/>
      <c r="L21" s="1077"/>
      <c r="M21" s="1089"/>
      <c r="N21" s="1077"/>
      <c r="O21" s="1089"/>
      <c r="P21" s="1077"/>
      <c r="Q21" s="1089"/>
      <c r="R21" s="1077"/>
      <c r="S21" s="1089"/>
      <c r="T21" s="1077"/>
      <c r="U21" s="1089"/>
      <c r="V21" s="1077"/>
      <c r="W21" s="1089"/>
      <c r="X21" s="1077"/>
      <c r="Y21" s="1089"/>
      <c r="Z21" s="1077"/>
      <c r="AA21" s="1089"/>
      <c r="AB21" s="1077"/>
      <c r="AC21" s="1089"/>
      <c r="AD21" s="1077"/>
      <c r="AE21" s="1089"/>
      <c r="AF21" s="1077"/>
      <c r="AG21" s="1089"/>
      <c r="AH21" s="1077"/>
      <c r="AI21" s="1089"/>
      <c r="AJ21" s="1077"/>
      <c r="AK21" s="1089"/>
      <c r="AL21" s="1078"/>
      <c r="AM21" s="933"/>
      <c r="AN21" s="621"/>
      <c r="AO21" s="1090"/>
      <c r="AP21" s="3166"/>
      <c r="AQ21" s="3234"/>
      <c r="AR21" s="3234"/>
      <c r="AS21" s="3234"/>
      <c r="AT21" s="1755" t="str">
        <f>CA21&amp;CB21&amp;CC21&amp;CD21</f>
        <v/>
      </c>
      <c r="BY21" s="2718"/>
      <c r="BZ21" s="2718"/>
      <c r="CA21" s="2873" t="str">
        <f t="shared" si="11"/>
        <v/>
      </c>
      <c r="CB21" s="2873" t="str">
        <f t="shared" si="6"/>
        <v/>
      </c>
      <c r="CC21" s="2873" t="str">
        <f t="shared" si="7"/>
        <v/>
      </c>
      <c r="CD21" s="2873" t="str">
        <f t="shared" si="8"/>
        <v/>
      </c>
      <c r="CE21" s="2718"/>
      <c r="CF21" s="2718"/>
      <c r="CG21" s="1793">
        <f t="shared" si="9"/>
        <v>0</v>
      </c>
      <c r="CH21" s="1791"/>
      <c r="CI21" s="1791"/>
      <c r="CJ21" s="1791"/>
      <c r="CK21" s="1793">
        <f t="shared" si="12"/>
        <v>0</v>
      </c>
      <c r="CL21" s="1793">
        <f t="shared" si="12"/>
        <v>0</v>
      </c>
      <c r="CM21" s="1793">
        <f t="shared" si="12"/>
        <v>0</v>
      </c>
    </row>
    <row r="22" spans="1:113" ht="15" customHeight="1" x14ac:dyDescent="0.25">
      <c r="A22" s="3985" t="s">
        <v>3188</v>
      </c>
      <c r="B22" s="4712">
        <f t="shared" si="0"/>
        <v>0</v>
      </c>
      <c r="C22" s="4709">
        <f t="shared" si="1"/>
        <v>0</v>
      </c>
      <c r="D22" s="1745">
        <f t="shared" si="2"/>
        <v>0</v>
      </c>
      <c r="E22" s="131"/>
      <c r="F22" s="878"/>
      <c r="G22" s="131"/>
      <c r="H22" s="1429"/>
      <c r="I22" s="131"/>
      <c r="J22" s="1429"/>
      <c r="K22" s="131"/>
      <c r="L22" s="1429"/>
      <c r="M22" s="131"/>
      <c r="N22" s="1429"/>
      <c r="O22" s="131"/>
      <c r="P22" s="1429"/>
      <c r="Q22" s="131"/>
      <c r="R22" s="1429"/>
      <c r="S22" s="131"/>
      <c r="T22" s="1429"/>
      <c r="U22" s="131"/>
      <c r="V22" s="1429"/>
      <c r="W22" s="131"/>
      <c r="X22" s="1429"/>
      <c r="Y22" s="131"/>
      <c r="Z22" s="1429"/>
      <c r="AA22" s="131"/>
      <c r="AB22" s="1429"/>
      <c r="AC22" s="131"/>
      <c r="AD22" s="1429"/>
      <c r="AE22" s="131"/>
      <c r="AF22" s="1429"/>
      <c r="AG22" s="131"/>
      <c r="AH22" s="1429"/>
      <c r="AI22" s="131"/>
      <c r="AJ22" s="1429"/>
      <c r="AK22" s="131"/>
      <c r="AL22" s="3175"/>
      <c r="AM22" s="3868"/>
      <c r="AN22" s="5614"/>
      <c r="AO22" s="132"/>
      <c r="AP22" s="878"/>
      <c r="AQ22" s="3867"/>
      <c r="AR22" s="3867"/>
      <c r="AS22" s="3867"/>
      <c r="AT22" s="1755" t="str">
        <f>CA22&amp;CB22&amp;CC22&amp;CD22</f>
        <v/>
      </c>
      <c r="BY22" s="2718"/>
      <c r="BZ22" s="2718"/>
      <c r="CA22" s="2873" t="str">
        <f t="shared" si="11"/>
        <v/>
      </c>
      <c r="CB22" s="2873" t="str">
        <f t="shared" si="6"/>
        <v/>
      </c>
      <c r="CC22" s="2873" t="str">
        <f t="shared" si="7"/>
        <v/>
      </c>
      <c r="CD22" s="2873" t="str">
        <f t="shared" si="8"/>
        <v/>
      </c>
      <c r="CE22" s="2718"/>
      <c r="CF22" s="2718"/>
      <c r="CG22" s="1793">
        <f t="shared" si="9"/>
        <v>0</v>
      </c>
      <c r="CH22" s="1791"/>
      <c r="CI22" s="1791"/>
      <c r="CJ22" s="1791"/>
      <c r="CK22" s="1793">
        <f t="shared" si="12"/>
        <v>0</v>
      </c>
      <c r="CL22" s="1793">
        <f t="shared" si="12"/>
        <v>0</v>
      </c>
      <c r="CM22" s="1793">
        <f t="shared" si="12"/>
        <v>0</v>
      </c>
    </row>
    <row r="23" spans="1:113" ht="15" customHeight="1" x14ac:dyDescent="0.25">
      <c r="A23" s="5549" t="s">
        <v>3189</v>
      </c>
      <c r="B23" s="3982">
        <f t="shared" si="0"/>
        <v>0</v>
      </c>
      <c r="C23" s="4707">
        <f t="shared" si="1"/>
        <v>0</v>
      </c>
      <c r="D23" s="3280">
        <f t="shared" si="2"/>
        <v>0</v>
      </c>
      <c r="E23" s="1089"/>
      <c r="F23" s="3166"/>
      <c r="G23" s="1089"/>
      <c r="H23" s="1077"/>
      <c r="I23" s="1089"/>
      <c r="J23" s="1077"/>
      <c r="K23" s="1089"/>
      <c r="L23" s="1077"/>
      <c r="M23" s="1089"/>
      <c r="N23" s="1077"/>
      <c r="O23" s="1089"/>
      <c r="P23" s="1077"/>
      <c r="Q23" s="1089"/>
      <c r="R23" s="1077"/>
      <c r="S23" s="1089"/>
      <c r="T23" s="1077"/>
      <c r="U23" s="1089"/>
      <c r="V23" s="1077"/>
      <c r="W23" s="1089"/>
      <c r="X23" s="1077"/>
      <c r="Y23" s="1089"/>
      <c r="Z23" s="1077"/>
      <c r="AA23" s="1089"/>
      <c r="AB23" s="1077"/>
      <c r="AC23" s="1089"/>
      <c r="AD23" s="1077"/>
      <c r="AE23" s="1089"/>
      <c r="AF23" s="1077"/>
      <c r="AG23" s="1089"/>
      <c r="AH23" s="1077"/>
      <c r="AI23" s="1089"/>
      <c r="AJ23" s="1077"/>
      <c r="AK23" s="1089"/>
      <c r="AL23" s="1078"/>
      <c r="AM23" s="933"/>
      <c r="AN23" s="621"/>
      <c r="AO23" s="1090"/>
      <c r="AP23" s="3166"/>
      <c r="AQ23" s="3234"/>
      <c r="AR23" s="3234"/>
      <c r="AS23" s="3234"/>
      <c r="AT23" s="1755" t="str">
        <f>CA23&amp;CB23&amp;CC23&amp;CD23</f>
        <v/>
      </c>
      <c r="BY23" s="2718"/>
      <c r="BZ23" s="2718"/>
      <c r="CA23" s="2873" t="str">
        <f t="shared" si="11"/>
        <v/>
      </c>
      <c r="CB23" s="2873" t="str">
        <f t="shared" si="6"/>
        <v/>
      </c>
      <c r="CC23" s="2873" t="str">
        <f t="shared" si="7"/>
        <v/>
      </c>
      <c r="CD23" s="2873" t="str">
        <f t="shared" si="8"/>
        <v/>
      </c>
      <c r="CE23" s="2718"/>
      <c r="CF23" s="2718"/>
      <c r="CG23" s="1793">
        <f t="shared" si="9"/>
        <v>0</v>
      </c>
      <c r="CH23" s="1791"/>
      <c r="CI23" s="1791"/>
      <c r="CJ23" s="1791"/>
      <c r="CK23" s="1793">
        <f t="shared" si="12"/>
        <v>0</v>
      </c>
      <c r="CL23" s="1793">
        <f t="shared" si="12"/>
        <v>0</v>
      </c>
      <c r="CM23" s="1793">
        <f t="shared" si="12"/>
        <v>0</v>
      </c>
    </row>
    <row r="24" spans="1:113" ht="15" customHeight="1" x14ac:dyDescent="0.25">
      <c r="A24" s="587" t="s">
        <v>3190</v>
      </c>
      <c r="B24" s="4711">
        <f t="shared" si="0"/>
        <v>0</v>
      </c>
      <c r="C24" s="4708">
        <f t="shared" si="1"/>
        <v>0</v>
      </c>
      <c r="D24" s="5276">
        <f t="shared" si="2"/>
        <v>0</v>
      </c>
      <c r="E24" s="5281"/>
      <c r="F24" s="5282"/>
      <c r="G24" s="5281"/>
      <c r="H24" s="4948"/>
      <c r="I24" s="5281"/>
      <c r="J24" s="4948"/>
      <c r="K24" s="5281"/>
      <c r="L24" s="4948"/>
      <c r="M24" s="5281"/>
      <c r="N24" s="4948"/>
      <c r="O24" s="5281"/>
      <c r="P24" s="4948"/>
      <c r="Q24" s="5281"/>
      <c r="R24" s="4948"/>
      <c r="S24" s="5281"/>
      <c r="T24" s="4948"/>
      <c r="U24" s="5281"/>
      <c r="V24" s="4948"/>
      <c r="W24" s="5281"/>
      <c r="X24" s="4948"/>
      <c r="Y24" s="5281"/>
      <c r="Z24" s="4948"/>
      <c r="AA24" s="5281"/>
      <c r="AB24" s="4948"/>
      <c r="AC24" s="5281"/>
      <c r="AD24" s="4948"/>
      <c r="AE24" s="5281"/>
      <c r="AF24" s="4948"/>
      <c r="AG24" s="5281"/>
      <c r="AH24" s="4948"/>
      <c r="AI24" s="5281"/>
      <c r="AJ24" s="4948"/>
      <c r="AK24" s="5281"/>
      <c r="AL24" s="2500"/>
      <c r="AM24" s="5622"/>
      <c r="AN24" s="5619"/>
      <c r="AO24" s="2499"/>
      <c r="AP24" s="5282"/>
      <c r="AQ24" s="4948"/>
      <c r="AR24" s="4948"/>
      <c r="AS24" s="4948"/>
      <c r="AT24" s="1755" t="str">
        <f>CA24&amp;CB24&amp;CC24&amp;CD24</f>
        <v/>
      </c>
      <c r="BY24" s="2718"/>
      <c r="BZ24" s="2718"/>
      <c r="CA24" s="2873" t="str">
        <f t="shared" si="11"/>
        <v/>
      </c>
      <c r="CB24" s="2873" t="str">
        <f t="shared" si="6"/>
        <v/>
      </c>
      <c r="CC24" s="2873" t="str">
        <f t="shared" si="7"/>
        <v/>
      </c>
      <c r="CD24" s="2873" t="str">
        <f t="shared" si="8"/>
        <v/>
      </c>
      <c r="CE24" s="2718"/>
      <c r="CF24" s="2718"/>
      <c r="CG24" s="1793">
        <f t="shared" si="9"/>
        <v>0</v>
      </c>
      <c r="CH24" s="1791"/>
      <c r="CI24" s="1791"/>
      <c r="CJ24" s="1791"/>
      <c r="CK24" s="1793">
        <f t="shared" si="12"/>
        <v>0</v>
      </c>
      <c r="CL24" s="1793">
        <f t="shared" si="12"/>
        <v>0</v>
      </c>
      <c r="CM24" s="1793">
        <f t="shared" si="12"/>
        <v>0</v>
      </c>
    </row>
    <row r="25" spans="1:113" ht="18" customHeight="1" x14ac:dyDescent="0.25">
      <c r="A25" s="3980" t="s">
        <v>3191</v>
      </c>
      <c r="B25" s="3981"/>
      <c r="C25" s="101"/>
      <c r="D25" s="507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</row>
    <row r="26" spans="1:113" x14ac:dyDescent="0.25">
      <c r="A26" s="7729" t="s">
        <v>3192</v>
      </c>
      <c r="B26" s="6516" t="s">
        <v>23</v>
      </c>
      <c r="C26" s="8417" t="s">
        <v>24</v>
      </c>
      <c r="D26" s="6689"/>
      <c r="E26" s="7672"/>
      <c r="F26" s="8406" t="s">
        <v>30</v>
      </c>
      <c r="G26" s="6498"/>
      <c r="H26" s="6498"/>
      <c r="I26" s="6498"/>
      <c r="J26" s="6498"/>
      <c r="K26" s="6498"/>
      <c r="L26" s="6498"/>
      <c r="M26" s="6498"/>
      <c r="N26" s="6498"/>
      <c r="O26" s="6498"/>
      <c r="P26" s="6498"/>
      <c r="Q26" s="6498"/>
      <c r="R26" s="6498"/>
      <c r="S26" s="6498"/>
      <c r="T26" s="6498"/>
      <c r="U26" s="6498"/>
      <c r="V26" s="6498"/>
      <c r="W26" s="6498"/>
      <c r="X26" s="6498"/>
      <c r="Y26" s="6498"/>
      <c r="Z26" s="6498"/>
      <c r="AA26" s="6498"/>
      <c r="AB26" s="6498"/>
      <c r="AC26" s="6498"/>
      <c r="AD26" s="6498"/>
      <c r="AE26" s="6498"/>
      <c r="AF26" s="6498"/>
      <c r="AG26" s="6498"/>
      <c r="AH26" s="6498"/>
      <c r="AI26" s="6498"/>
      <c r="AJ26" s="6498"/>
      <c r="AK26" s="6498"/>
      <c r="AL26" s="6498"/>
      <c r="AM26" s="8407"/>
      <c r="AN26" s="8416" t="s">
        <v>466</v>
      </c>
      <c r="AO26" s="6498"/>
      <c r="AP26" s="6498"/>
      <c r="AQ26" s="8419"/>
    </row>
    <row r="27" spans="1:113" x14ac:dyDescent="0.25">
      <c r="A27" s="6590"/>
      <c r="B27" s="7151"/>
      <c r="C27" s="8418"/>
      <c r="D27" s="7700"/>
      <c r="E27" s="7287"/>
      <c r="F27" s="7304" t="s">
        <v>36</v>
      </c>
      <c r="G27" s="7305"/>
      <c r="H27" s="7304" t="s">
        <v>37</v>
      </c>
      <c r="I27" s="7305"/>
      <c r="J27" s="7304" t="s">
        <v>38</v>
      </c>
      <c r="K27" s="7305"/>
      <c r="L27" s="7304" t="s">
        <v>4</v>
      </c>
      <c r="M27" s="7305"/>
      <c r="N27" s="7304" t="s">
        <v>5</v>
      </c>
      <c r="O27" s="7305"/>
      <c r="P27" s="7304" t="s">
        <v>560</v>
      </c>
      <c r="Q27" s="7305"/>
      <c r="R27" s="7304" t="s">
        <v>561</v>
      </c>
      <c r="S27" s="7305"/>
      <c r="T27" s="7304" t="s">
        <v>8</v>
      </c>
      <c r="U27" s="7305"/>
      <c r="V27" s="7304" t="s">
        <v>9</v>
      </c>
      <c r="W27" s="7305"/>
      <c r="X27" s="7304" t="s">
        <v>576</v>
      </c>
      <c r="Y27" s="7305"/>
      <c r="Z27" s="7304" t="s">
        <v>11</v>
      </c>
      <c r="AA27" s="7305"/>
      <c r="AB27" s="7304" t="s">
        <v>18</v>
      </c>
      <c r="AC27" s="7305"/>
      <c r="AD27" s="7304" t="s">
        <v>19</v>
      </c>
      <c r="AE27" s="7305"/>
      <c r="AF27" s="7304" t="s">
        <v>20</v>
      </c>
      <c r="AG27" s="7305"/>
      <c r="AH27" s="7304" t="s">
        <v>70</v>
      </c>
      <c r="AI27" s="7305"/>
      <c r="AJ27" s="7304" t="s">
        <v>71</v>
      </c>
      <c r="AK27" s="7305"/>
      <c r="AL27" s="8406" t="s">
        <v>72</v>
      </c>
      <c r="AM27" s="8407"/>
      <c r="AN27" s="6540" t="s">
        <v>3193</v>
      </c>
      <c r="AO27" s="8420" t="s">
        <v>3180</v>
      </c>
      <c r="AP27" s="8422" t="s">
        <v>3181</v>
      </c>
      <c r="AQ27" s="6544" t="s">
        <v>3182</v>
      </c>
    </row>
    <row r="28" spans="1:113" x14ac:dyDescent="0.25">
      <c r="A28" s="7293"/>
      <c r="B28" s="8393"/>
      <c r="C28" s="5548" t="s">
        <v>26</v>
      </c>
      <c r="D28" s="5507" t="s">
        <v>22</v>
      </c>
      <c r="E28" s="5503" t="s">
        <v>27</v>
      </c>
      <c r="F28" s="5507" t="s">
        <v>22</v>
      </c>
      <c r="G28" s="5503" t="s">
        <v>27</v>
      </c>
      <c r="H28" s="5507" t="s">
        <v>22</v>
      </c>
      <c r="I28" s="5503" t="s">
        <v>27</v>
      </c>
      <c r="J28" s="5507" t="s">
        <v>22</v>
      </c>
      <c r="K28" s="5503" t="s">
        <v>27</v>
      </c>
      <c r="L28" s="5507" t="s">
        <v>22</v>
      </c>
      <c r="M28" s="5503" t="s">
        <v>27</v>
      </c>
      <c r="N28" s="5506" t="s">
        <v>22</v>
      </c>
      <c r="O28" s="5503" t="s">
        <v>27</v>
      </c>
      <c r="P28" s="5507" t="s">
        <v>22</v>
      </c>
      <c r="Q28" s="5503" t="s">
        <v>27</v>
      </c>
      <c r="R28" s="5507" t="s">
        <v>22</v>
      </c>
      <c r="S28" s="5503" t="s">
        <v>27</v>
      </c>
      <c r="T28" s="5507" t="s">
        <v>22</v>
      </c>
      <c r="U28" s="5503" t="s">
        <v>27</v>
      </c>
      <c r="V28" s="5507" t="s">
        <v>22</v>
      </c>
      <c r="W28" s="5503" t="s">
        <v>27</v>
      </c>
      <c r="X28" s="5507" t="s">
        <v>22</v>
      </c>
      <c r="Y28" s="5503" t="s">
        <v>27</v>
      </c>
      <c r="Z28" s="5507" t="s">
        <v>22</v>
      </c>
      <c r="AA28" s="5503" t="s">
        <v>27</v>
      </c>
      <c r="AB28" s="5507" t="s">
        <v>22</v>
      </c>
      <c r="AC28" s="5503" t="s">
        <v>27</v>
      </c>
      <c r="AD28" s="5507" t="s">
        <v>22</v>
      </c>
      <c r="AE28" s="5503" t="s">
        <v>27</v>
      </c>
      <c r="AF28" s="5507" t="s">
        <v>22</v>
      </c>
      <c r="AG28" s="5503" t="s">
        <v>27</v>
      </c>
      <c r="AH28" s="5507" t="s">
        <v>22</v>
      </c>
      <c r="AI28" s="5503" t="s">
        <v>27</v>
      </c>
      <c r="AJ28" s="5507" t="s">
        <v>22</v>
      </c>
      <c r="AK28" s="5503" t="s">
        <v>27</v>
      </c>
      <c r="AL28" s="5507" t="s">
        <v>22</v>
      </c>
      <c r="AM28" s="5547" t="s">
        <v>27</v>
      </c>
      <c r="AN28" s="6542"/>
      <c r="AO28" s="8421"/>
      <c r="AP28" s="8084"/>
      <c r="AQ28" s="6545"/>
      <c r="CG28" s="6323">
        <f>IF(C29&lt;&gt;SUM(C30:C48),1,0)</f>
        <v>0</v>
      </c>
    </row>
    <row r="29" spans="1:113" x14ac:dyDescent="0.25">
      <c r="A29" s="8412" t="s">
        <v>3194</v>
      </c>
      <c r="B29" s="8413"/>
      <c r="C29" s="5546">
        <f t="shared" ref="C29:C50" si="13">SUM(D29:E29)</f>
        <v>0</v>
      </c>
      <c r="D29" s="5545">
        <f t="shared" ref="D29:D50" si="14">+F29+H29+J29+L29+N29+P29+R29+T29+V29+X29+Z29+AB29+AD29+AF29+AH29+AJ29+AL29</f>
        <v>0</v>
      </c>
      <c r="E29" s="5544">
        <f t="shared" ref="E29:E50" si="15">+G29+I29+K29+M29+O29+Q29+S29+U29+W29+Y29+AA29+AC29+AE29+AG29+AI29+AK29+AM29</f>
        <v>0</v>
      </c>
      <c r="F29" s="5543"/>
      <c r="G29" s="5542"/>
      <c r="H29" s="5543"/>
      <c r="I29" s="5539"/>
      <c r="J29" s="5543"/>
      <c r="K29" s="5539"/>
      <c r="L29" s="5543"/>
      <c r="M29" s="5542"/>
      <c r="N29" s="5540"/>
      <c r="O29" s="5539"/>
      <c r="P29" s="5540"/>
      <c r="Q29" s="5539"/>
      <c r="R29" s="5540"/>
      <c r="S29" s="5539"/>
      <c r="T29" s="5540"/>
      <c r="U29" s="5539"/>
      <c r="V29" s="5540"/>
      <c r="W29" s="5539"/>
      <c r="X29" s="5540"/>
      <c r="Y29" s="5539"/>
      <c r="Z29" s="5540"/>
      <c r="AA29" s="5539"/>
      <c r="AB29" s="5540"/>
      <c r="AC29" s="5539"/>
      <c r="AD29" s="5540"/>
      <c r="AE29" s="5539"/>
      <c r="AF29" s="5540"/>
      <c r="AG29" s="5539"/>
      <c r="AH29" s="5540"/>
      <c r="AI29" s="5539"/>
      <c r="AJ29" s="5540"/>
      <c r="AK29" s="5539"/>
      <c r="AL29" s="5540"/>
      <c r="AM29" s="5541"/>
      <c r="AN29" s="6163"/>
      <c r="AO29" s="5806"/>
      <c r="AP29" s="5540"/>
      <c r="AQ29" s="5539"/>
      <c r="AR29" s="1755" t="str">
        <f>CA29&amp;CB29&amp;CC29&amp;CD29&amp;CE29&amp;CF29</f>
        <v/>
      </c>
      <c r="BW29" s="2718"/>
      <c r="BX29" s="2718"/>
      <c r="BY29" s="2718"/>
      <c r="BZ29" s="2718"/>
      <c r="CA29" s="3008" t="str">
        <f>IF(CG29=1," * El total de Ingresos debe ser igual a la suma de los Tipos de Estrategia. ","")</f>
        <v/>
      </c>
      <c r="CB29" s="3008" t="str">
        <f>IF(CG28=1,"* Existen patologías que son mayores al Total de Ingresos-Persona. ","")</f>
        <v/>
      </c>
      <c r="CC29" s="3758"/>
      <c r="CD29" s="3758"/>
      <c r="CE29" s="3758"/>
      <c r="CF29" s="3758"/>
      <c r="CG29" s="6323">
        <f>IF(SUM(AN29:AQ29)=C29,0,1)</f>
        <v>0</v>
      </c>
      <c r="CH29" s="6324"/>
      <c r="CI29" s="6324"/>
      <c r="CJ29" s="6324"/>
      <c r="CK29" s="6324"/>
      <c r="DH29"/>
      <c r="DI29"/>
    </row>
    <row r="30" spans="1:113" x14ac:dyDescent="0.25">
      <c r="A30" s="8414" t="s">
        <v>3195</v>
      </c>
      <c r="B30" s="3986" t="s">
        <v>3196</v>
      </c>
      <c r="C30" s="3987">
        <f t="shared" si="13"/>
        <v>0</v>
      </c>
      <c r="D30" s="5538">
        <f t="shared" si="14"/>
        <v>0</v>
      </c>
      <c r="E30" s="5537">
        <f t="shared" si="15"/>
        <v>0</v>
      </c>
      <c r="F30" s="276"/>
      <c r="G30" s="5362"/>
      <c r="H30" s="276"/>
      <c r="I30" s="4659"/>
      <c r="J30" s="276"/>
      <c r="K30" s="4659"/>
      <c r="L30" s="276"/>
      <c r="M30" s="5362"/>
      <c r="N30" s="615"/>
      <c r="O30" s="4659"/>
      <c r="P30" s="615"/>
      <c r="Q30" s="4659"/>
      <c r="R30" s="615"/>
      <c r="S30" s="4659"/>
      <c r="T30" s="615"/>
      <c r="U30" s="4659"/>
      <c r="V30" s="615"/>
      <c r="W30" s="4659"/>
      <c r="X30" s="615"/>
      <c r="Y30" s="4659"/>
      <c r="Z30" s="615"/>
      <c r="AA30" s="4659"/>
      <c r="AB30" s="615"/>
      <c r="AC30" s="4659"/>
      <c r="AD30" s="615"/>
      <c r="AE30" s="4659"/>
      <c r="AF30" s="615"/>
      <c r="AG30" s="4659"/>
      <c r="AH30" s="615"/>
      <c r="AI30" s="4659"/>
      <c r="AJ30" s="615"/>
      <c r="AK30" s="4659"/>
      <c r="AL30" s="615"/>
      <c r="AM30" s="3751"/>
      <c r="AN30" s="5393"/>
      <c r="AO30" s="5334"/>
      <c r="AP30" s="615"/>
      <c r="AQ30" s="4659"/>
      <c r="AR30" s="1755" t="str">
        <f>CA30&amp;CB30&amp;CC30&amp;CD30&amp;CE30&amp;CF30</f>
        <v/>
      </c>
      <c r="BW30" s="2718"/>
      <c r="BX30" s="2718"/>
      <c r="BY30" s="2718"/>
      <c r="BZ30" s="2718"/>
      <c r="CA30" s="3008" t="str">
        <f>IF(CG30=1," * El total de Ingresos debe ser igual a la suma de los Tipos de Estrategia. ","")</f>
        <v/>
      </c>
      <c r="CB30" s="3008" t="str">
        <f>IF(CH30=1,"* EN Rehabilitación Infantil Existen Patologías que son Mayores a los Ingresos-Personas. ","")</f>
        <v/>
      </c>
      <c r="CC30" s="3008" t="str">
        <f>IF(CI30=1,"* En RBC existen Patologías que son mayores a los Ingresos-Personas. ","")</f>
        <v/>
      </c>
      <c r="CD30" s="3008" t="str">
        <f>IF(CJ30=1,"* En RI Existen Patologías que son mayores a los Ingresos-Personas. ","")</f>
        <v/>
      </c>
      <c r="CE30" s="3008" t="str">
        <f>IF(CK30=1,"* En RR existen patologías que son mayores a los Ingresos-Persona. ","")</f>
        <v/>
      </c>
      <c r="CF30" s="3008"/>
      <c r="CG30" s="6323">
        <f>IF(SUM(AN30:AQ30)=C30,0,1)</f>
        <v>0</v>
      </c>
      <c r="CH30" s="6323">
        <f>IF(AN29&lt;MAX(AN30:AN48),1,0)</f>
        <v>0</v>
      </c>
      <c r="CI30" s="6323">
        <f>IF(AO29&lt;MAX(AO30:AO48),1,0)</f>
        <v>0</v>
      </c>
      <c r="CJ30" s="6323">
        <f>IF(AP29&lt;MAX(AP30:AP48),1,0)</f>
        <v>0</v>
      </c>
      <c r="CK30" s="6323">
        <f>IF(AQ29&lt;MAX(AQ30:AQ48),1,0)</f>
        <v>0</v>
      </c>
      <c r="DI30"/>
    </row>
    <row r="31" spans="1:113" x14ac:dyDescent="0.25">
      <c r="A31" s="8052"/>
      <c r="B31" s="3986" t="s">
        <v>3197</v>
      </c>
      <c r="C31" s="3988">
        <f t="shared" si="13"/>
        <v>0</v>
      </c>
      <c r="D31" s="4716">
        <f t="shared" si="14"/>
        <v>0</v>
      </c>
      <c r="E31" s="4713">
        <f t="shared" si="15"/>
        <v>0</v>
      </c>
      <c r="F31" s="5229"/>
      <c r="G31" s="5338"/>
      <c r="H31" s="5229"/>
      <c r="I31" s="3609"/>
      <c r="J31" s="5229"/>
      <c r="K31" s="3609"/>
      <c r="L31" s="5229"/>
      <c r="M31" s="5338"/>
      <c r="N31" s="3572"/>
      <c r="O31" s="3609"/>
      <c r="P31" s="3572"/>
      <c r="Q31" s="3609"/>
      <c r="R31" s="3572"/>
      <c r="S31" s="3609"/>
      <c r="T31" s="3572"/>
      <c r="U31" s="3609"/>
      <c r="V31" s="3572"/>
      <c r="W31" s="3609"/>
      <c r="X31" s="3572"/>
      <c r="Y31" s="3609"/>
      <c r="Z31" s="3572"/>
      <c r="AA31" s="3609"/>
      <c r="AB31" s="3572"/>
      <c r="AC31" s="3609"/>
      <c r="AD31" s="3572"/>
      <c r="AE31" s="3609"/>
      <c r="AF31" s="3572"/>
      <c r="AG31" s="3609"/>
      <c r="AH31" s="3572"/>
      <c r="AI31" s="3609"/>
      <c r="AJ31" s="3572"/>
      <c r="AK31" s="3609"/>
      <c r="AL31" s="3572"/>
      <c r="AM31" s="3748"/>
      <c r="AN31" s="6164"/>
      <c r="AO31" s="3573"/>
      <c r="AP31" s="3572"/>
      <c r="AQ31" s="3609"/>
      <c r="AR31" s="1755" t="str">
        <f t="shared" ref="AR31:AR50" si="16">CA31&amp;CB31</f>
        <v/>
      </c>
      <c r="BW31" s="2718"/>
      <c r="BX31" s="2718"/>
      <c r="BY31" s="2718"/>
      <c r="BZ31" s="2718"/>
      <c r="CA31" s="3008" t="str">
        <f>IF(CG31=1," * El total de Ingresos debe ser igual a la suma de los Tipos de Estrategia. ","")</f>
        <v/>
      </c>
      <c r="CB31" s="3758"/>
      <c r="CC31" s="3758"/>
      <c r="CD31" s="3758"/>
      <c r="CE31" s="3758"/>
      <c r="CF31" s="3758"/>
      <c r="CG31" s="6323">
        <f>IF(SUM(AN31:AQ31)=C31,0,1)</f>
        <v>0</v>
      </c>
      <c r="CH31" s="6324"/>
      <c r="CI31" s="6324"/>
      <c r="CJ31" s="6324"/>
      <c r="CK31" s="6324"/>
    </row>
    <row r="32" spans="1:113" x14ac:dyDescent="0.25">
      <c r="A32" s="8052"/>
      <c r="B32" s="3989" t="s">
        <v>3198</v>
      </c>
      <c r="C32" s="3714">
        <f t="shared" si="13"/>
        <v>0</v>
      </c>
      <c r="D32" s="4716">
        <f t="shared" si="14"/>
        <v>0</v>
      </c>
      <c r="E32" s="4713">
        <f t="shared" si="15"/>
        <v>0</v>
      </c>
      <c r="F32" s="5229"/>
      <c r="G32" s="5338"/>
      <c r="H32" s="5229"/>
      <c r="I32" s="3609"/>
      <c r="J32" s="5229"/>
      <c r="K32" s="3609"/>
      <c r="L32" s="5229"/>
      <c r="M32" s="5338"/>
      <c r="N32" s="3572"/>
      <c r="O32" s="3609"/>
      <c r="P32" s="3572"/>
      <c r="Q32" s="3609"/>
      <c r="R32" s="3572"/>
      <c r="S32" s="3609"/>
      <c r="T32" s="3572"/>
      <c r="U32" s="3609"/>
      <c r="V32" s="3572"/>
      <c r="W32" s="3609"/>
      <c r="X32" s="3572"/>
      <c r="Y32" s="3609"/>
      <c r="Z32" s="3572"/>
      <c r="AA32" s="3609"/>
      <c r="AB32" s="3572"/>
      <c r="AC32" s="3609"/>
      <c r="AD32" s="3572"/>
      <c r="AE32" s="3609"/>
      <c r="AF32" s="3572"/>
      <c r="AG32" s="3609"/>
      <c r="AH32" s="3572"/>
      <c r="AI32" s="3609"/>
      <c r="AJ32" s="3572"/>
      <c r="AK32" s="3609"/>
      <c r="AL32" s="3572"/>
      <c r="AM32" s="3748"/>
      <c r="AN32" s="6164"/>
      <c r="AO32" s="3573"/>
      <c r="AP32" s="3572"/>
      <c r="AQ32" s="3609"/>
      <c r="AR32" s="1755" t="str">
        <f t="shared" si="16"/>
        <v/>
      </c>
      <c r="BW32" s="2718"/>
      <c r="BX32" s="2718"/>
      <c r="BY32" s="2718"/>
      <c r="BZ32" s="2718"/>
      <c r="CA32" s="3008" t="str">
        <f t="shared" ref="CA32:CA50" si="17">IF(CG32=1," * El total de Ingresos debe ser igual a la suma de los Tipos de Estrategia. ","")</f>
        <v/>
      </c>
      <c r="CB32" s="3758"/>
      <c r="CC32" s="3758"/>
      <c r="CD32" s="3758"/>
      <c r="CE32" s="3758"/>
      <c r="CF32" s="3758"/>
      <c r="CG32" s="6323">
        <f t="shared" ref="CG32:CG48" si="18">IF(SUM(AN32:AQ32)=C32,0,1)</f>
        <v>0</v>
      </c>
      <c r="CH32" s="6324"/>
      <c r="CI32" s="6324"/>
      <c r="CJ32" s="6324"/>
      <c r="CK32" s="6324"/>
    </row>
    <row r="33" spans="1:89" x14ac:dyDescent="0.25">
      <c r="A33" s="8052"/>
      <c r="B33" s="3989" t="s">
        <v>3199</v>
      </c>
      <c r="C33" s="3714">
        <f t="shared" si="13"/>
        <v>0</v>
      </c>
      <c r="D33" s="4716">
        <f t="shared" si="14"/>
        <v>0</v>
      </c>
      <c r="E33" s="4713">
        <f t="shared" si="15"/>
        <v>0</v>
      </c>
      <c r="F33" s="5229"/>
      <c r="G33" s="5338"/>
      <c r="H33" s="5229"/>
      <c r="I33" s="3609"/>
      <c r="J33" s="5229"/>
      <c r="K33" s="3609"/>
      <c r="L33" s="5229"/>
      <c r="M33" s="5338"/>
      <c r="N33" s="3572"/>
      <c r="O33" s="3609"/>
      <c r="P33" s="3572"/>
      <c r="Q33" s="3609"/>
      <c r="R33" s="3572"/>
      <c r="S33" s="3609"/>
      <c r="T33" s="3572"/>
      <c r="U33" s="3609"/>
      <c r="V33" s="3572"/>
      <c r="W33" s="3609"/>
      <c r="X33" s="3572"/>
      <c r="Y33" s="3609"/>
      <c r="Z33" s="3572"/>
      <c r="AA33" s="3609"/>
      <c r="AB33" s="3572"/>
      <c r="AC33" s="3609"/>
      <c r="AD33" s="3572"/>
      <c r="AE33" s="3609"/>
      <c r="AF33" s="3572"/>
      <c r="AG33" s="3609"/>
      <c r="AH33" s="3572"/>
      <c r="AI33" s="3609"/>
      <c r="AJ33" s="3572"/>
      <c r="AK33" s="3609"/>
      <c r="AL33" s="3572"/>
      <c r="AM33" s="3748"/>
      <c r="AN33" s="6164"/>
      <c r="AO33" s="3573"/>
      <c r="AP33" s="3572"/>
      <c r="AQ33" s="3609"/>
      <c r="AR33" s="1755" t="str">
        <f t="shared" si="16"/>
        <v/>
      </c>
      <c r="BW33" s="2718"/>
      <c r="BX33" s="2718"/>
      <c r="BY33" s="2718"/>
      <c r="BZ33" s="2718"/>
      <c r="CA33" s="3008" t="str">
        <f t="shared" si="17"/>
        <v/>
      </c>
      <c r="CB33" s="3758"/>
      <c r="CC33" s="3758"/>
      <c r="CD33" s="3758"/>
      <c r="CE33" s="3758"/>
      <c r="CF33" s="3758"/>
      <c r="CG33" s="6323">
        <f t="shared" si="18"/>
        <v>0</v>
      </c>
      <c r="CH33" s="6324"/>
      <c r="CI33" s="6324"/>
      <c r="CJ33" s="6324"/>
      <c r="CK33" s="6324"/>
    </row>
    <row r="34" spans="1:89" x14ac:dyDescent="0.25">
      <c r="A34" s="8052"/>
      <c r="B34" s="3989" t="s">
        <v>3200</v>
      </c>
      <c r="C34" s="3714">
        <f t="shared" si="13"/>
        <v>0</v>
      </c>
      <c r="D34" s="4716">
        <f t="shared" si="14"/>
        <v>0</v>
      </c>
      <c r="E34" s="4713">
        <f t="shared" si="15"/>
        <v>0</v>
      </c>
      <c r="F34" s="5229"/>
      <c r="G34" s="5338"/>
      <c r="H34" s="5229"/>
      <c r="I34" s="3609"/>
      <c r="J34" s="5229"/>
      <c r="K34" s="3609"/>
      <c r="L34" s="5229"/>
      <c r="M34" s="5338"/>
      <c r="N34" s="3572"/>
      <c r="O34" s="3609"/>
      <c r="P34" s="3572"/>
      <c r="Q34" s="3609"/>
      <c r="R34" s="3572"/>
      <c r="S34" s="3609"/>
      <c r="T34" s="3572"/>
      <c r="U34" s="3609"/>
      <c r="V34" s="3572"/>
      <c r="W34" s="3609"/>
      <c r="X34" s="3572"/>
      <c r="Y34" s="3609"/>
      <c r="Z34" s="3572"/>
      <c r="AA34" s="3609"/>
      <c r="AB34" s="3572"/>
      <c r="AC34" s="3609"/>
      <c r="AD34" s="3572"/>
      <c r="AE34" s="3609"/>
      <c r="AF34" s="3572"/>
      <c r="AG34" s="3609"/>
      <c r="AH34" s="3572"/>
      <c r="AI34" s="3609"/>
      <c r="AJ34" s="3572"/>
      <c r="AK34" s="3609"/>
      <c r="AL34" s="3572"/>
      <c r="AM34" s="3748"/>
      <c r="AN34" s="6164"/>
      <c r="AO34" s="3573"/>
      <c r="AP34" s="3572"/>
      <c r="AQ34" s="3609"/>
      <c r="AR34" s="1755" t="str">
        <f t="shared" si="16"/>
        <v/>
      </c>
      <c r="BW34" s="2718"/>
      <c r="BX34" s="2718"/>
      <c r="BY34" s="2718"/>
      <c r="BZ34" s="2718"/>
      <c r="CA34" s="3008" t="str">
        <f t="shared" si="17"/>
        <v/>
      </c>
      <c r="CB34" s="3758"/>
      <c r="CC34" s="3758"/>
      <c r="CD34" s="3758"/>
      <c r="CE34" s="3758"/>
      <c r="CF34" s="3758"/>
      <c r="CG34" s="6323">
        <f t="shared" si="18"/>
        <v>0</v>
      </c>
      <c r="CH34" s="6324"/>
      <c r="CI34" s="6324"/>
      <c r="CJ34" s="6324"/>
      <c r="CK34" s="6324"/>
    </row>
    <row r="35" spans="1:89" x14ac:dyDescent="0.25">
      <c r="A35" s="8052"/>
      <c r="B35" s="3989" t="s">
        <v>3201</v>
      </c>
      <c r="C35" s="3714">
        <f t="shared" si="13"/>
        <v>0</v>
      </c>
      <c r="D35" s="4716">
        <f t="shared" si="14"/>
        <v>0</v>
      </c>
      <c r="E35" s="4713">
        <f t="shared" si="15"/>
        <v>0</v>
      </c>
      <c r="F35" s="5229"/>
      <c r="G35" s="5338"/>
      <c r="H35" s="5229"/>
      <c r="I35" s="3609"/>
      <c r="J35" s="5229"/>
      <c r="K35" s="3609"/>
      <c r="L35" s="5229"/>
      <c r="M35" s="5338"/>
      <c r="N35" s="3572"/>
      <c r="O35" s="3609"/>
      <c r="P35" s="3572"/>
      <c r="Q35" s="3609"/>
      <c r="R35" s="3572"/>
      <c r="S35" s="3609"/>
      <c r="T35" s="3572"/>
      <c r="U35" s="3609"/>
      <c r="V35" s="3572"/>
      <c r="W35" s="3609"/>
      <c r="X35" s="3572"/>
      <c r="Y35" s="3609"/>
      <c r="Z35" s="3572"/>
      <c r="AA35" s="3609"/>
      <c r="AB35" s="3572"/>
      <c r="AC35" s="3609"/>
      <c r="AD35" s="3572"/>
      <c r="AE35" s="3609"/>
      <c r="AF35" s="3572"/>
      <c r="AG35" s="3609"/>
      <c r="AH35" s="3572"/>
      <c r="AI35" s="3609"/>
      <c r="AJ35" s="3572"/>
      <c r="AK35" s="3609"/>
      <c r="AL35" s="3572"/>
      <c r="AM35" s="3748"/>
      <c r="AN35" s="6164"/>
      <c r="AO35" s="3573"/>
      <c r="AP35" s="3572"/>
      <c r="AQ35" s="3609"/>
      <c r="AR35" s="1755" t="str">
        <f t="shared" si="16"/>
        <v/>
      </c>
      <c r="BW35" s="2718"/>
      <c r="BX35" s="2718"/>
      <c r="BY35" s="2718"/>
      <c r="BZ35" s="2718"/>
      <c r="CA35" s="3008" t="str">
        <f t="shared" si="17"/>
        <v/>
      </c>
      <c r="CB35" s="3758"/>
      <c r="CC35" s="3758"/>
      <c r="CD35" s="3758"/>
      <c r="CE35" s="3758"/>
      <c r="CF35" s="3758"/>
      <c r="CG35" s="6323">
        <f t="shared" si="18"/>
        <v>0</v>
      </c>
      <c r="CH35" s="6324"/>
      <c r="CI35" s="6324"/>
      <c r="CJ35" s="6324"/>
      <c r="CK35" s="6324"/>
    </row>
    <row r="36" spans="1:89" x14ac:dyDescent="0.25">
      <c r="A36" s="8052"/>
      <c r="B36" s="3990" t="s">
        <v>3202</v>
      </c>
      <c r="C36" s="3991">
        <f t="shared" si="13"/>
        <v>0</v>
      </c>
      <c r="D36" s="4716">
        <f t="shared" si="14"/>
        <v>0</v>
      </c>
      <c r="E36" s="4713">
        <f t="shared" si="15"/>
        <v>0</v>
      </c>
      <c r="F36" s="5229"/>
      <c r="G36" s="5338"/>
      <c r="H36" s="5229"/>
      <c r="I36" s="3609"/>
      <c r="J36" s="5229"/>
      <c r="K36" s="3609"/>
      <c r="L36" s="5229"/>
      <c r="M36" s="5338"/>
      <c r="N36" s="3572"/>
      <c r="O36" s="3609"/>
      <c r="P36" s="3572"/>
      <c r="Q36" s="3609"/>
      <c r="R36" s="3572"/>
      <c r="S36" s="3609"/>
      <c r="T36" s="3572"/>
      <c r="U36" s="3609"/>
      <c r="V36" s="3572"/>
      <c r="W36" s="3609"/>
      <c r="X36" s="3572"/>
      <c r="Y36" s="3609"/>
      <c r="Z36" s="3572"/>
      <c r="AA36" s="3609"/>
      <c r="AB36" s="3572"/>
      <c r="AC36" s="3609"/>
      <c r="AD36" s="3572"/>
      <c r="AE36" s="3609"/>
      <c r="AF36" s="3572"/>
      <c r="AG36" s="3609"/>
      <c r="AH36" s="3572"/>
      <c r="AI36" s="3609"/>
      <c r="AJ36" s="3572"/>
      <c r="AK36" s="3609"/>
      <c r="AL36" s="3572"/>
      <c r="AM36" s="3748"/>
      <c r="AN36" s="6164"/>
      <c r="AO36" s="3573"/>
      <c r="AP36" s="3572"/>
      <c r="AQ36" s="3609"/>
      <c r="AR36" s="1755" t="str">
        <f t="shared" si="16"/>
        <v/>
      </c>
      <c r="BW36" s="2718"/>
      <c r="BX36" s="2718"/>
      <c r="BY36" s="2718"/>
      <c r="BZ36" s="2718"/>
      <c r="CA36" s="3008" t="str">
        <f t="shared" si="17"/>
        <v/>
      </c>
      <c r="CB36" s="3758"/>
      <c r="CC36" s="3758"/>
      <c r="CD36" s="3758"/>
      <c r="CE36" s="3758"/>
      <c r="CF36" s="3758"/>
      <c r="CG36" s="6323">
        <f t="shared" si="18"/>
        <v>0</v>
      </c>
      <c r="CH36" s="6324"/>
      <c r="CI36" s="6324"/>
      <c r="CJ36" s="6324"/>
      <c r="CK36" s="6324"/>
    </row>
    <row r="37" spans="1:89" x14ac:dyDescent="0.25">
      <c r="A37" s="8052"/>
      <c r="B37" s="3866" t="s">
        <v>3203</v>
      </c>
      <c r="C37" s="3992">
        <f t="shared" si="13"/>
        <v>0</v>
      </c>
      <c r="D37" s="4716">
        <f t="shared" si="14"/>
        <v>0</v>
      </c>
      <c r="E37" s="4713">
        <f t="shared" si="15"/>
        <v>0</v>
      </c>
      <c r="F37" s="5229"/>
      <c r="G37" s="5338"/>
      <c r="H37" s="5229"/>
      <c r="I37" s="3609"/>
      <c r="J37" s="5229"/>
      <c r="K37" s="3609"/>
      <c r="L37" s="5229"/>
      <c r="M37" s="5338"/>
      <c r="N37" s="3572"/>
      <c r="O37" s="3609"/>
      <c r="P37" s="3572"/>
      <c r="Q37" s="3609"/>
      <c r="R37" s="3572"/>
      <c r="S37" s="3609"/>
      <c r="T37" s="3572"/>
      <c r="U37" s="3609"/>
      <c r="V37" s="3572"/>
      <c r="W37" s="3609"/>
      <c r="X37" s="3572"/>
      <c r="Y37" s="3609"/>
      <c r="Z37" s="3572"/>
      <c r="AA37" s="3609"/>
      <c r="AB37" s="3572"/>
      <c r="AC37" s="3609"/>
      <c r="AD37" s="3572"/>
      <c r="AE37" s="3609"/>
      <c r="AF37" s="3572"/>
      <c r="AG37" s="3609"/>
      <c r="AH37" s="3572"/>
      <c r="AI37" s="3609"/>
      <c r="AJ37" s="3572"/>
      <c r="AK37" s="3609"/>
      <c r="AL37" s="3572"/>
      <c r="AM37" s="3748"/>
      <c r="AN37" s="6164"/>
      <c r="AO37" s="3573"/>
      <c r="AP37" s="3572"/>
      <c r="AQ37" s="3609"/>
      <c r="AR37" s="1755" t="str">
        <f t="shared" si="16"/>
        <v/>
      </c>
      <c r="BW37" s="2718"/>
      <c r="BX37" s="2718"/>
      <c r="BY37" s="2718"/>
      <c r="BZ37" s="2718"/>
      <c r="CA37" s="3008" t="str">
        <f t="shared" si="17"/>
        <v/>
      </c>
      <c r="CB37" s="3758"/>
      <c r="CC37" s="3758"/>
      <c r="CD37" s="3758"/>
      <c r="CE37" s="3758"/>
      <c r="CF37" s="3758"/>
      <c r="CG37" s="6323">
        <f t="shared" si="18"/>
        <v>0</v>
      </c>
      <c r="CH37" s="6324"/>
      <c r="CI37" s="6324"/>
      <c r="CJ37" s="6324"/>
      <c r="CK37" s="6324"/>
    </row>
    <row r="38" spans="1:89" x14ac:dyDescent="0.25">
      <c r="A38" s="8052"/>
      <c r="B38" s="3367" t="s">
        <v>3204</v>
      </c>
      <c r="C38" s="3993">
        <f t="shared" si="13"/>
        <v>0</v>
      </c>
      <c r="D38" s="4716">
        <f t="shared" si="14"/>
        <v>0</v>
      </c>
      <c r="E38" s="4713">
        <f t="shared" si="15"/>
        <v>0</v>
      </c>
      <c r="F38" s="5229"/>
      <c r="G38" s="5338"/>
      <c r="H38" s="5229"/>
      <c r="I38" s="3609"/>
      <c r="J38" s="5229"/>
      <c r="K38" s="3609"/>
      <c r="L38" s="5229"/>
      <c r="M38" s="5338"/>
      <c r="N38" s="3572"/>
      <c r="O38" s="3609"/>
      <c r="P38" s="3572"/>
      <c r="Q38" s="3609"/>
      <c r="R38" s="3572"/>
      <c r="S38" s="3609"/>
      <c r="T38" s="3572"/>
      <c r="U38" s="3609"/>
      <c r="V38" s="3572"/>
      <c r="W38" s="3609"/>
      <c r="X38" s="3572"/>
      <c r="Y38" s="3609"/>
      <c r="Z38" s="3572"/>
      <c r="AA38" s="3609"/>
      <c r="AB38" s="3572"/>
      <c r="AC38" s="3609"/>
      <c r="AD38" s="3572"/>
      <c r="AE38" s="3609"/>
      <c r="AF38" s="3572"/>
      <c r="AG38" s="3609"/>
      <c r="AH38" s="3572"/>
      <c r="AI38" s="3609"/>
      <c r="AJ38" s="3572"/>
      <c r="AK38" s="3609"/>
      <c r="AL38" s="3572"/>
      <c r="AM38" s="3748"/>
      <c r="AN38" s="6164"/>
      <c r="AO38" s="3573"/>
      <c r="AP38" s="3572"/>
      <c r="AQ38" s="3609"/>
      <c r="AR38" s="1755" t="str">
        <f t="shared" si="16"/>
        <v/>
      </c>
      <c r="BW38" s="2718"/>
      <c r="BX38" s="2718"/>
      <c r="BY38" s="2718"/>
      <c r="BZ38" s="2718"/>
      <c r="CA38" s="3008" t="str">
        <f t="shared" si="17"/>
        <v/>
      </c>
      <c r="CB38" s="3758"/>
      <c r="CC38" s="3758"/>
      <c r="CD38" s="3758"/>
      <c r="CE38" s="3758"/>
      <c r="CF38" s="3758"/>
      <c r="CG38" s="6323">
        <f t="shared" si="18"/>
        <v>0</v>
      </c>
      <c r="CH38" s="6324"/>
      <c r="CI38" s="6324"/>
      <c r="CJ38" s="6324"/>
      <c r="CK38" s="6324"/>
    </row>
    <row r="39" spans="1:89" x14ac:dyDescent="0.25">
      <c r="A39" s="8052"/>
      <c r="B39" s="3866" t="s">
        <v>3205</v>
      </c>
      <c r="C39" s="3992">
        <f t="shared" si="13"/>
        <v>0</v>
      </c>
      <c r="D39" s="4716">
        <f t="shared" si="14"/>
        <v>0</v>
      </c>
      <c r="E39" s="4713">
        <f t="shared" si="15"/>
        <v>0</v>
      </c>
      <c r="F39" s="5229"/>
      <c r="G39" s="5338"/>
      <c r="H39" s="5229"/>
      <c r="I39" s="3609"/>
      <c r="J39" s="5229"/>
      <c r="K39" s="3609"/>
      <c r="L39" s="5229"/>
      <c r="M39" s="5338"/>
      <c r="N39" s="3572"/>
      <c r="O39" s="3609"/>
      <c r="P39" s="3572"/>
      <c r="Q39" s="3609"/>
      <c r="R39" s="3572"/>
      <c r="S39" s="3609"/>
      <c r="T39" s="3572"/>
      <c r="U39" s="3609"/>
      <c r="V39" s="3572"/>
      <c r="W39" s="3609"/>
      <c r="X39" s="3572"/>
      <c r="Y39" s="3609"/>
      <c r="Z39" s="3572"/>
      <c r="AA39" s="3609"/>
      <c r="AB39" s="3572"/>
      <c r="AC39" s="3609"/>
      <c r="AD39" s="3572"/>
      <c r="AE39" s="3609"/>
      <c r="AF39" s="3572"/>
      <c r="AG39" s="3609"/>
      <c r="AH39" s="3572"/>
      <c r="AI39" s="3609"/>
      <c r="AJ39" s="3572"/>
      <c r="AK39" s="3609"/>
      <c r="AL39" s="3572"/>
      <c r="AM39" s="3748"/>
      <c r="AN39" s="6164"/>
      <c r="AO39" s="3573"/>
      <c r="AP39" s="3572"/>
      <c r="AQ39" s="3609"/>
      <c r="AR39" s="1755" t="str">
        <f t="shared" si="16"/>
        <v/>
      </c>
      <c r="BW39" s="2718"/>
      <c r="BX39" s="2718"/>
      <c r="BY39" s="2718"/>
      <c r="BZ39" s="2718"/>
      <c r="CA39" s="3008" t="str">
        <f t="shared" si="17"/>
        <v/>
      </c>
      <c r="CB39" s="3758"/>
      <c r="CC39" s="3758"/>
      <c r="CD39" s="3758"/>
      <c r="CE39" s="3758"/>
      <c r="CF39" s="3758"/>
      <c r="CG39" s="6323">
        <f t="shared" si="18"/>
        <v>0</v>
      </c>
      <c r="CH39" s="6324"/>
      <c r="CI39" s="6324"/>
      <c r="CJ39" s="6324"/>
      <c r="CK39" s="6324"/>
    </row>
    <row r="40" spans="1:89" x14ac:dyDescent="0.25">
      <c r="A40" s="8052"/>
      <c r="B40" s="3866" t="s">
        <v>3206</v>
      </c>
      <c r="C40" s="3992">
        <f t="shared" si="13"/>
        <v>0</v>
      </c>
      <c r="D40" s="4716">
        <f t="shared" si="14"/>
        <v>0</v>
      </c>
      <c r="E40" s="4713">
        <f t="shared" si="15"/>
        <v>0</v>
      </c>
      <c r="F40" s="5229"/>
      <c r="G40" s="5338"/>
      <c r="H40" s="5229"/>
      <c r="I40" s="3609"/>
      <c r="J40" s="5229"/>
      <c r="K40" s="3609"/>
      <c r="L40" s="5229"/>
      <c r="M40" s="5338"/>
      <c r="N40" s="3572"/>
      <c r="O40" s="3609"/>
      <c r="P40" s="3572"/>
      <c r="Q40" s="3609"/>
      <c r="R40" s="3572"/>
      <c r="S40" s="3609"/>
      <c r="T40" s="3572"/>
      <c r="U40" s="3609"/>
      <c r="V40" s="3572"/>
      <c r="W40" s="3609"/>
      <c r="X40" s="3572"/>
      <c r="Y40" s="3609"/>
      <c r="Z40" s="3572"/>
      <c r="AA40" s="3609"/>
      <c r="AB40" s="3572"/>
      <c r="AC40" s="3609"/>
      <c r="AD40" s="3572"/>
      <c r="AE40" s="3609"/>
      <c r="AF40" s="3572"/>
      <c r="AG40" s="3609"/>
      <c r="AH40" s="3572"/>
      <c r="AI40" s="3609"/>
      <c r="AJ40" s="3572"/>
      <c r="AK40" s="3609"/>
      <c r="AL40" s="3572"/>
      <c r="AM40" s="3748"/>
      <c r="AN40" s="6164"/>
      <c r="AO40" s="3573"/>
      <c r="AP40" s="3572"/>
      <c r="AQ40" s="3609"/>
      <c r="AR40" s="1755" t="str">
        <f t="shared" si="16"/>
        <v/>
      </c>
      <c r="BW40" s="2718"/>
      <c r="BX40" s="2718"/>
      <c r="BY40" s="2718"/>
      <c r="BZ40" s="2718"/>
      <c r="CA40" s="3008" t="str">
        <f t="shared" si="17"/>
        <v/>
      </c>
      <c r="CB40" s="3758"/>
      <c r="CC40" s="3758"/>
      <c r="CD40" s="3758"/>
      <c r="CE40" s="3758"/>
      <c r="CF40" s="3758"/>
      <c r="CG40" s="6323">
        <f t="shared" si="18"/>
        <v>0</v>
      </c>
      <c r="CH40" s="6324"/>
      <c r="CI40" s="6324"/>
      <c r="CJ40" s="6324"/>
      <c r="CK40" s="6324"/>
    </row>
    <row r="41" spans="1:89" x14ac:dyDescent="0.25">
      <c r="A41" s="8052"/>
      <c r="B41" s="3094" t="s">
        <v>3207</v>
      </c>
      <c r="C41" s="3994">
        <f t="shared" si="13"/>
        <v>0</v>
      </c>
      <c r="D41" s="4716">
        <f t="shared" si="14"/>
        <v>0</v>
      </c>
      <c r="E41" s="4713">
        <f t="shared" si="15"/>
        <v>0</v>
      </c>
      <c r="F41" s="5229"/>
      <c r="G41" s="5338"/>
      <c r="H41" s="5229"/>
      <c r="I41" s="3609"/>
      <c r="J41" s="5229"/>
      <c r="K41" s="3609"/>
      <c r="L41" s="5229"/>
      <c r="M41" s="5338"/>
      <c r="N41" s="3572"/>
      <c r="O41" s="3609"/>
      <c r="P41" s="3572"/>
      <c r="Q41" s="3609"/>
      <c r="R41" s="3572"/>
      <c r="S41" s="3609"/>
      <c r="T41" s="3572"/>
      <c r="U41" s="3609"/>
      <c r="V41" s="3572"/>
      <c r="W41" s="3609"/>
      <c r="X41" s="3572"/>
      <c r="Y41" s="3609"/>
      <c r="Z41" s="3572"/>
      <c r="AA41" s="3609"/>
      <c r="AB41" s="3572"/>
      <c r="AC41" s="3609"/>
      <c r="AD41" s="3572"/>
      <c r="AE41" s="3609"/>
      <c r="AF41" s="3572"/>
      <c r="AG41" s="3609"/>
      <c r="AH41" s="3572"/>
      <c r="AI41" s="3609"/>
      <c r="AJ41" s="3572"/>
      <c r="AK41" s="3609"/>
      <c r="AL41" s="3572"/>
      <c r="AM41" s="3748"/>
      <c r="AN41" s="6164"/>
      <c r="AO41" s="3573"/>
      <c r="AP41" s="3572"/>
      <c r="AQ41" s="3609"/>
      <c r="AR41" s="1755" t="str">
        <f t="shared" si="16"/>
        <v/>
      </c>
      <c r="BW41" s="2718"/>
      <c r="BX41" s="2718"/>
      <c r="BY41" s="2718"/>
      <c r="BZ41" s="2718"/>
      <c r="CA41" s="3008" t="str">
        <f t="shared" si="17"/>
        <v/>
      </c>
      <c r="CB41" s="3758"/>
      <c r="CC41" s="3758"/>
      <c r="CD41" s="3758"/>
      <c r="CE41" s="3758"/>
      <c r="CF41" s="3758"/>
      <c r="CG41" s="6323">
        <f t="shared" si="18"/>
        <v>0</v>
      </c>
      <c r="CH41" s="6324"/>
      <c r="CI41" s="6324"/>
      <c r="CJ41" s="6324"/>
      <c r="CK41" s="6324"/>
    </row>
    <row r="42" spans="1:89" x14ac:dyDescent="0.25">
      <c r="A42" s="8052"/>
      <c r="B42" s="3990" t="s">
        <v>3208</v>
      </c>
      <c r="C42" s="3555">
        <f t="shared" si="13"/>
        <v>0</v>
      </c>
      <c r="D42" s="2668">
        <f t="shared" si="14"/>
        <v>0</v>
      </c>
      <c r="E42" s="4714">
        <f t="shared" si="15"/>
        <v>0</v>
      </c>
      <c r="F42" s="5229"/>
      <c r="G42" s="5338"/>
      <c r="H42" s="5229"/>
      <c r="I42" s="5338"/>
      <c r="J42" s="5229"/>
      <c r="K42" s="3609"/>
      <c r="L42" s="5229"/>
      <c r="M42" s="5338"/>
      <c r="N42" s="3572"/>
      <c r="O42" s="5338"/>
      <c r="P42" s="5342"/>
      <c r="Q42" s="5338"/>
      <c r="R42" s="5342"/>
      <c r="S42" s="5338"/>
      <c r="T42" s="5342"/>
      <c r="U42" s="5338"/>
      <c r="V42" s="5342"/>
      <c r="W42" s="5338"/>
      <c r="X42" s="5342"/>
      <c r="Y42" s="5338"/>
      <c r="Z42" s="5342"/>
      <c r="AA42" s="5338"/>
      <c r="AB42" s="5342"/>
      <c r="AC42" s="5338"/>
      <c r="AD42" s="5342"/>
      <c r="AE42" s="5338"/>
      <c r="AF42" s="5342"/>
      <c r="AG42" s="5338"/>
      <c r="AH42" s="5342"/>
      <c r="AI42" s="5338"/>
      <c r="AJ42" s="5342"/>
      <c r="AK42" s="5338"/>
      <c r="AL42" s="5342"/>
      <c r="AM42" s="5536"/>
      <c r="AN42" s="6164"/>
      <c r="AO42" s="3573"/>
      <c r="AP42" s="5342"/>
      <c r="AQ42" s="5338"/>
      <c r="AR42" s="1755" t="str">
        <f t="shared" si="16"/>
        <v/>
      </c>
      <c r="BW42" s="2718"/>
      <c r="BX42" s="2718"/>
      <c r="BY42" s="2718"/>
      <c r="BZ42" s="2718"/>
      <c r="CA42" s="3008" t="str">
        <f t="shared" si="17"/>
        <v/>
      </c>
      <c r="CB42" s="3758"/>
      <c r="CC42" s="3758"/>
      <c r="CD42" s="3758"/>
      <c r="CE42" s="3758"/>
      <c r="CF42" s="3758"/>
      <c r="CG42" s="6323">
        <f t="shared" si="18"/>
        <v>0</v>
      </c>
      <c r="CH42" s="6324"/>
      <c r="CI42" s="6324"/>
      <c r="CJ42" s="6324"/>
      <c r="CK42" s="6324"/>
    </row>
    <row r="43" spans="1:89" x14ac:dyDescent="0.25">
      <c r="A43" s="8052"/>
      <c r="B43" s="3995" t="s">
        <v>3209</v>
      </c>
      <c r="C43" s="4675">
        <f t="shared" si="13"/>
        <v>0</v>
      </c>
      <c r="D43" s="2668">
        <f t="shared" si="14"/>
        <v>0</v>
      </c>
      <c r="E43" s="4714">
        <f t="shared" si="15"/>
        <v>0</v>
      </c>
      <c r="F43" s="5229"/>
      <c r="G43" s="5338"/>
      <c r="H43" s="5229"/>
      <c r="I43" s="5338"/>
      <c r="J43" s="5229"/>
      <c r="K43" s="3609"/>
      <c r="L43" s="5229"/>
      <c r="M43" s="5338"/>
      <c r="N43" s="3572"/>
      <c r="O43" s="5338"/>
      <c r="P43" s="5342"/>
      <c r="Q43" s="5338"/>
      <c r="R43" s="5342"/>
      <c r="S43" s="5338"/>
      <c r="T43" s="5342"/>
      <c r="U43" s="5338"/>
      <c r="V43" s="5342"/>
      <c r="W43" s="5338"/>
      <c r="X43" s="5342"/>
      <c r="Y43" s="5338"/>
      <c r="Z43" s="5342"/>
      <c r="AA43" s="5338"/>
      <c r="AB43" s="5342"/>
      <c r="AC43" s="5338"/>
      <c r="AD43" s="5342"/>
      <c r="AE43" s="5338"/>
      <c r="AF43" s="5342"/>
      <c r="AG43" s="5338"/>
      <c r="AH43" s="5342"/>
      <c r="AI43" s="5338"/>
      <c r="AJ43" s="5342"/>
      <c r="AK43" s="5338"/>
      <c r="AL43" s="5342"/>
      <c r="AM43" s="5536"/>
      <c r="AN43" s="6164"/>
      <c r="AO43" s="3573"/>
      <c r="AP43" s="5342"/>
      <c r="AQ43" s="5338"/>
      <c r="AR43" s="1755" t="str">
        <f t="shared" si="16"/>
        <v/>
      </c>
      <c r="BW43" s="2718"/>
      <c r="BX43" s="2718"/>
      <c r="BY43" s="2718"/>
      <c r="BZ43" s="2718"/>
      <c r="CA43" s="3008" t="str">
        <f t="shared" si="17"/>
        <v/>
      </c>
      <c r="CB43" s="3758"/>
      <c r="CC43" s="3758"/>
      <c r="CD43" s="3758"/>
      <c r="CE43" s="3758"/>
      <c r="CF43" s="3758"/>
      <c r="CG43" s="6323">
        <f t="shared" si="18"/>
        <v>0</v>
      </c>
      <c r="CH43" s="6324"/>
      <c r="CI43" s="6324"/>
      <c r="CJ43" s="6324"/>
      <c r="CK43" s="6324"/>
    </row>
    <row r="44" spans="1:89" x14ac:dyDescent="0.25">
      <c r="A44" s="8052"/>
      <c r="B44" s="3996" t="s">
        <v>3210</v>
      </c>
      <c r="C44" s="4675">
        <f t="shared" si="13"/>
        <v>0</v>
      </c>
      <c r="D44" s="2668">
        <f t="shared" si="14"/>
        <v>0</v>
      </c>
      <c r="E44" s="4714">
        <f t="shared" si="15"/>
        <v>0</v>
      </c>
      <c r="F44" s="5229"/>
      <c r="G44" s="5338"/>
      <c r="H44" s="5229"/>
      <c r="I44" s="5338"/>
      <c r="J44" s="5229"/>
      <c r="K44" s="3609"/>
      <c r="L44" s="5229"/>
      <c r="M44" s="5338"/>
      <c r="N44" s="3572"/>
      <c r="O44" s="5338"/>
      <c r="P44" s="5342"/>
      <c r="Q44" s="5338"/>
      <c r="R44" s="5342"/>
      <c r="S44" s="5338"/>
      <c r="T44" s="5342"/>
      <c r="U44" s="5338"/>
      <c r="V44" s="5342"/>
      <c r="W44" s="5338"/>
      <c r="X44" s="5342"/>
      <c r="Y44" s="5338"/>
      <c r="Z44" s="5342"/>
      <c r="AA44" s="5338"/>
      <c r="AB44" s="5342"/>
      <c r="AC44" s="5338"/>
      <c r="AD44" s="5342"/>
      <c r="AE44" s="5338"/>
      <c r="AF44" s="5342"/>
      <c r="AG44" s="5338"/>
      <c r="AH44" s="5342"/>
      <c r="AI44" s="5338"/>
      <c r="AJ44" s="5342"/>
      <c r="AK44" s="5338"/>
      <c r="AL44" s="5342"/>
      <c r="AM44" s="5536"/>
      <c r="AN44" s="6164"/>
      <c r="AO44" s="3573"/>
      <c r="AP44" s="5342"/>
      <c r="AQ44" s="5338"/>
      <c r="AR44" s="1755" t="str">
        <f t="shared" si="16"/>
        <v/>
      </c>
      <c r="BW44" s="2718"/>
      <c r="BX44" s="2718"/>
      <c r="BY44" s="2718"/>
      <c r="BZ44" s="2718"/>
      <c r="CA44" s="3008" t="str">
        <f t="shared" si="17"/>
        <v/>
      </c>
      <c r="CB44" s="3758"/>
      <c r="CC44" s="3758"/>
      <c r="CD44" s="3758"/>
      <c r="CE44" s="3758"/>
      <c r="CF44" s="3758"/>
      <c r="CG44" s="6323">
        <f t="shared" si="18"/>
        <v>0</v>
      </c>
      <c r="CH44" s="6324"/>
      <c r="CI44" s="6324"/>
      <c r="CJ44" s="6324"/>
      <c r="CK44" s="6324"/>
    </row>
    <row r="45" spans="1:89" x14ac:dyDescent="0.25">
      <c r="A45" s="8052"/>
      <c r="B45" s="3995" t="s">
        <v>3211</v>
      </c>
      <c r="C45" s="4675">
        <f t="shared" si="13"/>
        <v>0</v>
      </c>
      <c r="D45" s="2668">
        <f t="shared" si="14"/>
        <v>0</v>
      </c>
      <c r="E45" s="4714">
        <f t="shared" si="15"/>
        <v>0</v>
      </c>
      <c r="F45" s="5229"/>
      <c r="G45" s="5338"/>
      <c r="H45" s="5229"/>
      <c r="I45" s="5338"/>
      <c r="J45" s="5229"/>
      <c r="K45" s="3609"/>
      <c r="L45" s="5229"/>
      <c r="M45" s="5338"/>
      <c r="N45" s="3572"/>
      <c r="O45" s="5338"/>
      <c r="P45" s="5342"/>
      <c r="Q45" s="5338"/>
      <c r="R45" s="5342"/>
      <c r="S45" s="5338"/>
      <c r="T45" s="5342"/>
      <c r="U45" s="5338"/>
      <c r="V45" s="5342"/>
      <c r="W45" s="5338"/>
      <c r="X45" s="5342"/>
      <c r="Y45" s="5338"/>
      <c r="Z45" s="5342"/>
      <c r="AA45" s="5338"/>
      <c r="AB45" s="5342"/>
      <c r="AC45" s="5338"/>
      <c r="AD45" s="5342"/>
      <c r="AE45" s="5338"/>
      <c r="AF45" s="5342"/>
      <c r="AG45" s="5338"/>
      <c r="AH45" s="5342"/>
      <c r="AI45" s="5338"/>
      <c r="AJ45" s="5342"/>
      <c r="AK45" s="5338"/>
      <c r="AL45" s="5342"/>
      <c r="AM45" s="5536"/>
      <c r="AN45" s="6164"/>
      <c r="AO45" s="3573"/>
      <c r="AP45" s="5342"/>
      <c r="AQ45" s="5338"/>
      <c r="AR45" s="1755" t="str">
        <f t="shared" si="16"/>
        <v/>
      </c>
      <c r="BW45" s="2718"/>
      <c r="BX45" s="2718"/>
      <c r="BY45" s="2718"/>
      <c r="BZ45" s="2718"/>
      <c r="CA45" s="3008" t="str">
        <f t="shared" si="17"/>
        <v/>
      </c>
      <c r="CB45" s="3758"/>
      <c r="CC45" s="3758"/>
      <c r="CD45" s="3758"/>
      <c r="CE45" s="3758"/>
      <c r="CF45" s="3758"/>
      <c r="CG45" s="6323">
        <f t="shared" si="18"/>
        <v>0</v>
      </c>
      <c r="CH45" s="6324"/>
      <c r="CI45" s="6324"/>
      <c r="CJ45" s="6324"/>
      <c r="CK45" s="6324"/>
    </row>
    <row r="46" spans="1:89" x14ac:dyDescent="0.25">
      <c r="A46" s="8052"/>
      <c r="B46" s="3995" t="s">
        <v>3212</v>
      </c>
      <c r="C46" s="4675">
        <f t="shared" si="13"/>
        <v>0</v>
      </c>
      <c r="D46" s="2668">
        <f t="shared" si="14"/>
        <v>0</v>
      </c>
      <c r="E46" s="4714">
        <f t="shared" si="15"/>
        <v>0</v>
      </c>
      <c r="F46" s="5229"/>
      <c r="G46" s="5338"/>
      <c r="H46" s="5229"/>
      <c r="I46" s="5338"/>
      <c r="J46" s="5229"/>
      <c r="K46" s="3609"/>
      <c r="L46" s="5229"/>
      <c r="M46" s="5338"/>
      <c r="N46" s="3572"/>
      <c r="O46" s="5338"/>
      <c r="P46" s="5342"/>
      <c r="Q46" s="5338"/>
      <c r="R46" s="5342"/>
      <c r="S46" s="5338"/>
      <c r="T46" s="5342"/>
      <c r="U46" s="5338"/>
      <c r="V46" s="5342"/>
      <c r="W46" s="5338"/>
      <c r="X46" s="5342"/>
      <c r="Y46" s="5338"/>
      <c r="Z46" s="5342"/>
      <c r="AA46" s="5338"/>
      <c r="AB46" s="5342"/>
      <c r="AC46" s="5338"/>
      <c r="AD46" s="5342"/>
      <c r="AE46" s="5338"/>
      <c r="AF46" s="5342"/>
      <c r="AG46" s="5338"/>
      <c r="AH46" s="5342"/>
      <c r="AI46" s="5338"/>
      <c r="AJ46" s="5342"/>
      <c r="AK46" s="5338"/>
      <c r="AL46" s="5342"/>
      <c r="AM46" s="5536"/>
      <c r="AN46" s="6164"/>
      <c r="AO46" s="3573"/>
      <c r="AP46" s="5342"/>
      <c r="AQ46" s="5338"/>
      <c r="AR46" s="1755" t="str">
        <f t="shared" si="16"/>
        <v/>
      </c>
      <c r="BW46" s="2718"/>
      <c r="BX46" s="2718"/>
      <c r="BY46" s="2718"/>
      <c r="BZ46" s="2718"/>
      <c r="CA46" s="3008" t="str">
        <f t="shared" si="17"/>
        <v/>
      </c>
      <c r="CB46" s="3758"/>
      <c r="CC46" s="3758"/>
      <c r="CD46" s="3758"/>
      <c r="CE46" s="3758"/>
      <c r="CF46" s="3758"/>
      <c r="CG46" s="6323">
        <f t="shared" si="18"/>
        <v>0</v>
      </c>
      <c r="CH46" s="6324"/>
      <c r="CI46" s="6324"/>
      <c r="CJ46" s="6324"/>
      <c r="CK46" s="6324"/>
    </row>
    <row r="47" spans="1:89" x14ac:dyDescent="0.25">
      <c r="A47" s="8052"/>
      <c r="B47" s="3995" t="s">
        <v>3213</v>
      </c>
      <c r="C47" s="3997">
        <f t="shared" si="13"/>
        <v>0</v>
      </c>
      <c r="D47" s="4717">
        <f t="shared" si="14"/>
        <v>0</v>
      </c>
      <c r="E47" s="3998">
        <f t="shared" si="15"/>
        <v>0</v>
      </c>
      <c r="F47" s="410"/>
      <c r="G47" s="412"/>
      <c r="H47" s="410"/>
      <c r="I47" s="412"/>
      <c r="J47" s="410"/>
      <c r="K47" s="411"/>
      <c r="L47" s="410"/>
      <c r="M47" s="412"/>
      <c r="N47" s="414"/>
      <c r="O47" s="412"/>
      <c r="P47" s="3616"/>
      <c r="Q47" s="412"/>
      <c r="R47" s="3616"/>
      <c r="S47" s="412"/>
      <c r="T47" s="3616"/>
      <c r="U47" s="412"/>
      <c r="V47" s="3616"/>
      <c r="W47" s="412"/>
      <c r="X47" s="3616"/>
      <c r="Y47" s="412"/>
      <c r="Z47" s="3616"/>
      <c r="AA47" s="412"/>
      <c r="AB47" s="3616"/>
      <c r="AC47" s="412"/>
      <c r="AD47" s="3616"/>
      <c r="AE47" s="412"/>
      <c r="AF47" s="3616"/>
      <c r="AG47" s="412"/>
      <c r="AH47" s="3616"/>
      <c r="AI47" s="412"/>
      <c r="AJ47" s="3616"/>
      <c r="AK47" s="412"/>
      <c r="AL47" s="3616"/>
      <c r="AM47" s="3630"/>
      <c r="AN47" s="3617"/>
      <c r="AO47" s="3616"/>
      <c r="AP47" s="3616"/>
      <c r="AQ47" s="412"/>
      <c r="AR47" s="1755" t="str">
        <f t="shared" si="16"/>
        <v/>
      </c>
      <c r="BW47" s="2718"/>
      <c r="BX47" s="2718"/>
      <c r="BY47" s="2718"/>
      <c r="BZ47" s="2718"/>
      <c r="CA47" s="3008" t="str">
        <f>IF(CG47=1," * El total de Ingresos debe ser igual a la suma de los Tipos de Estrategia. ","")</f>
        <v/>
      </c>
      <c r="CB47" s="3758"/>
      <c r="CC47" s="3758"/>
      <c r="CD47" s="3758"/>
      <c r="CE47" s="3758"/>
      <c r="CF47" s="3758"/>
      <c r="CG47" s="6323">
        <f t="shared" si="18"/>
        <v>0</v>
      </c>
      <c r="CH47" s="6324"/>
      <c r="CI47" s="6324"/>
      <c r="CJ47" s="6324"/>
      <c r="CK47" s="6324"/>
    </row>
    <row r="48" spans="1:89" x14ac:dyDescent="0.25">
      <c r="A48" s="8415"/>
      <c r="B48" s="3999" t="s">
        <v>28</v>
      </c>
      <c r="C48" s="5535">
        <f t="shared" si="13"/>
        <v>0</v>
      </c>
      <c r="D48" s="4718">
        <f t="shared" si="14"/>
        <v>0</v>
      </c>
      <c r="E48" s="5531">
        <f t="shared" si="15"/>
        <v>0</v>
      </c>
      <c r="F48" s="3586"/>
      <c r="G48" s="3587"/>
      <c r="H48" s="3586"/>
      <c r="I48" s="3587"/>
      <c r="J48" s="3586"/>
      <c r="K48" s="290"/>
      <c r="L48" s="3586"/>
      <c r="M48" s="3587"/>
      <c r="N48" s="288"/>
      <c r="O48" s="3587"/>
      <c r="P48" s="3585"/>
      <c r="Q48" s="3587"/>
      <c r="R48" s="3585"/>
      <c r="S48" s="3587"/>
      <c r="T48" s="3585"/>
      <c r="U48" s="3587"/>
      <c r="V48" s="3585"/>
      <c r="W48" s="3587"/>
      <c r="X48" s="3585"/>
      <c r="Y48" s="3587"/>
      <c r="Z48" s="3585"/>
      <c r="AA48" s="3587"/>
      <c r="AB48" s="3585"/>
      <c r="AC48" s="3587"/>
      <c r="AD48" s="3585"/>
      <c r="AE48" s="3587"/>
      <c r="AF48" s="3585"/>
      <c r="AG48" s="3587"/>
      <c r="AH48" s="3585"/>
      <c r="AI48" s="3587"/>
      <c r="AJ48" s="3585"/>
      <c r="AK48" s="3587"/>
      <c r="AL48" s="3585"/>
      <c r="AM48" s="3632"/>
      <c r="AN48" s="6165"/>
      <c r="AO48" s="3585"/>
      <c r="AP48" s="3585"/>
      <c r="AQ48" s="3587"/>
      <c r="AR48" s="1755" t="str">
        <f t="shared" si="16"/>
        <v/>
      </c>
      <c r="BW48" s="2718"/>
      <c r="BX48" s="2718"/>
      <c r="BY48" s="2718"/>
      <c r="BZ48" s="2718"/>
      <c r="CA48" s="3008" t="str">
        <f t="shared" si="17"/>
        <v/>
      </c>
      <c r="CB48" s="3758"/>
      <c r="CC48" s="3758"/>
      <c r="CD48" s="3758"/>
      <c r="CE48" s="3758"/>
      <c r="CF48" s="3758"/>
      <c r="CG48" s="6323">
        <f t="shared" si="18"/>
        <v>0</v>
      </c>
      <c r="CH48" s="6324"/>
      <c r="CI48" s="6324"/>
      <c r="CJ48" s="6324"/>
      <c r="CK48" s="6324"/>
    </row>
    <row r="49" spans="1:130" x14ac:dyDescent="0.25">
      <c r="A49" s="5534" t="s">
        <v>3214</v>
      </c>
      <c r="B49" s="5533"/>
      <c r="C49" s="4000">
        <f t="shared" si="13"/>
        <v>0</v>
      </c>
      <c r="D49" s="2668">
        <f t="shared" si="14"/>
        <v>0</v>
      </c>
      <c r="E49" s="4714">
        <f t="shared" si="15"/>
        <v>0</v>
      </c>
      <c r="F49" s="276"/>
      <c r="G49" s="5362"/>
      <c r="H49" s="276"/>
      <c r="I49" s="4659"/>
      <c r="J49" s="276"/>
      <c r="K49" s="4659"/>
      <c r="L49" s="276"/>
      <c r="M49" s="5362"/>
      <c r="N49" s="615"/>
      <c r="O49" s="4659"/>
      <c r="P49" s="615"/>
      <c r="Q49" s="4659"/>
      <c r="R49" s="615"/>
      <c r="S49" s="4659"/>
      <c r="T49" s="615"/>
      <c r="U49" s="4659"/>
      <c r="V49" s="615"/>
      <c r="W49" s="4659"/>
      <c r="X49" s="615"/>
      <c r="Y49" s="4659"/>
      <c r="Z49" s="615"/>
      <c r="AA49" s="4659"/>
      <c r="AB49" s="615"/>
      <c r="AC49" s="4659"/>
      <c r="AD49" s="615"/>
      <c r="AE49" s="4659"/>
      <c r="AF49" s="615"/>
      <c r="AG49" s="4659"/>
      <c r="AH49" s="615"/>
      <c r="AI49" s="4659"/>
      <c r="AJ49" s="615"/>
      <c r="AK49" s="4659"/>
      <c r="AL49" s="615"/>
      <c r="AM49" s="3751"/>
      <c r="AN49" s="5393"/>
      <c r="AO49" s="5334"/>
      <c r="AP49" s="615"/>
      <c r="AQ49" s="4659"/>
      <c r="AR49" s="1755" t="str">
        <f t="shared" si="16"/>
        <v/>
      </c>
      <c r="BW49" s="2718"/>
      <c r="BX49" s="2718"/>
      <c r="BY49" s="2718"/>
      <c r="BZ49" s="2718"/>
      <c r="CA49" s="3008" t="str">
        <f t="shared" si="17"/>
        <v/>
      </c>
      <c r="CB49" s="3758"/>
      <c r="CC49" s="3758"/>
      <c r="CD49" s="3758"/>
      <c r="CE49" s="3758"/>
      <c r="CF49" s="3758"/>
      <c r="CG49" s="6323">
        <f>IF(SUM(AN49:AQ49)=C49,0,1)</f>
        <v>0</v>
      </c>
      <c r="CH49" s="6324"/>
      <c r="CI49" s="6324"/>
      <c r="CJ49" s="6324"/>
      <c r="CK49" s="6324"/>
    </row>
    <row r="50" spans="1:130" x14ac:dyDescent="0.25">
      <c r="A50" s="269" t="s">
        <v>3215</v>
      </c>
      <c r="B50" s="5532"/>
      <c r="C50" s="4001">
        <f t="shared" si="13"/>
        <v>0</v>
      </c>
      <c r="D50" s="4718">
        <f t="shared" si="14"/>
        <v>0</v>
      </c>
      <c r="E50" s="5531">
        <f t="shared" si="15"/>
        <v>0</v>
      </c>
      <c r="F50" s="3586"/>
      <c r="G50" s="3587"/>
      <c r="H50" s="3586"/>
      <c r="I50" s="290"/>
      <c r="J50" s="3586"/>
      <c r="K50" s="290"/>
      <c r="L50" s="3586"/>
      <c r="M50" s="3587"/>
      <c r="N50" s="288"/>
      <c r="O50" s="290"/>
      <c r="P50" s="288"/>
      <c r="Q50" s="290"/>
      <c r="R50" s="288"/>
      <c r="S50" s="290"/>
      <c r="T50" s="288"/>
      <c r="U50" s="290"/>
      <c r="V50" s="288"/>
      <c r="W50" s="290"/>
      <c r="X50" s="288"/>
      <c r="Y50" s="290"/>
      <c r="Z50" s="288"/>
      <c r="AA50" s="290"/>
      <c r="AB50" s="288"/>
      <c r="AC50" s="290"/>
      <c r="AD50" s="288"/>
      <c r="AE50" s="290"/>
      <c r="AF50" s="288"/>
      <c r="AG50" s="290"/>
      <c r="AH50" s="288"/>
      <c r="AI50" s="290"/>
      <c r="AJ50" s="288"/>
      <c r="AK50" s="290"/>
      <c r="AL50" s="288"/>
      <c r="AM50" s="383"/>
      <c r="AN50" s="6165"/>
      <c r="AO50" s="3585"/>
      <c r="AP50" s="288"/>
      <c r="AQ50" s="290"/>
      <c r="AR50" s="1755" t="str">
        <f t="shared" si="16"/>
        <v/>
      </c>
      <c r="BW50" s="2718"/>
      <c r="BX50" s="2718"/>
      <c r="BY50" s="2718"/>
      <c r="BZ50" s="2718"/>
      <c r="CA50" s="3008" t="str">
        <f t="shared" si="17"/>
        <v/>
      </c>
      <c r="CB50" s="3758"/>
      <c r="CC50" s="3758"/>
      <c r="CD50" s="3758"/>
      <c r="CE50" s="3758"/>
      <c r="CF50" s="3758"/>
      <c r="CG50" s="6323">
        <f>IF(SUM(AN50:AQ50)=C50,0,1)</f>
        <v>0</v>
      </c>
      <c r="CH50" s="6324"/>
      <c r="CI50" s="6324"/>
      <c r="CJ50" s="6324"/>
      <c r="CK50" s="6324"/>
    </row>
    <row r="51" spans="1:130" ht="18" customHeight="1" x14ac:dyDescent="0.25">
      <c r="A51" s="122" t="s">
        <v>3216</v>
      </c>
      <c r="B51" s="1749"/>
      <c r="C51" s="4002"/>
      <c r="D51" s="1749"/>
      <c r="E51" s="1749"/>
      <c r="F51" s="1749"/>
      <c r="G51" s="1749"/>
      <c r="H51" s="1749"/>
      <c r="CA51" s="782"/>
      <c r="CB51" s="2660"/>
      <c r="CC51" s="2660"/>
      <c r="CD51" s="2660"/>
      <c r="CE51" s="2660"/>
      <c r="CF51" s="2660"/>
      <c r="CG51" s="782"/>
      <c r="CH51" s="2660"/>
      <c r="CI51" s="2660"/>
      <c r="CJ51" s="2660"/>
      <c r="CK51" s="2660"/>
    </row>
    <row r="52" spans="1:130" x14ac:dyDescent="0.25">
      <c r="A52" s="8409" t="s">
        <v>61</v>
      </c>
      <c r="B52" s="6516" t="s">
        <v>1</v>
      </c>
      <c r="C52" s="6498" t="s">
        <v>3802</v>
      </c>
      <c r="D52" s="6498"/>
      <c r="E52" s="6498"/>
      <c r="F52" s="8407"/>
      <c r="G52" s="8408" t="s">
        <v>3803</v>
      </c>
      <c r="H52" s="7313"/>
    </row>
    <row r="53" spans="1:130" ht="21" x14ac:dyDescent="0.25">
      <c r="A53" s="8392"/>
      <c r="B53" s="8393"/>
      <c r="C53" s="5791" t="s">
        <v>3193</v>
      </c>
      <c r="D53" s="6166" t="s">
        <v>3180</v>
      </c>
      <c r="E53" s="5505" t="s">
        <v>3181</v>
      </c>
      <c r="F53" s="5504" t="s">
        <v>3182</v>
      </c>
      <c r="G53" s="6169" t="s">
        <v>3217</v>
      </c>
      <c r="H53" s="6170" t="s">
        <v>3218</v>
      </c>
    </row>
    <row r="54" spans="1:130" x14ac:dyDescent="0.25">
      <c r="A54" s="4003" t="s">
        <v>74</v>
      </c>
      <c r="B54" s="1750">
        <f>SUM(C54:F54)</f>
        <v>0</v>
      </c>
      <c r="C54" s="964"/>
      <c r="D54" s="4974"/>
      <c r="E54" s="4974"/>
      <c r="F54" s="4975"/>
      <c r="G54" s="6171"/>
      <c r="H54" s="6172"/>
    </row>
    <row r="55" spans="1:130" x14ac:dyDescent="0.25">
      <c r="A55" s="3996" t="s">
        <v>277</v>
      </c>
      <c r="B55" s="1750">
        <f>SUM(C55:F55)</f>
        <v>0</v>
      </c>
      <c r="C55" s="6167"/>
      <c r="D55" s="5725"/>
      <c r="E55" s="980"/>
      <c r="F55" s="5530"/>
      <c r="G55" s="6173"/>
      <c r="H55" s="5726"/>
    </row>
    <row r="56" spans="1:130" x14ac:dyDescent="0.25">
      <c r="A56" s="3996" t="s">
        <v>79</v>
      </c>
      <c r="B56" s="1750">
        <f>SUM(C56:F56)</f>
        <v>0</v>
      </c>
      <c r="C56" s="6167"/>
      <c r="D56" s="5725"/>
      <c r="E56" s="980"/>
      <c r="F56" s="5530"/>
      <c r="G56" s="6173"/>
      <c r="H56" s="5726"/>
    </row>
    <row r="57" spans="1:130" x14ac:dyDescent="0.25">
      <c r="A57" s="3996" t="s">
        <v>249</v>
      </c>
      <c r="B57" s="1750">
        <f>SUM(C57:F57)</f>
        <v>0</v>
      </c>
      <c r="C57" s="6167"/>
      <c r="D57" s="5725"/>
      <c r="E57" s="980"/>
      <c r="F57" s="5530"/>
      <c r="G57" s="6173"/>
      <c r="H57" s="5726"/>
    </row>
    <row r="58" spans="1:130" x14ac:dyDescent="0.25">
      <c r="A58" s="3996" t="s">
        <v>75</v>
      </c>
      <c r="B58" s="1750">
        <f>SUM(C58:F58)</f>
        <v>0</v>
      </c>
      <c r="C58" s="955"/>
      <c r="D58" s="4005"/>
      <c r="E58" s="4005"/>
      <c r="F58" s="4006"/>
      <c r="G58" s="959"/>
      <c r="H58" s="5749"/>
    </row>
    <row r="59" spans="1:130" x14ac:dyDescent="0.25">
      <c r="A59" s="5523" t="s">
        <v>24</v>
      </c>
      <c r="B59" s="5529">
        <f t="shared" ref="B59:H59" si="19">SUM(B54:B58)</f>
        <v>0</v>
      </c>
      <c r="C59" s="6168">
        <f t="shared" si="19"/>
        <v>0</v>
      </c>
      <c r="D59" s="4007">
        <f t="shared" si="19"/>
        <v>0</v>
      </c>
      <c r="E59" s="4007">
        <f t="shared" si="19"/>
        <v>0</v>
      </c>
      <c r="F59" s="4008">
        <f t="shared" si="19"/>
        <v>0</v>
      </c>
      <c r="G59" s="6174">
        <f t="shared" si="19"/>
        <v>0</v>
      </c>
      <c r="H59" s="6175">
        <f t="shared" si="19"/>
        <v>0</v>
      </c>
    </row>
    <row r="60" spans="1:130" ht="18" customHeight="1" x14ac:dyDescent="0.25">
      <c r="A60" s="122" t="s">
        <v>3219</v>
      </c>
      <c r="B60" s="101"/>
      <c r="C60" s="101"/>
      <c r="D60" s="123"/>
      <c r="E60" s="123"/>
      <c r="F60" s="123"/>
      <c r="G60" s="123"/>
      <c r="H60" s="123"/>
      <c r="I60" s="123"/>
      <c r="J60" s="123"/>
      <c r="K60" s="123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130" x14ac:dyDescent="0.25">
      <c r="A61" s="8409" t="s">
        <v>61</v>
      </c>
      <c r="B61" s="7672" t="s">
        <v>1</v>
      </c>
      <c r="C61" s="8410" t="s">
        <v>558</v>
      </c>
      <c r="D61" s="8410"/>
      <c r="E61" s="8410"/>
      <c r="F61" s="8410"/>
      <c r="G61" s="8410"/>
      <c r="H61" s="8410"/>
      <c r="I61" s="8410"/>
      <c r="J61" s="8410"/>
      <c r="K61" s="8410"/>
      <c r="L61" s="8410"/>
      <c r="M61" s="8410"/>
      <c r="N61" s="8410"/>
      <c r="O61" s="8410"/>
      <c r="P61" s="8410"/>
      <c r="Q61" s="8410"/>
      <c r="R61" s="8410"/>
      <c r="S61" s="8411"/>
      <c r="T61" s="8416" t="s">
        <v>466</v>
      </c>
      <c r="U61" s="6498"/>
      <c r="V61" s="6498"/>
      <c r="W61" s="8407"/>
      <c r="X61" s="7312" t="s">
        <v>3220</v>
      </c>
      <c r="Y61" s="7312"/>
      <c r="Z61" s="7313"/>
    </row>
    <row r="62" spans="1:130" ht="21" x14ac:dyDescent="0.25">
      <c r="A62" s="8392"/>
      <c r="B62" s="7287"/>
      <c r="C62" s="5527" t="s">
        <v>36</v>
      </c>
      <c r="D62" s="5527" t="s">
        <v>37</v>
      </c>
      <c r="E62" s="5527" t="s">
        <v>38</v>
      </c>
      <c r="F62" s="5527" t="s">
        <v>4</v>
      </c>
      <c r="G62" s="5527" t="s">
        <v>5</v>
      </c>
      <c r="H62" s="5527" t="s">
        <v>560</v>
      </c>
      <c r="I62" s="5527" t="s">
        <v>561</v>
      </c>
      <c r="J62" s="5527" t="s">
        <v>8</v>
      </c>
      <c r="K62" s="5527" t="s">
        <v>9</v>
      </c>
      <c r="L62" s="5527" t="s">
        <v>576</v>
      </c>
      <c r="M62" s="5527" t="s">
        <v>11</v>
      </c>
      <c r="N62" s="5527" t="s">
        <v>18</v>
      </c>
      <c r="O62" s="5527" t="s">
        <v>19</v>
      </c>
      <c r="P62" s="5527" t="s">
        <v>20</v>
      </c>
      <c r="Q62" s="5527" t="s">
        <v>70</v>
      </c>
      <c r="R62" s="5527" t="s">
        <v>71</v>
      </c>
      <c r="S62" s="5526" t="s">
        <v>72</v>
      </c>
      <c r="T62" s="5525" t="s">
        <v>3193</v>
      </c>
      <c r="U62" s="5506" t="s">
        <v>3180</v>
      </c>
      <c r="V62" s="5505" t="s">
        <v>3221</v>
      </c>
      <c r="W62" s="5504" t="s">
        <v>3182</v>
      </c>
      <c r="X62" s="6169" t="s">
        <v>3222</v>
      </c>
      <c r="Y62" s="6166" t="s">
        <v>3223</v>
      </c>
      <c r="Z62" s="6071" t="s">
        <v>3218</v>
      </c>
    </row>
    <row r="63" spans="1:130" x14ac:dyDescent="0.25">
      <c r="A63" s="3996" t="s">
        <v>277</v>
      </c>
      <c r="B63" s="1751">
        <f>SUM(C63:S63)</f>
        <v>0</v>
      </c>
      <c r="C63" s="4009"/>
      <c r="D63" s="4004"/>
      <c r="E63" s="4004"/>
      <c r="F63" s="4004"/>
      <c r="G63" s="4004"/>
      <c r="H63" s="4004"/>
      <c r="I63" s="4004"/>
      <c r="J63" s="4004"/>
      <c r="K63" s="4004"/>
      <c r="L63" s="4004"/>
      <c r="M63" s="4004"/>
      <c r="N63" s="4004"/>
      <c r="O63" s="4004"/>
      <c r="P63" s="4004"/>
      <c r="Q63" s="4004"/>
      <c r="R63" s="4004"/>
      <c r="S63" s="4010"/>
      <c r="T63" s="5524"/>
      <c r="U63" s="5239"/>
      <c r="V63" s="5239"/>
      <c r="W63" s="771"/>
      <c r="X63" s="5524"/>
      <c r="Y63" s="5239"/>
      <c r="Z63" s="5238"/>
      <c r="AA63" s="1755" t="str">
        <f>CA63&amp;CB63&amp;CC63&amp;CD63</f>
        <v/>
      </c>
      <c r="BF63" s="2718"/>
      <c r="BG63" s="2718"/>
      <c r="BH63" s="2718"/>
      <c r="BI63" s="2718"/>
      <c r="BJ63" s="2718"/>
      <c r="BK63" s="2718"/>
      <c r="BL63" s="2718"/>
      <c r="BM63" s="2718"/>
      <c r="BN63" s="2718"/>
      <c r="BO63" s="2718"/>
      <c r="BP63" s="2718"/>
      <c r="BQ63" s="2718"/>
      <c r="BR63" s="2718"/>
      <c r="BS63" s="2718"/>
      <c r="BT63" s="2718"/>
      <c r="BU63" s="2718"/>
      <c r="BV63" s="2718"/>
      <c r="BW63" s="2718"/>
      <c r="BX63" s="2718"/>
      <c r="BY63" s="2718"/>
      <c r="BZ63" s="2718"/>
      <c r="CA63" s="4933"/>
      <c r="CB63" s="4933"/>
      <c r="CC63" s="2873" t="str">
        <f>IF(T63+U63+V63+W63&lt;&gt;$B63,"* El número de "&amp;T$61&amp;""&amp;" no debe ser distinto del Total. ","")</f>
        <v/>
      </c>
      <c r="CD63" s="2873" t="str">
        <f>IF(X63+Y63+Z63&gt;$B63,"* El número de "&amp;X$61&amp;""&amp;" no puede superar el Total. ","")</f>
        <v/>
      </c>
      <c r="CE63" s="2718"/>
      <c r="CF63" s="2718"/>
      <c r="CG63" s="1793">
        <f>IF(T63+U63+V63+W63&lt;&gt;$B63,1,0)</f>
        <v>0</v>
      </c>
      <c r="CH63" s="1793">
        <f>IF(X63+Y63+Z63&gt;$B63,1,0)</f>
        <v>0</v>
      </c>
      <c r="CI63" s="1791"/>
      <c r="CJ63" s="1791"/>
      <c r="CK63" s="1791"/>
      <c r="CL63" s="1791"/>
      <c r="CM63" s="1791"/>
      <c r="CN63"/>
      <c r="CO63"/>
      <c r="CP63"/>
      <c r="CQ63"/>
      <c r="DJ63" s="1134"/>
      <c r="DK63" s="1134"/>
      <c r="DL63" s="1134"/>
      <c r="DM63" s="1134"/>
      <c r="DN63" s="1134"/>
      <c r="DO63" s="1134"/>
      <c r="DP63" s="1134"/>
      <c r="DQ63" s="1134"/>
      <c r="DR63" s="1134"/>
      <c r="DS63" s="1134"/>
      <c r="DT63" s="1134"/>
      <c r="DU63" s="1134"/>
      <c r="DV63" s="1134"/>
      <c r="DW63" s="1134"/>
      <c r="DX63" s="1134"/>
      <c r="DY63" s="1134"/>
      <c r="DZ63" s="1134"/>
    </row>
    <row r="64" spans="1:130" x14ac:dyDescent="0.25">
      <c r="A64" s="3996" t="s">
        <v>79</v>
      </c>
      <c r="B64" s="3962">
        <f>SUM(C64:S64)</f>
        <v>0</v>
      </c>
      <c r="C64" s="4009"/>
      <c r="D64" s="4004"/>
      <c r="E64" s="4004"/>
      <c r="F64" s="4004"/>
      <c r="G64" s="4004"/>
      <c r="H64" s="4004"/>
      <c r="I64" s="4004"/>
      <c r="J64" s="4004"/>
      <c r="K64" s="4004"/>
      <c r="L64" s="4004"/>
      <c r="M64" s="4004"/>
      <c r="N64" s="4004"/>
      <c r="O64" s="4004"/>
      <c r="P64" s="4004"/>
      <c r="Q64" s="4004"/>
      <c r="R64" s="4004"/>
      <c r="S64" s="4010"/>
      <c r="T64" s="1132"/>
      <c r="U64" s="1090"/>
      <c r="V64" s="1090"/>
      <c r="W64" s="3233"/>
      <c r="X64" s="933"/>
      <c r="Y64" s="621"/>
      <c r="Z64" s="630"/>
      <c r="AA64" s="1755" t="str">
        <f t="shared" ref="AA64:AA66" si="20">CA64&amp;CB64&amp;CC64&amp;CD64</f>
        <v/>
      </c>
      <c r="BF64" s="2718"/>
      <c r="BG64" s="2718"/>
      <c r="BH64" s="2718"/>
      <c r="BI64" s="2718"/>
      <c r="BJ64" s="2718"/>
      <c r="BK64" s="2718"/>
      <c r="BL64" s="2718"/>
      <c r="BM64" s="2718"/>
      <c r="BN64" s="2718"/>
      <c r="BO64" s="2718"/>
      <c r="BP64" s="2718"/>
      <c r="BQ64" s="2718"/>
      <c r="BR64" s="2718"/>
      <c r="BS64" s="2718"/>
      <c r="BT64" s="2718"/>
      <c r="BU64" s="2718"/>
      <c r="BV64" s="2718"/>
      <c r="BW64" s="2718"/>
      <c r="BX64" s="2718"/>
      <c r="BY64" s="2718"/>
      <c r="BZ64" s="2718"/>
      <c r="CA64" s="4933"/>
      <c r="CB64" s="4933"/>
      <c r="CC64" s="2873" t="str">
        <f t="shared" ref="CC64:CC66" si="21">IF(T64+U64+V64+W64&lt;&gt;$B64,"* El número de "&amp;T$61&amp;""&amp;" no debe ser distinto del Total. ","")</f>
        <v/>
      </c>
      <c r="CD64" s="2873" t="str">
        <f t="shared" ref="CD64:CD66" si="22">IF(X64+Y64+Z64&gt;$B64,"* El número de "&amp;X$61&amp;""&amp;" no puede superar el Total. ","")</f>
        <v/>
      </c>
      <c r="CE64" s="2718"/>
      <c r="CF64" s="2718"/>
      <c r="CG64" s="1793">
        <f t="shared" ref="CG64:CG66" si="23">IF(T64+U64+V64+W64&lt;&gt;$B64,1,0)</f>
        <v>0</v>
      </c>
      <c r="CH64" s="1793">
        <f t="shared" ref="CH64:CH66" si="24">IF(X64+Y64+Z64&gt;$B64,1,0)</f>
        <v>0</v>
      </c>
      <c r="CI64" s="1791"/>
      <c r="CJ64" s="1791"/>
      <c r="CK64" s="1791"/>
      <c r="CL64" s="1791"/>
      <c r="CM64" s="1791"/>
    </row>
    <row r="65" spans="1:91" x14ac:dyDescent="0.25">
      <c r="A65" s="3996" t="s">
        <v>249</v>
      </c>
      <c r="B65" s="3962">
        <f>SUM(C65:S65)</f>
        <v>0</v>
      </c>
      <c r="C65" s="4009"/>
      <c r="D65" s="4004"/>
      <c r="E65" s="4004"/>
      <c r="F65" s="4004"/>
      <c r="G65" s="4004"/>
      <c r="H65" s="4004"/>
      <c r="I65" s="4004"/>
      <c r="J65" s="4004"/>
      <c r="K65" s="4004"/>
      <c r="L65" s="4004"/>
      <c r="M65" s="4004"/>
      <c r="N65" s="4004"/>
      <c r="O65" s="4004"/>
      <c r="P65" s="4004"/>
      <c r="Q65" s="4004"/>
      <c r="R65" s="4004"/>
      <c r="S65" s="4010"/>
      <c r="T65" s="1132"/>
      <c r="U65" s="1090"/>
      <c r="V65" s="1090"/>
      <c r="W65" s="3233"/>
      <c r="X65" s="933"/>
      <c r="Y65" s="621"/>
      <c r="Z65" s="630"/>
      <c r="AA65" s="1755" t="str">
        <f t="shared" si="20"/>
        <v/>
      </c>
      <c r="BF65" s="2718"/>
      <c r="BG65" s="2718"/>
      <c r="BH65" s="2718"/>
      <c r="BI65" s="2718"/>
      <c r="BJ65" s="2718"/>
      <c r="BK65" s="2718"/>
      <c r="BL65" s="2718"/>
      <c r="BM65" s="2718"/>
      <c r="BN65" s="2718"/>
      <c r="BO65" s="2718"/>
      <c r="BP65" s="2718"/>
      <c r="BQ65" s="2718"/>
      <c r="BR65" s="2718"/>
      <c r="BS65" s="2718"/>
      <c r="BT65" s="2718"/>
      <c r="BU65" s="2718"/>
      <c r="BV65" s="2718"/>
      <c r="BW65" s="2718"/>
      <c r="BX65" s="2718"/>
      <c r="BY65" s="2718"/>
      <c r="BZ65" s="2718"/>
      <c r="CA65" s="4933"/>
      <c r="CB65" s="4933"/>
      <c r="CC65" s="2873" t="str">
        <f t="shared" si="21"/>
        <v/>
      </c>
      <c r="CD65" s="2873" t="str">
        <f t="shared" si="22"/>
        <v/>
      </c>
      <c r="CE65" s="2718"/>
      <c r="CF65" s="2718"/>
      <c r="CG65" s="1793">
        <f t="shared" si="23"/>
        <v>0</v>
      </c>
      <c r="CH65" s="1793">
        <f t="shared" si="24"/>
        <v>0</v>
      </c>
      <c r="CI65" s="1791"/>
      <c r="CJ65" s="1791"/>
      <c r="CK65" s="1791"/>
      <c r="CL65" s="1791"/>
      <c r="CM65" s="1791"/>
    </row>
    <row r="66" spans="1:91" x14ac:dyDescent="0.25">
      <c r="A66" s="3996" t="s">
        <v>75</v>
      </c>
      <c r="B66" s="1752">
        <f>SUM(C66:S66)</f>
        <v>0</v>
      </c>
      <c r="C66" s="4009"/>
      <c r="D66" s="4004"/>
      <c r="E66" s="4004"/>
      <c r="F66" s="4004"/>
      <c r="G66" s="4004"/>
      <c r="H66" s="4004"/>
      <c r="I66" s="4004"/>
      <c r="J66" s="4004"/>
      <c r="K66" s="4004"/>
      <c r="L66" s="4004"/>
      <c r="M66" s="4004"/>
      <c r="N66" s="4004"/>
      <c r="O66" s="4004"/>
      <c r="P66" s="4004"/>
      <c r="Q66" s="4004"/>
      <c r="R66" s="4004"/>
      <c r="S66" s="4010"/>
      <c r="T66" s="3869"/>
      <c r="U66" s="3109"/>
      <c r="V66" s="3109"/>
      <c r="W66" s="774"/>
      <c r="X66" s="563"/>
      <c r="Y66" s="3109"/>
      <c r="Z66" s="3124"/>
      <c r="AA66" s="1755" t="str">
        <f t="shared" si="20"/>
        <v/>
      </c>
      <c r="BF66" s="2718"/>
      <c r="BG66" s="2718"/>
      <c r="BH66" s="2718"/>
      <c r="BI66" s="2718"/>
      <c r="BJ66" s="2718"/>
      <c r="BK66" s="2718"/>
      <c r="BL66" s="2718"/>
      <c r="BM66" s="2718"/>
      <c r="BN66" s="2718"/>
      <c r="BO66" s="2718"/>
      <c r="BP66" s="2718"/>
      <c r="BQ66" s="2718"/>
      <c r="BR66" s="2718"/>
      <c r="BS66" s="2718"/>
      <c r="BT66" s="2718"/>
      <c r="BU66" s="2718"/>
      <c r="BV66" s="2718"/>
      <c r="BW66" s="2718"/>
      <c r="BX66" s="2718"/>
      <c r="BY66" s="2718"/>
      <c r="BZ66" s="2718"/>
      <c r="CA66" s="4933"/>
      <c r="CB66" s="4933"/>
      <c r="CC66" s="2873" t="str">
        <f t="shared" si="21"/>
        <v/>
      </c>
      <c r="CD66" s="2873" t="str">
        <f t="shared" si="22"/>
        <v/>
      </c>
      <c r="CE66" s="2718"/>
      <c r="CF66" s="2718"/>
      <c r="CG66" s="1793">
        <f t="shared" si="23"/>
        <v>0</v>
      </c>
      <c r="CH66" s="1793">
        <f t="shared" si="24"/>
        <v>0</v>
      </c>
      <c r="CI66" s="1791"/>
      <c r="CJ66" s="1791"/>
      <c r="CK66" s="1791"/>
      <c r="CL66" s="1791"/>
      <c r="CM66" s="1791"/>
    </row>
    <row r="67" spans="1:91" x14ac:dyDescent="0.25">
      <c r="A67" s="5523" t="s">
        <v>24</v>
      </c>
      <c r="B67" s="5518">
        <f t="shared" ref="B67:Z67" si="25">SUM(B63:B66)</f>
        <v>0</v>
      </c>
      <c r="C67" s="5522">
        <f t="shared" si="25"/>
        <v>0</v>
      </c>
      <c r="D67" s="5522">
        <f t="shared" si="25"/>
        <v>0</v>
      </c>
      <c r="E67" s="5522">
        <f t="shared" si="25"/>
        <v>0</v>
      </c>
      <c r="F67" s="5522">
        <f t="shared" si="25"/>
        <v>0</v>
      </c>
      <c r="G67" s="5522">
        <f t="shared" si="25"/>
        <v>0</v>
      </c>
      <c r="H67" s="5522">
        <f t="shared" si="25"/>
        <v>0</v>
      </c>
      <c r="I67" s="5522">
        <f t="shared" si="25"/>
        <v>0</v>
      </c>
      <c r="J67" s="5522">
        <f t="shared" si="25"/>
        <v>0</v>
      </c>
      <c r="K67" s="5522">
        <f t="shared" si="25"/>
        <v>0</v>
      </c>
      <c r="L67" s="5522">
        <f t="shared" si="25"/>
        <v>0</v>
      </c>
      <c r="M67" s="5522">
        <f t="shared" si="25"/>
        <v>0</v>
      </c>
      <c r="N67" s="5522">
        <f t="shared" si="25"/>
        <v>0</v>
      </c>
      <c r="O67" s="5522">
        <f t="shared" si="25"/>
        <v>0</v>
      </c>
      <c r="P67" s="5522">
        <f t="shared" si="25"/>
        <v>0</v>
      </c>
      <c r="Q67" s="5522">
        <f t="shared" si="25"/>
        <v>0</v>
      </c>
      <c r="R67" s="5522">
        <f t="shared" si="25"/>
        <v>0</v>
      </c>
      <c r="S67" s="5521">
        <f t="shared" si="25"/>
        <v>0</v>
      </c>
      <c r="T67" s="5528">
        <f t="shared" si="25"/>
        <v>0</v>
      </c>
      <c r="U67" s="5522">
        <f t="shared" si="25"/>
        <v>0</v>
      </c>
      <c r="V67" s="5522">
        <f t="shared" si="25"/>
        <v>0</v>
      </c>
      <c r="W67" s="5521">
        <f t="shared" si="25"/>
        <v>0</v>
      </c>
      <c r="X67" s="6176">
        <f t="shared" si="25"/>
        <v>0</v>
      </c>
      <c r="Y67" s="6177">
        <f t="shared" si="25"/>
        <v>0</v>
      </c>
      <c r="Z67" s="6178">
        <f t="shared" si="25"/>
        <v>0</v>
      </c>
      <c r="CA67" s="2552"/>
      <c r="CB67" s="2552"/>
    </row>
    <row r="68" spans="1:91" ht="18" customHeight="1" x14ac:dyDescent="0.25">
      <c r="A68" s="122" t="s">
        <v>3224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CA68" s="2552"/>
      <c r="CB68" s="2552"/>
    </row>
    <row r="69" spans="1:91" x14ac:dyDescent="0.25">
      <c r="A69" s="8409" t="s">
        <v>61</v>
      </c>
      <c r="B69" s="6516" t="s">
        <v>1</v>
      </c>
      <c r="C69" s="8410" t="s">
        <v>558</v>
      </c>
      <c r="D69" s="8410"/>
      <c r="E69" s="8410"/>
      <c r="F69" s="8410"/>
      <c r="G69" s="8410"/>
      <c r="H69" s="8410"/>
      <c r="I69" s="8410"/>
      <c r="J69" s="8410"/>
      <c r="K69" s="8410"/>
      <c r="L69" s="8410"/>
      <c r="M69" s="8410"/>
      <c r="N69" s="8410"/>
      <c r="O69" s="8410"/>
      <c r="P69" s="8410"/>
      <c r="Q69" s="8410"/>
      <c r="R69" s="8410"/>
      <c r="S69" s="8411"/>
      <c r="T69" s="8416" t="s">
        <v>466</v>
      </c>
      <c r="U69" s="6498"/>
      <c r="V69" s="6498"/>
      <c r="W69" s="8407"/>
      <c r="X69" s="7312" t="s">
        <v>3220</v>
      </c>
      <c r="Y69" s="7312"/>
      <c r="Z69" s="7313"/>
      <c r="CA69" s="2552"/>
      <c r="CB69" s="2552"/>
    </row>
    <row r="70" spans="1:91" ht="21" x14ac:dyDescent="0.25">
      <c r="A70" s="8392"/>
      <c r="B70" s="8393"/>
      <c r="C70" s="5527" t="s">
        <v>36</v>
      </c>
      <c r="D70" s="5527" t="s">
        <v>37</v>
      </c>
      <c r="E70" s="5527" t="s">
        <v>38</v>
      </c>
      <c r="F70" s="5527" t="s">
        <v>4</v>
      </c>
      <c r="G70" s="5527" t="s">
        <v>5</v>
      </c>
      <c r="H70" s="5527" t="s">
        <v>560</v>
      </c>
      <c r="I70" s="5527" t="s">
        <v>561</v>
      </c>
      <c r="J70" s="5527" t="s">
        <v>8</v>
      </c>
      <c r="K70" s="5527" t="s">
        <v>9</v>
      </c>
      <c r="L70" s="5527" t="s">
        <v>576</v>
      </c>
      <c r="M70" s="5527" t="s">
        <v>11</v>
      </c>
      <c r="N70" s="5527" t="s">
        <v>18</v>
      </c>
      <c r="O70" s="5527" t="s">
        <v>19</v>
      </c>
      <c r="P70" s="5527" t="s">
        <v>20</v>
      </c>
      <c r="Q70" s="5527" t="s">
        <v>70</v>
      </c>
      <c r="R70" s="5527" t="s">
        <v>71</v>
      </c>
      <c r="S70" s="5526" t="s">
        <v>72</v>
      </c>
      <c r="T70" s="5525" t="s">
        <v>3193</v>
      </c>
      <c r="U70" s="5506" t="s">
        <v>3180</v>
      </c>
      <c r="V70" s="5505" t="s">
        <v>3221</v>
      </c>
      <c r="W70" s="5504" t="s">
        <v>3182</v>
      </c>
      <c r="X70" s="6169" t="s">
        <v>3222</v>
      </c>
      <c r="Y70" s="6166" t="s">
        <v>3223</v>
      </c>
      <c r="Z70" s="6071" t="s">
        <v>3218</v>
      </c>
      <c r="CA70" s="2552"/>
      <c r="CB70" s="2552"/>
    </row>
    <row r="71" spans="1:91" x14ac:dyDescent="0.25">
      <c r="A71" s="3996" t="s">
        <v>277</v>
      </c>
      <c r="B71" s="1751">
        <f>SUM(C71:S71)</f>
        <v>0</v>
      </c>
      <c r="C71" s="4009"/>
      <c r="D71" s="4004"/>
      <c r="E71" s="4004"/>
      <c r="F71" s="4004"/>
      <c r="G71" s="4004"/>
      <c r="H71" s="4004"/>
      <c r="I71" s="4004"/>
      <c r="J71" s="4004"/>
      <c r="K71" s="4004"/>
      <c r="L71" s="4004"/>
      <c r="M71" s="4004"/>
      <c r="N71" s="4004"/>
      <c r="O71" s="4004"/>
      <c r="P71" s="4004"/>
      <c r="Q71" s="4004"/>
      <c r="R71" s="4004"/>
      <c r="S71" s="4010"/>
      <c r="T71" s="5524"/>
      <c r="U71" s="591"/>
      <c r="V71" s="5239"/>
      <c r="W71" s="5297"/>
      <c r="X71" s="5524"/>
      <c r="Y71" s="5239"/>
      <c r="Z71" s="5238"/>
      <c r="AA71" s="1755" t="str">
        <f>CA71&amp;CB71&amp;CC71&amp;CD71</f>
        <v/>
      </c>
      <c r="BF71" s="2718"/>
      <c r="BG71" s="2718"/>
      <c r="BH71" s="2718"/>
      <c r="BI71" s="2718"/>
      <c r="BJ71" s="2718"/>
      <c r="BK71" s="2718"/>
      <c r="BL71" s="2718"/>
      <c r="BM71" s="2718"/>
      <c r="BN71" s="2718"/>
      <c r="BO71" s="2718"/>
      <c r="BP71" s="2718"/>
      <c r="BQ71" s="2718"/>
      <c r="BR71" s="2718"/>
      <c r="BS71" s="2718"/>
      <c r="BT71" s="2718"/>
      <c r="BU71" s="2718"/>
      <c r="BV71" s="2718"/>
      <c r="BW71" s="2718"/>
      <c r="BX71" s="2718"/>
      <c r="BY71" s="2718"/>
      <c r="BZ71" s="2718"/>
      <c r="CA71" s="4933"/>
      <c r="CB71" s="4933"/>
      <c r="CC71" s="2873" t="str">
        <f t="shared" ref="CC71:CC74" si="26">IF(T71+U71+V71+W71&lt;&gt;$B71,"* El número de "&amp;T$61&amp;""&amp;" no debe ser distinto del Total. ","")</f>
        <v/>
      </c>
      <c r="CD71" s="2873" t="str">
        <f>IF(X71+Y71+Z71&gt;$B71,"* El número de "&amp;X$61&amp;""&amp;" no puede superar el Total. ","")</f>
        <v/>
      </c>
      <c r="CE71" s="2718"/>
      <c r="CF71" s="2718"/>
      <c r="CG71" s="1793">
        <f t="shared" ref="CG71:CG74" si="27">IF(T71+U71+V71+W71&lt;&gt;$B71,1,0)</f>
        <v>0</v>
      </c>
      <c r="CH71" s="1793">
        <f t="shared" ref="CH71:CH74" si="28">IF(X71+Y71+Z71&gt;$B71,1,0)</f>
        <v>0</v>
      </c>
      <c r="CI71" s="1791"/>
      <c r="CJ71" s="1791"/>
      <c r="CK71" s="1791"/>
      <c r="CL71" s="1791"/>
      <c r="CM71" s="1791"/>
    </row>
    <row r="72" spans="1:91" x14ac:dyDescent="0.25">
      <c r="A72" s="3996" t="s">
        <v>79</v>
      </c>
      <c r="B72" s="3962">
        <f>SUM(C72:S72)</f>
        <v>0</v>
      </c>
      <c r="C72" s="4009"/>
      <c r="D72" s="4004"/>
      <c r="E72" s="4004"/>
      <c r="F72" s="4004"/>
      <c r="G72" s="4004"/>
      <c r="H72" s="4004"/>
      <c r="I72" s="4004"/>
      <c r="J72" s="4004"/>
      <c r="K72" s="4004"/>
      <c r="L72" s="4004"/>
      <c r="M72" s="4004"/>
      <c r="N72" s="4004"/>
      <c r="O72" s="4004"/>
      <c r="P72" s="4004"/>
      <c r="Q72" s="4004"/>
      <c r="R72" s="4004"/>
      <c r="S72" s="4010"/>
      <c r="T72" s="1132"/>
      <c r="U72" s="3232"/>
      <c r="V72" s="1090"/>
      <c r="W72" s="1078"/>
      <c r="X72" s="933"/>
      <c r="Y72" s="621"/>
      <c r="Z72" s="630"/>
      <c r="AA72" s="1755" t="str">
        <f t="shared" ref="AA72:AA74" si="29">CA72&amp;CB72&amp;CC72&amp;CD72</f>
        <v/>
      </c>
      <c r="BF72" s="2718"/>
      <c r="BG72" s="2718"/>
      <c r="BH72" s="2718"/>
      <c r="BI72" s="2718"/>
      <c r="BJ72" s="2718"/>
      <c r="BK72" s="2718"/>
      <c r="BL72" s="2718"/>
      <c r="BM72" s="2718"/>
      <c r="BN72" s="2718"/>
      <c r="BO72" s="2718"/>
      <c r="BP72" s="2718"/>
      <c r="BQ72" s="2718"/>
      <c r="BR72" s="2718"/>
      <c r="BS72" s="2718"/>
      <c r="BT72" s="2718"/>
      <c r="BU72" s="2718"/>
      <c r="BV72" s="2718"/>
      <c r="BW72" s="2718"/>
      <c r="BX72" s="2718"/>
      <c r="BY72" s="2718"/>
      <c r="BZ72" s="2718"/>
      <c r="CA72" s="4933"/>
      <c r="CB72" s="4933"/>
      <c r="CC72" s="2873" t="str">
        <f t="shared" si="26"/>
        <v/>
      </c>
      <c r="CD72" s="2873" t="str">
        <f t="shared" ref="CD72:CD74" si="30">IF(X72+Y72+Z72&gt;$B72,"* El número de "&amp;X$61&amp;""&amp;" no puede superar el Total. ","")</f>
        <v/>
      </c>
      <c r="CE72" s="2718"/>
      <c r="CF72" s="2718"/>
      <c r="CG72" s="1793">
        <f t="shared" si="27"/>
        <v>0</v>
      </c>
      <c r="CH72" s="1793">
        <f t="shared" si="28"/>
        <v>0</v>
      </c>
      <c r="CI72" s="1791"/>
      <c r="CJ72" s="1791"/>
      <c r="CK72" s="1791"/>
      <c r="CL72" s="1791"/>
      <c r="CM72" s="1791"/>
    </row>
    <row r="73" spans="1:91" x14ac:dyDescent="0.25">
      <c r="A73" s="3996" t="s">
        <v>249</v>
      </c>
      <c r="B73" s="3962">
        <f>SUM(C73:S73)</f>
        <v>0</v>
      </c>
      <c r="C73" s="4009"/>
      <c r="D73" s="4004"/>
      <c r="E73" s="4004"/>
      <c r="F73" s="4004"/>
      <c r="G73" s="4004"/>
      <c r="H73" s="4004"/>
      <c r="I73" s="4004"/>
      <c r="J73" s="4004"/>
      <c r="K73" s="4004"/>
      <c r="L73" s="4004"/>
      <c r="M73" s="4004"/>
      <c r="N73" s="4004"/>
      <c r="O73" s="4004"/>
      <c r="P73" s="4004"/>
      <c r="Q73" s="4004"/>
      <c r="R73" s="4004"/>
      <c r="S73" s="4010"/>
      <c r="T73" s="1132"/>
      <c r="U73" s="3232"/>
      <c r="V73" s="1090"/>
      <c r="W73" s="1078"/>
      <c r="X73" s="933"/>
      <c r="Y73" s="621"/>
      <c r="Z73" s="630"/>
      <c r="AA73" s="1755" t="str">
        <f t="shared" si="29"/>
        <v/>
      </c>
      <c r="BF73" s="2718"/>
      <c r="BG73" s="2718"/>
      <c r="BH73" s="2718"/>
      <c r="BI73" s="2718"/>
      <c r="BJ73" s="2718"/>
      <c r="BK73" s="2718"/>
      <c r="BL73" s="2718"/>
      <c r="BM73" s="2718"/>
      <c r="BN73" s="2718"/>
      <c r="BO73" s="2718"/>
      <c r="BP73" s="2718"/>
      <c r="BQ73" s="2718"/>
      <c r="BR73" s="2718"/>
      <c r="BS73" s="2718"/>
      <c r="BT73" s="2718"/>
      <c r="BU73" s="2718"/>
      <c r="BV73" s="2718"/>
      <c r="BW73" s="2718"/>
      <c r="BX73" s="2718"/>
      <c r="BY73" s="2718"/>
      <c r="BZ73" s="2718"/>
      <c r="CA73" s="4933"/>
      <c r="CB73" s="4933"/>
      <c r="CC73" s="2873" t="str">
        <f t="shared" si="26"/>
        <v/>
      </c>
      <c r="CD73" s="2873" t="str">
        <f t="shared" si="30"/>
        <v/>
      </c>
      <c r="CE73" s="2718"/>
      <c r="CF73" s="2718"/>
      <c r="CG73" s="1793">
        <f t="shared" si="27"/>
        <v>0</v>
      </c>
      <c r="CH73" s="1793">
        <f t="shared" si="28"/>
        <v>0</v>
      </c>
      <c r="CI73" s="1791"/>
      <c r="CJ73" s="1791"/>
      <c r="CK73" s="1791"/>
      <c r="CL73" s="1791"/>
      <c r="CM73" s="1791"/>
    </row>
    <row r="74" spans="1:91" x14ac:dyDescent="0.25">
      <c r="A74" s="3996" t="s">
        <v>75</v>
      </c>
      <c r="B74" s="1752">
        <f>SUM(C74:S74)</f>
        <v>0</v>
      </c>
      <c r="C74" s="4009"/>
      <c r="D74" s="4004"/>
      <c r="E74" s="4004"/>
      <c r="F74" s="4004"/>
      <c r="G74" s="4004"/>
      <c r="H74" s="4004"/>
      <c r="I74" s="4004"/>
      <c r="J74" s="4004"/>
      <c r="K74" s="4004"/>
      <c r="L74" s="4004"/>
      <c r="M74" s="4004"/>
      <c r="N74" s="4004"/>
      <c r="O74" s="4004"/>
      <c r="P74" s="4004"/>
      <c r="Q74" s="4004"/>
      <c r="R74" s="4004"/>
      <c r="S74" s="4010"/>
      <c r="T74" s="3869"/>
      <c r="U74" s="121"/>
      <c r="V74" s="3109"/>
      <c r="W74" s="3169"/>
      <c r="X74" s="563"/>
      <c r="Y74" s="3109"/>
      <c r="Z74" s="3124"/>
      <c r="AA74" s="1755" t="str">
        <f t="shared" si="29"/>
        <v/>
      </c>
      <c r="BF74" s="2718"/>
      <c r="BG74" s="2718"/>
      <c r="BH74" s="2718"/>
      <c r="BI74" s="2718"/>
      <c r="BJ74" s="2718"/>
      <c r="BK74" s="2718"/>
      <c r="BL74" s="2718"/>
      <c r="BM74" s="2718"/>
      <c r="BN74" s="2718"/>
      <c r="BO74" s="2718"/>
      <c r="BP74" s="2718"/>
      <c r="BQ74" s="2718"/>
      <c r="BR74" s="2718"/>
      <c r="BS74" s="2718"/>
      <c r="BT74" s="2718"/>
      <c r="BU74" s="2718"/>
      <c r="BV74" s="2718"/>
      <c r="BW74" s="2718"/>
      <c r="BX74" s="2718"/>
      <c r="BY74" s="2718"/>
      <c r="BZ74" s="2718"/>
      <c r="CA74" s="4933"/>
      <c r="CB74" s="4933"/>
      <c r="CC74" s="2873" t="str">
        <f t="shared" si="26"/>
        <v/>
      </c>
      <c r="CD74" s="2873" t="str">
        <f t="shared" si="30"/>
        <v/>
      </c>
      <c r="CE74" s="2718"/>
      <c r="CF74" s="2718"/>
      <c r="CG74" s="1793">
        <f t="shared" si="27"/>
        <v>0</v>
      </c>
      <c r="CH74" s="1793">
        <f t="shared" si="28"/>
        <v>0</v>
      </c>
      <c r="CI74" s="1791"/>
      <c r="CJ74" s="1791"/>
      <c r="CK74" s="1791"/>
      <c r="CL74" s="1791"/>
      <c r="CM74" s="1791"/>
    </row>
    <row r="75" spans="1:91" x14ac:dyDescent="0.25">
      <c r="A75" s="5523" t="s">
        <v>24</v>
      </c>
      <c r="B75" s="5518">
        <f t="shared" ref="B75:Z75" si="31">SUM(B71:B74)</f>
        <v>0</v>
      </c>
      <c r="C75" s="5522">
        <f t="shared" si="31"/>
        <v>0</v>
      </c>
      <c r="D75" s="5522">
        <f t="shared" si="31"/>
        <v>0</v>
      </c>
      <c r="E75" s="5522">
        <f t="shared" si="31"/>
        <v>0</v>
      </c>
      <c r="F75" s="5522">
        <f t="shared" si="31"/>
        <v>0</v>
      </c>
      <c r="G75" s="5522">
        <f t="shared" si="31"/>
        <v>0</v>
      </c>
      <c r="H75" s="5522">
        <f t="shared" si="31"/>
        <v>0</v>
      </c>
      <c r="I75" s="5522">
        <f t="shared" si="31"/>
        <v>0</v>
      </c>
      <c r="J75" s="5522">
        <f t="shared" si="31"/>
        <v>0</v>
      </c>
      <c r="K75" s="5522">
        <f t="shared" si="31"/>
        <v>0</v>
      </c>
      <c r="L75" s="5522">
        <f t="shared" si="31"/>
        <v>0</v>
      </c>
      <c r="M75" s="5522">
        <f t="shared" si="31"/>
        <v>0</v>
      </c>
      <c r="N75" s="5522">
        <f t="shared" si="31"/>
        <v>0</v>
      </c>
      <c r="O75" s="5522">
        <f t="shared" si="31"/>
        <v>0</v>
      </c>
      <c r="P75" s="5522">
        <f t="shared" si="31"/>
        <v>0</v>
      </c>
      <c r="Q75" s="5522">
        <f t="shared" si="31"/>
        <v>0</v>
      </c>
      <c r="R75" s="5522">
        <f t="shared" si="31"/>
        <v>0</v>
      </c>
      <c r="S75" s="5521">
        <f t="shared" si="31"/>
        <v>0</v>
      </c>
      <c r="T75" s="5520">
        <f t="shared" si="31"/>
        <v>0</v>
      </c>
      <c r="U75" s="5516">
        <f t="shared" si="31"/>
        <v>0</v>
      </c>
      <c r="V75" s="5516">
        <f t="shared" si="31"/>
        <v>0</v>
      </c>
      <c r="W75" s="5519">
        <f t="shared" si="31"/>
        <v>0</v>
      </c>
      <c r="X75" s="5510">
        <f t="shared" si="31"/>
        <v>0</v>
      </c>
      <c r="Y75" s="5516">
        <f t="shared" si="31"/>
        <v>0</v>
      </c>
      <c r="Z75" s="5518">
        <f t="shared" si="31"/>
        <v>0</v>
      </c>
    </row>
    <row r="76" spans="1:91" ht="18" customHeight="1" x14ac:dyDescent="0.25">
      <c r="A76" s="783" t="s">
        <v>3225</v>
      </c>
      <c r="B76" s="4011"/>
      <c r="C76" s="101"/>
      <c r="D76" s="163"/>
      <c r="E76" s="101"/>
    </row>
    <row r="77" spans="1:91" ht="31.5" x14ac:dyDescent="0.25">
      <c r="A77" s="5517" t="s">
        <v>3226</v>
      </c>
      <c r="B77" s="5507" t="s">
        <v>3193</v>
      </c>
      <c r="C77" s="5514" t="s">
        <v>3227</v>
      </c>
      <c r="D77" s="5513" t="s">
        <v>3228</v>
      </c>
      <c r="E77" s="5512" t="s">
        <v>3229</v>
      </c>
    </row>
    <row r="78" spans="1:91" ht="15" customHeight="1" x14ac:dyDescent="0.25">
      <c r="A78" s="4012" t="s">
        <v>3230</v>
      </c>
      <c r="B78" s="106"/>
      <c r="C78" s="591"/>
      <c r="D78" s="5239"/>
      <c r="E78" s="5238"/>
    </row>
    <row r="79" spans="1:91" ht="15" customHeight="1" x14ac:dyDescent="0.25">
      <c r="A79" s="4012" t="s">
        <v>2881</v>
      </c>
      <c r="B79" s="1089"/>
      <c r="C79" s="3232"/>
      <c r="D79" s="1090"/>
      <c r="E79" s="1077"/>
    </row>
    <row r="80" spans="1:91" ht="15" customHeight="1" x14ac:dyDescent="0.25">
      <c r="A80" s="4012" t="s">
        <v>3231</v>
      </c>
      <c r="B80" s="1089"/>
      <c r="C80" s="3232"/>
      <c r="D80" s="1090"/>
      <c r="E80" s="1077"/>
    </row>
    <row r="81" spans="1:5" ht="21.75" customHeight="1" x14ac:dyDescent="0.25">
      <c r="A81" s="3328" t="s">
        <v>3232</v>
      </c>
      <c r="B81" s="1089"/>
      <c r="C81" s="3232"/>
      <c r="D81" s="1090"/>
      <c r="E81" s="1077"/>
    </row>
    <row r="82" spans="1:5" ht="15" customHeight="1" x14ac:dyDescent="0.25">
      <c r="A82" s="4012" t="s">
        <v>3233</v>
      </c>
      <c r="B82" s="90"/>
      <c r="C82" s="4562"/>
      <c r="D82" s="127"/>
      <c r="E82" s="92"/>
    </row>
    <row r="83" spans="1:5" ht="15" customHeight="1" x14ac:dyDescent="0.25">
      <c r="A83" s="4012" t="s">
        <v>3234</v>
      </c>
      <c r="B83" s="90"/>
      <c r="C83" s="3232"/>
      <c r="D83" s="127"/>
      <c r="E83" s="92"/>
    </row>
    <row r="84" spans="1:5" ht="15" customHeight="1" x14ac:dyDescent="0.25">
      <c r="A84" s="4012" t="s">
        <v>3235</v>
      </c>
      <c r="B84" s="90"/>
      <c r="C84" s="3232"/>
      <c r="D84" s="127"/>
      <c r="E84" s="92"/>
    </row>
    <row r="85" spans="1:5" ht="15" customHeight="1" x14ac:dyDescent="0.25">
      <c r="A85" s="4012" t="s">
        <v>3236</v>
      </c>
      <c r="B85" s="90"/>
      <c r="C85" s="3232"/>
      <c r="D85" s="127"/>
      <c r="E85" s="92"/>
    </row>
    <row r="86" spans="1:5" ht="15" customHeight="1" x14ac:dyDescent="0.25">
      <c r="A86" s="4012" t="s">
        <v>3237</v>
      </c>
      <c r="B86" s="90"/>
      <c r="C86" s="3232"/>
      <c r="D86" s="127"/>
      <c r="E86" s="92"/>
    </row>
    <row r="87" spans="1:5" ht="15" customHeight="1" x14ac:dyDescent="0.25">
      <c r="A87" s="4013" t="s">
        <v>3238</v>
      </c>
      <c r="B87" s="90"/>
      <c r="C87" s="3232"/>
      <c r="D87" s="127"/>
      <c r="E87" s="92"/>
    </row>
    <row r="88" spans="1:5" ht="15" customHeight="1" x14ac:dyDescent="0.25">
      <c r="A88" s="4012" t="s">
        <v>3239</v>
      </c>
      <c r="B88" s="90"/>
      <c r="C88" s="3232"/>
      <c r="D88" s="127"/>
      <c r="E88" s="92"/>
    </row>
    <row r="89" spans="1:5" ht="15" customHeight="1" x14ac:dyDescent="0.25">
      <c r="A89" s="4012" t="s">
        <v>3240</v>
      </c>
      <c r="B89" s="90"/>
      <c r="C89" s="3232"/>
      <c r="D89" s="127"/>
      <c r="E89" s="92"/>
    </row>
    <row r="90" spans="1:5" ht="15" customHeight="1" x14ac:dyDescent="0.25">
      <c r="A90" s="3328" t="s">
        <v>3241</v>
      </c>
      <c r="B90" s="90"/>
      <c r="C90" s="3232"/>
      <c r="D90" s="127"/>
      <c r="E90" s="92"/>
    </row>
    <row r="91" spans="1:5" ht="15" customHeight="1" x14ac:dyDescent="0.25">
      <c r="A91" s="4014" t="s">
        <v>3242</v>
      </c>
      <c r="B91" s="90"/>
      <c r="C91" s="3232"/>
      <c r="D91" s="127"/>
      <c r="E91" s="92"/>
    </row>
    <row r="92" spans="1:5" ht="15" customHeight="1" x14ac:dyDescent="0.25">
      <c r="A92" s="326" t="s">
        <v>3243</v>
      </c>
      <c r="B92" s="90"/>
      <c r="C92" s="3232"/>
      <c r="D92" s="127"/>
      <c r="E92" s="92"/>
    </row>
    <row r="93" spans="1:5" ht="15" customHeight="1" x14ac:dyDescent="0.25">
      <c r="A93" s="4012" t="s">
        <v>3244</v>
      </c>
      <c r="B93" s="90"/>
      <c r="C93" s="3232"/>
      <c r="D93" s="127"/>
      <c r="E93" s="92"/>
    </row>
    <row r="94" spans="1:5" ht="15" customHeight="1" x14ac:dyDescent="0.25">
      <c r="A94" s="4012" t="s">
        <v>3245</v>
      </c>
      <c r="B94" s="90"/>
      <c r="C94" s="3232"/>
      <c r="D94" s="127"/>
      <c r="E94" s="92"/>
    </row>
    <row r="95" spans="1:5" ht="15" customHeight="1" x14ac:dyDescent="0.25">
      <c r="A95" s="5517" t="s">
        <v>24</v>
      </c>
      <c r="B95" s="5516">
        <f>SUM(B78:B94)</f>
        <v>0</v>
      </c>
      <c r="C95" s="5510">
        <f>SUM(C78:C94)</f>
        <v>0</v>
      </c>
      <c r="D95" s="5509">
        <f>SUM(D78:D94)</f>
        <v>0</v>
      </c>
      <c r="E95" s="5508">
        <f>SUM(E78:E94)</f>
        <v>0</v>
      </c>
    </row>
    <row r="96" spans="1:5" ht="18" customHeight="1" x14ac:dyDescent="0.25">
      <c r="A96" s="564" t="s">
        <v>3246</v>
      </c>
      <c r="B96" s="101"/>
      <c r="C96" s="101"/>
      <c r="D96" s="101"/>
      <c r="E96" s="101"/>
    </row>
    <row r="97" spans="1:8" ht="31.5" x14ac:dyDescent="0.25">
      <c r="A97" s="5515" t="s">
        <v>61</v>
      </c>
      <c r="B97" s="5505" t="s">
        <v>3193</v>
      </c>
      <c r="C97" s="5514" t="s">
        <v>3227</v>
      </c>
      <c r="D97" s="5513" t="s">
        <v>3228</v>
      </c>
      <c r="E97" s="5512" t="s">
        <v>3229</v>
      </c>
    </row>
    <row r="98" spans="1:8" x14ac:dyDescent="0.25">
      <c r="A98" s="3996" t="s">
        <v>277</v>
      </c>
      <c r="B98" s="1090"/>
      <c r="C98" s="3232"/>
      <c r="D98" s="1090"/>
      <c r="E98" s="1077"/>
    </row>
    <row r="99" spans="1:8" x14ac:dyDescent="0.25">
      <c r="A99" s="3996" t="s">
        <v>79</v>
      </c>
      <c r="B99" s="1090"/>
      <c r="C99" s="3232"/>
      <c r="D99" s="1090"/>
      <c r="E99" s="1077"/>
    </row>
    <row r="100" spans="1:8" x14ac:dyDescent="0.25">
      <c r="A100" s="3996" t="s">
        <v>249</v>
      </c>
      <c r="B100" s="1090"/>
      <c r="C100" s="3232"/>
      <c r="D100" s="1090"/>
      <c r="E100" s="1077"/>
    </row>
    <row r="101" spans="1:8" x14ac:dyDescent="0.25">
      <c r="A101" s="3996" t="s">
        <v>75</v>
      </c>
      <c r="B101" s="1090"/>
      <c r="C101" s="3232"/>
      <c r="D101" s="1090"/>
      <c r="E101" s="1077"/>
    </row>
    <row r="102" spans="1:8" x14ac:dyDescent="0.25">
      <c r="A102" s="4015" t="s">
        <v>566</v>
      </c>
      <c r="B102" s="3109"/>
      <c r="C102" s="121"/>
      <c r="D102" s="3109"/>
      <c r="E102" s="3124"/>
    </row>
    <row r="103" spans="1:8" x14ac:dyDescent="0.25">
      <c r="A103" s="5511" t="s">
        <v>24</v>
      </c>
      <c r="B103" s="5510">
        <f>SUM(B98:B102)</f>
        <v>0</v>
      </c>
      <c r="C103" s="5510">
        <f>SUM(C98:C102)</f>
        <v>0</v>
      </c>
      <c r="D103" s="5509">
        <f>SUM(D98:D102)</f>
        <v>0</v>
      </c>
      <c r="E103" s="5508">
        <f>SUM(E98:E102)</f>
        <v>0</v>
      </c>
    </row>
    <row r="104" spans="1:8" ht="18" customHeight="1" x14ac:dyDescent="0.25">
      <c r="A104" s="564" t="s">
        <v>3247</v>
      </c>
      <c r="B104" s="101"/>
      <c r="C104" s="101"/>
      <c r="D104" s="101"/>
      <c r="E104" s="101"/>
    </row>
    <row r="105" spans="1:8" ht="31.5" x14ac:dyDescent="0.25">
      <c r="A105" s="5515" t="s">
        <v>61</v>
      </c>
      <c r="B105" s="5505" t="s">
        <v>3193</v>
      </c>
      <c r="C105" s="5514" t="s">
        <v>3227</v>
      </c>
      <c r="D105" s="5513" t="s">
        <v>3228</v>
      </c>
      <c r="E105" s="5512" t="s">
        <v>3229</v>
      </c>
    </row>
    <row r="106" spans="1:8" x14ac:dyDescent="0.25">
      <c r="A106" s="3996" t="s">
        <v>277</v>
      </c>
      <c r="B106" s="1090"/>
      <c r="C106" s="3232"/>
      <c r="D106" s="1090"/>
      <c r="E106" s="1077"/>
    </row>
    <row r="107" spans="1:8" x14ac:dyDescent="0.25">
      <c r="A107" s="3996" t="s">
        <v>79</v>
      </c>
      <c r="B107" s="1090"/>
      <c r="C107" s="3232"/>
      <c r="D107" s="1090"/>
      <c r="E107" s="1077"/>
    </row>
    <row r="108" spans="1:8" x14ac:dyDescent="0.25">
      <c r="A108" s="3996" t="s">
        <v>249</v>
      </c>
      <c r="B108" s="1090"/>
      <c r="C108" s="3232"/>
      <c r="D108" s="1090"/>
      <c r="E108" s="1077"/>
    </row>
    <row r="109" spans="1:8" x14ac:dyDescent="0.25">
      <c r="A109" s="3996" t="s">
        <v>75</v>
      </c>
      <c r="B109" s="1090"/>
      <c r="C109" s="3232"/>
      <c r="D109" s="1090"/>
      <c r="E109" s="1077"/>
    </row>
    <row r="110" spans="1:8" x14ac:dyDescent="0.25">
      <c r="A110" s="4015" t="s">
        <v>566</v>
      </c>
      <c r="B110" s="3109"/>
      <c r="C110" s="121"/>
      <c r="D110" s="3109"/>
      <c r="E110" s="3124"/>
    </row>
    <row r="111" spans="1:8" x14ac:dyDescent="0.25">
      <c r="A111" s="5511" t="s">
        <v>24</v>
      </c>
      <c r="B111" s="5510">
        <f>SUM(B106:B110)</f>
        <v>0</v>
      </c>
      <c r="C111" s="5510">
        <f>SUM(C106:C110)</f>
        <v>0</v>
      </c>
      <c r="D111" s="5509">
        <f>SUM(D106:D110)</f>
        <v>0</v>
      </c>
      <c r="E111" s="5508">
        <f>SUM(E106:E110)</f>
        <v>0</v>
      </c>
    </row>
    <row r="112" spans="1:8" ht="18" customHeight="1" x14ac:dyDescent="0.25">
      <c r="A112" s="783" t="s">
        <v>3248</v>
      </c>
      <c r="B112" s="4016"/>
      <c r="C112" s="4016"/>
      <c r="D112" s="4017"/>
      <c r="E112" s="101"/>
      <c r="F112" s="101"/>
      <c r="G112" s="101"/>
      <c r="H112" s="101"/>
    </row>
    <row r="113" spans="1:128" ht="15" customHeight="1" x14ac:dyDescent="0.25">
      <c r="A113" s="8402" t="s">
        <v>3249</v>
      </c>
      <c r="B113" s="8404" t="s">
        <v>24</v>
      </c>
      <c r="C113" s="8406" t="s">
        <v>3801</v>
      </c>
      <c r="D113" s="6498"/>
      <c r="E113" s="6498"/>
      <c r="F113" s="8407"/>
      <c r="G113" s="8408" t="s">
        <v>3804</v>
      </c>
      <c r="H113" s="7313"/>
    </row>
    <row r="114" spans="1:128" ht="24.75" customHeight="1" x14ac:dyDescent="0.25">
      <c r="A114" s="8403"/>
      <c r="B114" s="8405"/>
      <c r="C114" s="5507" t="s">
        <v>3193</v>
      </c>
      <c r="D114" s="5506" t="s">
        <v>3180</v>
      </c>
      <c r="E114" s="5505" t="s">
        <v>3181</v>
      </c>
      <c r="F114" s="5504" t="s">
        <v>3182</v>
      </c>
      <c r="G114" s="5503" t="s">
        <v>3222</v>
      </c>
      <c r="H114" s="5503" t="s">
        <v>3223</v>
      </c>
    </row>
    <row r="115" spans="1:128" ht="15" customHeight="1" x14ac:dyDescent="0.25">
      <c r="A115" s="5502" t="s">
        <v>3250</v>
      </c>
      <c r="B115" s="5501">
        <f>SUM(C115:F115)</f>
        <v>0</v>
      </c>
      <c r="C115" s="5500"/>
      <c r="D115" s="5499"/>
      <c r="E115" s="5419"/>
      <c r="F115" s="5498"/>
      <c r="G115" s="5497"/>
      <c r="H115" s="5448"/>
    </row>
    <row r="116" spans="1:128" ht="15" customHeight="1" x14ac:dyDescent="0.25">
      <c r="A116" s="5496" t="s">
        <v>3251</v>
      </c>
      <c r="B116" s="5495">
        <f>SUM(C116:F116)</f>
        <v>0</v>
      </c>
      <c r="C116" s="5281"/>
      <c r="D116" s="5443"/>
      <c r="E116" s="2499"/>
      <c r="F116" s="2500"/>
      <c r="G116" s="5282"/>
      <c r="H116" s="4948"/>
    </row>
    <row r="117" spans="1:128" ht="18" customHeight="1" x14ac:dyDescent="0.25">
      <c r="A117" s="3981" t="s">
        <v>3252</v>
      </c>
      <c r="B117" s="4016"/>
      <c r="C117" s="4016"/>
      <c r="D117" s="3979"/>
      <c r="E117" s="5494"/>
      <c r="F117" s="5493"/>
      <c r="G117" s="5492"/>
      <c r="H117" s="5491"/>
      <c r="I117" s="4018"/>
      <c r="J117" s="4018"/>
      <c r="K117" s="4018"/>
    </row>
    <row r="118" spans="1:128" x14ac:dyDescent="0.25">
      <c r="A118" s="8364" t="s">
        <v>3253</v>
      </c>
      <c r="B118" s="7753" t="s">
        <v>24</v>
      </c>
      <c r="C118" s="8394" t="s">
        <v>3805</v>
      </c>
      <c r="D118" s="8395"/>
      <c r="E118" s="8395"/>
      <c r="F118" s="8395" t="s">
        <v>3254</v>
      </c>
      <c r="G118" s="8396" t="s">
        <v>3255</v>
      </c>
      <c r="H118" s="8397" t="s">
        <v>3801</v>
      </c>
      <c r="I118" s="7681"/>
      <c r="J118" s="7681"/>
      <c r="K118" s="7682"/>
    </row>
    <row r="119" spans="1:128" ht="44.25" customHeight="1" x14ac:dyDescent="0.25">
      <c r="A119" s="8392"/>
      <c r="B119" s="8393"/>
      <c r="C119" s="6181" t="s">
        <v>3256</v>
      </c>
      <c r="D119" s="6182" t="s">
        <v>3257</v>
      </c>
      <c r="E119" s="6158" t="s">
        <v>3258</v>
      </c>
      <c r="F119" s="8395"/>
      <c r="G119" s="8396"/>
      <c r="H119" s="6180" t="s">
        <v>3193</v>
      </c>
      <c r="I119" s="6166" t="s">
        <v>3180</v>
      </c>
      <c r="J119" s="6166" t="s">
        <v>3181</v>
      </c>
      <c r="K119" s="6071" t="s">
        <v>3182</v>
      </c>
    </row>
    <row r="120" spans="1:128" ht="15" customHeight="1" x14ac:dyDescent="0.25">
      <c r="A120" s="5357" t="s">
        <v>3195</v>
      </c>
      <c r="B120" s="5406">
        <f>SUM(C120:G120)</f>
        <v>0</v>
      </c>
      <c r="C120" s="5891"/>
      <c r="D120" s="6179"/>
      <c r="E120" s="6179"/>
      <c r="F120" s="6179"/>
      <c r="G120" s="6092"/>
      <c r="H120" s="5895"/>
      <c r="I120" s="6179"/>
      <c r="J120" s="6179"/>
      <c r="K120" s="5952"/>
      <c r="L120" s="1755" t="str">
        <f>CA120&amp;CB120&amp;CC120</f>
        <v/>
      </c>
      <c r="AQ120" s="2718"/>
      <c r="AR120" s="2718"/>
      <c r="AS120" s="2718"/>
      <c r="AT120" s="2718"/>
      <c r="AU120" s="2718"/>
      <c r="AV120" s="2718"/>
      <c r="AW120" s="2718"/>
      <c r="AX120" s="2718"/>
      <c r="AY120" s="2718"/>
      <c r="AZ120" s="2718"/>
      <c r="BA120" s="2718"/>
      <c r="BB120" s="2718"/>
      <c r="BC120" s="2718"/>
      <c r="BD120" s="2718"/>
      <c r="BE120" s="2718"/>
      <c r="BF120" s="2718"/>
      <c r="BG120" s="2718"/>
      <c r="BH120" s="2718"/>
      <c r="BI120" s="2718"/>
      <c r="BJ120" s="2718"/>
      <c r="BK120" s="2718"/>
      <c r="BL120" s="2718"/>
      <c r="BM120" s="2718"/>
      <c r="BN120" s="2718"/>
      <c r="BO120" s="2718"/>
      <c r="BP120" s="2718"/>
      <c r="BQ120" s="2718"/>
      <c r="BR120" s="2718"/>
      <c r="BS120" s="2718"/>
      <c r="BT120" s="2718"/>
      <c r="BU120" s="2718"/>
      <c r="BV120" s="2718"/>
      <c r="BW120" s="2718"/>
      <c r="BX120" s="2718"/>
      <c r="BY120" s="2718"/>
      <c r="BZ120" s="2718"/>
      <c r="CA120" s="4933"/>
      <c r="CB120" s="3009" t="str">
        <f>IF(H120+I120+J120+K120&lt;&gt;$B120,"* El número de "&amp;H$118&amp;""&amp;" no debe ser distinto del Total. ","")</f>
        <v/>
      </c>
      <c r="CC120" s="2718"/>
      <c r="CD120" s="2718"/>
      <c r="CE120" s="2718"/>
      <c r="CF120" s="2718"/>
      <c r="CG120" s="1793">
        <f>IF(H120+I120+J120+K120&lt;&gt;$B120,1,0)</f>
        <v>0</v>
      </c>
      <c r="CH120" s="1791"/>
      <c r="CI120" s="1791"/>
      <c r="CJ120" s="1791"/>
      <c r="CK120"/>
      <c r="CL120"/>
      <c r="CM120"/>
      <c r="CN120"/>
      <c r="CO120"/>
      <c r="DJ120" s="1134"/>
      <c r="DK120" s="1134"/>
      <c r="DL120" s="1134"/>
      <c r="DM120" s="1134"/>
      <c r="DN120" s="1134"/>
      <c r="DO120" s="1134"/>
      <c r="DP120" s="1134"/>
      <c r="DQ120" s="1134"/>
      <c r="DR120" s="1134"/>
      <c r="DS120" s="1134"/>
      <c r="DT120" s="1134"/>
      <c r="DU120" s="1134"/>
      <c r="DV120" s="1134"/>
      <c r="DW120" s="1134"/>
      <c r="DX120" s="1134"/>
    </row>
    <row r="121" spans="1:128" ht="15" customHeight="1" x14ac:dyDescent="0.25">
      <c r="A121" s="3328" t="s">
        <v>3214</v>
      </c>
      <c r="B121" s="3135">
        <f>SUM(C121:G121)</f>
        <v>0</v>
      </c>
      <c r="C121" s="620"/>
      <c r="D121" s="621"/>
      <c r="E121" s="621"/>
      <c r="F121" s="621"/>
      <c r="G121" s="628"/>
      <c r="H121" s="933"/>
      <c r="I121" s="621"/>
      <c r="J121" s="621"/>
      <c r="K121" s="630"/>
      <c r="L121" s="1755" t="str">
        <f>CA121&amp;CB121&amp;CC121</f>
        <v/>
      </c>
      <c r="AQ121" s="2718"/>
      <c r="AR121" s="2718"/>
      <c r="AS121" s="2718"/>
      <c r="AT121" s="2718"/>
      <c r="AU121" s="2718"/>
      <c r="AV121" s="2718"/>
      <c r="AW121" s="2718"/>
      <c r="AX121" s="2718"/>
      <c r="AY121" s="2718"/>
      <c r="AZ121" s="2718"/>
      <c r="BA121" s="2718"/>
      <c r="BB121" s="2718"/>
      <c r="BC121" s="2718"/>
      <c r="BD121" s="2718"/>
      <c r="BE121" s="2718"/>
      <c r="BF121" s="2718"/>
      <c r="BG121" s="2718"/>
      <c r="BH121" s="2718"/>
      <c r="BI121" s="2718"/>
      <c r="BJ121" s="2718"/>
      <c r="BK121" s="2718"/>
      <c r="BL121" s="2718"/>
      <c r="BM121" s="2718"/>
      <c r="BN121" s="2718"/>
      <c r="BO121" s="2718"/>
      <c r="BP121" s="2718"/>
      <c r="BQ121" s="2718"/>
      <c r="BR121" s="2718"/>
      <c r="BS121" s="2718"/>
      <c r="BT121" s="2718"/>
      <c r="BU121" s="2718"/>
      <c r="BV121" s="2718"/>
      <c r="BW121" s="2718"/>
      <c r="BX121" s="2718"/>
      <c r="BY121" s="2718"/>
      <c r="BZ121" s="2718"/>
      <c r="CA121" s="4933"/>
      <c r="CB121" s="3009" t="str">
        <f t="shared" ref="CB121:CB122" si="32">IF(H121+I121+J121+K121&lt;&gt;$B121,"* El número de "&amp;H$118&amp;""&amp;" no debe ser distinto del Total. ","")</f>
        <v/>
      </c>
      <c r="CC121" s="2718"/>
      <c r="CD121" s="2718"/>
      <c r="CE121" s="2718"/>
      <c r="CF121" s="2718"/>
      <c r="CG121" s="1793">
        <f t="shared" ref="CG121:CG122" si="33">IF(H121+I121+J121+K121&lt;&gt;$B121,1,0)</f>
        <v>0</v>
      </c>
      <c r="CH121" s="1791"/>
      <c r="CI121" s="1791"/>
      <c r="CJ121" s="1791"/>
      <c r="DJ121" s="1134"/>
    </row>
    <row r="122" spans="1:128" ht="15" customHeight="1" x14ac:dyDescent="0.25">
      <c r="A122" s="207" t="s">
        <v>3215</v>
      </c>
      <c r="B122" s="150">
        <f>SUM(C122:G122)</f>
        <v>0</v>
      </c>
      <c r="C122" s="114"/>
      <c r="D122" s="3109"/>
      <c r="E122" s="3109"/>
      <c r="F122" s="3109"/>
      <c r="G122" s="3169"/>
      <c r="H122" s="563"/>
      <c r="I122" s="3109"/>
      <c r="J122" s="3109"/>
      <c r="K122" s="3124"/>
      <c r="L122" s="1755" t="str">
        <f>CA122&amp;CB122&amp;CC122</f>
        <v/>
      </c>
      <c r="AQ122" s="2718"/>
      <c r="AR122" s="2718"/>
      <c r="AS122" s="2718"/>
      <c r="AT122" s="2718"/>
      <c r="AU122" s="2718"/>
      <c r="AV122" s="2718"/>
      <c r="AW122" s="2718"/>
      <c r="AX122" s="2718"/>
      <c r="AY122" s="2718"/>
      <c r="AZ122" s="2718"/>
      <c r="BA122" s="2718"/>
      <c r="BB122" s="2718"/>
      <c r="BC122" s="2718"/>
      <c r="BD122" s="2718"/>
      <c r="BE122" s="2718"/>
      <c r="BF122" s="2718"/>
      <c r="BG122" s="2718"/>
      <c r="BH122" s="2718"/>
      <c r="BI122" s="2718"/>
      <c r="BJ122" s="2718"/>
      <c r="BK122" s="2718"/>
      <c r="BL122" s="2718"/>
      <c r="BM122" s="2718"/>
      <c r="BN122" s="2718"/>
      <c r="BO122" s="2718"/>
      <c r="BP122" s="2718"/>
      <c r="BQ122" s="2718"/>
      <c r="BR122" s="2718"/>
      <c r="BS122" s="2718"/>
      <c r="BT122" s="2718"/>
      <c r="BU122" s="2718"/>
      <c r="BV122" s="2718"/>
      <c r="BW122" s="2718"/>
      <c r="BX122" s="2718"/>
      <c r="BY122" s="2718"/>
      <c r="BZ122" s="2718"/>
      <c r="CA122" s="4933"/>
      <c r="CB122" s="3009" t="str">
        <f t="shared" si="32"/>
        <v/>
      </c>
      <c r="CC122" s="2718"/>
      <c r="CD122" s="2718"/>
      <c r="CE122" s="2718"/>
      <c r="CF122" s="2718"/>
      <c r="CG122" s="1793">
        <f t="shared" si="33"/>
        <v>0</v>
      </c>
      <c r="CH122" s="1791"/>
      <c r="CI122" s="1791"/>
      <c r="CJ122" s="1791"/>
      <c r="DJ122" s="1134"/>
    </row>
    <row r="123" spans="1:128" ht="18" customHeight="1" x14ac:dyDescent="0.25">
      <c r="A123" s="564" t="s">
        <v>3259</v>
      </c>
      <c r="B123" s="4016"/>
      <c r="C123" s="4016"/>
      <c r="D123" s="4017"/>
      <c r="E123" s="4017"/>
      <c r="F123" s="4017"/>
      <c r="G123" s="4017"/>
      <c r="H123" s="4017"/>
      <c r="I123" s="4017"/>
      <c r="J123" s="4017"/>
      <c r="K123" s="4017"/>
      <c r="L123" s="4017"/>
    </row>
    <row r="124" spans="1:128" ht="21.75" customHeight="1" x14ac:dyDescent="0.25">
      <c r="A124" s="8364" t="s">
        <v>3260</v>
      </c>
      <c r="B124" s="7753" t="s">
        <v>1309</v>
      </c>
      <c r="C124" s="7701" t="s">
        <v>3261</v>
      </c>
      <c r="D124" s="8398"/>
      <c r="E124" s="7701" t="s">
        <v>3262</v>
      </c>
      <c r="F124" s="8398"/>
      <c r="G124" s="7702" t="s">
        <v>3263</v>
      </c>
      <c r="H124" s="8398"/>
      <c r="I124" s="7701" t="s">
        <v>3264</v>
      </c>
      <c r="J124" s="7709"/>
      <c r="K124" s="8399" t="s">
        <v>3806</v>
      </c>
      <c r="L124" s="8363"/>
    </row>
    <row r="125" spans="1:128" ht="21" x14ac:dyDescent="0.25">
      <c r="A125" s="8392"/>
      <c r="B125" s="8393"/>
      <c r="C125" s="5324" t="s">
        <v>3265</v>
      </c>
      <c r="D125" s="5353" t="s">
        <v>3266</v>
      </c>
      <c r="E125" s="5324" t="s">
        <v>3265</v>
      </c>
      <c r="F125" s="5353" t="s">
        <v>3266</v>
      </c>
      <c r="G125" s="5324" t="s">
        <v>3265</v>
      </c>
      <c r="H125" s="5323" t="s">
        <v>3266</v>
      </c>
      <c r="I125" s="5324" t="s">
        <v>3265</v>
      </c>
      <c r="J125" s="5400" t="s">
        <v>3266</v>
      </c>
      <c r="K125" s="6180" t="s">
        <v>3222</v>
      </c>
      <c r="L125" s="6071" t="s">
        <v>3223</v>
      </c>
    </row>
    <row r="126" spans="1:128" x14ac:dyDescent="0.25">
      <c r="A126" s="7679" t="s">
        <v>3267</v>
      </c>
      <c r="B126" s="5357" t="s">
        <v>2889</v>
      </c>
      <c r="C126" s="5418"/>
      <c r="D126" s="5422"/>
      <c r="E126" s="5418"/>
      <c r="F126" s="5422"/>
      <c r="G126" s="5418"/>
      <c r="H126" s="5422"/>
      <c r="I126" s="5418"/>
      <c r="J126" s="5420"/>
      <c r="K126" s="933"/>
      <c r="L126" s="5952"/>
    </row>
    <row r="127" spans="1:128" x14ac:dyDescent="0.25">
      <c r="A127" s="6579"/>
      <c r="B127" s="3328" t="s">
        <v>3268</v>
      </c>
      <c r="C127" s="1089"/>
      <c r="D127" s="3166"/>
      <c r="E127" s="1089"/>
      <c r="F127" s="3166"/>
      <c r="G127" s="1089"/>
      <c r="H127" s="3166"/>
      <c r="I127" s="1089"/>
      <c r="J127" s="3233"/>
      <c r="K127" s="933"/>
      <c r="L127" s="630"/>
    </row>
    <row r="128" spans="1:128" x14ac:dyDescent="0.25">
      <c r="A128" s="6579"/>
      <c r="B128" s="3328" t="s">
        <v>3269</v>
      </c>
      <c r="C128" s="1089"/>
      <c r="D128" s="3166"/>
      <c r="E128" s="1089"/>
      <c r="F128" s="3166"/>
      <c r="G128" s="1089"/>
      <c r="H128" s="3166"/>
      <c r="I128" s="1089"/>
      <c r="J128" s="3233"/>
      <c r="K128" s="933"/>
      <c r="L128" s="630"/>
    </row>
    <row r="129" spans="1:41" x14ac:dyDescent="0.25">
      <c r="A129" s="8387"/>
      <c r="B129" s="3328" t="s">
        <v>3270</v>
      </c>
      <c r="C129" s="3112"/>
      <c r="D129" s="117"/>
      <c r="E129" s="3112"/>
      <c r="F129" s="117"/>
      <c r="G129" s="3112"/>
      <c r="H129" s="117"/>
      <c r="I129" s="3112"/>
      <c r="J129" s="774"/>
      <c r="K129" s="563"/>
      <c r="L129" s="3124"/>
    </row>
    <row r="130" spans="1:41" x14ac:dyDescent="0.25">
      <c r="A130" s="8400" t="s">
        <v>3271</v>
      </c>
      <c r="B130" s="5357" t="s">
        <v>2889</v>
      </c>
      <c r="C130" s="5418"/>
      <c r="D130" s="5422"/>
      <c r="E130" s="5418"/>
      <c r="F130" s="5422"/>
      <c r="G130" s="5418"/>
      <c r="H130" s="5422"/>
      <c r="I130" s="5418"/>
      <c r="J130" s="5420"/>
      <c r="K130" s="5895"/>
      <c r="L130" s="5952"/>
    </row>
    <row r="131" spans="1:41" x14ac:dyDescent="0.25">
      <c r="A131" s="8401"/>
      <c r="B131" s="3328" t="s">
        <v>3272</v>
      </c>
      <c r="C131" s="1089"/>
      <c r="D131" s="3166"/>
      <c r="E131" s="1089"/>
      <c r="F131" s="3166"/>
      <c r="G131" s="1089"/>
      <c r="H131" s="3166"/>
      <c r="I131" s="1089"/>
      <c r="J131" s="3233"/>
      <c r="K131" s="933"/>
      <c r="L131" s="630"/>
    </row>
    <row r="132" spans="1:41" x14ac:dyDescent="0.25">
      <c r="A132" s="8401"/>
      <c r="B132" s="3328" t="s">
        <v>3270</v>
      </c>
      <c r="C132" s="1089"/>
      <c r="D132" s="3166"/>
      <c r="E132" s="1089"/>
      <c r="F132" s="3166"/>
      <c r="G132" s="1089"/>
      <c r="H132" s="3166"/>
      <c r="I132" s="1089"/>
      <c r="J132" s="3233"/>
      <c r="K132" s="933"/>
      <c r="L132" s="630"/>
    </row>
    <row r="133" spans="1:41" x14ac:dyDescent="0.25">
      <c r="A133" s="8401"/>
      <c r="B133" s="4019" t="s">
        <v>3273</v>
      </c>
      <c r="C133" s="90"/>
      <c r="D133" s="91"/>
      <c r="E133" s="90"/>
      <c r="F133" s="91"/>
      <c r="G133" s="90"/>
      <c r="H133" s="91"/>
      <c r="I133" s="90"/>
      <c r="J133" s="1096"/>
      <c r="K133" s="2922"/>
      <c r="L133" s="92"/>
    </row>
    <row r="134" spans="1:41" x14ac:dyDescent="0.25">
      <c r="A134" s="8401"/>
      <c r="B134" s="207" t="s">
        <v>3274</v>
      </c>
      <c r="C134" s="3112"/>
      <c r="D134" s="117"/>
      <c r="E134" s="3112"/>
      <c r="F134" s="117"/>
      <c r="G134" s="3112"/>
      <c r="H134" s="117"/>
      <c r="I134" s="3112"/>
      <c r="J134" s="774"/>
      <c r="K134" s="563"/>
      <c r="L134" s="3124"/>
    </row>
    <row r="135" spans="1:41" x14ac:dyDescent="0.25">
      <c r="A135" s="7679" t="s">
        <v>3275</v>
      </c>
      <c r="B135" s="5357" t="s">
        <v>3276</v>
      </c>
      <c r="C135" s="5418"/>
      <c r="D135" s="5422"/>
      <c r="E135" s="5418"/>
      <c r="F135" s="5422"/>
      <c r="G135" s="5418"/>
      <c r="H135" s="5422"/>
      <c r="I135" s="5418"/>
      <c r="J135" s="5420"/>
      <c r="K135" s="5895"/>
      <c r="L135" s="5952"/>
    </row>
    <row r="136" spans="1:41" x14ac:dyDescent="0.25">
      <c r="A136" s="6579"/>
      <c r="B136" s="3328" t="s">
        <v>3272</v>
      </c>
      <c r="C136" s="1089"/>
      <c r="D136" s="3166"/>
      <c r="E136" s="1089"/>
      <c r="F136" s="3166"/>
      <c r="G136" s="1089"/>
      <c r="H136" s="3166"/>
      <c r="I136" s="1089"/>
      <c r="J136" s="3233"/>
      <c r="K136" s="933"/>
      <c r="L136" s="630"/>
    </row>
    <row r="137" spans="1:41" x14ac:dyDescent="0.25">
      <c r="A137" s="6579"/>
      <c r="B137" s="3328" t="s">
        <v>3270</v>
      </c>
      <c r="C137" s="1089"/>
      <c r="D137" s="3166"/>
      <c r="E137" s="1089"/>
      <c r="F137" s="3166"/>
      <c r="G137" s="1089"/>
      <c r="H137" s="3166"/>
      <c r="I137" s="1089"/>
      <c r="J137" s="3233"/>
      <c r="K137" s="933"/>
      <c r="L137" s="630"/>
    </row>
    <row r="138" spans="1:41" x14ac:dyDescent="0.25">
      <c r="A138" s="6579"/>
      <c r="B138" s="3328" t="s">
        <v>3277</v>
      </c>
      <c r="C138" s="1089"/>
      <c r="D138" s="3166"/>
      <c r="E138" s="1089"/>
      <c r="F138" s="3166"/>
      <c r="G138" s="1089"/>
      <c r="H138" s="3166"/>
      <c r="I138" s="1089"/>
      <c r="J138" s="3233"/>
      <c r="K138" s="933"/>
      <c r="L138" s="630"/>
    </row>
    <row r="139" spans="1:41" x14ac:dyDescent="0.25">
      <c r="A139" s="6579"/>
      <c r="B139" s="4019" t="s">
        <v>3273</v>
      </c>
      <c r="C139" s="1089"/>
      <c r="D139" s="3166"/>
      <c r="E139" s="1089"/>
      <c r="F139" s="3166"/>
      <c r="G139" s="1089"/>
      <c r="H139" s="3166"/>
      <c r="I139" s="1089"/>
      <c r="J139" s="3233"/>
      <c r="K139" s="933"/>
      <c r="L139" s="630"/>
    </row>
    <row r="140" spans="1:41" x14ac:dyDescent="0.25">
      <c r="A140" s="8387"/>
      <c r="B140" s="207" t="s">
        <v>3274</v>
      </c>
      <c r="C140" s="131"/>
      <c r="D140" s="878"/>
      <c r="E140" s="131"/>
      <c r="F140" s="878"/>
      <c r="G140" s="131"/>
      <c r="H140" s="878"/>
      <c r="I140" s="131"/>
      <c r="J140" s="3119"/>
      <c r="K140" s="3868"/>
      <c r="L140" s="1429"/>
    </row>
    <row r="141" spans="1:41" x14ac:dyDescent="0.25">
      <c r="A141" s="5490" t="s">
        <v>3278</v>
      </c>
      <c r="B141" s="5490" t="s">
        <v>3269</v>
      </c>
      <c r="C141" s="5489"/>
      <c r="D141" s="5487"/>
      <c r="E141" s="5489"/>
      <c r="F141" s="5487"/>
      <c r="G141" s="5489"/>
      <c r="H141" s="5487"/>
      <c r="I141" s="5489"/>
      <c r="J141" s="5488"/>
      <c r="K141" s="6159"/>
      <c r="L141" s="5810"/>
    </row>
    <row r="142" spans="1:41" ht="18" customHeight="1" x14ac:dyDescent="0.25">
      <c r="A142" s="123" t="s">
        <v>3279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</row>
    <row r="143" spans="1:41" ht="18" customHeight="1" x14ac:dyDescent="0.25">
      <c r="A143" s="122" t="s">
        <v>3280</v>
      </c>
      <c r="B143" s="123"/>
      <c r="C143" s="101"/>
      <c r="D143" s="163"/>
      <c r="E143" s="5485"/>
      <c r="F143" s="163"/>
      <c r="G143" s="5485"/>
      <c r="H143" s="5485"/>
      <c r="I143" s="163"/>
      <c r="J143" s="5486"/>
      <c r="K143" s="5486"/>
      <c r="L143" s="5486"/>
      <c r="M143" s="5486"/>
      <c r="N143" s="5486"/>
      <c r="O143" s="5486"/>
      <c r="P143" s="5486"/>
      <c r="Q143" s="5486"/>
      <c r="R143" s="5485"/>
      <c r="S143" s="163"/>
      <c r="T143" s="5486"/>
      <c r="U143" s="5486"/>
      <c r="V143" s="5485"/>
      <c r="W143" s="5484"/>
      <c r="X143" s="163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</row>
    <row r="144" spans="1:41" x14ac:dyDescent="0.25">
      <c r="A144" s="8388" t="s">
        <v>3281</v>
      </c>
      <c r="B144" s="7726" t="s">
        <v>24</v>
      </c>
      <c r="C144" s="6689"/>
      <c r="D144" s="7672"/>
      <c r="E144" s="8391" t="s">
        <v>30</v>
      </c>
      <c r="F144" s="7728"/>
      <c r="G144" s="7728"/>
      <c r="H144" s="7728"/>
      <c r="I144" s="7728"/>
      <c r="J144" s="7728"/>
      <c r="K144" s="7728"/>
      <c r="L144" s="7728"/>
      <c r="M144" s="7728"/>
      <c r="N144" s="7728"/>
      <c r="O144" s="7728"/>
      <c r="P144" s="7728"/>
      <c r="Q144" s="7728"/>
      <c r="R144" s="7728"/>
      <c r="S144" s="7728"/>
      <c r="T144" s="7728"/>
      <c r="U144" s="7728"/>
      <c r="V144" s="7728"/>
      <c r="W144" s="7728"/>
      <c r="X144" s="7728"/>
      <c r="Y144" s="7728"/>
      <c r="Z144" s="7728"/>
      <c r="AA144" s="7728"/>
      <c r="AB144" s="7728"/>
      <c r="AC144" s="7728"/>
      <c r="AD144" s="7728"/>
      <c r="AE144" s="7728"/>
      <c r="AF144" s="7728"/>
      <c r="AG144" s="7728"/>
      <c r="AH144" s="7728"/>
      <c r="AI144" s="7728"/>
      <c r="AJ144" s="7728"/>
      <c r="AK144" s="7728"/>
      <c r="AL144" s="7728"/>
      <c r="AM144" s="8378" t="s">
        <v>3282</v>
      </c>
      <c r="AN144" s="8379"/>
      <c r="AO144" s="8380"/>
    </row>
    <row r="145" spans="1:117" x14ac:dyDescent="0.25">
      <c r="A145" s="8389"/>
      <c r="B145" s="7727"/>
      <c r="C145" s="7700"/>
      <c r="D145" s="7287"/>
      <c r="E145" s="8381" t="s">
        <v>36</v>
      </c>
      <c r="F145" s="8381"/>
      <c r="G145" s="8381" t="s">
        <v>37</v>
      </c>
      <c r="H145" s="8381"/>
      <c r="I145" s="8381" t="s">
        <v>38</v>
      </c>
      <c r="J145" s="8381"/>
      <c r="K145" s="8382" t="s">
        <v>4</v>
      </c>
      <c r="L145" s="8382"/>
      <c r="M145" s="8381" t="s">
        <v>5</v>
      </c>
      <c r="N145" s="7701"/>
      <c r="O145" s="8381" t="s">
        <v>560</v>
      </c>
      <c r="P145" s="8381"/>
      <c r="Q145" s="8381" t="s">
        <v>561</v>
      </c>
      <c r="R145" s="8381"/>
      <c r="S145" s="8381" t="s">
        <v>8</v>
      </c>
      <c r="T145" s="8381"/>
      <c r="U145" s="8381" t="s">
        <v>9</v>
      </c>
      <c r="V145" s="8381"/>
      <c r="W145" s="8381" t="s">
        <v>576</v>
      </c>
      <c r="X145" s="8381"/>
      <c r="Y145" s="8381" t="s">
        <v>11</v>
      </c>
      <c r="Z145" s="8381"/>
      <c r="AA145" s="8381" t="s">
        <v>18</v>
      </c>
      <c r="AB145" s="8381"/>
      <c r="AC145" s="8381" t="s">
        <v>19</v>
      </c>
      <c r="AD145" s="7701"/>
      <c r="AE145" s="8381" t="s">
        <v>20</v>
      </c>
      <c r="AF145" s="8381"/>
      <c r="AG145" s="8381" t="s">
        <v>70</v>
      </c>
      <c r="AH145" s="8381"/>
      <c r="AI145" s="8381" t="s">
        <v>71</v>
      </c>
      <c r="AJ145" s="8381"/>
      <c r="AK145" s="7682" t="s">
        <v>72</v>
      </c>
      <c r="AL145" s="7683"/>
      <c r="AM145" s="8385" t="s">
        <v>3283</v>
      </c>
      <c r="AN145" s="8383" t="s">
        <v>3284</v>
      </c>
      <c r="AO145" s="8384"/>
    </row>
    <row r="146" spans="1:117" ht="31.5" x14ac:dyDescent="0.25">
      <c r="A146" s="8390"/>
      <c r="B146" s="5483" t="s">
        <v>26</v>
      </c>
      <c r="C146" s="5482" t="s">
        <v>22</v>
      </c>
      <c r="D146" s="5453" t="s">
        <v>27</v>
      </c>
      <c r="E146" s="5481" t="s">
        <v>22</v>
      </c>
      <c r="F146" s="5480" t="s">
        <v>27</v>
      </c>
      <c r="G146" s="5481" t="s">
        <v>22</v>
      </c>
      <c r="H146" s="5480" t="s">
        <v>27</v>
      </c>
      <c r="I146" s="5481" t="s">
        <v>22</v>
      </c>
      <c r="J146" s="5480" t="s">
        <v>27</v>
      </c>
      <c r="K146" s="5481" t="s">
        <v>22</v>
      </c>
      <c r="L146" s="5480" t="s">
        <v>27</v>
      </c>
      <c r="M146" s="5481" t="s">
        <v>22</v>
      </c>
      <c r="N146" s="5478" t="s">
        <v>27</v>
      </c>
      <c r="O146" s="5481" t="s">
        <v>22</v>
      </c>
      <c r="P146" s="5480" t="s">
        <v>27</v>
      </c>
      <c r="Q146" s="5481" t="s">
        <v>22</v>
      </c>
      <c r="R146" s="5480" t="s">
        <v>27</v>
      </c>
      <c r="S146" s="5481" t="s">
        <v>22</v>
      </c>
      <c r="T146" s="5480" t="s">
        <v>27</v>
      </c>
      <c r="U146" s="5481" t="s">
        <v>22</v>
      </c>
      <c r="V146" s="5480" t="s">
        <v>27</v>
      </c>
      <c r="W146" s="5481" t="s">
        <v>22</v>
      </c>
      <c r="X146" s="5480" t="s">
        <v>27</v>
      </c>
      <c r="Y146" s="5481" t="s">
        <v>22</v>
      </c>
      <c r="Z146" s="5480" t="s">
        <v>27</v>
      </c>
      <c r="AA146" s="5481" t="s">
        <v>22</v>
      </c>
      <c r="AB146" s="5480" t="s">
        <v>27</v>
      </c>
      <c r="AC146" s="5481" t="s">
        <v>22</v>
      </c>
      <c r="AD146" s="5478" t="s">
        <v>27</v>
      </c>
      <c r="AE146" s="5481" t="s">
        <v>22</v>
      </c>
      <c r="AF146" s="5480" t="s">
        <v>27</v>
      </c>
      <c r="AG146" s="5481" t="s">
        <v>22</v>
      </c>
      <c r="AH146" s="5480" t="s">
        <v>27</v>
      </c>
      <c r="AI146" s="5481" t="s">
        <v>22</v>
      </c>
      <c r="AJ146" s="5480" t="s">
        <v>27</v>
      </c>
      <c r="AK146" s="5479" t="s">
        <v>22</v>
      </c>
      <c r="AL146" s="5478" t="s">
        <v>27</v>
      </c>
      <c r="AM146" s="8386"/>
      <c r="AN146" s="6156" t="s">
        <v>3285</v>
      </c>
      <c r="AO146" s="6157" t="s">
        <v>3286</v>
      </c>
    </row>
    <row r="147" spans="1:117" x14ac:dyDescent="0.25">
      <c r="A147" s="5477" t="s">
        <v>3287</v>
      </c>
      <c r="B147" s="4020">
        <f t="shared" ref="B147:B175" si="34">SUM(C147:D147)</f>
        <v>0</v>
      </c>
      <c r="C147" s="4021">
        <f t="shared" ref="C147:C175" si="35">E147+G147+I147+K147+M147+O147+Q147+S147+U147+W147+Y147+AA147+AC147+AE147+AG147+AI147+AK147</f>
        <v>0</v>
      </c>
      <c r="D147" s="5476">
        <f t="shared" ref="D147:D175" si="36">F147+H147+J147+L147+N147+P147+R147+T147+V147+X147+Z147+AB147+AD147+AF147+AH147+AJ147+AL147</f>
        <v>0</v>
      </c>
      <c r="E147" s="5418"/>
      <c r="F147" s="5448"/>
      <c r="G147" s="5418"/>
      <c r="H147" s="5448"/>
      <c r="I147" s="5418"/>
      <c r="J147" s="5448"/>
      <c r="K147" s="5418"/>
      <c r="L147" s="5419"/>
      <c r="M147" s="5419"/>
      <c r="N147" s="5474"/>
      <c r="O147" s="5418"/>
      <c r="P147" s="5448"/>
      <c r="Q147" s="5418"/>
      <c r="R147" s="5448"/>
      <c r="S147" s="5418"/>
      <c r="T147" s="5448"/>
      <c r="U147" s="5418"/>
      <c r="V147" s="5448"/>
      <c r="W147" s="5418"/>
      <c r="X147" s="5448"/>
      <c r="Y147" s="5418"/>
      <c r="Z147" s="5448"/>
      <c r="AA147" s="5418"/>
      <c r="AB147" s="5448"/>
      <c r="AC147" s="5418"/>
      <c r="AD147" s="5474"/>
      <c r="AE147" s="5418"/>
      <c r="AF147" s="5448"/>
      <c r="AG147" s="5418"/>
      <c r="AH147" s="5448"/>
      <c r="AI147" s="5418"/>
      <c r="AJ147" s="5448"/>
      <c r="AK147" s="5475"/>
      <c r="AL147" s="5474"/>
      <c r="AM147" s="5895"/>
      <c r="AN147" s="6179"/>
      <c r="AO147" s="5952"/>
      <c r="AP147" s="1755" t="str">
        <f t="shared" ref="AP147:AP175" si="37">$CA147&amp;CB147</f>
        <v/>
      </c>
      <c r="BU147" s="2718"/>
      <c r="BV147" s="2718"/>
      <c r="BW147" s="2718"/>
      <c r="BX147" s="2718"/>
      <c r="BY147" s="2718"/>
      <c r="BZ147" s="2718"/>
      <c r="CA147" s="3009"/>
      <c r="CB147" s="4933" t="str">
        <f>IF(AM147+AN147+AO147&lt;&gt;$B147,"* El número de "&amp;AM$144&amp;""&amp;" no debe ser distinto del Total. ","")</f>
        <v/>
      </c>
      <c r="CC147" s="2718"/>
      <c r="CD147" s="2718"/>
      <c r="CE147" s="2718"/>
      <c r="CF147" s="2718"/>
      <c r="CG147" s="1793">
        <f>IF(AM147+AN147+AO147&lt;&gt;$B147,1,0)</f>
        <v>0</v>
      </c>
      <c r="CH147" s="1791"/>
      <c r="CI147" s="1791"/>
      <c r="CJ147"/>
      <c r="CK147"/>
      <c r="CL147"/>
      <c r="CM147"/>
      <c r="DJ147" s="1134"/>
      <c r="DK147" s="1134"/>
      <c r="DL147" s="1134"/>
      <c r="DM147" s="1134"/>
    </row>
    <row r="148" spans="1:117" x14ac:dyDescent="0.25">
      <c r="A148" s="4022" t="s">
        <v>3288</v>
      </c>
      <c r="B148" s="4020">
        <f t="shared" si="34"/>
        <v>0</v>
      </c>
      <c r="C148" s="4021">
        <f t="shared" si="35"/>
        <v>0</v>
      </c>
      <c r="D148" s="4021">
        <f t="shared" si="36"/>
        <v>0</v>
      </c>
      <c r="E148" s="1089"/>
      <c r="F148" s="1077"/>
      <c r="G148" s="1089"/>
      <c r="H148" s="1077"/>
      <c r="I148" s="1089"/>
      <c r="J148" s="1077"/>
      <c r="K148" s="1089"/>
      <c r="L148" s="1090"/>
      <c r="M148" s="1090"/>
      <c r="N148" s="1098"/>
      <c r="O148" s="1089"/>
      <c r="P148" s="1077"/>
      <c r="Q148" s="1089"/>
      <c r="R148" s="1077"/>
      <c r="S148" s="1089"/>
      <c r="T148" s="1077"/>
      <c r="U148" s="1089"/>
      <c r="V148" s="1077"/>
      <c r="W148" s="1089"/>
      <c r="X148" s="1077"/>
      <c r="Y148" s="1089"/>
      <c r="Z148" s="1077"/>
      <c r="AA148" s="1089"/>
      <c r="AB148" s="1077"/>
      <c r="AC148" s="1089"/>
      <c r="AD148" s="1098"/>
      <c r="AE148" s="1089"/>
      <c r="AF148" s="1077"/>
      <c r="AG148" s="1089"/>
      <c r="AH148" s="1077"/>
      <c r="AI148" s="1089"/>
      <c r="AJ148" s="1077"/>
      <c r="AK148" s="3232"/>
      <c r="AL148" s="1098"/>
      <c r="AM148" s="933"/>
      <c r="AN148" s="621"/>
      <c r="AO148" s="630"/>
      <c r="AP148" s="1755" t="str">
        <f t="shared" si="37"/>
        <v/>
      </c>
      <c r="BU148" s="2718"/>
      <c r="BV148" s="2718"/>
      <c r="BW148" s="2718"/>
      <c r="BX148" s="2718"/>
      <c r="BY148" s="2718"/>
      <c r="BZ148" s="2718"/>
      <c r="CA148" s="3009"/>
      <c r="CB148" s="4933" t="str">
        <f t="shared" ref="CB148:CB181" si="38">IF(AM148+AN148+AO148&lt;&gt;$B148,"* El número de "&amp;AM$144&amp;""&amp;" no debe ser distinto del Total. ","")</f>
        <v/>
      </c>
      <c r="CC148" s="2718"/>
      <c r="CD148" s="2718"/>
      <c r="CE148" s="2718"/>
      <c r="CF148" s="2718"/>
      <c r="CG148" s="1793">
        <f t="shared" ref="CG148:CG181" si="39">IF(AM148+AN148+AO148&lt;&gt;$B148,1,0)</f>
        <v>0</v>
      </c>
      <c r="CH148" s="1791"/>
      <c r="CI148" s="1791"/>
      <c r="DI148"/>
    </row>
    <row r="149" spans="1:117" x14ac:dyDescent="0.25">
      <c r="A149" s="3995" t="s">
        <v>3203</v>
      </c>
      <c r="B149" s="4020">
        <f t="shared" si="34"/>
        <v>0</v>
      </c>
      <c r="C149" s="4021">
        <f t="shared" si="35"/>
        <v>0</v>
      </c>
      <c r="D149" s="4021">
        <f t="shared" si="36"/>
        <v>0</v>
      </c>
      <c r="E149" s="1089"/>
      <c r="F149" s="1077"/>
      <c r="G149" s="1089"/>
      <c r="H149" s="1077"/>
      <c r="I149" s="1089"/>
      <c r="J149" s="1077"/>
      <c r="K149" s="1089"/>
      <c r="L149" s="1090"/>
      <c r="M149" s="1090"/>
      <c r="N149" s="1098"/>
      <c r="O149" s="1089"/>
      <c r="P149" s="1077"/>
      <c r="Q149" s="1089"/>
      <c r="R149" s="1077"/>
      <c r="S149" s="1089"/>
      <c r="T149" s="1077"/>
      <c r="U149" s="1089"/>
      <c r="V149" s="1077"/>
      <c r="W149" s="1089"/>
      <c r="X149" s="1077"/>
      <c r="Y149" s="1089"/>
      <c r="Z149" s="1077"/>
      <c r="AA149" s="1089"/>
      <c r="AB149" s="1077"/>
      <c r="AC149" s="1089"/>
      <c r="AD149" s="1098"/>
      <c r="AE149" s="1089"/>
      <c r="AF149" s="1077"/>
      <c r="AG149" s="1089"/>
      <c r="AH149" s="1077"/>
      <c r="AI149" s="1089"/>
      <c r="AJ149" s="1077"/>
      <c r="AK149" s="3232"/>
      <c r="AL149" s="1098"/>
      <c r="AM149" s="933"/>
      <c r="AN149" s="621"/>
      <c r="AO149" s="630"/>
      <c r="AP149" s="1755" t="str">
        <f t="shared" si="37"/>
        <v/>
      </c>
      <c r="BU149" s="2718"/>
      <c r="BV149" s="2718"/>
      <c r="BW149" s="2718"/>
      <c r="BX149" s="2718"/>
      <c r="BY149" s="2718"/>
      <c r="BZ149" s="2718"/>
      <c r="CA149" s="3009"/>
      <c r="CB149" s="4933" t="str">
        <f t="shared" si="38"/>
        <v/>
      </c>
      <c r="CC149" s="2718"/>
      <c r="CD149" s="2718"/>
      <c r="CE149" s="2718"/>
      <c r="CF149" s="2718"/>
      <c r="CG149" s="1793">
        <f t="shared" si="39"/>
        <v>0</v>
      </c>
      <c r="CH149" s="1791"/>
      <c r="CI149" s="1791"/>
      <c r="DI149"/>
    </row>
    <row r="150" spans="1:117" x14ac:dyDescent="0.25">
      <c r="A150" s="3995" t="s">
        <v>3204</v>
      </c>
      <c r="B150" s="4020">
        <f t="shared" si="34"/>
        <v>0</v>
      </c>
      <c r="C150" s="4021">
        <f t="shared" si="35"/>
        <v>0</v>
      </c>
      <c r="D150" s="4021">
        <f t="shared" si="36"/>
        <v>0</v>
      </c>
      <c r="E150" s="1089"/>
      <c r="F150" s="1077"/>
      <c r="G150" s="1089"/>
      <c r="H150" s="1077"/>
      <c r="I150" s="1089"/>
      <c r="J150" s="1077"/>
      <c r="K150" s="1089"/>
      <c r="L150" s="1090"/>
      <c r="M150" s="1090"/>
      <c r="N150" s="1098"/>
      <c r="O150" s="1089"/>
      <c r="P150" s="1077"/>
      <c r="Q150" s="1089"/>
      <c r="R150" s="1077"/>
      <c r="S150" s="1089"/>
      <c r="T150" s="1077"/>
      <c r="U150" s="1089"/>
      <c r="V150" s="1077"/>
      <c r="W150" s="1089"/>
      <c r="X150" s="1077"/>
      <c r="Y150" s="1089"/>
      <c r="Z150" s="1077"/>
      <c r="AA150" s="1089"/>
      <c r="AB150" s="1077"/>
      <c r="AC150" s="1089"/>
      <c r="AD150" s="1098"/>
      <c r="AE150" s="1089"/>
      <c r="AF150" s="1077"/>
      <c r="AG150" s="1089"/>
      <c r="AH150" s="1077"/>
      <c r="AI150" s="1089"/>
      <c r="AJ150" s="1077"/>
      <c r="AK150" s="3232"/>
      <c r="AL150" s="1098"/>
      <c r="AM150" s="933"/>
      <c r="AN150" s="621"/>
      <c r="AO150" s="630"/>
      <c r="AP150" s="1755" t="str">
        <f t="shared" si="37"/>
        <v/>
      </c>
      <c r="BU150" s="2718"/>
      <c r="BV150" s="2718"/>
      <c r="BW150" s="2718"/>
      <c r="BX150" s="2718"/>
      <c r="BY150" s="2718"/>
      <c r="BZ150" s="2718"/>
      <c r="CA150" s="3009"/>
      <c r="CB150" s="4933" t="str">
        <f t="shared" si="38"/>
        <v/>
      </c>
      <c r="CC150" s="2718"/>
      <c r="CD150" s="2718"/>
      <c r="CE150" s="2718"/>
      <c r="CF150" s="2718"/>
      <c r="CG150" s="1793">
        <f t="shared" si="39"/>
        <v>0</v>
      </c>
      <c r="CH150" s="1791"/>
      <c r="CI150" s="1791"/>
      <c r="DI150"/>
    </row>
    <row r="151" spans="1:117" x14ac:dyDescent="0.25">
      <c r="A151" s="3995" t="s">
        <v>3205</v>
      </c>
      <c r="B151" s="4020">
        <f t="shared" si="34"/>
        <v>0</v>
      </c>
      <c r="C151" s="4021">
        <f t="shared" si="35"/>
        <v>0</v>
      </c>
      <c r="D151" s="4021">
        <f t="shared" si="36"/>
        <v>0</v>
      </c>
      <c r="E151" s="1089"/>
      <c r="F151" s="1077"/>
      <c r="G151" s="1089"/>
      <c r="H151" s="1077"/>
      <c r="I151" s="1089"/>
      <c r="J151" s="1077"/>
      <c r="K151" s="1089"/>
      <c r="L151" s="1090"/>
      <c r="M151" s="1090"/>
      <c r="N151" s="1098"/>
      <c r="O151" s="1089"/>
      <c r="P151" s="1077"/>
      <c r="Q151" s="1089"/>
      <c r="R151" s="1077"/>
      <c r="S151" s="1089"/>
      <c r="T151" s="1077"/>
      <c r="U151" s="1089"/>
      <c r="V151" s="1077"/>
      <c r="W151" s="1089"/>
      <c r="X151" s="1077"/>
      <c r="Y151" s="1089"/>
      <c r="Z151" s="1077"/>
      <c r="AA151" s="1089"/>
      <c r="AB151" s="1077"/>
      <c r="AC151" s="1089"/>
      <c r="AD151" s="1098"/>
      <c r="AE151" s="1089"/>
      <c r="AF151" s="1077"/>
      <c r="AG151" s="1089"/>
      <c r="AH151" s="1077"/>
      <c r="AI151" s="1089"/>
      <c r="AJ151" s="1077"/>
      <c r="AK151" s="3232"/>
      <c r="AL151" s="1098"/>
      <c r="AM151" s="933"/>
      <c r="AN151" s="621"/>
      <c r="AO151" s="630"/>
      <c r="AP151" s="1755" t="str">
        <f t="shared" si="37"/>
        <v/>
      </c>
      <c r="BU151" s="2718"/>
      <c r="BV151" s="2718"/>
      <c r="BW151" s="2718"/>
      <c r="BX151" s="2718"/>
      <c r="BY151" s="2718"/>
      <c r="BZ151" s="2718"/>
      <c r="CA151" s="3009"/>
      <c r="CB151" s="4933" t="str">
        <f t="shared" si="38"/>
        <v/>
      </c>
      <c r="CC151" s="2718"/>
      <c r="CD151" s="2718"/>
      <c r="CE151" s="2718"/>
      <c r="CF151" s="2718"/>
      <c r="CG151" s="1793">
        <f t="shared" si="39"/>
        <v>0</v>
      </c>
      <c r="CH151" s="1791"/>
      <c r="CI151" s="1791"/>
      <c r="DI151"/>
    </row>
    <row r="152" spans="1:117" x14ac:dyDescent="0.25">
      <c r="A152" s="3995" t="s">
        <v>3289</v>
      </c>
      <c r="B152" s="4020">
        <f t="shared" si="34"/>
        <v>0</v>
      </c>
      <c r="C152" s="4021">
        <f t="shared" si="35"/>
        <v>0</v>
      </c>
      <c r="D152" s="4021">
        <f t="shared" si="36"/>
        <v>0</v>
      </c>
      <c r="E152" s="1089"/>
      <c r="F152" s="1077"/>
      <c r="G152" s="1089"/>
      <c r="H152" s="1077"/>
      <c r="I152" s="1089"/>
      <c r="J152" s="1077"/>
      <c r="K152" s="1089"/>
      <c r="L152" s="1090"/>
      <c r="M152" s="1090"/>
      <c r="N152" s="1098"/>
      <c r="O152" s="1089"/>
      <c r="P152" s="1077"/>
      <c r="Q152" s="1089"/>
      <c r="R152" s="1077"/>
      <c r="S152" s="1089"/>
      <c r="T152" s="1077"/>
      <c r="U152" s="1089"/>
      <c r="V152" s="1077"/>
      <c r="W152" s="1089"/>
      <c r="X152" s="1077"/>
      <c r="Y152" s="1089"/>
      <c r="Z152" s="1077"/>
      <c r="AA152" s="1089"/>
      <c r="AB152" s="1077"/>
      <c r="AC152" s="1089"/>
      <c r="AD152" s="1098"/>
      <c r="AE152" s="1089"/>
      <c r="AF152" s="1077"/>
      <c r="AG152" s="1089"/>
      <c r="AH152" s="1077"/>
      <c r="AI152" s="1089"/>
      <c r="AJ152" s="1077"/>
      <c r="AK152" s="3232"/>
      <c r="AL152" s="1098"/>
      <c r="AM152" s="933"/>
      <c r="AN152" s="621"/>
      <c r="AO152" s="630"/>
      <c r="AP152" s="1755" t="str">
        <f t="shared" si="37"/>
        <v/>
      </c>
      <c r="BU152" s="2718"/>
      <c r="BV152" s="2718"/>
      <c r="BW152" s="2718"/>
      <c r="BX152" s="2718"/>
      <c r="BY152" s="2718"/>
      <c r="BZ152" s="2718"/>
      <c r="CA152" s="3009"/>
      <c r="CB152" s="4933" t="str">
        <f t="shared" si="38"/>
        <v/>
      </c>
      <c r="CC152" s="2718"/>
      <c r="CD152" s="2718"/>
      <c r="CE152" s="2718"/>
      <c r="CF152" s="2718"/>
      <c r="CG152" s="1793">
        <f t="shared" si="39"/>
        <v>0</v>
      </c>
      <c r="CH152" s="1791"/>
      <c r="CI152" s="1791"/>
      <c r="DI152"/>
    </row>
    <row r="153" spans="1:117" x14ac:dyDescent="0.25">
      <c r="A153" s="3995" t="s">
        <v>3290</v>
      </c>
      <c r="B153" s="4020">
        <f t="shared" si="34"/>
        <v>0</v>
      </c>
      <c r="C153" s="4021">
        <f t="shared" si="35"/>
        <v>0</v>
      </c>
      <c r="D153" s="4021">
        <f t="shared" si="36"/>
        <v>0</v>
      </c>
      <c r="E153" s="1089"/>
      <c r="F153" s="1077"/>
      <c r="G153" s="1089"/>
      <c r="H153" s="1077"/>
      <c r="I153" s="1089"/>
      <c r="J153" s="1077"/>
      <c r="K153" s="1089"/>
      <c r="L153" s="1090"/>
      <c r="M153" s="1090"/>
      <c r="N153" s="1098"/>
      <c r="O153" s="1089"/>
      <c r="P153" s="1077"/>
      <c r="Q153" s="1089"/>
      <c r="R153" s="1077"/>
      <c r="S153" s="1089"/>
      <c r="T153" s="1077"/>
      <c r="U153" s="1089"/>
      <c r="V153" s="1077"/>
      <c r="W153" s="1089"/>
      <c r="X153" s="1077"/>
      <c r="Y153" s="1089"/>
      <c r="Z153" s="1077"/>
      <c r="AA153" s="1089"/>
      <c r="AB153" s="1077"/>
      <c r="AC153" s="1089"/>
      <c r="AD153" s="1098"/>
      <c r="AE153" s="1089"/>
      <c r="AF153" s="1077"/>
      <c r="AG153" s="1089"/>
      <c r="AH153" s="1077"/>
      <c r="AI153" s="1089"/>
      <c r="AJ153" s="1077"/>
      <c r="AK153" s="3232"/>
      <c r="AL153" s="1098"/>
      <c r="AM153" s="933"/>
      <c r="AN153" s="621"/>
      <c r="AO153" s="630"/>
      <c r="AP153" s="1755" t="str">
        <f t="shared" si="37"/>
        <v/>
      </c>
      <c r="BU153" s="2718"/>
      <c r="BV153" s="2718"/>
      <c r="BW153" s="2718"/>
      <c r="BX153" s="2718"/>
      <c r="BY153" s="2718"/>
      <c r="BZ153" s="2718"/>
      <c r="CA153" s="3009"/>
      <c r="CB153" s="4933" t="str">
        <f t="shared" si="38"/>
        <v/>
      </c>
      <c r="CC153" s="2718"/>
      <c r="CD153" s="2718"/>
      <c r="CE153" s="2718"/>
      <c r="CF153" s="2718"/>
      <c r="CG153" s="1793">
        <f t="shared" si="39"/>
        <v>0</v>
      </c>
      <c r="CH153" s="1791"/>
      <c r="CI153" s="1791"/>
      <c r="DI153"/>
    </row>
    <row r="154" spans="1:117" x14ac:dyDescent="0.25">
      <c r="A154" s="3995" t="s">
        <v>3209</v>
      </c>
      <c r="B154" s="4020">
        <f t="shared" si="34"/>
        <v>0</v>
      </c>
      <c r="C154" s="4021">
        <f t="shared" si="35"/>
        <v>0</v>
      </c>
      <c r="D154" s="4021">
        <f t="shared" si="36"/>
        <v>0</v>
      </c>
      <c r="E154" s="1089"/>
      <c r="F154" s="1077"/>
      <c r="G154" s="1089"/>
      <c r="H154" s="1077"/>
      <c r="I154" s="1089"/>
      <c r="J154" s="1077"/>
      <c r="K154" s="1089"/>
      <c r="L154" s="1090"/>
      <c r="M154" s="1090"/>
      <c r="N154" s="1098"/>
      <c r="O154" s="1089"/>
      <c r="P154" s="1077"/>
      <c r="Q154" s="1089"/>
      <c r="R154" s="1077"/>
      <c r="S154" s="1089"/>
      <c r="T154" s="1077"/>
      <c r="U154" s="1089"/>
      <c r="V154" s="1077"/>
      <c r="W154" s="1089"/>
      <c r="X154" s="1077"/>
      <c r="Y154" s="1089"/>
      <c r="Z154" s="1077"/>
      <c r="AA154" s="1089"/>
      <c r="AB154" s="1077"/>
      <c r="AC154" s="1089"/>
      <c r="AD154" s="1098"/>
      <c r="AE154" s="1089"/>
      <c r="AF154" s="1077"/>
      <c r="AG154" s="1089"/>
      <c r="AH154" s="1077"/>
      <c r="AI154" s="1089"/>
      <c r="AJ154" s="1077"/>
      <c r="AK154" s="3232"/>
      <c r="AL154" s="1098"/>
      <c r="AM154" s="933"/>
      <c r="AN154" s="621"/>
      <c r="AO154" s="630"/>
      <c r="AP154" s="1755" t="str">
        <f t="shared" si="37"/>
        <v/>
      </c>
      <c r="BU154" s="2718"/>
      <c r="BV154" s="2718"/>
      <c r="BW154" s="2718"/>
      <c r="BX154" s="2718"/>
      <c r="BY154" s="2718"/>
      <c r="BZ154" s="2718"/>
      <c r="CA154" s="3009"/>
      <c r="CB154" s="4933" t="str">
        <f t="shared" si="38"/>
        <v/>
      </c>
      <c r="CC154" s="2718"/>
      <c r="CD154" s="2718"/>
      <c r="CE154" s="2718"/>
      <c r="CF154" s="2718"/>
      <c r="CG154" s="1793">
        <f t="shared" si="39"/>
        <v>0</v>
      </c>
      <c r="CH154" s="1791"/>
      <c r="CI154" s="1791"/>
      <c r="DI154"/>
    </row>
    <row r="155" spans="1:117" x14ac:dyDescent="0.25">
      <c r="A155" s="3995" t="s">
        <v>3291</v>
      </c>
      <c r="B155" s="4020">
        <f t="shared" si="34"/>
        <v>0</v>
      </c>
      <c r="C155" s="4021">
        <f t="shared" si="35"/>
        <v>0</v>
      </c>
      <c r="D155" s="4021">
        <f t="shared" si="36"/>
        <v>0</v>
      </c>
      <c r="E155" s="1089"/>
      <c r="F155" s="1077"/>
      <c r="G155" s="1089"/>
      <c r="H155" s="1077"/>
      <c r="I155" s="1089"/>
      <c r="J155" s="1077"/>
      <c r="K155" s="1089"/>
      <c r="L155" s="1090"/>
      <c r="M155" s="1090"/>
      <c r="N155" s="1098"/>
      <c r="O155" s="1089"/>
      <c r="P155" s="1077"/>
      <c r="Q155" s="1089"/>
      <c r="R155" s="1077"/>
      <c r="S155" s="1089"/>
      <c r="T155" s="1077"/>
      <c r="U155" s="1089"/>
      <c r="V155" s="1077"/>
      <c r="W155" s="1089"/>
      <c r="X155" s="1077"/>
      <c r="Y155" s="1089"/>
      <c r="Z155" s="1077"/>
      <c r="AA155" s="1089"/>
      <c r="AB155" s="1077"/>
      <c r="AC155" s="1089"/>
      <c r="AD155" s="1098"/>
      <c r="AE155" s="1089"/>
      <c r="AF155" s="1077"/>
      <c r="AG155" s="1089"/>
      <c r="AH155" s="1077"/>
      <c r="AI155" s="1089"/>
      <c r="AJ155" s="1077"/>
      <c r="AK155" s="3232"/>
      <c r="AL155" s="1098"/>
      <c r="AM155" s="933"/>
      <c r="AN155" s="621"/>
      <c r="AO155" s="630"/>
      <c r="AP155" s="1755" t="str">
        <f t="shared" si="37"/>
        <v/>
      </c>
      <c r="BU155" s="2718"/>
      <c r="BV155" s="2718"/>
      <c r="BW155" s="2718"/>
      <c r="BX155" s="2718"/>
      <c r="BY155" s="2718"/>
      <c r="BZ155" s="2718"/>
      <c r="CA155" s="3009"/>
      <c r="CB155" s="4933" t="str">
        <f t="shared" si="38"/>
        <v/>
      </c>
      <c r="CC155" s="2718"/>
      <c r="CD155" s="2718"/>
      <c r="CE155" s="2718"/>
      <c r="CF155" s="2718"/>
      <c r="CG155" s="1793">
        <f t="shared" si="39"/>
        <v>0</v>
      </c>
      <c r="CH155" s="1791"/>
      <c r="CI155" s="1791"/>
      <c r="DI155"/>
    </row>
    <row r="156" spans="1:117" x14ac:dyDescent="0.25">
      <c r="A156" s="3995" t="s">
        <v>3292</v>
      </c>
      <c r="B156" s="4020">
        <f t="shared" si="34"/>
        <v>0</v>
      </c>
      <c r="C156" s="4021">
        <f t="shared" si="35"/>
        <v>0</v>
      </c>
      <c r="D156" s="4021">
        <f t="shared" si="36"/>
        <v>0</v>
      </c>
      <c r="E156" s="1089"/>
      <c r="F156" s="1077"/>
      <c r="G156" s="1089"/>
      <c r="H156" s="1077"/>
      <c r="I156" s="1089"/>
      <c r="J156" s="1077"/>
      <c r="K156" s="1089"/>
      <c r="L156" s="1090"/>
      <c r="M156" s="1090"/>
      <c r="N156" s="1098"/>
      <c r="O156" s="1089"/>
      <c r="P156" s="1077"/>
      <c r="Q156" s="1089"/>
      <c r="R156" s="1077"/>
      <c r="S156" s="1089"/>
      <c r="T156" s="1077"/>
      <c r="U156" s="1089"/>
      <c r="V156" s="1077"/>
      <c r="W156" s="1089"/>
      <c r="X156" s="1077"/>
      <c r="Y156" s="1089"/>
      <c r="Z156" s="1077"/>
      <c r="AA156" s="1089"/>
      <c r="AB156" s="1077"/>
      <c r="AC156" s="1089"/>
      <c r="AD156" s="1098"/>
      <c r="AE156" s="1089"/>
      <c r="AF156" s="1077"/>
      <c r="AG156" s="1089"/>
      <c r="AH156" s="1077"/>
      <c r="AI156" s="1089"/>
      <c r="AJ156" s="1077"/>
      <c r="AK156" s="3232"/>
      <c r="AL156" s="1098"/>
      <c r="AM156" s="933"/>
      <c r="AN156" s="621"/>
      <c r="AO156" s="630"/>
      <c r="AP156" s="1755" t="str">
        <f t="shared" si="37"/>
        <v/>
      </c>
      <c r="BU156" s="2718"/>
      <c r="BV156" s="2718"/>
      <c r="BW156" s="2718"/>
      <c r="BX156" s="2718"/>
      <c r="BY156" s="2718"/>
      <c r="BZ156" s="2718"/>
      <c r="CA156" s="3009"/>
      <c r="CB156" s="4933" t="str">
        <f t="shared" si="38"/>
        <v/>
      </c>
      <c r="CC156" s="2718"/>
      <c r="CD156" s="2718"/>
      <c r="CE156" s="2718"/>
      <c r="CF156" s="2718"/>
      <c r="CG156" s="1793">
        <f t="shared" si="39"/>
        <v>0</v>
      </c>
      <c r="CH156" s="1791"/>
      <c r="CI156" s="1791"/>
      <c r="DI156"/>
    </row>
    <row r="157" spans="1:117" x14ac:dyDescent="0.25">
      <c r="A157" s="3995" t="s">
        <v>3293</v>
      </c>
      <c r="B157" s="4020">
        <f t="shared" si="34"/>
        <v>0</v>
      </c>
      <c r="C157" s="4021">
        <f t="shared" si="35"/>
        <v>0</v>
      </c>
      <c r="D157" s="4021">
        <f t="shared" si="36"/>
        <v>0</v>
      </c>
      <c r="E157" s="1089"/>
      <c r="F157" s="1077"/>
      <c r="G157" s="1089"/>
      <c r="H157" s="1077"/>
      <c r="I157" s="1089"/>
      <c r="J157" s="1077"/>
      <c r="K157" s="1089"/>
      <c r="L157" s="1090"/>
      <c r="M157" s="1090"/>
      <c r="N157" s="1098"/>
      <c r="O157" s="1089"/>
      <c r="P157" s="1077"/>
      <c r="Q157" s="1089"/>
      <c r="R157" s="1077"/>
      <c r="S157" s="1089"/>
      <c r="T157" s="1077"/>
      <c r="U157" s="1089"/>
      <c r="V157" s="1077"/>
      <c r="W157" s="1089"/>
      <c r="X157" s="1077"/>
      <c r="Y157" s="1089"/>
      <c r="Z157" s="1077"/>
      <c r="AA157" s="1089"/>
      <c r="AB157" s="1077"/>
      <c r="AC157" s="1089"/>
      <c r="AD157" s="1098"/>
      <c r="AE157" s="1089"/>
      <c r="AF157" s="1077"/>
      <c r="AG157" s="1089"/>
      <c r="AH157" s="1077"/>
      <c r="AI157" s="1089"/>
      <c r="AJ157" s="1077"/>
      <c r="AK157" s="3232"/>
      <c r="AL157" s="1098"/>
      <c r="AM157" s="933"/>
      <c r="AN157" s="621"/>
      <c r="AO157" s="630"/>
      <c r="AP157" s="1755" t="str">
        <f t="shared" si="37"/>
        <v/>
      </c>
      <c r="BU157" s="2718"/>
      <c r="BV157" s="2718"/>
      <c r="BW157" s="2718"/>
      <c r="BX157" s="2718"/>
      <c r="BY157" s="2718"/>
      <c r="BZ157" s="2718"/>
      <c r="CA157" s="3009"/>
      <c r="CB157" s="4933" t="str">
        <f t="shared" si="38"/>
        <v/>
      </c>
      <c r="CC157" s="2718"/>
      <c r="CD157" s="2718"/>
      <c r="CE157" s="2718"/>
      <c r="CF157" s="2718"/>
      <c r="CG157" s="1793">
        <f t="shared" si="39"/>
        <v>0</v>
      </c>
      <c r="CH157" s="1791"/>
      <c r="CI157" s="1791"/>
      <c r="DI157"/>
    </row>
    <row r="158" spans="1:117" x14ac:dyDescent="0.25">
      <c r="A158" s="3995" t="s">
        <v>3294</v>
      </c>
      <c r="B158" s="4020">
        <f t="shared" si="34"/>
        <v>0</v>
      </c>
      <c r="C158" s="4021">
        <f t="shared" si="35"/>
        <v>0</v>
      </c>
      <c r="D158" s="4021">
        <f t="shared" si="36"/>
        <v>0</v>
      </c>
      <c r="E158" s="1089"/>
      <c r="F158" s="1077"/>
      <c r="G158" s="1089"/>
      <c r="H158" s="1077"/>
      <c r="I158" s="1089"/>
      <c r="J158" s="1077"/>
      <c r="K158" s="1089"/>
      <c r="L158" s="1090"/>
      <c r="M158" s="1090"/>
      <c r="N158" s="1098"/>
      <c r="O158" s="1089"/>
      <c r="P158" s="1077"/>
      <c r="Q158" s="1089"/>
      <c r="R158" s="1077"/>
      <c r="S158" s="1089"/>
      <c r="T158" s="1077"/>
      <c r="U158" s="1089"/>
      <c r="V158" s="1077"/>
      <c r="W158" s="1089"/>
      <c r="X158" s="1077"/>
      <c r="Y158" s="1089"/>
      <c r="Z158" s="1077"/>
      <c r="AA158" s="1089"/>
      <c r="AB158" s="1077"/>
      <c r="AC158" s="1089"/>
      <c r="AD158" s="1098"/>
      <c r="AE158" s="1089"/>
      <c r="AF158" s="1077"/>
      <c r="AG158" s="1089"/>
      <c r="AH158" s="1077"/>
      <c r="AI158" s="1089"/>
      <c r="AJ158" s="1077"/>
      <c r="AK158" s="3232"/>
      <c r="AL158" s="1098"/>
      <c r="AM158" s="933"/>
      <c r="AN158" s="621"/>
      <c r="AO158" s="630"/>
      <c r="AP158" s="1755" t="str">
        <f t="shared" si="37"/>
        <v/>
      </c>
      <c r="BU158" s="2718"/>
      <c r="BV158" s="2718"/>
      <c r="BW158" s="2718"/>
      <c r="BX158" s="2718"/>
      <c r="BY158" s="2718"/>
      <c r="BZ158" s="2718"/>
      <c r="CA158" s="3009"/>
      <c r="CB158" s="4933" t="str">
        <f t="shared" si="38"/>
        <v/>
      </c>
      <c r="CC158" s="2718"/>
      <c r="CD158" s="2718"/>
      <c r="CE158" s="2718"/>
      <c r="CF158" s="2718"/>
      <c r="CG158" s="1793">
        <f t="shared" si="39"/>
        <v>0</v>
      </c>
      <c r="CH158" s="1791"/>
      <c r="CI158" s="1791"/>
      <c r="DI158"/>
    </row>
    <row r="159" spans="1:117" x14ac:dyDescent="0.25">
      <c r="A159" s="3995" t="s">
        <v>3295</v>
      </c>
      <c r="B159" s="4020">
        <f t="shared" si="34"/>
        <v>0</v>
      </c>
      <c r="C159" s="4021">
        <f t="shared" si="35"/>
        <v>0</v>
      </c>
      <c r="D159" s="4021">
        <f t="shared" si="36"/>
        <v>0</v>
      </c>
      <c r="E159" s="1089"/>
      <c r="F159" s="1077"/>
      <c r="G159" s="1089"/>
      <c r="H159" s="1077"/>
      <c r="I159" s="1089"/>
      <c r="J159" s="1077"/>
      <c r="K159" s="1089"/>
      <c r="L159" s="1090"/>
      <c r="M159" s="1090"/>
      <c r="N159" s="1098"/>
      <c r="O159" s="1089"/>
      <c r="P159" s="1077"/>
      <c r="Q159" s="1089"/>
      <c r="R159" s="1077"/>
      <c r="S159" s="1089"/>
      <c r="T159" s="1077"/>
      <c r="U159" s="1089"/>
      <c r="V159" s="1077"/>
      <c r="W159" s="1089"/>
      <c r="X159" s="1077"/>
      <c r="Y159" s="1089"/>
      <c r="Z159" s="1077"/>
      <c r="AA159" s="1089"/>
      <c r="AB159" s="1077"/>
      <c r="AC159" s="1089"/>
      <c r="AD159" s="1098"/>
      <c r="AE159" s="1089"/>
      <c r="AF159" s="1077"/>
      <c r="AG159" s="1089"/>
      <c r="AH159" s="1077"/>
      <c r="AI159" s="1089"/>
      <c r="AJ159" s="1077"/>
      <c r="AK159" s="3232"/>
      <c r="AL159" s="1098"/>
      <c r="AM159" s="933"/>
      <c r="AN159" s="621"/>
      <c r="AO159" s="630"/>
      <c r="AP159" s="1755" t="str">
        <f t="shared" si="37"/>
        <v/>
      </c>
      <c r="BU159" s="2718"/>
      <c r="BV159" s="2718"/>
      <c r="BW159" s="2718"/>
      <c r="BX159" s="2718"/>
      <c r="BY159" s="2718"/>
      <c r="BZ159" s="2718"/>
      <c r="CA159" s="3009"/>
      <c r="CB159" s="4933" t="str">
        <f t="shared" si="38"/>
        <v/>
      </c>
      <c r="CC159" s="2718"/>
      <c r="CD159" s="2718"/>
      <c r="CE159" s="2718"/>
      <c r="CF159" s="2718"/>
      <c r="CG159" s="1793">
        <f t="shared" si="39"/>
        <v>0</v>
      </c>
      <c r="CH159" s="1791"/>
      <c r="CI159" s="1791"/>
      <c r="DI159"/>
    </row>
    <row r="160" spans="1:117" x14ac:dyDescent="0.25">
      <c r="A160" s="3995" t="s">
        <v>3213</v>
      </c>
      <c r="B160" s="4020">
        <f t="shared" si="34"/>
        <v>0</v>
      </c>
      <c r="C160" s="4021">
        <f t="shared" si="35"/>
        <v>0</v>
      </c>
      <c r="D160" s="4021">
        <f t="shared" si="36"/>
        <v>0</v>
      </c>
      <c r="E160" s="1089"/>
      <c r="F160" s="1077"/>
      <c r="G160" s="1089"/>
      <c r="H160" s="1077"/>
      <c r="I160" s="1089"/>
      <c r="J160" s="1077"/>
      <c r="K160" s="1089"/>
      <c r="L160" s="1090"/>
      <c r="M160" s="1090"/>
      <c r="N160" s="1098"/>
      <c r="O160" s="1089"/>
      <c r="P160" s="1077"/>
      <c r="Q160" s="1089"/>
      <c r="R160" s="1077"/>
      <c r="S160" s="1089"/>
      <c r="T160" s="1077"/>
      <c r="U160" s="1089"/>
      <c r="V160" s="1077"/>
      <c r="W160" s="1089"/>
      <c r="X160" s="1077"/>
      <c r="Y160" s="1089"/>
      <c r="Z160" s="1077"/>
      <c r="AA160" s="1089"/>
      <c r="AB160" s="1077"/>
      <c r="AC160" s="1089"/>
      <c r="AD160" s="1098"/>
      <c r="AE160" s="1089"/>
      <c r="AF160" s="1077"/>
      <c r="AG160" s="1089"/>
      <c r="AH160" s="1077"/>
      <c r="AI160" s="1089"/>
      <c r="AJ160" s="1077"/>
      <c r="AK160" s="3232"/>
      <c r="AL160" s="1098"/>
      <c r="AM160" s="933"/>
      <c r="AN160" s="621"/>
      <c r="AO160" s="630"/>
      <c r="AP160" s="1755" t="str">
        <f t="shared" si="37"/>
        <v/>
      </c>
      <c r="BU160" s="2718"/>
      <c r="BV160" s="2718"/>
      <c r="BW160" s="2718"/>
      <c r="BX160" s="2718"/>
      <c r="BY160" s="2718"/>
      <c r="BZ160" s="2718"/>
      <c r="CA160" s="3009"/>
      <c r="CB160" s="4933" t="str">
        <f t="shared" si="38"/>
        <v/>
      </c>
      <c r="CC160" s="2718"/>
      <c r="CD160" s="2718"/>
      <c r="CE160" s="2718"/>
      <c r="CF160" s="2718"/>
      <c r="CG160" s="1793">
        <f t="shared" si="39"/>
        <v>0</v>
      </c>
      <c r="CH160" s="1791"/>
      <c r="CI160" s="1791"/>
      <c r="DI160"/>
    </row>
    <row r="161" spans="1:113" x14ac:dyDescent="0.25">
      <c r="A161" s="3995" t="s">
        <v>3296</v>
      </c>
      <c r="B161" s="4020">
        <f t="shared" si="34"/>
        <v>0</v>
      </c>
      <c r="C161" s="4021">
        <f t="shared" si="35"/>
        <v>0</v>
      </c>
      <c r="D161" s="4021">
        <f t="shared" si="36"/>
        <v>0</v>
      </c>
      <c r="E161" s="1089"/>
      <c r="F161" s="1077"/>
      <c r="G161" s="1089"/>
      <c r="H161" s="1077"/>
      <c r="I161" s="1089"/>
      <c r="J161" s="1077"/>
      <c r="K161" s="1089"/>
      <c r="L161" s="1090"/>
      <c r="M161" s="1090"/>
      <c r="N161" s="1098"/>
      <c r="O161" s="1089"/>
      <c r="P161" s="1077"/>
      <c r="Q161" s="1089"/>
      <c r="R161" s="1077"/>
      <c r="S161" s="1089"/>
      <c r="T161" s="1077"/>
      <c r="U161" s="1089"/>
      <c r="V161" s="1077"/>
      <c r="W161" s="1089"/>
      <c r="X161" s="1077"/>
      <c r="Y161" s="1089"/>
      <c r="Z161" s="1077"/>
      <c r="AA161" s="1089"/>
      <c r="AB161" s="1077"/>
      <c r="AC161" s="1089"/>
      <c r="AD161" s="1098"/>
      <c r="AE161" s="1089"/>
      <c r="AF161" s="1077"/>
      <c r="AG161" s="1089"/>
      <c r="AH161" s="1077"/>
      <c r="AI161" s="1089"/>
      <c r="AJ161" s="1077"/>
      <c r="AK161" s="3232"/>
      <c r="AL161" s="1098"/>
      <c r="AM161" s="933"/>
      <c r="AN161" s="621"/>
      <c r="AO161" s="630"/>
      <c r="AP161" s="1755" t="str">
        <f t="shared" si="37"/>
        <v/>
      </c>
      <c r="BU161" s="2718"/>
      <c r="BV161" s="2718"/>
      <c r="BW161" s="2718"/>
      <c r="BX161" s="2718"/>
      <c r="BY161" s="2718"/>
      <c r="BZ161" s="2718"/>
      <c r="CA161" s="3009"/>
      <c r="CB161" s="4933" t="str">
        <f t="shared" si="38"/>
        <v/>
      </c>
      <c r="CC161" s="2718"/>
      <c r="CD161" s="2718"/>
      <c r="CE161" s="2718"/>
      <c r="CF161" s="2718"/>
      <c r="CG161" s="1793">
        <f t="shared" si="39"/>
        <v>0</v>
      </c>
      <c r="CH161" s="1791"/>
      <c r="CI161" s="1791"/>
      <c r="DI161"/>
    </row>
    <row r="162" spans="1:113" x14ac:dyDescent="0.25">
      <c r="A162" s="3995" t="s">
        <v>3297</v>
      </c>
      <c r="B162" s="4020">
        <f t="shared" si="34"/>
        <v>0</v>
      </c>
      <c r="C162" s="4021">
        <f t="shared" si="35"/>
        <v>0</v>
      </c>
      <c r="D162" s="4021">
        <f t="shared" si="36"/>
        <v>0</v>
      </c>
      <c r="E162" s="1089"/>
      <c r="F162" s="1077"/>
      <c r="G162" s="1089"/>
      <c r="H162" s="1077"/>
      <c r="I162" s="1089"/>
      <c r="J162" s="1077"/>
      <c r="K162" s="1089"/>
      <c r="L162" s="1090"/>
      <c r="M162" s="1090"/>
      <c r="N162" s="1098"/>
      <c r="O162" s="1089"/>
      <c r="P162" s="1077"/>
      <c r="Q162" s="1089"/>
      <c r="R162" s="1077"/>
      <c r="S162" s="1089"/>
      <c r="T162" s="1077"/>
      <c r="U162" s="1089"/>
      <c r="V162" s="1077"/>
      <c r="W162" s="1089"/>
      <c r="X162" s="1077"/>
      <c r="Y162" s="1089"/>
      <c r="Z162" s="1077"/>
      <c r="AA162" s="1089"/>
      <c r="AB162" s="1077"/>
      <c r="AC162" s="1089"/>
      <c r="AD162" s="1098"/>
      <c r="AE162" s="1089"/>
      <c r="AF162" s="1077"/>
      <c r="AG162" s="1089"/>
      <c r="AH162" s="1077"/>
      <c r="AI162" s="1089"/>
      <c r="AJ162" s="1077"/>
      <c r="AK162" s="3232"/>
      <c r="AL162" s="1098"/>
      <c r="AM162" s="933"/>
      <c r="AN162" s="621"/>
      <c r="AO162" s="630"/>
      <c r="AP162" s="1755" t="str">
        <f t="shared" si="37"/>
        <v/>
      </c>
      <c r="BU162" s="2718"/>
      <c r="BV162" s="2718"/>
      <c r="BW162" s="2718"/>
      <c r="BX162" s="2718"/>
      <c r="BY162" s="2718"/>
      <c r="BZ162" s="2718"/>
      <c r="CA162" s="3009"/>
      <c r="CB162" s="4933" t="str">
        <f t="shared" si="38"/>
        <v/>
      </c>
      <c r="CC162" s="2718"/>
      <c r="CD162" s="2718"/>
      <c r="CE162" s="2718"/>
      <c r="CF162" s="2718"/>
      <c r="CG162" s="1793">
        <f t="shared" si="39"/>
        <v>0</v>
      </c>
      <c r="CH162" s="1791"/>
      <c r="CI162" s="1791"/>
      <c r="DI162"/>
    </row>
    <row r="163" spans="1:113" x14ac:dyDescent="0.25">
      <c r="A163" s="3995" t="s">
        <v>3298</v>
      </c>
      <c r="B163" s="4020">
        <f t="shared" si="34"/>
        <v>0</v>
      </c>
      <c r="C163" s="4021">
        <f t="shared" si="35"/>
        <v>0</v>
      </c>
      <c r="D163" s="4021">
        <f t="shared" si="36"/>
        <v>0</v>
      </c>
      <c r="E163" s="1089"/>
      <c r="F163" s="1077"/>
      <c r="G163" s="1089"/>
      <c r="H163" s="1077"/>
      <c r="I163" s="1089"/>
      <c r="J163" s="1077"/>
      <c r="K163" s="1089"/>
      <c r="L163" s="1090"/>
      <c r="M163" s="1090"/>
      <c r="N163" s="1098"/>
      <c r="O163" s="1089"/>
      <c r="P163" s="1077"/>
      <c r="Q163" s="1089"/>
      <c r="R163" s="1077"/>
      <c r="S163" s="1089"/>
      <c r="T163" s="1077"/>
      <c r="U163" s="1089"/>
      <c r="V163" s="1077"/>
      <c r="W163" s="1089"/>
      <c r="X163" s="1077"/>
      <c r="Y163" s="1089"/>
      <c r="Z163" s="1077"/>
      <c r="AA163" s="1089"/>
      <c r="AB163" s="1077"/>
      <c r="AC163" s="1089"/>
      <c r="AD163" s="1098"/>
      <c r="AE163" s="1089"/>
      <c r="AF163" s="1077"/>
      <c r="AG163" s="1089"/>
      <c r="AH163" s="1077"/>
      <c r="AI163" s="1089"/>
      <c r="AJ163" s="1077"/>
      <c r="AK163" s="3232"/>
      <c r="AL163" s="1098"/>
      <c r="AM163" s="933"/>
      <c r="AN163" s="621"/>
      <c r="AO163" s="630"/>
      <c r="AP163" s="1755" t="str">
        <f t="shared" si="37"/>
        <v/>
      </c>
      <c r="BU163" s="2718"/>
      <c r="BV163" s="2718"/>
      <c r="BW163" s="2718"/>
      <c r="BX163" s="2718"/>
      <c r="BY163" s="2718"/>
      <c r="BZ163" s="2718"/>
      <c r="CA163" s="3009"/>
      <c r="CB163" s="4933" t="str">
        <f t="shared" si="38"/>
        <v/>
      </c>
      <c r="CC163" s="2718"/>
      <c r="CD163" s="2718"/>
      <c r="CE163" s="2718"/>
      <c r="CF163" s="2718"/>
      <c r="CG163" s="1793">
        <f t="shared" si="39"/>
        <v>0</v>
      </c>
      <c r="CH163" s="1791"/>
      <c r="CI163" s="1791"/>
      <c r="DI163"/>
    </row>
    <row r="164" spans="1:113" x14ac:dyDescent="0.25">
      <c r="A164" s="3995" t="s">
        <v>3201</v>
      </c>
      <c r="B164" s="4020">
        <f t="shared" si="34"/>
        <v>0</v>
      </c>
      <c r="C164" s="4021">
        <f t="shared" si="35"/>
        <v>0</v>
      </c>
      <c r="D164" s="4021">
        <f t="shared" si="36"/>
        <v>0</v>
      </c>
      <c r="E164" s="1089"/>
      <c r="F164" s="1077"/>
      <c r="G164" s="1089"/>
      <c r="H164" s="1077"/>
      <c r="I164" s="1089"/>
      <c r="J164" s="1077"/>
      <c r="K164" s="1089"/>
      <c r="L164" s="1090"/>
      <c r="M164" s="1090"/>
      <c r="N164" s="1098"/>
      <c r="O164" s="1089"/>
      <c r="P164" s="1077"/>
      <c r="Q164" s="1089"/>
      <c r="R164" s="1077"/>
      <c r="S164" s="1089"/>
      <c r="T164" s="1077"/>
      <c r="U164" s="1089"/>
      <c r="V164" s="1077"/>
      <c r="W164" s="1089"/>
      <c r="X164" s="1077"/>
      <c r="Y164" s="1089"/>
      <c r="Z164" s="1077"/>
      <c r="AA164" s="1089"/>
      <c r="AB164" s="1077"/>
      <c r="AC164" s="1089"/>
      <c r="AD164" s="1098"/>
      <c r="AE164" s="1089"/>
      <c r="AF164" s="1077"/>
      <c r="AG164" s="1089"/>
      <c r="AH164" s="1077"/>
      <c r="AI164" s="1089"/>
      <c r="AJ164" s="1077"/>
      <c r="AK164" s="3232"/>
      <c r="AL164" s="1098"/>
      <c r="AM164" s="933"/>
      <c r="AN164" s="621"/>
      <c r="AO164" s="630"/>
      <c r="AP164" s="1755" t="str">
        <f t="shared" si="37"/>
        <v/>
      </c>
      <c r="BU164" s="2718"/>
      <c r="BV164" s="2718"/>
      <c r="BW164" s="2718"/>
      <c r="BX164" s="2718"/>
      <c r="BY164" s="2718"/>
      <c r="BZ164" s="2718"/>
      <c r="CA164" s="3009"/>
      <c r="CB164" s="4933" t="str">
        <f t="shared" si="38"/>
        <v/>
      </c>
      <c r="CC164" s="2718"/>
      <c r="CD164" s="2718"/>
      <c r="CE164" s="2718"/>
      <c r="CF164" s="2718"/>
      <c r="CG164" s="1793">
        <f t="shared" si="39"/>
        <v>0</v>
      </c>
      <c r="CH164" s="1791"/>
      <c r="CI164" s="1791"/>
      <c r="DI164"/>
    </row>
    <row r="165" spans="1:113" x14ac:dyDescent="0.25">
      <c r="A165" s="3995" t="s">
        <v>3299</v>
      </c>
      <c r="B165" s="4020">
        <f t="shared" si="34"/>
        <v>0</v>
      </c>
      <c r="C165" s="4021">
        <f t="shared" si="35"/>
        <v>0</v>
      </c>
      <c r="D165" s="4021">
        <f t="shared" si="36"/>
        <v>0</v>
      </c>
      <c r="E165" s="1089"/>
      <c r="F165" s="1077"/>
      <c r="G165" s="1089"/>
      <c r="H165" s="1077"/>
      <c r="I165" s="1089"/>
      <c r="J165" s="1077"/>
      <c r="K165" s="1089"/>
      <c r="L165" s="1090"/>
      <c r="M165" s="1090"/>
      <c r="N165" s="1098"/>
      <c r="O165" s="1089"/>
      <c r="P165" s="1077"/>
      <c r="Q165" s="1089"/>
      <c r="R165" s="1077"/>
      <c r="S165" s="1089"/>
      <c r="T165" s="1077"/>
      <c r="U165" s="1089"/>
      <c r="V165" s="1077"/>
      <c r="W165" s="1089"/>
      <c r="X165" s="1077"/>
      <c r="Y165" s="1089"/>
      <c r="Z165" s="1077"/>
      <c r="AA165" s="1089"/>
      <c r="AB165" s="1077"/>
      <c r="AC165" s="1089"/>
      <c r="AD165" s="1098"/>
      <c r="AE165" s="1089"/>
      <c r="AF165" s="1077"/>
      <c r="AG165" s="1089"/>
      <c r="AH165" s="1077"/>
      <c r="AI165" s="1089"/>
      <c r="AJ165" s="1077"/>
      <c r="AK165" s="3232"/>
      <c r="AL165" s="1098"/>
      <c r="AM165" s="933"/>
      <c r="AN165" s="621"/>
      <c r="AO165" s="630"/>
      <c r="AP165" s="1755" t="str">
        <f t="shared" si="37"/>
        <v/>
      </c>
      <c r="BU165" s="2718"/>
      <c r="BV165" s="2718"/>
      <c r="BW165" s="2718"/>
      <c r="BX165" s="2718"/>
      <c r="BY165" s="2718"/>
      <c r="BZ165" s="2718"/>
      <c r="CA165" s="3009"/>
      <c r="CB165" s="4933" t="str">
        <f t="shared" si="38"/>
        <v/>
      </c>
      <c r="CC165" s="2718"/>
      <c r="CD165" s="2718"/>
      <c r="CE165" s="2718"/>
      <c r="CF165" s="2718"/>
      <c r="CG165" s="1793">
        <f t="shared" si="39"/>
        <v>0</v>
      </c>
      <c r="CH165" s="1791"/>
      <c r="CI165" s="1791"/>
      <c r="DI165"/>
    </row>
    <row r="166" spans="1:113" x14ac:dyDescent="0.25">
      <c r="A166" s="3995" t="s">
        <v>3300</v>
      </c>
      <c r="B166" s="4020">
        <f t="shared" si="34"/>
        <v>0</v>
      </c>
      <c r="C166" s="4021">
        <f t="shared" si="35"/>
        <v>0</v>
      </c>
      <c r="D166" s="4021">
        <f t="shared" si="36"/>
        <v>0</v>
      </c>
      <c r="E166" s="1089"/>
      <c r="F166" s="1077"/>
      <c r="G166" s="1089"/>
      <c r="H166" s="1077"/>
      <c r="I166" s="1089"/>
      <c r="J166" s="1077"/>
      <c r="K166" s="1089"/>
      <c r="L166" s="1090"/>
      <c r="M166" s="1090"/>
      <c r="N166" s="1098"/>
      <c r="O166" s="1089"/>
      <c r="P166" s="1077"/>
      <c r="Q166" s="1089"/>
      <c r="R166" s="1077"/>
      <c r="S166" s="1089"/>
      <c r="T166" s="1077"/>
      <c r="U166" s="1089"/>
      <c r="V166" s="1077"/>
      <c r="W166" s="1089"/>
      <c r="X166" s="1077"/>
      <c r="Y166" s="1089"/>
      <c r="Z166" s="1077"/>
      <c r="AA166" s="1089"/>
      <c r="AB166" s="1077"/>
      <c r="AC166" s="1089"/>
      <c r="AD166" s="1098"/>
      <c r="AE166" s="1089"/>
      <c r="AF166" s="1077"/>
      <c r="AG166" s="1089"/>
      <c r="AH166" s="1077"/>
      <c r="AI166" s="1089"/>
      <c r="AJ166" s="1077"/>
      <c r="AK166" s="3232"/>
      <c r="AL166" s="1098"/>
      <c r="AM166" s="933"/>
      <c r="AN166" s="621"/>
      <c r="AO166" s="630"/>
      <c r="AP166" s="1755" t="str">
        <f t="shared" si="37"/>
        <v/>
      </c>
      <c r="BU166" s="2718"/>
      <c r="BV166" s="2718"/>
      <c r="BW166" s="2718"/>
      <c r="BX166" s="2718"/>
      <c r="BY166" s="2718"/>
      <c r="BZ166" s="2718"/>
      <c r="CA166" s="3009"/>
      <c r="CB166" s="4933" t="str">
        <f t="shared" si="38"/>
        <v/>
      </c>
      <c r="CC166" s="2718"/>
      <c r="CD166" s="2718"/>
      <c r="CE166" s="2718"/>
      <c r="CF166" s="2718"/>
      <c r="CG166" s="1793">
        <f t="shared" si="39"/>
        <v>0</v>
      </c>
      <c r="CH166" s="1791"/>
      <c r="CI166" s="1791"/>
      <c r="DI166"/>
    </row>
    <row r="167" spans="1:113" x14ac:dyDescent="0.25">
      <c r="A167" s="3995" t="s">
        <v>3301</v>
      </c>
      <c r="B167" s="4020">
        <f t="shared" si="34"/>
        <v>0</v>
      </c>
      <c r="C167" s="4021">
        <f t="shared" si="35"/>
        <v>0</v>
      </c>
      <c r="D167" s="4021">
        <f t="shared" si="36"/>
        <v>0</v>
      </c>
      <c r="E167" s="1089"/>
      <c r="F167" s="1077"/>
      <c r="G167" s="1089"/>
      <c r="H167" s="1077"/>
      <c r="I167" s="1089"/>
      <c r="J167" s="1077"/>
      <c r="K167" s="1089"/>
      <c r="L167" s="1090"/>
      <c r="M167" s="1090"/>
      <c r="N167" s="1098"/>
      <c r="O167" s="1089"/>
      <c r="P167" s="1077"/>
      <c r="Q167" s="1089"/>
      <c r="R167" s="1077"/>
      <c r="S167" s="1089"/>
      <c r="T167" s="1077"/>
      <c r="U167" s="1089"/>
      <c r="V167" s="1077"/>
      <c r="W167" s="1089"/>
      <c r="X167" s="1077"/>
      <c r="Y167" s="1089"/>
      <c r="Z167" s="1077"/>
      <c r="AA167" s="1089"/>
      <c r="AB167" s="1077"/>
      <c r="AC167" s="1089"/>
      <c r="AD167" s="1098"/>
      <c r="AE167" s="1089"/>
      <c r="AF167" s="1077"/>
      <c r="AG167" s="1089"/>
      <c r="AH167" s="1077"/>
      <c r="AI167" s="1089"/>
      <c r="AJ167" s="1077"/>
      <c r="AK167" s="3232"/>
      <c r="AL167" s="1098"/>
      <c r="AM167" s="933"/>
      <c r="AN167" s="621"/>
      <c r="AO167" s="630"/>
      <c r="AP167" s="1755" t="str">
        <f t="shared" si="37"/>
        <v/>
      </c>
      <c r="BU167" s="2718"/>
      <c r="BV167" s="2718"/>
      <c r="BW167" s="2718"/>
      <c r="BX167" s="2718"/>
      <c r="BY167" s="2718"/>
      <c r="BZ167" s="2718"/>
      <c r="CA167" s="3009"/>
      <c r="CB167" s="4933" t="str">
        <f t="shared" si="38"/>
        <v/>
      </c>
      <c r="CC167" s="2718"/>
      <c r="CD167" s="2718"/>
      <c r="CE167" s="2718"/>
      <c r="CF167" s="2718"/>
      <c r="CG167" s="1793">
        <f t="shared" si="39"/>
        <v>0</v>
      </c>
      <c r="CH167" s="1791"/>
      <c r="CI167" s="1791"/>
      <c r="DI167"/>
    </row>
    <row r="168" spans="1:113" x14ac:dyDescent="0.25">
      <c r="A168" s="3995" t="s">
        <v>3302</v>
      </c>
      <c r="B168" s="4020">
        <f t="shared" si="34"/>
        <v>0</v>
      </c>
      <c r="C168" s="4021">
        <f t="shared" si="35"/>
        <v>0</v>
      </c>
      <c r="D168" s="4021">
        <f t="shared" si="36"/>
        <v>0</v>
      </c>
      <c r="E168" s="1089"/>
      <c r="F168" s="1077"/>
      <c r="G168" s="1089"/>
      <c r="H168" s="1077"/>
      <c r="I168" s="1089"/>
      <c r="J168" s="1077"/>
      <c r="K168" s="1089"/>
      <c r="L168" s="1090"/>
      <c r="M168" s="1090"/>
      <c r="N168" s="1098"/>
      <c r="O168" s="1089"/>
      <c r="P168" s="1077"/>
      <c r="Q168" s="1089"/>
      <c r="R168" s="1077"/>
      <c r="S168" s="1089"/>
      <c r="T168" s="1077"/>
      <c r="U168" s="1089"/>
      <c r="V168" s="1077"/>
      <c r="W168" s="1089"/>
      <c r="X168" s="1077"/>
      <c r="Y168" s="1089"/>
      <c r="Z168" s="1077"/>
      <c r="AA168" s="1089"/>
      <c r="AB168" s="1077"/>
      <c r="AC168" s="1089"/>
      <c r="AD168" s="1098"/>
      <c r="AE168" s="1089"/>
      <c r="AF168" s="1077"/>
      <c r="AG168" s="1089"/>
      <c r="AH168" s="1077"/>
      <c r="AI168" s="1089"/>
      <c r="AJ168" s="1077"/>
      <c r="AK168" s="3232"/>
      <c r="AL168" s="1098"/>
      <c r="AM168" s="933"/>
      <c r="AN168" s="621"/>
      <c r="AO168" s="630"/>
      <c r="AP168" s="1755" t="str">
        <f t="shared" si="37"/>
        <v/>
      </c>
      <c r="BU168" s="2718"/>
      <c r="BV168" s="2718"/>
      <c r="BW168" s="2718"/>
      <c r="BX168" s="2718"/>
      <c r="BY168" s="2718"/>
      <c r="BZ168" s="2718"/>
      <c r="CA168" s="3009"/>
      <c r="CB168" s="4933" t="str">
        <f t="shared" si="38"/>
        <v/>
      </c>
      <c r="CC168" s="2718"/>
      <c r="CD168" s="2718"/>
      <c r="CE168" s="2718"/>
      <c r="CF168" s="2718"/>
      <c r="CG168" s="1793">
        <f t="shared" si="39"/>
        <v>0</v>
      </c>
      <c r="CH168" s="1791"/>
      <c r="CI168" s="1791"/>
      <c r="DI168"/>
    </row>
    <row r="169" spans="1:113" x14ac:dyDescent="0.25">
      <c r="A169" s="3995" t="s">
        <v>3303</v>
      </c>
      <c r="B169" s="4020">
        <f t="shared" si="34"/>
        <v>0</v>
      </c>
      <c r="C169" s="4021">
        <f t="shared" si="35"/>
        <v>0</v>
      </c>
      <c r="D169" s="4021">
        <f t="shared" si="36"/>
        <v>0</v>
      </c>
      <c r="E169" s="1089"/>
      <c r="F169" s="1077"/>
      <c r="G169" s="1089"/>
      <c r="H169" s="1077"/>
      <c r="I169" s="1089"/>
      <c r="J169" s="1077"/>
      <c r="K169" s="1089"/>
      <c r="L169" s="1090"/>
      <c r="M169" s="1090"/>
      <c r="N169" s="1098"/>
      <c r="O169" s="1089"/>
      <c r="P169" s="1077"/>
      <c r="Q169" s="1089"/>
      <c r="R169" s="1077"/>
      <c r="S169" s="1089"/>
      <c r="T169" s="1077"/>
      <c r="U169" s="1089"/>
      <c r="V169" s="1077"/>
      <c r="W169" s="1089"/>
      <c r="X169" s="1077"/>
      <c r="Y169" s="1089"/>
      <c r="Z169" s="1077"/>
      <c r="AA169" s="1089"/>
      <c r="AB169" s="1077"/>
      <c r="AC169" s="1089"/>
      <c r="AD169" s="1098"/>
      <c r="AE169" s="1089"/>
      <c r="AF169" s="1077"/>
      <c r="AG169" s="1089"/>
      <c r="AH169" s="1077"/>
      <c r="AI169" s="1089"/>
      <c r="AJ169" s="1077"/>
      <c r="AK169" s="3232"/>
      <c r="AL169" s="1098"/>
      <c r="AM169" s="933"/>
      <c r="AN169" s="621"/>
      <c r="AO169" s="630"/>
      <c r="AP169" s="1755" t="str">
        <f t="shared" si="37"/>
        <v/>
      </c>
      <c r="BU169" s="2718"/>
      <c r="BV169" s="2718"/>
      <c r="BW169" s="2718"/>
      <c r="BX169" s="2718"/>
      <c r="BY169" s="2718"/>
      <c r="BZ169" s="2718"/>
      <c r="CA169" s="3009"/>
      <c r="CB169" s="4933" t="str">
        <f t="shared" si="38"/>
        <v/>
      </c>
      <c r="CC169" s="2718"/>
      <c r="CD169" s="2718"/>
      <c r="CE169" s="2718"/>
      <c r="CF169" s="2718"/>
      <c r="CG169" s="1793">
        <f t="shared" si="39"/>
        <v>0</v>
      </c>
      <c r="CH169" s="1791"/>
      <c r="CI169" s="1791"/>
      <c r="DI169"/>
    </row>
    <row r="170" spans="1:113" x14ac:dyDescent="0.25">
      <c r="A170" s="3995" t="s">
        <v>3211</v>
      </c>
      <c r="B170" s="4020">
        <f t="shared" si="34"/>
        <v>0</v>
      </c>
      <c r="C170" s="4021">
        <f t="shared" si="35"/>
        <v>0</v>
      </c>
      <c r="D170" s="4021">
        <f t="shared" si="36"/>
        <v>0</v>
      </c>
      <c r="E170" s="1089"/>
      <c r="F170" s="1077"/>
      <c r="G170" s="1089"/>
      <c r="H170" s="1077"/>
      <c r="I170" s="1089"/>
      <c r="J170" s="1077"/>
      <c r="K170" s="1089"/>
      <c r="L170" s="1090"/>
      <c r="M170" s="1090"/>
      <c r="N170" s="1098"/>
      <c r="O170" s="1089"/>
      <c r="P170" s="1077"/>
      <c r="Q170" s="1089"/>
      <c r="R170" s="1077"/>
      <c r="S170" s="1089"/>
      <c r="T170" s="1077"/>
      <c r="U170" s="1089"/>
      <c r="V170" s="1077"/>
      <c r="W170" s="1089"/>
      <c r="X170" s="1077"/>
      <c r="Y170" s="1089"/>
      <c r="Z170" s="1077"/>
      <c r="AA170" s="1089"/>
      <c r="AB170" s="1077"/>
      <c r="AC170" s="1089"/>
      <c r="AD170" s="1098"/>
      <c r="AE170" s="1089"/>
      <c r="AF170" s="1077"/>
      <c r="AG170" s="1089"/>
      <c r="AH170" s="1077"/>
      <c r="AI170" s="1089"/>
      <c r="AJ170" s="1077"/>
      <c r="AK170" s="3232"/>
      <c r="AL170" s="1098"/>
      <c r="AM170" s="933"/>
      <c r="AN170" s="621"/>
      <c r="AO170" s="630"/>
      <c r="AP170" s="1755" t="str">
        <f t="shared" si="37"/>
        <v/>
      </c>
      <c r="BU170" s="2718"/>
      <c r="BV170" s="2718"/>
      <c r="BW170" s="2718"/>
      <c r="BX170" s="2718"/>
      <c r="BY170" s="2718"/>
      <c r="BZ170" s="2718"/>
      <c r="CA170" s="3009"/>
      <c r="CB170" s="4933" t="str">
        <f t="shared" si="38"/>
        <v/>
      </c>
      <c r="CC170" s="2718"/>
      <c r="CD170" s="2718"/>
      <c r="CE170" s="2718"/>
      <c r="CF170" s="2718"/>
      <c r="CG170" s="1793">
        <f t="shared" si="39"/>
        <v>0</v>
      </c>
      <c r="CH170" s="1791"/>
      <c r="CI170" s="1791"/>
      <c r="DI170"/>
    </row>
    <row r="171" spans="1:113" x14ac:dyDescent="0.25">
      <c r="A171" s="3995" t="s">
        <v>3212</v>
      </c>
      <c r="B171" s="4020">
        <f t="shared" si="34"/>
        <v>0</v>
      </c>
      <c r="C171" s="4021">
        <f t="shared" si="35"/>
        <v>0</v>
      </c>
      <c r="D171" s="4021">
        <f t="shared" si="36"/>
        <v>0</v>
      </c>
      <c r="E171" s="1089"/>
      <c r="F171" s="1077"/>
      <c r="G171" s="1089"/>
      <c r="H171" s="1077"/>
      <c r="I171" s="1089"/>
      <c r="J171" s="1077"/>
      <c r="K171" s="1089"/>
      <c r="L171" s="1090"/>
      <c r="M171" s="1090"/>
      <c r="N171" s="1098"/>
      <c r="O171" s="1089"/>
      <c r="P171" s="1077"/>
      <c r="Q171" s="1089"/>
      <c r="R171" s="1077"/>
      <c r="S171" s="1089"/>
      <c r="T171" s="1077"/>
      <c r="U171" s="1089"/>
      <c r="V171" s="1077"/>
      <c r="W171" s="1089"/>
      <c r="X171" s="1077"/>
      <c r="Y171" s="1089"/>
      <c r="Z171" s="1077"/>
      <c r="AA171" s="1089"/>
      <c r="AB171" s="1077"/>
      <c r="AC171" s="1089"/>
      <c r="AD171" s="1098"/>
      <c r="AE171" s="1089"/>
      <c r="AF171" s="1077"/>
      <c r="AG171" s="1089"/>
      <c r="AH171" s="1077"/>
      <c r="AI171" s="1089"/>
      <c r="AJ171" s="1077"/>
      <c r="AK171" s="3232"/>
      <c r="AL171" s="1098"/>
      <c r="AM171" s="933"/>
      <c r="AN171" s="621"/>
      <c r="AO171" s="630"/>
      <c r="AP171" s="1755" t="str">
        <f t="shared" si="37"/>
        <v/>
      </c>
      <c r="BU171" s="2718"/>
      <c r="BV171" s="2718"/>
      <c r="BW171" s="2718"/>
      <c r="BX171" s="2718"/>
      <c r="BY171" s="2718"/>
      <c r="BZ171" s="2718"/>
      <c r="CA171" s="3009"/>
      <c r="CB171" s="4933" t="str">
        <f t="shared" si="38"/>
        <v/>
      </c>
      <c r="CC171" s="2718"/>
      <c r="CD171" s="2718"/>
      <c r="CE171" s="2718"/>
      <c r="CF171" s="2718"/>
      <c r="CG171" s="1793">
        <f t="shared" si="39"/>
        <v>0</v>
      </c>
      <c r="CH171" s="1791"/>
      <c r="CI171" s="1791"/>
      <c r="DI171"/>
    </row>
    <row r="172" spans="1:113" x14ac:dyDescent="0.25">
      <c r="A172" s="3995" t="s">
        <v>3304</v>
      </c>
      <c r="B172" s="4020">
        <f t="shared" si="34"/>
        <v>0</v>
      </c>
      <c r="C172" s="4021">
        <f t="shared" si="35"/>
        <v>0</v>
      </c>
      <c r="D172" s="4021">
        <f t="shared" si="36"/>
        <v>0</v>
      </c>
      <c r="E172" s="1089"/>
      <c r="F172" s="1077"/>
      <c r="G172" s="1089"/>
      <c r="H172" s="1077"/>
      <c r="I172" s="1089"/>
      <c r="J172" s="1077"/>
      <c r="K172" s="1089"/>
      <c r="L172" s="1090"/>
      <c r="M172" s="1090"/>
      <c r="N172" s="1098"/>
      <c r="O172" s="1089"/>
      <c r="P172" s="1077"/>
      <c r="Q172" s="1089"/>
      <c r="R172" s="1077"/>
      <c r="S172" s="1089"/>
      <c r="T172" s="1077"/>
      <c r="U172" s="1089"/>
      <c r="V172" s="1077"/>
      <c r="W172" s="1089"/>
      <c r="X172" s="1077"/>
      <c r="Y172" s="1089"/>
      <c r="Z172" s="1077"/>
      <c r="AA172" s="1089"/>
      <c r="AB172" s="1077"/>
      <c r="AC172" s="1089"/>
      <c r="AD172" s="1098"/>
      <c r="AE172" s="1089"/>
      <c r="AF172" s="1077"/>
      <c r="AG172" s="1089"/>
      <c r="AH172" s="1077"/>
      <c r="AI172" s="1089"/>
      <c r="AJ172" s="1077"/>
      <c r="AK172" s="3232"/>
      <c r="AL172" s="1098"/>
      <c r="AM172" s="933"/>
      <c r="AN172" s="621"/>
      <c r="AO172" s="630"/>
      <c r="AP172" s="1755" t="str">
        <f t="shared" si="37"/>
        <v/>
      </c>
      <c r="BU172" s="2718"/>
      <c r="BV172" s="2718"/>
      <c r="BW172" s="2718"/>
      <c r="BX172" s="2718"/>
      <c r="BY172" s="2718"/>
      <c r="BZ172" s="2718"/>
      <c r="CA172" s="3009"/>
      <c r="CB172" s="4933" t="str">
        <f t="shared" si="38"/>
        <v/>
      </c>
      <c r="CC172" s="2718"/>
      <c r="CD172" s="2718"/>
      <c r="CE172" s="2718"/>
      <c r="CF172" s="2718"/>
      <c r="CG172" s="1793">
        <f t="shared" si="39"/>
        <v>0</v>
      </c>
      <c r="CH172" s="1791"/>
      <c r="CI172" s="1791"/>
      <c r="DI172"/>
    </row>
    <row r="173" spans="1:113" x14ac:dyDescent="0.25">
      <c r="A173" s="3995" t="s">
        <v>3305</v>
      </c>
      <c r="B173" s="4020">
        <f t="shared" si="34"/>
        <v>0</v>
      </c>
      <c r="C173" s="4021">
        <f t="shared" si="35"/>
        <v>0</v>
      </c>
      <c r="D173" s="4021">
        <f t="shared" si="36"/>
        <v>0</v>
      </c>
      <c r="E173" s="1089"/>
      <c r="F173" s="1077"/>
      <c r="G173" s="1089"/>
      <c r="H173" s="1077"/>
      <c r="I173" s="1089"/>
      <c r="J173" s="1077"/>
      <c r="K173" s="1089"/>
      <c r="L173" s="1090"/>
      <c r="M173" s="1090"/>
      <c r="N173" s="1098"/>
      <c r="O173" s="1089"/>
      <c r="P173" s="1077"/>
      <c r="Q173" s="1089"/>
      <c r="R173" s="1077"/>
      <c r="S173" s="1089"/>
      <c r="T173" s="1077"/>
      <c r="U173" s="1089"/>
      <c r="V173" s="1077"/>
      <c r="W173" s="1089"/>
      <c r="X173" s="1077"/>
      <c r="Y173" s="1089"/>
      <c r="Z173" s="1077"/>
      <c r="AA173" s="1089"/>
      <c r="AB173" s="1077"/>
      <c r="AC173" s="1089"/>
      <c r="AD173" s="1098"/>
      <c r="AE173" s="1089"/>
      <c r="AF173" s="1077"/>
      <c r="AG173" s="1089"/>
      <c r="AH173" s="1077"/>
      <c r="AI173" s="1089"/>
      <c r="AJ173" s="1077"/>
      <c r="AK173" s="3232"/>
      <c r="AL173" s="1098"/>
      <c r="AM173" s="933"/>
      <c r="AN173" s="621"/>
      <c r="AO173" s="630"/>
      <c r="AP173" s="1755" t="str">
        <f t="shared" si="37"/>
        <v/>
      </c>
      <c r="BU173" s="2718"/>
      <c r="BV173" s="2718"/>
      <c r="BW173" s="2718"/>
      <c r="BX173" s="2718"/>
      <c r="BY173" s="2718"/>
      <c r="BZ173" s="2718"/>
      <c r="CA173" s="3009"/>
      <c r="CB173" s="4933" t="str">
        <f t="shared" si="38"/>
        <v/>
      </c>
      <c r="CC173" s="2718"/>
      <c r="CD173" s="2718"/>
      <c r="CE173" s="2718"/>
      <c r="CF173" s="2718"/>
      <c r="CG173" s="1793">
        <f t="shared" si="39"/>
        <v>0</v>
      </c>
      <c r="CH173" s="1791"/>
      <c r="CI173" s="1791"/>
      <c r="DI173"/>
    </row>
    <row r="174" spans="1:113" x14ac:dyDescent="0.25">
      <c r="A174" s="3995" t="s">
        <v>3306</v>
      </c>
      <c r="B174" s="4020">
        <f t="shared" si="34"/>
        <v>0</v>
      </c>
      <c r="C174" s="4021">
        <f t="shared" si="35"/>
        <v>0</v>
      </c>
      <c r="D174" s="4021">
        <f t="shared" si="36"/>
        <v>0</v>
      </c>
      <c r="E174" s="1089"/>
      <c r="F174" s="1077"/>
      <c r="G174" s="1089"/>
      <c r="H174" s="1077"/>
      <c r="I174" s="1089"/>
      <c r="J174" s="1077"/>
      <c r="K174" s="1089"/>
      <c r="L174" s="1090"/>
      <c r="M174" s="1090"/>
      <c r="N174" s="1098"/>
      <c r="O174" s="1089"/>
      <c r="P174" s="1077"/>
      <c r="Q174" s="1089"/>
      <c r="R174" s="1077"/>
      <c r="S174" s="1089"/>
      <c r="T174" s="1077"/>
      <c r="U174" s="1089"/>
      <c r="V174" s="1077"/>
      <c r="W174" s="1089"/>
      <c r="X174" s="1077"/>
      <c r="Y174" s="1089"/>
      <c r="Z174" s="1077"/>
      <c r="AA174" s="1089"/>
      <c r="AB174" s="1077"/>
      <c r="AC174" s="1089"/>
      <c r="AD174" s="1098"/>
      <c r="AE174" s="1089"/>
      <c r="AF174" s="1077"/>
      <c r="AG174" s="1089"/>
      <c r="AH174" s="1077"/>
      <c r="AI174" s="1089"/>
      <c r="AJ174" s="1077"/>
      <c r="AK174" s="3232"/>
      <c r="AL174" s="1098"/>
      <c r="AM174" s="933"/>
      <c r="AN174" s="621"/>
      <c r="AO174" s="630"/>
      <c r="AP174" s="1755" t="str">
        <f t="shared" si="37"/>
        <v/>
      </c>
      <c r="BU174" s="2718"/>
      <c r="BV174" s="2718"/>
      <c r="BW174" s="2718"/>
      <c r="BX174" s="2718"/>
      <c r="BY174" s="2718"/>
      <c r="BZ174" s="2718"/>
      <c r="CA174" s="3009"/>
      <c r="CB174" s="4933" t="str">
        <f t="shared" si="38"/>
        <v/>
      </c>
      <c r="CC174" s="2718"/>
      <c r="CD174" s="2718"/>
      <c r="CE174" s="2718"/>
      <c r="CF174" s="2718"/>
      <c r="CG174" s="1793">
        <f t="shared" si="39"/>
        <v>0</v>
      </c>
      <c r="CH174" s="1791"/>
      <c r="CI174" s="1791"/>
      <c r="DI174"/>
    </row>
    <row r="175" spans="1:113" x14ac:dyDescent="0.25">
      <c r="A175" s="5473" t="s">
        <v>28</v>
      </c>
      <c r="B175" s="4020">
        <f t="shared" si="34"/>
        <v>0</v>
      </c>
      <c r="C175" s="4021">
        <f t="shared" si="35"/>
        <v>0</v>
      </c>
      <c r="D175" s="4021">
        <f t="shared" si="36"/>
        <v>0</v>
      </c>
      <c r="E175" s="90"/>
      <c r="F175" s="92"/>
      <c r="G175" s="90"/>
      <c r="H175" s="92"/>
      <c r="I175" s="90"/>
      <c r="J175" s="92"/>
      <c r="K175" s="90"/>
      <c r="L175" s="127"/>
      <c r="M175" s="127"/>
      <c r="N175" s="128"/>
      <c r="O175" s="90"/>
      <c r="P175" s="92"/>
      <c r="Q175" s="90"/>
      <c r="R175" s="92"/>
      <c r="S175" s="90"/>
      <c r="T175" s="92"/>
      <c r="U175" s="90"/>
      <c r="V175" s="92"/>
      <c r="W175" s="90"/>
      <c r="X175" s="92"/>
      <c r="Y175" s="90"/>
      <c r="Z175" s="92"/>
      <c r="AA175" s="90"/>
      <c r="AB175" s="92"/>
      <c r="AC175" s="90"/>
      <c r="AD175" s="128"/>
      <c r="AE175" s="90"/>
      <c r="AF175" s="92"/>
      <c r="AG175" s="90"/>
      <c r="AH175" s="92"/>
      <c r="AI175" s="90"/>
      <c r="AJ175" s="92"/>
      <c r="AK175" s="129"/>
      <c r="AL175" s="128"/>
      <c r="AM175" s="2922"/>
      <c r="AN175" s="127"/>
      <c r="AO175" s="92"/>
      <c r="AP175" s="1755" t="str">
        <f t="shared" si="37"/>
        <v/>
      </c>
      <c r="BU175" s="2718"/>
      <c r="BV175" s="2718"/>
      <c r="BW175" s="2718"/>
      <c r="BX175" s="2718"/>
      <c r="BY175" s="2718"/>
      <c r="BZ175" s="2718"/>
      <c r="CA175" s="3009"/>
      <c r="CB175" s="4933" t="str">
        <f t="shared" si="38"/>
        <v/>
      </c>
      <c r="CC175" s="2718"/>
      <c r="CD175" s="2718"/>
      <c r="CE175" s="2718"/>
      <c r="CF175" s="2718"/>
      <c r="CG175" s="1793">
        <f t="shared" si="39"/>
        <v>0</v>
      </c>
      <c r="CH175" s="1791"/>
      <c r="CI175" s="1791"/>
      <c r="DI175"/>
    </row>
    <row r="176" spans="1:113" x14ac:dyDescent="0.25">
      <c r="A176" s="5472" t="s">
        <v>1467</v>
      </c>
      <c r="B176" s="5471">
        <f t="shared" ref="B176:AO176" si="40">SUM(B177:B181)</f>
        <v>0</v>
      </c>
      <c r="C176" s="5470">
        <f t="shared" si="40"/>
        <v>0</v>
      </c>
      <c r="D176" s="5470">
        <f t="shared" si="40"/>
        <v>0</v>
      </c>
      <c r="E176" s="5468">
        <f t="shared" si="40"/>
        <v>0</v>
      </c>
      <c r="F176" s="5465">
        <f t="shared" si="40"/>
        <v>0</v>
      </c>
      <c r="G176" s="5468">
        <f t="shared" si="40"/>
        <v>0</v>
      </c>
      <c r="H176" s="5465">
        <f t="shared" si="40"/>
        <v>0</v>
      </c>
      <c r="I176" s="5468">
        <f t="shared" si="40"/>
        <v>0</v>
      </c>
      <c r="J176" s="5465">
        <f t="shared" si="40"/>
        <v>0</v>
      </c>
      <c r="K176" s="5468">
        <f t="shared" si="40"/>
        <v>0</v>
      </c>
      <c r="L176" s="5468">
        <f t="shared" si="40"/>
        <v>0</v>
      </c>
      <c r="M176" s="5468">
        <f t="shared" si="40"/>
        <v>0</v>
      </c>
      <c r="N176" s="5469">
        <f t="shared" si="40"/>
        <v>0</v>
      </c>
      <c r="O176" s="5468">
        <f t="shared" si="40"/>
        <v>0</v>
      </c>
      <c r="P176" s="5465">
        <f t="shared" si="40"/>
        <v>0</v>
      </c>
      <c r="Q176" s="5468">
        <f t="shared" si="40"/>
        <v>0</v>
      </c>
      <c r="R176" s="5465">
        <f t="shared" si="40"/>
        <v>0</v>
      </c>
      <c r="S176" s="5468">
        <f t="shared" si="40"/>
        <v>0</v>
      </c>
      <c r="T176" s="5465">
        <f t="shared" si="40"/>
        <v>0</v>
      </c>
      <c r="U176" s="5468">
        <f t="shared" si="40"/>
        <v>0</v>
      </c>
      <c r="V176" s="5465">
        <f t="shared" si="40"/>
        <v>0</v>
      </c>
      <c r="W176" s="5468">
        <f t="shared" si="40"/>
        <v>0</v>
      </c>
      <c r="X176" s="5465">
        <f t="shared" si="40"/>
        <v>0</v>
      </c>
      <c r="Y176" s="5468">
        <f t="shared" si="40"/>
        <v>0</v>
      </c>
      <c r="Z176" s="5465">
        <f t="shared" si="40"/>
        <v>0</v>
      </c>
      <c r="AA176" s="5468">
        <f t="shared" si="40"/>
        <v>0</v>
      </c>
      <c r="AB176" s="5465">
        <f t="shared" si="40"/>
        <v>0</v>
      </c>
      <c r="AC176" s="5468">
        <f t="shared" si="40"/>
        <v>0</v>
      </c>
      <c r="AD176" s="5469">
        <f t="shared" si="40"/>
        <v>0</v>
      </c>
      <c r="AE176" s="5468">
        <f t="shared" si="40"/>
        <v>0</v>
      </c>
      <c r="AF176" s="5465">
        <f t="shared" si="40"/>
        <v>0</v>
      </c>
      <c r="AG176" s="5468">
        <f t="shared" si="40"/>
        <v>0</v>
      </c>
      <c r="AH176" s="5465">
        <f t="shared" si="40"/>
        <v>0</v>
      </c>
      <c r="AI176" s="5468">
        <f t="shared" si="40"/>
        <v>0</v>
      </c>
      <c r="AJ176" s="5465">
        <f t="shared" si="40"/>
        <v>0</v>
      </c>
      <c r="AK176" s="5467">
        <f t="shared" si="40"/>
        <v>0</v>
      </c>
      <c r="AL176" s="5466">
        <f t="shared" si="40"/>
        <v>0</v>
      </c>
      <c r="AM176" s="6161">
        <f t="shared" si="40"/>
        <v>0</v>
      </c>
      <c r="AN176" s="6162">
        <f t="shared" si="40"/>
        <v>0</v>
      </c>
      <c r="AO176" s="6099">
        <f t="shared" si="40"/>
        <v>0</v>
      </c>
      <c r="AP176" s="3984"/>
      <c r="BU176" s="2718"/>
      <c r="BV176" s="2718"/>
      <c r="BW176" s="2718"/>
      <c r="BX176" s="2718"/>
      <c r="BY176" s="2718"/>
      <c r="BZ176" s="2718"/>
      <c r="CA176" s="2718"/>
      <c r="CB176" s="2718"/>
      <c r="CC176" s="2718"/>
      <c r="CD176" s="2718"/>
      <c r="CE176" s="2718"/>
      <c r="CF176" s="2718"/>
      <c r="CG176"/>
      <c r="CH176"/>
      <c r="CI176"/>
      <c r="DI176"/>
    </row>
    <row r="177" spans="1:129" x14ac:dyDescent="0.25">
      <c r="A177" s="3996" t="s">
        <v>3187</v>
      </c>
      <c r="B177" s="4023">
        <f>SUM(C177:D177)</f>
        <v>0</v>
      </c>
      <c r="C177" s="4021">
        <f t="shared" ref="C177:D181" si="41">E177+G177+I177+K177+M177+O177+Q177+S177+U177+W177+Y177+AA177+AC177+AE177+AG177+AI177+AK177</f>
        <v>0</v>
      </c>
      <c r="D177" s="4021">
        <f t="shared" si="41"/>
        <v>0</v>
      </c>
      <c r="E177" s="106"/>
      <c r="F177" s="5238"/>
      <c r="G177" s="106"/>
      <c r="H177" s="5238"/>
      <c r="I177" s="106"/>
      <c r="J177" s="5238"/>
      <c r="K177" s="106"/>
      <c r="L177" s="5239"/>
      <c r="M177" s="5239"/>
      <c r="N177" s="4952"/>
      <c r="O177" s="106"/>
      <c r="P177" s="5238"/>
      <c r="Q177" s="106"/>
      <c r="R177" s="5238"/>
      <c r="S177" s="106"/>
      <c r="T177" s="5238"/>
      <c r="U177" s="106"/>
      <c r="V177" s="5238"/>
      <c r="W177" s="106"/>
      <c r="X177" s="5238"/>
      <c r="Y177" s="106"/>
      <c r="Z177" s="5238"/>
      <c r="AA177" s="106"/>
      <c r="AB177" s="5238"/>
      <c r="AC177" s="106"/>
      <c r="AD177" s="4952"/>
      <c r="AE177" s="106"/>
      <c r="AF177" s="5238"/>
      <c r="AG177" s="106"/>
      <c r="AH177" s="5238"/>
      <c r="AI177" s="106"/>
      <c r="AJ177" s="5238"/>
      <c r="AK177" s="591"/>
      <c r="AL177" s="4952"/>
      <c r="AM177" s="5524"/>
      <c r="AN177" s="5239"/>
      <c r="AO177" s="5238"/>
      <c r="AP177" s="1755" t="str">
        <f>$CA177&amp;CB177</f>
        <v/>
      </c>
      <c r="BU177" s="2718"/>
      <c r="BV177" s="2718"/>
      <c r="BW177" s="2718"/>
      <c r="BX177" s="2718"/>
      <c r="BY177" s="2718"/>
      <c r="BZ177" s="2718"/>
      <c r="CA177" s="3009"/>
      <c r="CB177" s="4933" t="str">
        <f t="shared" si="38"/>
        <v/>
      </c>
      <c r="CC177" s="2718"/>
      <c r="CD177" s="2718"/>
      <c r="CE177" s="2718"/>
      <c r="CF177" s="2718"/>
      <c r="CG177" s="1793">
        <f>IF(AM177+AN177+AO177&lt;&gt;$B177,1,0)</f>
        <v>0</v>
      </c>
      <c r="CH177" s="1791"/>
      <c r="CI177" s="1791"/>
      <c r="DI177"/>
    </row>
    <row r="178" spans="1:129" x14ac:dyDescent="0.25">
      <c r="A178" s="3996" t="s">
        <v>729</v>
      </c>
      <c r="B178" s="971">
        <f>SUM(C178:D178)</f>
        <v>0</v>
      </c>
      <c r="C178" s="4021">
        <f t="shared" si="41"/>
        <v>0</v>
      </c>
      <c r="D178" s="4021">
        <f t="shared" si="41"/>
        <v>0</v>
      </c>
      <c r="E178" s="1089"/>
      <c r="F178" s="1077"/>
      <c r="G178" s="1089"/>
      <c r="H178" s="1077"/>
      <c r="I178" s="1089"/>
      <c r="J178" s="1077"/>
      <c r="K178" s="1089"/>
      <c r="L178" s="1090"/>
      <c r="M178" s="1090"/>
      <c r="N178" s="1098"/>
      <c r="O178" s="1089"/>
      <c r="P178" s="1077"/>
      <c r="Q178" s="1089"/>
      <c r="R178" s="1077"/>
      <c r="S178" s="1089"/>
      <c r="T178" s="1077"/>
      <c r="U178" s="1089"/>
      <c r="V178" s="1077"/>
      <c r="W178" s="1089"/>
      <c r="X178" s="1077"/>
      <c r="Y178" s="1089"/>
      <c r="Z178" s="1077"/>
      <c r="AA178" s="1089"/>
      <c r="AB178" s="1077"/>
      <c r="AC178" s="1089"/>
      <c r="AD178" s="1098"/>
      <c r="AE178" s="1089"/>
      <c r="AF178" s="1077"/>
      <c r="AG178" s="1089"/>
      <c r="AH178" s="1077"/>
      <c r="AI178" s="1089"/>
      <c r="AJ178" s="1077"/>
      <c r="AK178" s="3232"/>
      <c r="AL178" s="1098"/>
      <c r="AM178" s="933"/>
      <c r="AN178" s="621"/>
      <c r="AO178" s="630"/>
      <c r="AP178" s="1755" t="str">
        <f>$CA178&amp;CB178</f>
        <v/>
      </c>
      <c r="BU178" s="2718"/>
      <c r="BV178" s="2718"/>
      <c r="BW178" s="2718"/>
      <c r="BX178" s="2718"/>
      <c r="BY178" s="2718"/>
      <c r="BZ178" s="2718"/>
      <c r="CA178" s="3009"/>
      <c r="CB178" s="4933" t="str">
        <f t="shared" si="38"/>
        <v/>
      </c>
      <c r="CC178" s="2718"/>
      <c r="CD178" s="2718"/>
      <c r="CE178" s="2718"/>
      <c r="CF178" s="2718"/>
      <c r="CG178" s="1793">
        <f t="shared" si="39"/>
        <v>0</v>
      </c>
      <c r="CH178" s="1791"/>
      <c r="CI178" s="1791"/>
      <c r="DI178"/>
    </row>
    <row r="179" spans="1:129" x14ac:dyDescent="0.25">
      <c r="A179" s="3996" t="s">
        <v>3188</v>
      </c>
      <c r="B179" s="971">
        <f>SUM(C179:D179)</f>
        <v>0</v>
      </c>
      <c r="C179" s="4021">
        <f t="shared" si="41"/>
        <v>0</v>
      </c>
      <c r="D179" s="4021">
        <f t="shared" si="41"/>
        <v>0</v>
      </c>
      <c r="E179" s="1089"/>
      <c r="F179" s="1077"/>
      <c r="G179" s="1089"/>
      <c r="H179" s="1077"/>
      <c r="I179" s="1089"/>
      <c r="J179" s="1077"/>
      <c r="K179" s="1089"/>
      <c r="L179" s="1090"/>
      <c r="M179" s="1090"/>
      <c r="N179" s="1098"/>
      <c r="O179" s="1089"/>
      <c r="P179" s="1077"/>
      <c r="Q179" s="1089"/>
      <c r="R179" s="1077"/>
      <c r="S179" s="1089"/>
      <c r="T179" s="1077"/>
      <c r="U179" s="1089"/>
      <c r="V179" s="1077"/>
      <c r="W179" s="1089"/>
      <c r="X179" s="1077"/>
      <c r="Y179" s="1089"/>
      <c r="Z179" s="1077"/>
      <c r="AA179" s="1089"/>
      <c r="AB179" s="1077"/>
      <c r="AC179" s="1089"/>
      <c r="AD179" s="1098"/>
      <c r="AE179" s="1089"/>
      <c r="AF179" s="1077"/>
      <c r="AG179" s="1089"/>
      <c r="AH179" s="1077"/>
      <c r="AI179" s="1089"/>
      <c r="AJ179" s="1077"/>
      <c r="AK179" s="3232"/>
      <c r="AL179" s="1098"/>
      <c r="AM179" s="933"/>
      <c r="AN179" s="621"/>
      <c r="AO179" s="630"/>
      <c r="AP179" s="1755" t="str">
        <f>$CA179&amp;CB179</f>
        <v/>
      </c>
      <c r="BU179" s="2718"/>
      <c r="BV179" s="2718"/>
      <c r="BW179" s="2718"/>
      <c r="BX179" s="2718"/>
      <c r="BY179" s="2718"/>
      <c r="BZ179" s="2718"/>
      <c r="CA179" s="3009"/>
      <c r="CB179" s="4933" t="str">
        <f t="shared" si="38"/>
        <v/>
      </c>
      <c r="CC179" s="2718"/>
      <c r="CD179" s="2718"/>
      <c r="CE179" s="2718"/>
      <c r="CF179" s="2718"/>
      <c r="CG179" s="1793">
        <f t="shared" si="39"/>
        <v>0</v>
      </c>
      <c r="CH179" s="1791"/>
      <c r="CI179" s="1791"/>
      <c r="DI179"/>
    </row>
    <row r="180" spans="1:129" x14ac:dyDescent="0.25">
      <c r="A180" s="3996" t="s">
        <v>3307</v>
      </c>
      <c r="B180" s="971">
        <f>SUM(C180:D180)</f>
        <v>0</v>
      </c>
      <c r="C180" s="4021">
        <f t="shared" si="41"/>
        <v>0</v>
      </c>
      <c r="D180" s="4021">
        <f t="shared" si="41"/>
        <v>0</v>
      </c>
      <c r="E180" s="1089"/>
      <c r="F180" s="1077"/>
      <c r="G180" s="1089"/>
      <c r="H180" s="1077"/>
      <c r="I180" s="1089"/>
      <c r="J180" s="1077"/>
      <c r="K180" s="1089"/>
      <c r="L180" s="1090"/>
      <c r="M180" s="1090"/>
      <c r="N180" s="1098"/>
      <c r="O180" s="1089"/>
      <c r="P180" s="1077"/>
      <c r="Q180" s="1089"/>
      <c r="R180" s="1077"/>
      <c r="S180" s="1089"/>
      <c r="T180" s="1077"/>
      <c r="U180" s="1089"/>
      <c r="V180" s="1077"/>
      <c r="W180" s="1089"/>
      <c r="X180" s="1077"/>
      <c r="Y180" s="1089"/>
      <c r="Z180" s="1077"/>
      <c r="AA180" s="1089"/>
      <c r="AB180" s="1077"/>
      <c r="AC180" s="1089"/>
      <c r="AD180" s="1098"/>
      <c r="AE180" s="1089"/>
      <c r="AF180" s="1077"/>
      <c r="AG180" s="1089"/>
      <c r="AH180" s="1077"/>
      <c r="AI180" s="1089"/>
      <c r="AJ180" s="1077"/>
      <c r="AK180" s="3232"/>
      <c r="AL180" s="1098"/>
      <c r="AM180" s="933"/>
      <c r="AN180" s="621"/>
      <c r="AO180" s="630"/>
      <c r="AP180" s="1755" t="str">
        <f>$CA180&amp;CB180</f>
        <v/>
      </c>
      <c r="BU180" s="2718"/>
      <c r="BV180" s="2718"/>
      <c r="BW180" s="2718"/>
      <c r="BX180" s="2718"/>
      <c r="BY180" s="2718"/>
      <c r="BZ180" s="2718"/>
      <c r="CA180" s="3009"/>
      <c r="CB180" s="4933" t="str">
        <f t="shared" si="38"/>
        <v/>
      </c>
      <c r="CC180" s="2718"/>
      <c r="CD180" s="2718"/>
      <c r="CE180" s="2718"/>
      <c r="CF180" s="2718"/>
      <c r="CG180" s="1793">
        <f t="shared" si="39"/>
        <v>0</v>
      </c>
      <c r="CH180" s="1791"/>
      <c r="CI180" s="1791"/>
      <c r="DI180"/>
    </row>
    <row r="181" spans="1:129" x14ac:dyDescent="0.25">
      <c r="A181" s="562" t="s">
        <v>28</v>
      </c>
      <c r="B181" s="5298">
        <f>SUM(C181:D181)</f>
        <v>0</v>
      </c>
      <c r="C181" s="4024">
        <f t="shared" si="41"/>
        <v>0</v>
      </c>
      <c r="D181" s="4024">
        <f t="shared" si="41"/>
        <v>0</v>
      </c>
      <c r="E181" s="3112"/>
      <c r="F181" s="3124"/>
      <c r="G181" s="3112"/>
      <c r="H181" s="3124"/>
      <c r="I181" s="3112"/>
      <c r="J181" s="3124"/>
      <c r="K181" s="3112"/>
      <c r="L181" s="3109"/>
      <c r="M181" s="3109"/>
      <c r="N181" s="3333"/>
      <c r="O181" s="3112"/>
      <c r="P181" s="3124"/>
      <c r="Q181" s="3112"/>
      <c r="R181" s="3124"/>
      <c r="S181" s="3112"/>
      <c r="T181" s="3124"/>
      <c r="U181" s="3112"/>
      <c r="V181" s="3124"/>
      <c r="W181" s="3112"/>
      <c r="X181" s="3124"/>
      <c r="Y181" s="3112"/>
      <c r="Z181" s="3124"/>
      <c r="AA181" s="3112"/>
      <c r="AB181" s="3124"/>
      <c r="AC181" s="3112"/>
      <c r="AD181" s="3333"/>
      <c r="AE181" s="3112"/>
      <c r="AF181" s="3124"/>
      <c r="AG181" s="3112"/>
      <c r="AH181" s="3124"/>
      <c r="AI181" s="3112"/>
      <c r="AJ181" s="3124"/>
      <c r="AK181" s="121"/>
      <c r="AL181" s="3333"/>
      <c r="AM181" s="563"/>
      <c r="AN181" s="3109"/>
      <c r="AO181" s="3124"/>
      <c r="AP181" s="1755" t="str">
        <f>$CA181&amp;CB181</f>
        <v/>
      </c>
      <c r="BU181" s="2718"/>
      <c r="BV181" s="2718"/>
      <c r="BW181" s="2718"/>
      <c r="BX181" s="2718"/>
      <c r="BY181" s="2718"/>
      <c r="BZ181" s="2718"/>
      <c r="CA181" s="3009"/>
      <c r="CB181" s="4933" t="str">
        <f t="shared" si="38"/>
        <v/>
      </c>
      <c r="CC181" s="2718"/>
      <c r="CD181" s="2718"/>
      <c r="CE181" s="2718"/>
      <c r="CF181" s="2718"/>
      <c r="CG181" s="1793">
        <f t="shared" si="39"/>
        <v>0</v>
      </c>
      <c r="CH181" s="1791"/>
      <c r="CI181" s="1791"/>
      <c r="DI181"/>
    </row>
    <row r="182" spans="1:129" x14ac:dyDescent="0.25">
      <c r="A182" s="123" t="s">
        <v>3308</v>
      </c>
      <c r="B182" s="101"/>
      <c r="C182" s="101"/>
      <c r="D182" s="123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DI182"/>
    </row>
    <row r="183" spans="1:129" x14ac:dyDescent="0.25">
      <c r="A183" s="8364" t="s">
        <v>61</v>
      </c>
      <c r="B183" s="8365" t="s">
        <v>24</v>
      </c>
      <c r="C183" s="8368" t="s">
        <v>12</v>
      </c>
      <c r="D183" s="8369"/>
      <c r="E183" s="8369"/>
      <c r="F183" s="8369"/>
      <c r="G183" s="8369"/>
      <c r="H183" s="8369"/>
      <c r="I183" s="8369"/>
      <c r="J183" s="8369"/>
      <c r="K183" s="8369"/>
      <c r="L183" s="8369"/>
      <c r="M183" s="8369"/>
      <c r="N183" s="8369"/>
      <c r="O183" s="8369"/>
      <c r="P183" s="8369"/>
      <c r="Q183" s="8369"/>
      <c r="R183" s="8369"/>
      <c r="S183" s="8370"/>
      <c r="T183" s="8359" t="s">
        <v>3282</v>
      </c>
      <c r="U183" s="8374"/>
      <c r="V183" s="8374"/>
      <c r="W183" s="8374"/>
      <c r="X183" s="8374"/>
      <c r="DI183"/>
    </row>
    <row r="184" spans="1:129" x14ac:dyDescent="0.25">
      <c r="A184" s="7166"/>
      <c r="B184" s="8366"/>
      <c r="C184" s="8371"/>
      <c r="D184" s="8372"/>
      <c r="E184" s="8372"/>
      <c r="F184" s="8372"/>
      <c r="G184" s="8372"/>
      <c r="H184" s="8372"/>
      <c r="I184" s="8372"/>
      <c r="J184" s="8372"/>
      <c r="K184" s="8372"/>
      <c r="L184" s="8372"/>
      <c r="M184" s="8372"/>
      <c r="N184" s="8372"/>
      <c r="O184" s="8372"/>
      <c r="P184" s="8372"/>
      <c r="Q184" s="8372"/>
      <c r="R184" s="8372"/>
      <c r="S184" s="8373"/>
      <c r="T184" s="8375" t="s">
        <v>3283</v>
      </c>
      <c r="U184" s="8376"/>
      <c r="V184" s="8377"/>
      <c r="W184" s="8362" t="s">
        <v>3309</v>
      </c>
      <c r="X184" s="8363"/>
      <c r="DI184"/>
    </row>
    <row r="185" spans="1:129" ht="21" x14ac:dyDescent="0.25">
      <c r="A185" s="7167"/>
      <c r="B185" s="8367"/>
      <c r="C185" s="5445" t="s">
        <v>36</v>
      </c>
      <c r="D185" s="5445" t="s">
        <v>37</v>
      </c>
      <c r="E185" s="5445" t="s">
        <v>38</v>
      </c>
      <c r="F185" s="5445" t="s">
        <v>4</v>
      </c>
      <c r="G185" s="5445" t="s">
        <v>5</v>
      </c>
      <c r="H185" s="5445" t="s">
        <v>560</v>
      </c>
      <c r="I185" s="5445" t="s">
        <v>561</v>
      </c>
      <c r="J185" s="5445" t="s">
        <v>8</v>
      </c>
      <c r="K185" s="5445" t="s">
        <v>9</v>
      </c>
      <c r="L185" s="5445" t="s">
        <v>576</v>
      </c>
      <c r="M185" s="5445" t="s">
        <v>11</v>
      </c>
      <c r="N185" s="5445" t="s">
        <v>18</v>
      </c>
      <c r="O185" s="5445" t="s">
        <v>19</v>
      </c>
      <c r="P185" s="5445" t="s">
        <v>20</v>
      </c>
      <c r="Q185" s="5445" t="s">
        <v>70</v>
      </c>
      <c r="R185" s="5445" t="s">
        <v>71</v>
      </c>
      <c r="S185" s="5459" t="s">
        <v>72</v>
      </c>
      <c r="T185" s="6169" t="s">
        <v>3310</v>
      </c>
      <c r="U185" s="6183" t="s">
        <v>3311</v>
      </c>
      <c r="V185" s="6170" t="s">
        <v>3312</v>
      </c>
      <c r="W185" s="6186" t="s">
        <v>3285</v>
      </c>
      <c r="X185" s="6170" t="s">
        <v>3286</v>
      </c>
      <c r="Y185" s="102"/>
      <c r="DI185"/>
    </row>
    <row r="186" spans="1:129" x14ac:dyDescent="0.25">
      <c r="A186" s="4003" t="s">
        <v>277</v>
      </c>
      <c r="B186" s="1751">
        <f t="shared" ref="B186:B192" si="42">SUM(C186:S186)</f>
        <v>0</v>
      </c>
      <c r="C186" s="3234"/>
      <c r="D186" s="3234"/>
      <c r="E186" s="3234"/>
      <c r="F186" s="3234"/>
      <c r="G186" s="3234"/>
      <c r="H186" s="3234"/>
      <c r="I186" s="3234"/>
      <c r="J186" s="3234"/>
      <c r="K186" s="3234"/>
      <c r="L186" s="3234"/>
      <c r="M186" s="3234"/>
      <c r="N186" s="3234"/>
      <c r="O186" s="3234"/>
      <c r="P186" s="3234"/>
      <c r="Q186" s="3234"/>
      <c r="R186" s="3234"/>
      <c r="S186" s="3236"/>
      <c r="T186" s="933"/>
      <c r="U186" s="621"/>
      <c r="V186" s="630"/>
      <c r="W186" s="620"/>
      <c r="X186" s="630"/>
      <c r="Y186" s="1755" t="str">
        <f t="shared" ref="Y186:Y192" si="43">$CA186&amp;CB186</f>
        <v/>
      </c>
      <c r="BD186" s="2718"/>
      <c r="BE186" s="2718"/>
      <c r="BF186" s="2718"/>
      <c r="BG186" s="2718"/>
      <c r="BH186" s="2718"/>
      <c r="BI186" s="2718"/>
      <c r="BJ186" s="2718"/>
      <c r="BK186" s="2718"/>
      <c r="BL186" s="2718"/>
      <c r="BM186" s="2718"/>
      <c r="BN186" s="2718"/>
      <c r="BO186" s="2718"/>
      <c r="BP186" s="2718"/>
      <c r="BQ186" s="2718"/>
      <c r="BR186" s="2718"/>
      <c r="BS186" s="2718"/>
      <c r="BT186" s="2718"/>
      <c r="BU186" s="2718"/>
      <c r="BV186" s="2718"/>
      <c r="BW186" s="2718"/>
      <c r="BX186" s="2718"/>
      <c r="BY186" s="2718"/>
      <c r="BZ186" s="2718"/>
      <c r="CA186" s="3009"/>
      <c r="CB186" s="4933" t="str">
        <f>IF(T186+U186+V186+W186+X186&lt;&gt;$B186,"* El número de "&amp;T$183&amp;""&amp;" no debe ser distinto del Total. ","")</f>
        <v/>
      </c>
      <c r="CC186" s="2718"/>
      <c r="CD186" s="2718"/>
      <c r="CE186" s="2718"/>
      <c r="CF186" s="2718"/>
      <c r="CG186" s="1791">
        <f>IF(T186+U186+V186+W186+X186&lt;&gt;$B186,1,0)</f>
        <v>0</v>
      </c>
      <c r="CH186" s="1793"/>
      <c r="CI186" s="1793"/>
      <c r="CJ186" s="1793"/>
      <c r="CK186" s="1793"/>
      <c r="CL186"/>
      <c r="CM186"/>
      <c r="CN186"/>
      <c r="CO186"/>
      <c r="CP186"/>
      <c r="DJ186" s="1134"/>
      <c r="DK186" s="1134"/>
      <c r="DL186" s="1134"/>
      <c r="DM186" s="1134"/>
      <c r="DN186" s="1134"/>
      <c r="DO186" s="1134"/>
      <c r="DP186" s="1134"/>
      <c r="DQ186" s="1134"/>
      <c r="DR186" s="1134"/>
      <c r="DS186" s="1134"/>
      <c r="DT186" s="1134"/>
      <c r="DU186" s="1134"/>
      <c r="DV186" s="1134"/>
      <c r="DW186" s="1134"/>
      <c r="DX186" s="1134"/>
      <c r="DY186" s="1134"/>
    </row>
    <row r="187" spans="1:129" x14ac:dyDescent="0.25">
      <c r="A187" s="3996" t="s">
        <v>2835</v>
      </c>
      <c r="B187" s="3962">
        <f t="shared" si="42"/>
        <v>0</v>
      </c>
      <c r="C187" s="3234"/>
      <c r="D187" s="3234"/>
      <c r="E187" s="3234"/>
      <c r="F187" s="3234"/>
      <c r="G187" s="3234"/>
      <c r="H187" s="3234"/>
      <c r="I187" s="3234"/>
      <c r="J187" s="3234"/>
      <c r="K187" s="3234"/>
      <c r="L187" s="3234"/>
      <c r="M187" s="3234"/>
      <c r="N187" s="3234"/>
      <c r="O187" s="3234"/>
      <c r="P187" s="3234"/>
      <c r="Q187" s="3234"/>
      <c r="R187" s="3234"/>
      <c r="S187" s="3236"/>
      <c r="T187" s="933"/>
      <c r="U187" s="621"/>
      <c r="V187" s="630"/>
      <c r="W187" s="620"/>
      <c r="X187" s="630"/>
      <c r="Y187" s="1755" t="str">
        <f t="shared" si="43"/>
        <v/>
      </c>
      <c r="BD187" s="2718"/>
      <c r="BE187" s="2718"/>
      <c r="BF187" s="2718"/>
      <c r="BG187" s="2718"/>
      <c r="BH187" s="2718"/>
      <c r="BI187" s="2718"/>
      <c r="BJ187" s="2718"/>
      <c r="BK187" s="2718"/>
      <c r="BL187" s="2718"/>
      <c r="BM187" s="2718"/>
      <c r="BN187" s="2718"/>
      <c r="BO187" s="2718"/>
      <c r="BP187" s="2718"/>
      <c r="BQ187" s="2718"/>
      <c r="BR187" s="2718"/>
      <c r="BS187" s="2718"/>
      <c r="BT187" s="2718"/>
      <c r="BU187" s="2718"/>
      <c r="BV187" s="2718"/>
      <c r="BW187" s="2718"/>
      <c r="BX187" s="2718"/>
      <c r="BY187" s="2718"/>
      <c r="BZ187" s="2718"/>
      <c r="CA187" s="3009"/>
      <c r="CB187" s="4933" t="str">
        <f t="shared" ref="CB187:CB192" si="44">IF(T187+U187+V187+W187+X187&lt;&gt;$B187,"* El número de "&amp;T$183&amp;""&amp;" no debe ser distinto del Total. ","")</f>
        <v/>
      </c>
      <c r="CC187" s="2718"/>
      <c r="CD187" s="2718"/>
      <c r="CE187" s="2718"/>
      <c r="CF187" s="2718"/>
      <c r="CG187" s="1791">
        <f t="shared" ref="CG187:CG192" si="45">IF(T187+U187+V187+W187+X187&lt;&gt;$B187,1,0)</f>
        <v>0</v>
      </c>
      <c r="CH187" s="1793"/>
      <c r="CI187" s="1793"/>
      <c r="CJ187" s="1793"/>
      <c r="CK187" s="1793"/>
      <c r="DI187"/>
    </row>
    <row r="188" spans="1:129" x14ac:dyDescent="0.25">
      <c r="A188" s="3996" t="s">
        <v>3313</v>
      </c>
      <c r="B188" s="3962">
        <f t="shared" si="42"/>
        <v>0</v>
      </c>
      <c r="C188" s="3234"/>
      <c r="D188" s="3234"/>
      <c r="E188" s="3234"/>
      <c r="F188" s="3234"/>
      <c r="G188" s="3234"/>
      <c r="H188" s="3234"/>
      <c r="I188" s="3234"/>
      <c r="J188" s="3234"/>
      <c r="K188" s="3234"/>
      <c r="L188" s="3234"/>
      <c r="M188" s="3234"/>
      <c r="N188" s="3234"/>
      <c r="O188" s="3234"/>
      <c r="P188" s="3234"/>
      <c r="Q188" s="3234"/>
      <c r="R188" s="3234"/>
      <c r="S188" s="3236"/>
      <c r="T188" s="933"/>
      <c r="U188" s="621"/>
      <c r="V188" s="630"/>
      <c r="W188" s="620"/>
      <c r="X188" s="630"/>
      <c r="Y188" s="1755" t="str">
        <f t="shared" si="43"/>
        <v/>
      </c>
      <c r="BD188" s="2718"/>
      <c r="BE188" s="2718"/>
      <c r="BF188" s="2718"/>
      <c r="BG188" s="2718"/>
      <c r="BH188" s="2718"/>
      <c r="BI188" s="2718"/>
      <c r="BJ188" s="2718"/>
      <c r="BK188" s="2718"/>
      <c r="BL188" s="2718"/>
      <c r="BM188" s="2718"/>
      <c r="BN188" s="2718"/>
      <c r="BO188" s="2718"/>
      <c r="BP188" s="2718"/>
      <c r="BQ188" s="2718"/>
      <c r="BR188" s="2718"/>
      <c r="BS188" s="2718"/>
      <c r="BT188" s="2718"/>
      <c r="BU188" s="2718"/>
      <c r="BV188" s="2718"/>
      <c r="BW188" s="2718"/>
      <c r="BX188" s="2718"/>
      <c r="BY188" s="2718"/>
      <c r="BZ188" s="2718"/>
      <c r="CA188" s="3009"/>
      <c r="CB188" s="4933" t="str">
        <f t="shared" si="44"/>
        <v/>
      </c>
      <c r="CC188" s="2718"/>
      <c r="CD188" s="2718"/>
      <c r="CE188" s="2718"/>
      <c r="CF188" s="2718"/>
      <c r="CG188" s="1791">
        <f t="shared" si="45"/>
        <v>0</v>
      </c>
      <c r="CH188" s="1793"/>
      <c r="CI188" s="1793"/>
      <c r="CJ188" s="1793"/>
      <c r="CK188" s="1793"/>
      <c r="DI188"/>
    </row>
    <row r="189" spans="1:129" x14ac:dyDescent="0.25">
      <c r="A189" s="3273" t="s">
        <v>75</v>
      </c>
      <c r="B189" s="3962">
        <f t="shared" si="42"/>
        <v>0</v>
      </c>
      <c r="C189" s="3234"/>
      <c r="D189" s="3234"/>
      <c r="E189" s="3234"/>
      <c r="F189" s="3234"/>
      <c r="G189" s="3234"/>
      <c r="H189" s="3234"/>
      <c r="I189" s="3234"/>
      <c r="J189" s="3234"/>
      <c r="K189" s="3234"/>
      <c r="L189" s="3234"/>
      <c r="M189" s="3234"/>
      <c r="N189" s="3234"/>
      <c r="O189" s="3234"/>
      <c r="P189" s="3234"/>
      <c r="Q189" s="3234"/>
      <c r="R189" s="3234"/>
      <c r="S189" s="3236"/>
      <c r="T189" s="933"/>
      <c r="U189" s="621"/>
      <c r="V189" s="630"/>
      <c r="W189" s="620"/>
      <c r="X189" s="630"/>
      <c r="Y189" s="1755" t="str">
        <f t="shared" si="43"/>
        <v/>
      </c>
      <c r="BD189" s="2718"/>
      <c r="BE189" s="2718"/>
      <c r="BF189" s="2718"/>
      <c r="BG189" s="2718"/>
      <c r="BH189" s="2718"/>
      <c r="BI189" s="2718"/>
      <c r="BJ189" s="2718"/>
      <c r="BK189" s="2718"/>
      <c r="BL189" s="2718"/>
      <c r="BM189" s="2718"/>
      <c r="BN189" s="2718"/>
      <c r="BO189" s="2718"/>
      <c r="BP189" s="2718"/>
      <c r="BQ189" s="2718"/>
      <c r="BR189" s="2718"/>
      <c r="BS189" s="2718"/>
      <c r="BT189" s="2718"/>
      <c r="BU189" s="2718"/>
      <c r="BV189" s="2718"/>
      <c r="BW189" s="2718"/>
      <c r="BX189" s="2718"/>
      <c r="BY189" s="2718"/>
      <c r="BZ189" s="2718"/>
      <c r="CA189" s="3009"/>
      <c r="CB189" s="4933" t="str">
        <f t="shared" si="44"/>
        <v/>
      </c>
      <c r="CC189" s="2718"/>
      <c r="CD189" s="2718"/>
      <c r="CE189" s="2718"/>
      <c r="CF189" s="2718"/>
      <c r="CG189" s="1791">
        <f t="shared" si="45"/>
        <v>0</v>
      </c>
      <c r="CH189" s="1793"/>
      <c r="CI189" s="1793"/>
      <c r="CJ189" s="1793"/>
      <c r="CK189" s="1793"/>
      <c r="DI189"/>
    </row>
    <row r="190" spans="1:129" x14ac:dyDescent="0.25">
      <c r="A190" s="3273" t="s">
        <v>62</v>
      </c>
      <c r="B190" s="3962">
        <f t="shared" si="42"/>
        <v>0</v>
      </c>
      <c r="C190" s="3234"/>
      <c r="D190" s="3234"/>
      <c r="E190" s="3234"/>
      <c r="F190" s="3234"/>
      <c r="G190" s="3234"/>
      <c r="H190" s="3234"/>
      <c r="I190" s="3234"/>
      <c r="J190" s="3234"/>
      <c r="K190" s="3234"/>
      <c r="L190" s="3234"/>
      <c r="M190" s="3234"/>
      <c r="N190" s="3234"/>
      <c r="O190" s="3234"/>
      <c r="P190" s="3234"/>
      <c r="Q190" s="3234"/>
      <c r="R190" s="3234"/>
      <c r="S190" s="3236"/>
      <c r="T190" s="933"/>
      <c r="U190" s="621"/>
      <c r="V190" s="630"/>
      <c r="W190" s="620"/>
      <c r="X190" s="630"/>
      <c r="Y190" s="1755" t="str">
        <f t="shared" si="43"/>
        <v/>
      </c>
      <c r="BD190" s="2718"/>
      <c r="BE190" s="2718"/>
      <c r="BF190" s="2718"/>
      <c r="BG190" s="2718"/>
      <c r="BH190" s="2718"/>
      <c r="BI190" s="2718"/>
      <c r="BJ190" s="2718"/>
      <c r="BK190" s="2718"/>
      <c r="BL190" s="2718"/>
      <c r="BM190" s="2718"/>
      <c r="BN190" s="2718"/>
      <c r="BO190" s="2718"/>
      <c r="BP190" s="2718"/>
      <c r="BQ190" s="2718"/>
      <c r="BR190" s="2718"/>
      <c r="BS190" s="2718"/>
      <c r="BT190" s="2718"/>
      <c r="BU190" s="2718"/>
      <c r="BV190" s="2718"/>
      <c r="BW190" s="2718"/>
      <c r="BX190" s="2718"/>
      <c r="BY190" s="2718"/>
      <c r="BZ190" s="2718"/>
      <c r="CA190" s="3009"/>
      <c r="CB190" s="4933" t="str">
        <f t="shared" si="44"/>
        <v/>
      </c>
      <c r="CC190" s="2718"/>
      <c r="CD190" s="2718"/>
      <c r="CE190" s="2718"/>
      <c r="CF190" s="2718"/>
      <c r="CG190" s="1791">
        <f t="shared" si="45"/>
        <v>0</v>
      </c>
      <c r="CH190" s="1793"/>
      <c r="CI190" s="1793"/>
      <c r="CJ190" s="1793"/>
      <c r="CK190" s="1793"/>
      <c r="DI190"/>
    </row>
    <row r="191" spans="1:129" x14ac:dyDescent="0.25">
      <c r="A191" s="773" t="s">
        <v>3314</v>
      </c>
      <c r="B191" s="3962">
        <f t="shared" si="42"/>
        <v>0</v>
      </c>
      <c r="C191" s="3234"/>
      <c r="D191" s="3234"/>
      <c r="E191" s="3234"/>
      <c r="F191" s="3234"/>
      <c r="G191" s="3234"/>
      <c r="H191" s="3234"/>
      <c r="I191" s="3234"/>
      <c r="J191" s="3234"/>
      <c r="K191" s="3234"/>
      <c r="L191" s="3234"/>
      <c r="M191" s="3234"/>
      <c r="N191" s="3234"/>
      <c r="O191" s="3234"/>
      <c r="P191" s="3234"/>
      <c r="Q191" s="3234"/>
      <c r="R191" s="3234"/>
      <c r="S191" s="3236"/>
      <c r="T191" s="933"/>
      <c r="U191" s="621"/>
      <c r="V191" s="630"/>
      <c r="W191" s="620"/>
      <c r="X191" s="630"/>
      <c r="Y191" s="1755" t="str">
        <f t="shared" si="43"/>
        <v/>
      </c>
      <c r="BD191" s="2718"/>
      <c r="BE191" s="2718"/>
      <c r="BF191" s="2718"/>
      <c r="BG191" s="2718"/>
      <c r="BH191" s="2718"/>
      <c r="BI191" s="2718"/>
      <c r="BJ191" s="2718"/>
      <c r="BK191" s="2718"/>
      <c r="BL191" s="2718"/>
      <c r="BM191" s="2718"/>
      <c r="BN191" s="2718"/>
      <c r="BO191" s="2718"/>
      <c r="BP191" s="2718"/>
      <c r="BQ191" s="2718"/>
      <c r="BR191" s="2718"/>
      <c r="BS191" s="2718"/>
      <c r="BT191" s="2718"/>
      <c r="BU191" s="2718"/>
      <c r="BV191" s="2718"/>
      <c r="BW191" s="2718"/>
      <c r="BX191" s="2718"/>
      <c r="BY191" s="2718"/>
      <c r="BZ191" s="2718"/>
      <c r="CA191" s="3009"/>
      <c r="CB191" s="4933" t="str">
        <f t="shared" si="44"/>
        <v/>
      </c>
      <c r="CC191" s="2718"/>
      <c r="CD191" s="2718"/>
      <c r="CE191" s="2718"/>
      <c r="CF191" s="2718"/>
      <c r="CG191" s="1791">
        <f>IF(T191+U191+V191+W191+X191&lt;&gt;$B191,1,0)</f>
        <v>0</v>
      </c>
      <c r="CH191" s="1793"/>
      <c r="CI191" s="1793"/>
      <c r="CJ191" s="1793"/>
      <c r="CK191" s="1793"/>
      <c r="DI191"/>
    </row>
    <row r="192" spans="1:129" x14ac:dyDescent="0.25">
      <c r="A192" s="596" t="s">
        <v>76</v>
      </c>
      <c r="B192" s="5455">
        <f t="shared" si="42"/>
        <v>0</v>
      </c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101"/>
      <c r="T192" s="5622"/>
      <c r="U192" s="5619"/>
      <c r="V192" s="4948"/>
      <c r="W192" s="5616"/>
      <c r="X192" s="4948"/>
      <c r="Y192" s="1755" t="str">
        <f t="shared" si="43"/>
        <v/>
      </c>
      <c r="BD192" s="2718"/>
      <c r="BE192" s="2718"/>
      <c r="BF192" s="2718"/>
      <c r="BG192" s="2718"/>
      <c r="BH192" s="2718"/>
      <c r="BI192" s="2718"/>
      <c r="BJ192" s="2718"/>
      <c r="BK192" s="2718"/>
      <c r="BL192" s="2718"/>
      <c r="BM192" s="2718"/>
      <c r="BN192" s="2718"/>
      <c r="BO192" s="2718"/>
      <c r="BP192" s="2718"/>
      <c r="BQ192" s="2718"/>
      <c r="BR192" s="2718"/>
      <c r="BS192" s="2718"/>
      <c r="BT192" s="2718"/>
      <c r="BU192" s="2718"/>
      <c r="BV192" s="2718"/>
      <c r="BW192" s="2718"/>
      <c r="BX192" s="2718"/>
      <c r="BY192" s="2718"/>
      <c r="BZ192" s="2718"/>
      <c r="CA192" s="3009"/>
      <c r="CB192" s="4933" t="str">
        <f t="shared" si="44"/>
        <v/>
      </c>
      <c r="CC192" s="2718"/>
      <c r="CD192" s="2718"/>
      <c r="CE192" s="2718"/>
      <c r="CF192" s="2718"/>
      <c r="CG192" s="1791">
        <f t="shared" si="45"/>
        <v>0</v>
      </c>
      <c r="CH192" s="1793"/>
      <c r="CI192" s="1793"/>
      <c r="CJ192" s="1793"/>
      <c r="CK192" s="1793"/>
      <c r="DI192"/>
    </row>
    <row r="193" spans="1:113" x14ac:dyDescent="0.25">
      <c r="A193" s="5462" t="s">
        <v>24</v>
      </c>
      <c r="B193" s="5461">
        <f t="shared" ref="B193:X193" si="46">SUM(B186:B192)</f>
        <v>0</v>
      </c>
      <c r="C193" s="5461">
        <f t="shared" si="46"/>
        <v>0</v>
      </c>
      <c r="D193" s="5461">
        <f t="shared" si="46"/>
        <v>0</v>
      </c>
      <c r="E193" s="5461">
        <f t="shared" si="46"/>
        <v>0</v>
      </c>
      <c r="F193" s="5461">
        <f t="shared" si="46"/>
        <v>0</v>
      </c>
      <c r="G193" s="5461">
        <f t="shared" si="46"/>
        <v>0</v>
      </c>
      <c r="H193" s="5461">
        <f t="shared" si="46"/>
        <v>0</v>
      </c>
      <c r="I193" s="5461">
        <f t="shared" si="46"/>
        <v>0</v>
      </c>
      <c r="J193" s="5461">
        <f t="shared" si="46"/>
        <v>0</v>
      </c>
      <c r="K193" s="5461">
        <f t="shared" si="46"/>
        <v>0</v>
      </c>
      <c r="L193" s="5461">
        <f t="shared" si="46"/>
        <v>0</v>
      </c>
      <c r="M193" s="5461">
        <f t="shared" si="46"/>
        <v>0</v>
      </c>
      <c r="N193" s="5461">
        <f t="shared" si="46"/>
        <v>0</v>
      </c>
      <c r="O193" s="5461">
        <f t="shared" si="46"/>
        <v>0</v>
      </c>
      <c r="P193" s="5461">
        <f t="shared" si="46"/>
        <v>0</v>
      </c>
      <c r="Q193" s="5461">
        <f t="shared" si="46"/>
        <v>0</v>
      </c>
      <c r="R193" s="5461">
        <f t="shared" si="46"/>
        <v>0</v>
      </c>
      <c r="S193" s="5460">
        <f t="shared" si="46"/>
        <v>0</v>
      </c>
      <c r="T193" s="6184">
        <f t="shared" si="46"/>
        <v>0</v>
      </c>
      <c r="U193" s="6185">
        <f t="shared" si="46"/>
        <v>0</v>
      </c>
      <c r="V193" s="5247">
        <f t="shared" si="46"/>
        <v>0</v>
      </c>
      <c r="W193" s="6097">
        <f t="shared" si="46"/>
        <v>0</v>
      </c>
      <c r="X193" s="5247">
        <f t="shared" si="46"/>
        <v>0</v>
      </c>
      <c r="DI193"/>
    </row>
    <row r="194" spans="1:113" ht="18" customHeight="1" x14ac:dyDescent="0.25">
      <c r="A194" s="122" t="s">
        <v>3315</v>
      </c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DI194"/>
    </row>
    <row r="195" spans="1:113" x14ac:dyDescent="0.25">
      <c r="A195" s="8364" t="s">
        <v>61</v>
      </c>
      <c r="B195" s="8365" t="s">
        <v>24</v>
      </c>
      <c r="C195" s="8368" t="s">
        <v>12</v>
      </c>
      <c r="D195" s="8369"/>
      <c r="E195" s="8369"/>
      <c r="F195" s="8369"/>
      <c r="G195" s="8369"/>
      <c r="H195" s="8369"/>
      <c r="I195" s="8369"/>
      <c r="J195" s="8369"/>
      <c r="K195" s="8369"/>
      <c r="L195" s="8369"/>
      <c r="M195" s="8369"/>
      <c r="N195" s="8369"/>
      <c r="O195" s="8369"/>
      <c r="P195" s="8369"/>
      <c r="Q195" s="8369"/>
      <c r="R195" s="8369"/>
      <c r="S195" s="8370"/>
      <c r="T195" s="7694" t="s">
        <v>3282</v>
      </c>
      <c r="U195" s="7694"/>
      <c r="V195" s="7694"/>
      <c r="W195" s="7694"/>
      <c r="X195" s="8359"/>
      <c r="DI195"/>
    </row>
    <row r="196" spans="1:113" x14ac:dyDescent="0.25">
      <c r="A196" s="7166"/>
      <c r="B196" s="8366"/>
      <c r="C196" s="8371"/>
      <c r="D196" s="8372"/>
      <c r="E196" s="8372"/>
      <c r="F196" s="8372"/>
      <c r="G196" s="8372"/>
      <c r="H196" s="8372"/>
      <c r="I196" s="8372"/>
      <c r="J196" s="8372"/>
      <c r="K196" s="8372"/>
      <c r="L196" s="8372"/>
      <c r="M196" s="8372"/>
      <c r="N196" s="8372"/>
      <c r="O196" s="8372"/>
      <c r="P196" s="8372"/>
      <c r="Q196" s="8372"/>
      <c r="R196" s="8372"/>
      <c r="S196" s="8373"/>
      <c r="T196" s="8360" t="s">
        <v>3283</v>
      </c>
      <c r="U196" s="8360"/>
      <c r="V196" s="8361"/>
      <c r="W196" s="8362" t="s">
        <v>3309</v>
      </c>
      <c r="X196" s="8363"/>
      <c r="DI196"/>
    </row>
    <row r="197" spans="1:113" ht="21" x14ac:dyDescent="0.25">
      <c r="A197" s="7167"/>
      <c r="B197" s="8367"/>
      <c r="C197" s="5445" t="s">
        <v>36</v>
      </c>
      <c r="D197" s="5445" t="s">
        <v>37</v>
      </c>
      <c r="E197" s="5445" t="s">
        <v>38</v>
      </c>
      <c r="F197" s="5445" t="s">
        <v>4</v>
      </c>
      <c r="G197" s="5445" t="s">
        <v>5</v>
      </c>
      <c r="H197" s="5445" t="s">
        <v>560</v>
      </c>
      <c r="I197" s="5445" t="s">
        <v>561</v>
      </c>
      <c r="J197" s="5445" t="s">
        <v>8</v>
      </c>
      <c r="K197" s="5445" t="s">
        <v>9</v>
      </c>
      <c r="L197" s="5445" t="s">
        <v>576</v>
      </c>
      <c r="M197" s="5445" t="s">
        <v>11</v>
      </c>
      <c r="N197" s="5445" t="s">
        <v>18</v>
      </c>
      <c r="O197" s="5445" t="s">
        <v>19</v>
      </c>
      <c r="P197" s="5445" t="s">
        <v>20</v>
      </c>
      <c r="Q197" s="5445" t="s">
        <v>70</v>
      </c>
      <c r="R197" s="5445" t="s">
        <v>71</v>
      </c>
      <c r="S197" s="5459" t="s">
        <v>72</v>
      </c>
      <c r="T197" s="5457" t="s">
        <v>3310</v>
      </c>
      <c r="U197" s="5457" t="s">
        <v>3311</v>
      </c>
      <c r="V197" s="5457" t="s">
        <v>3312</v>
      </c>
      <c r="W197" s="5458" t="s">
        <v>3285</v>
      </c>
      <c r="X197" s="5457" t="s">
        <v>3286</v>
      </c>
      <c r="Y197" s="102"/>
      <c r="DI197"/>
    </row>
    <row r="198" spans="1:113" x14ac:dyDescent="0.25">
      <c r="A198" s="4003" t="s">
        <v>277</v>
      </c>
      <c r="B198" s="1751">
        <f t="shared" ref="B198:B203" si="47">SUM(C198:S198)</f>
        <v>0</v>
      </c>
      <c r="C198" s="3234"/>
      <c r="D198" s="3234"/>
      <c r="E198" s="3234"/>
      <c r="F198" s="3234"/>
      <c r="G198" s="3234"/>
      <c r="H198" s="3234"/>
      <c r="I198" s="3234"/>
      <c r="J198" s="3234"/>
      <c r="K198" s="3234"/>
      <c r="L198" s="3234"/>
      <c r="M198" s="3234"/>
      <c r="N198" s="3234"/>
      <c r="O198" s="3234"/>
      <c r="P198" s="3234"/>
      <c r="Q198" s="3234"/>
      <c r="R198" s="3234"/>
      <c r="S198" s="3236"/>
      <c r="T198" s="5422"/>
      <c r="U198" s="5464"/>
      <c r="V198" s="5464"/>
      <c r="W198" s="5464"/>
      <c r="X198" s="5464"/>
      <c r="Y198" s="1755" t="str">
        <f t="shared" ref="Y198:Y203" si="48">$CA198&amp;CB198</f>
        <v/>
      </c>
      <c r="BD198" s="2718"/>
      <c r="BE198" s="2718"/>
      <c r="BF198" s="2718"/>
      <c r="BG198" s="2718"/>
      <c r="BH198" s="2718"/>
      <c r="BI198" s="2718"/>
      <c r="BJ198" s="2718"/>
      <c r="BK198" s="2718"/>
      <c r="BL198" s="2718"/>
      <c r="BM198" s="2718"/>
      <c r="BN198" s="2718"/>
      <c r="BO198" s="2718"/>
      <c r="BP198" s="2718"/>
      <c r="BQ198" s="2718"/>
      <c r="BR198" s="2718"/>
      <c r="BS198" s="2718"/>
      <c r="BT198" s="2718"/>
      <c r="BU198" s="2718"/>
      <c r="BV198" s="2718"/>
      <c r="BW198" s="2718"/>
      <c r="BX198" s="2718"/>
      <c r="BY198" s="2718"/>
      <c r="BZ198" s="2718"/>
      <c r="CA198" s="3009"/>
      <c r="CB198" s="4933" t="str">
        <f t="shared" ref="CB198:CB203" si="49">IF(T198+U198+V198+W198+X198&lt;&gt;$B198,"* El número de "&amp;T$183&amp;""&amp;" no debe ser distinto del Total. ","")</f>
        <v/>
      </c>
      <c r="CC198" s="2718"/>
      <c r="CD198" s="2718"/>
      <c r="CE198" s="2718"/>
      <c r="CF198" s="2718"/>
      <c r="CG198" s="1791">
        <f t="shared" ref="CG198:CG203" si="50">IF(T198+U198+V198+W198+X198&lt;&gt;$B198,1,0)</f>
        <v>0</v>
      </c>
      <c r="CH198" s="1793"/>
      <c r="CI198" s="1793"/>
      <c r="CJ198" s="1793"/>
      <c r="CK198" s="1793"/>
      <c r="DI198"/>
    </row>
    <row r="199" spans="1:113" x14ac:dyDescent="0.25">
      <c r="A199" s="3996" t="s">
        <v>2835</v>
      </c>
      <c r="B199" s="3962">
        <f t="shared" si="47"/>
        <v>0</v>
      </c>
      <c r="C199" s="3234"/>
      <c r="D199" s="3234"/>
      <c r="E199" s="3234"/>
      <c r="F199" s="3234"/>
      <c r="G199" s="3234"/>
      <c r="H199" s="3234"/>
      <c r="I199" s="3234"/>
      <c r="J199" s="3234"/>
      <c r="K199" s="3234"/>
      <c r="L199" s="3234"/>
      <c r="M199" s="3234"/>
      <c r="N199" s="3234"/>
      <c r="O199" s="3234"/>
      <c r="P199" s="3234"/>
      <c r="Q199" s="3234"/>
      <c r="R199" s="3234"/>
      <c r="S199" s="3236"/>
      <c r="T199" s="3166"/>
      <c r="U199" s="3234"/>
      <c r="V199" s="3234"/>
      <c r="W199" s="3234"/>
      <c r="X199" s="3234"/>
      <c r="Y199" s="1755" t="str">
        <f t="shared" si="48"/>
        <v/>
      </c>
      <c r="BD199" s="2718"/>
      <c r="BE199" s="2718"/>
      <c r="BF199" s="2718"/>
      <c r="BG199" s="2718"/>
      <c r="BH199" s="2718"/>
      <c r="BI199" s="2718"/>
      <c r="BJ199" s="2718"/>
      <c r="BK199" s="2718"/>
      <c r="BL199" s="2718"/>
      <c r="BM199" s="2718"/>
      <c r="BN199" s="2718"/>
      <c r="BO199" s="2718"/>
      <c r="BP199" s="2718"/>
      <c r="BQ199" s="2718"/>
      <c r="BR199" s="2718"/>
      <c r="BS199" s="2718"/>
      <c r="BT199" s="2718"/>
      <c r="BU199" s="2718"/>
      <c r="BV199" s="2718"/>
      <c r="BW199" s="2718"/>
      <c r="BX199" s="2718"/>
      <c r="BY199" s="2718"/>
      <c r="BZ199" s="2718"/>
      <c r="CA199" s="3009"/>
      <c r="CB199" s="4933" t="str">
        <f t="shared" si="49"/>
        <v/>
      </c>
      <c r="CC199" s="2718"/>
      <c r="CD199" s="2718"/>
      <c r="CE199" s="2718"/>
      <c r="CF199" s="2718"/>
      <c r="CG199" s="1791">
        <f t="shared" si="50"/>
        <v>0</v>
      </c>
      <c r="CH199" s="1793"/>
      <c r="CI199" s="1793"/>
      <c r="CJ199" s="1793"/>
      <c r="CK199" s="1793"/>
      <c r="DI199"/>
    </row>
    <row r="200" spans="1:113" x14ac:dyDescent="0.25">
      <c r="A200" s="3996" t="s">
        <v>3313</v>
      </c>
      <c r="B200" s="3962">
        <f t="shared" si="47"/>
        <v>0</v>
      </c>
      <c r="C200" s="3234"/>
      <c r="D200" s="3234"/>
      <c r="E200" s="3234"/>
      <c r="F200" s="3234"/>
      <c r="G200" s="3234"/>
      <c r="H200" s="3234"/>
      <c r="I200" s="3234"/>
      <c r="J200" s="3234"/>
      <c r="K200" s="3234"/>
      <c r="L200" s="3234"/>
      <c r="M200" s="3234"/>
      <c r="N200" s="3234"/>
      <c r="O200" s="3234"/>
      <c r="P200" s="3234"/>
      <c r="Q200" s="3234"/>
      <c r="R200" s="3234"/>
      <c r="S200" s="3236"/>
      <c r="T200" s="3166"/>
      <c r="U200" s="3234"/>
      <c r="V200" s="3234"/>
      <c r="W200" s="3234"/>
      <c r="X200" s="3234"/>
      <c r="Y200" s="1755" t="str">
        <f t="shared" si="48"/>
        <v/>
      </c>
      <c r="BD200" s="2718"/>
      <c r="BE200" s="2718"/>
      <c r="BF200" s="2718"/>
      <c r="BG200" s="2718"/>
      <c r="BH200" s="2718"/>
      <c r="BI200" s="2718"/>
      <c r="BJ200" s="2718"/>
      <c r="BK200" s="2718"/>
      <c r="BL200" s="2718"/>
      <c r="BM200" s="2718"/>
      <c r="BN200" s="2718"/>
      <c r="BO200" s="2718"/>
      <c r="BP200" s="2718"/>
      <c r="BQ200" s="2718"/>
      <c r="BR200" s="2718"/>
      <c r="BS200" s="2718"/>
      <c r="BT200" s="2718"/>
      <c r="BU200" s="2718"/>
      <c r="BV200" s="2718"/>
      <c r="BW200" s="2718"/>
      <c r="BX200" s="2718"/>
      <c r="BY200" s="2718"/>
      <c r="BZ200" s="2718"/>
      <c r="CA200" s="3009"/>
      <c r="CB200" s="4933" t="str">
        <f t="shared" si="49"/>
        <v/>
      </c>
      <c r="CC200" s="2718"/>
      <c r="CD200" s="2718"/>
      <c r="CE200" s="2718"/>
      <c r="CF200" s="2718"/>
      <c r="CG200" s="1791">
        <f t="shared" si="50"/>
        <v>0</v>
      </c>
      <c r="CH200" s="1793"/>
      <c r="CI200" s="1793"/>
      <c r="CJ200" s="1793"/>
      <c r="CK200" s="1793"/>
      <c r="DI200"/>
    </row>
    <row r="201" spans="1:113" x14ac:dyDescent="0.25">
      <c r="A201" s="3273" t="s">
        <v>75</v>
      </c>
      <c r="B201" s="3962">
        <f t="shared" si="47"/>
        <v>0</v>
      </c>
      <c r="C201" s="3234"/>
      <c r="D201" s="3234"/>
      <c r="E201" s="3234"/>
      <c r="F201" s="3234"/>
      <c r="G201" s="3234"/>
      <c r="H201" s="3234"/>
      <c r="I201" s="3234"/>
      <c r="J201" s="3234"/>
      <c r="K201" s="3234"/>
      <c r="L201" s="3234"/>
      <c r="M201" s="3234"/>
      <c r="N201" s="3234"/>
      <c r="O201" s="3234"/>
      <c r="P201" s="3234"/>
      <c r="Q201" s="3234"/>
      <c r="R201" s="3234"/>
      <c r="S201" s="3236"/>
      <c r="T201" s="3166"/>
      <c r="U201" s="3234"/>
      <c r="V201" s="3234"/>
      <c r="W201" s="3234"/>
      <c r="X201" s="3234"/>
      <c r="Y201" s="1755" t="str">
        <f t="shared" si="48"/>
        <v/>
      </c>
      <c r="BD201" s="2718"/>
      <c r="BE201" s="2718"/>
      <c r="BF201" s="2718"/>
      <c r="BG201" s="2718"/>
      <c r="BH201" s="2718"/>
      <c r="BI201" s="2718"/>
      <c r="BJ201" s="2718"/>
      <c r="BK201" s="2718"/>
      <c r="BL201" s="2718"/>
      <c r="BM201" s="2718"/>
      <c r="BN201" s="2718"/>
      <c r="BO201" s="2718"/>
      <c r="BP201" s="2718"/>
      <c r="BQ201" s="2718"/>
      <c r="BR201" s="2718"/>
      <c r="BS201" s="2718"/>
      <c r="BT201" s="2718"/>
      <c r="BU201" s="2718"/>
      <c r="BV201" s="2718"/>
      <c r="BW201" s="2718"/>
      <c r="BX201" s="2718"/>
      <c r="BY201" s="2718"/>
      <c r="BZ201" s="2718"/>
      <c r="CA201" s="3009"/>
      <c r="CB201" s="4933" t="str">
        <f t="shared" si="49"/>
        <v/>
      </c>
      <c r="CC201" s="2718"/>
      <c r="CD201" s="2718"/>
      <c r="CE201" s="2718"/>
      <c r="CF201" s="2718"/>
      <c r="CG201" s="1791">
        <f t="shared" si="50"/>
        <v>0</v>
      </c>
      <c r="CH201" s="1793"/>
      <c r="CI201" s="1793"/>
      <c r="CJ201" s="1793"/>
      <c r="CK201" s="1793"/>
      <c r="DI201"/>
    </row>
    <row r="202" spans="1:113" x14ac:dyDescent="0.25">
      <c r="A202" s="773" t="s">
        <v>3314</v>
      </c>
      <c r="B202" s="3962">
        <f t="shared" si="47"/>
        <v>0</v>
      </c>
      <c r="C202" s="3234"/>
      <c r="D202" s="3234"/>
      <c r="E202" s="3234"/>
      <c r="F202" s="3234"/>
      <c r="G202" s="3234"/>
      <c r="H202" s="3234"/>
      <c r="I202" s="3234"/>
      <c r="J202" s="3234"/>
      <c r="K202" s="3234"/>
      <c r="L202" s="3234"/>
      <c r="M202" s="3234"/>
      <c r="N202" s="3234"/>
      <c r="O202" s="3234"/>
      <c r="P202" s="3234"/>
      <c r="Q202" s="3234"/>
      <c r="R202" s="3234"/>
      <c r="S202" s="3236"/>
      <c r="T202" s="3166"/>
      <c r="U202" s="3234"/>
      <c r="V202" s="3234"/>
      <c r="W202" s="3234"/>
      <c r="X202" s="3234"/>
      <c r="Y202" s="1755" t="str">
        <f t="shared" si="48"/>
        <v/>
      </c>
      <c r="BD202" s="2718"/>
      <c r="BE202" s="2718"/>
      <c r="BF202" s="2718"/>
      <c r="BG202" s="2718"/>
      <c r="BH202" s="2718"/>
      <c r="BI202" s="2718"/>
      <c r="BJ202" s="2718"/>
      <c r="BK202" s="2718"/>
      <c r="BL202" s="2718"/>
      <c r="BM202" s="2718"/>
      <c r="BN202" s="2718"/>
      <c r="BO202" s="2718"/>
      <c r="BP202" s="2718"/>
      <c r="BQ202" s="2718"/>
      <c r="BR202" s="2718"/>
      <c r="BS202" s="2718"/>
      <c r="BT202" s="2718"/>
      <c r="BU202" s="2718"/>
      <c r="BV202" s="2718"/>
      <c r="BW202" s="2718"/>
      <c r="BX202" s="2718"/>
      <c r="BY202" s="2718"/>
      <c r="BZ202" s="2718"/>
      <c r="CA202" s="3009"/>
      <c r="CB202" s="4933" t="str">
        <f t="shared" si="49"/>
        <v/>
      </c>
      <c r="CC202" s="2718"/>
      <c r="CD202" s="2718"/>
      <c r="CE202" s="2718"/>
      <c r="CF202" s="2718"/>
      <c r="CG202" s="1791">
        <f t="shared" si="50"/>
        <v>0</v>
      </c>
      <c r="CH202" s="1793"/>
      <c r="CI202" s="1793"/>
      <c r="CJ202" s="1793"/>
      <c r="CK202" s="1793"/>
      <c r="DI202"/>
    </row>
    <row r="203" spans="1:113" x14ac:dyDescent="0.25">
      <c r="A203" s="3273" t="s">
        <v>62</v>
      </c>
      <c r="B203" s="4025">
        <f t="shared" si="47"/>
        <v>0</v>
      </c>
      <c r="C203" s="3234"/>
      <c r="D203" s="3234"/>
      <c r="E203" s="3234"/>
      <c r="F203" s="3234"/>
      <c r="G203" s="3234"/>
      <c r="H203" s="3234"/>
      <c r="I203" s="3234"/>
      <c r="J203" s="3234"/>
      <c r="K203" s="3234"/>
      <c r="L203" s="3234"/>
      <c r="M203" s="3234"/>
      <c r="N203" s="3234"/>
      <c r="O203" s="3234"/>
      <c r="P203" s="3234"/>
      <c r="Q203" s="3234"/>
      <c r="R203" s="3234"/>
      <c r="S203" s="3236"/>
      <c r="T203" s="5282"/>
      <c r="U203" s="5463"/>
      <c r="V203" s="5463"/>
      <c r="W203" s="5463"/>
      <c r="X203" s="5463"/>
      <c r="Y203" s="1755" t="str">
        <f t="shared" si="48"/>
        <v/>
      </c>
      <c r="BD203" s="2718"/>
      <c r="BE203" s="2718"/>
      <c r="BF203" s="2718"/>
      <c r="BG203" s="2718"/>
      <c r="BH203" s="2718"/>
      <c r="BI203" s="2718"/>
      <c r="BJ203" s="2718"/>
      <c r="BK203" s="2718"/>
      <c r="BL203" s="2718"/>
      <c r="BM203" s="2718"/>
      <c r="BN203" s="2718"/>
      <c r="BO203" s="2718"/>
      <c r="BP203" s="2718"/>
      <c r="BQ203" s="2718"/>
      <c r="BR203" s="2718"/>
      <c r="BS203" s="2718"/>
      <c r="BT203" s="2718"/>
      <c r="BU203" s="2718"/>
      <c r="BV203" s="2718"/>
      <c r="BW203" s="2718"/>
      <c r="BX203" s="2718"/>
      <c r="BY203" s="2718"/>
      <c r="BZ203" s="2718"/>
      <c r="CA203" s="3009"/>
      <c r="CB203" s="4933" t="str">
        <f t="shared" si="49"/>
        <v/>
      </c>
      <c r="CC203" s="2718"/>
      <c r="CD203" s="2718"/>
      <c r="CE203" s="2718"/>
      <c r="CF203" s="2718"/>
      <c r="CG203" s="1791">
        <f t="shared" si="50"/>
        <v>0</v>
      </c>
      <c r="CH203" s="1793"/>
      <c r="CI203" s="1793"/>
      <c r="CJ203" s="1793"/>
      <c r="CK203" s="1793"/>
      <c r="DI203"/>
    </row>
    <row r="204" spans="1:113" x14ac:dyDescent="0.25">
      <c r="A204" s="5462" t="s">
        <v>24</v>
      </c>
      <c r="B204" s="5461">
        <f t="shared" ref="B204:X204" si="51">SUM(B198:B203)</f>
        <v>0</v>
      </c>
      <c r="C204" s="5461">
        <f t="shared" si="51"/>
        <v>0</v>
      </c>
      <c r="D204" s="5461">
        <f t="shared" si="51"/>
        <v>0</v>
      </c>
      <c r="E204" s="5461">
        <f t="shared" si="51"/>
        <v>0</v>
      </c>
      <c r="F204" s="5461">
        <f t="shared" si="51"/>
        <v>0</v>
      </c>
      <c r="G204" s="5461">
        <f t="shared" si="51"/>
        <v>0</v>
      </c>
      <c r="H204" s="5461">
        <f t="shared" si="51"/>
        <v>0</v>
      </c>
      <c r="I204" s="5461">
        <f t="shared" si="51"/>
        <v>0</v>
      </c>
      <c r="J204" s="5461">
        <f t="shared" si="51"/>
        <v>0</v>
      </c>
      <c r="K204" s="5461">
        <f t="shared" si="51"/>
        <v>0</v>
      </c>
      <c r="L204" s="5461">
        <f t="shared" si="51"/>
        <v>0</v>
      </c>
      <c r="M204" s="5461">
        <f t="shared" si="51"/>
        <v>0</v>
      </c>
      <c r="N204" s="5461">
        <f t="shared" si="51"/>
        <v>0</v>
      </c>
      <c r="O204" s="5461">
        <f t="shared" si="51"/>
        <v>0</v>
      </c>
      <c r="P204" s="5461">
        <f t="shared" si="51"/>
        <v>0</v>
      </c>
      <c r="Q204" s="5461">
        <f t="shared" si="51"/>
        <v>0</v>
      </c>
      <c r="R204" s="5461">
        <f t="shared" si="51"/>
        <v>0</v>
      </c>
      <c r="S204" s="5460">
        <f t="shared" si="51"/>
        <v>0</v>
      </c>
      <c r="T204" s="777">
        <f t="shared" si="51"/>
        <v>0</v>
      </c>
      <c r="U204" s="150">
        <f t="shared" si="51"/>
        <v>0</v>
      </c>
      <c r="V204" s="150">
        <f t="shared" si="51"/>
        <v>0</v>
      </c>
      <c r="W204" s="150">
        <f t="shared" si="51"/>
        <v>0</v>
      </c>
      <c r="X204" s="150">
        <f t="shared" si="51"/>
        <v>0</v>
      </c>
      <c r="DI204"/>
    </row>
    <row r="205" spans="1:113" ht="18" customHeight="1" x14ac:dyDescent="0.25">
      <c r="A205" s="122" t="s">
        <v>3316</v>
      </c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DI205"/>
    </row>
    <row r="206" spans="1:113" x14ac:dyDescent="0.25">
      <c r="A206" s="8364" t="s">
        <v>61</v>
      </c>
      <c r="B206" s="8365" t="s">
        <v>24</v>
      </c>
      <c r="C206" s="8368" t="s">
        <v>12</v>
      </c>
      <c r="D206" s="8369"/>
      <c r="E206" s="8369"/>
      <c r="F206" s="8369"/>
      <c r="G206" s="8369"/>
      <c r="H206" s="8369"/>
      <c r="I206" s="8369"/>
      <c r="J206" s="8369"/>
      <c r="K206" s="8369"/>
      <c r="L206" s="8369"/>
      <c r="M206" s="8369"/>
      <c r="N206" s="8369"/>
      <c r="O206" s="8369"/>
      <c r="P206" s="8369"/>
      <c r="Q206" s="8369"/>
      <c r="R206" s="8369"/>
      <c r="S206" s="8370"/>
      <c r="T206" s="7694" t="s">
        <v>3282</v>
      </c>
      <c r="U206" s="7694"/>
      <c r="V206" s="7694"/>
      <c r="W206" s="7694"/>
      <c r="X206" s="8359"/>
      <c r="DI206"/>
    </row>
    <row r="207" spans="1:113" x14ac:dyDescent="0.25">
      <c r="A207" s="7166"/>
      <c r="B207" s="8366"/>
      <c r="C207" s="8371"/>
      <c r="D207" s="8372"/>
      <c r="E207" s="8372"/>
      <c r="F207" s="8372"/>
      <c r="G207" s="8372"/>
      <c r="H207" s="8372"/>
      <c r="I207" s="8372"/>
      <c r="J207" s="8372"/>
      <c r="K207" s="8372"/>
      <c r="L207" s="8372"/>
      <c r="M207" s="8372"/>
      <c r="N207" s="8372"/>
      <c r="O207" s="8372"/>
      <c r="P207" s="8372"/>
      <c r="Q207" s="8372"/>
      <c r="R207" s="8372"/>
      <c r="S207" s="8373"/>
      <c r="T207" s="8360" t="s">
        <v>3283</v>
      </c>
      <c r="U207" s="8360"/>
      <c r="V207" s="8361"/>
      <c r="W207" s="8362" t="s">
        <v>3309</v>
      </c>
      <c r="X207" s="8363"/>
      <c r="DI207"/>
    </row>
    <row r="208" spans="1:113" ht="21" x14ac:dyDescent="0.25">
      <c r="A208" s="7167"/>
      <c r="B208" s="8367"/>
      <c r="C208" s="5445" t="s">
        <v>36</v>
      </c>
      <c r="D208" s="5445" t="s">
        <v>37</v>
      </c>
      <c r="E208" s="5445" t="s">
        <v>38</v>
      </c>
      <c r="F208" s="5445" t="s">
        <v>4</v>
      </c>
      <c r="G208" s="5445" t="s">
        <v>5</v>
      </c>
      <c r="H208" s="5445" t="s">
        <v>560</v>
      </c>
      <c r="I208" s="5445" t="s">
        <v>561</v>
      </c>
      <c r="J208" s="5445" t="s">
        <v>8</v>
      </c>
      <c r="K208" s="5445" t="s">
        <v>9</v>
      </c>
      <c r="L208" s="5445" t="s">
        <v>576</v>
      </c>
      <c r="M208" s="5445" t="s">
        <v>11</v>
      </c>
      <c r="N208" s="5445" t="s">
        <v>18</v>
      </c>
      <c r="O208" s="5445" t="s">
        <v>19</v>
      </c>
      <c r="P208" s="5445" t="s">
        <v>20</v>
      </c>
      <c r="Q208" s="5445" t="s">
        <v>70</v>
      </c>
      <c r="R208" s="5445" t="s">
        <v>71</v>
      </c>
      <c r="S208" s="5459" t="s">
        <v>72</v>
      </c>
      <c r="T208" s="5457" t="s">
        <v>3310</v>
      </c>
      <c r="U208" s="5457" t="s">
        <v>3311</v>
      </c>
      <c r="V208" s="5457" t="s">
        <v>3312</v>
      </c>
      <c r="W208" s="5458" t="s">
        <v>3285</v>
      </c>
      <c r="X208" s="5457" t="s">
        <v>3286</v>
      </c>
      <c r="Y208" s="102"/>
      <c r="DI208"/>
    </row>
    <row r="209" spans="1:113" x14ac:dyDescent="0.25">
      <c r="A209" s="4003" t="s">
        <v>277</v>
      </c>
      <c r="B209" s="1751">
        <f>SUM(C209:S209)</f>
        <v>0</v>
      </c>
      <c r="C209" s="3234"/>
      <c r="D209" s="3234"/>
      <c r="E209" s="3234"/>
      <c r="F209" s="3234"/>
      <c r="G209" s="3234"/>
      <c r="H209" s="3234"/>
      <c r="I209" s="3234"/>
      <c r="J209" s="3234"/>
      <c r="K209" s="3234"/>
      <c r="L209" s="3234"/>
      <c r="M209" s="3234"/>
      <c r="N209" s="3234"/>
      <c r="O209" s="3234"/>
      <c r="P209" s="3234"/>
      <c r="Q209" s="3234"/>
      <c r="R209" s="3234"/>
      <c r="S209" s="3236"/>
      <c r="T209" s="4561"/>
      <c r="U209" s="148"/>
      <c r="V209" s="148"/>
      <c r="W209" s="148"/>
      <c r="X209" s="148"/>
      <c r="Y209" s="1755" t="str">
        <f>$CA209&amp;CB209</f>
        <v/>
      </c>
      <c r="BD209" s="2718"/>
      <c r="BE209" s="2718"/>
      <c r="BF209" s="2718"/>
      <c r="BG209" s="2718"/>
      <c r="BH209" s="2718"/>
      <c r="BI209" s="2718"/>
      <c r="BJ209" s="2718"/>
      <c r="BK209" s="2718"/>
      <c r="BL209" s="2718"/>
      <c r="BM209" s="2718"/>
      <c r="BN209" s="2718"/>
      <c r="BO209" s="2718"/>
      <c r="BP209" s="2718"/>
      <c r="BQ209" s="2718"/>
      <c r="BR209" s="2718"/>
      <c r="BS209" s="2718"/>
      <c r="BT209" s="2718"/>
      <c r="BU209" s="2718"/>
      <c r="BV209" s="2718"/>
      <c r="BW209" s="2718"/>
      <c r="BX209" s="2718"/>
      <c r="BY209" s="2718"/>
      <c r="BZ209" s="2718"/>
      <c r="CA209" s="3009"/>
      <c r="CB209" s="4933" t="str">
        <f t="shared" ref="CB209:CB212" si="52">IF(T209+U209+V209+W209+X209&lt;&gt;$B209,"* El número de "&amp;T$183&amp;""&amp;" no debe ser distinto del Total. ","")</f>
        <v/>
      </c>
      <c r="CC209" s="2718"/>
      <c r="CD209" s="2718"/>
      <c r="CE209" s="2718"/>
      <c r="CF209" s="2718"/>
      <c r="CG209" s="1791">
        <f t="shared" ref="CG209:CG212" si="53">IF(T209+U209+V209+W209+X209&lt;&gt;$B209,1,0)</f>
        <v>0</v>
      </c>
      <c r="CH209" s="1793"/>
      <c r="CI209" s="1793"/>
      <c r="CJ209" s="1793"/>
      <c r="CK209" s="1793"/>
      <c r="DI209"/>
    </row>
    <row r="210" spans="1:113" x14ac:dyDescent="0.25">
      <c r="A210" s="3996" t="s">
        <v>2835</v>
      </c>
      <c r="B210" s="3962">
        <f>SUM(C210:S210)</f>
        <v>0</v>
      </c>
      <c r="C210" s="3234"/>
      <c r="D210" s="3234"/>
      <c r="E210" s="3234"/>
      <c r="F210" s="3234"/>
      <c r="G210" s="3234"/>
      <c r="H210" s="3234"/>
      <c r="I210" s="3234"/>
      <c r="J210" s="3234"/>
      <c r="K210" s="3234"/>
      <c r="L210" s="3234"/>
      <c r="M210" s="3234"/>
      <c r="N210" s="3234"/>
      <c r="O210" s="3234"/>
      <c r="P210" s="3234"/>
      <c r="Q210" s="3234"/>
      <c r="R210" s="3234"/>
      <c r="S210" s="3236"/>
      <c r="T210" s="3166"/>
      <c r="U210" s="3234"/>
      <c r="V210" s="3234"/>
      <c r="W210" s="3234"/>
      <c r="X210" s="3234"/>
      <c r="Y210" s="1755" t="str">
        <f>$CA210&amp;CB210</f>
        <v/>
      </c>
      <c r="BD210" s="2718"/>
      <c r="BE210" s="2718"/>
      <c r="BF210" s="2718"/>
      <c r="BG210" s="2718"/>
      <c r="BH210" s="2718"/>
      <c r="BI210" s="2718"/>
      <c r="BJ210" s="2718"/>
      <c r="BK210" s="2718"/>
      <c r="BL210" s="2718"/>
      <c r="BM210" s="2718"/>
      <c r="BN210" s="2718"/>
      <c r="BO210" s="2718"/>
      <c r="BP210" s="2718"/>
      <c r="BQ210" s="2718"/>
      <c r="BR210" s="2718"/>
      <c r="BS210" s="2718"/>
      <c r="BT210" s="2718"/>
      <c r="BU210" s="2718"/>
      <c r="BV210" s="2718"/>
      <c r="BW210" s="2718"/>
      <c r="BX210" s="2718"/>
      <c r="BY210" s="2718"/>
      <c r="BZ210" s="2718"/>
      <c r="CA210" s="3009"/>
      <c r="CB210" s="4933" t="str">
        <f t="shared" si="52"/>
        <v/>
      </c>
      <c r="CC210" s="2718"/>
      <c r="CD210" s="2718"/>
      <c r="CE210" s="2718"/>
      <c r="CF210" s="2718"/>
      <c r="CG210" s="1791">
        <f t="shared" si="53"/>
        <v>0</v>
      </c>
      <c r="CH210" s="1793"/>
      <c r="CI210" s="1793"/>
      <c r="CJ210" s="1793"/>
      <c r="CK210" s="1793"/>
      <c r="DI210"/>
    </row>
    <row r="211" spans="1:113" x14ac:dyDescent="0.25">
      <c r="A211" s="3996" t="s">
        <v>3313</v>
      </c>
      <c r="B211" s="3962">
        <f>SUM(C211:S211)</f>
        <v>0</v>
      </c>
      <c r="C211" s="3234"/>
      <c r="D211" s="3234"/>
      <c r="E211" s="3234"/>
      <c r="F211" s="3234"/>
      <c r="G211" s="3234"/>
      <c r="H211" s="3234"/>
      <c r="I211" s="3234"/>
      <c r="J211" s="3234"/>
      <c r="K211" s="3234"/>
      <c r="L211" s="3234"/>
      <c r="M211" s="3234"/>
      <c r="N211" s="3234"/>
      <c r="O211" s="3234"/>
      <c r="P211" s="3234"/>
      <c r="Q211" s="3234"/>
      <c r="R211" s="3234"/>
      <c r="S211" s="3236"/>
      <c r="T211" s="3166"/>
      <c r="U211" s="3234"/>
      <c r="V211" s="3234"/>
      <c r="W211" s="3234"/>
      <c r="X211" s="3234"/>
      <c r="Y211" s="1755" t="str">
        <f>$CA211&amp;CB211</f>
        <v/>
      </c>
      <c r="BD211" s="2718"/>
      <c r="BE211" s="2718"/>
      <c r="BF211" s="2718"/>
      <c r="BG211" s="2718"/>
      <c r="BH211" s="2718"/>
      <c r="BI211" s="2718"/>
      <c r="BJ211" s="2718"/>
      <c r="BK211" s="2718"/>
      <c r="BL211" s="2718"/>
      <c r="BM211" s="2718"/>
      <c r="BN211" s="2718"/>
      <c r="BO211" s="2718"/>
      <c r="BP211" s="2718"/>
      <c r="BQ211" s="2718"/>
      <c r="BR211" s="2718"/>
      <c r="BS211" s="2718"/>
      <c r="BT211" s="2718"/>
      <c r="BU211" s="2718"/>
      <c r="BV211" s="2718"/>
      <c r="BW211" s="2718"/>
      <c r="BX211" s="2718"/>
      <c r="BY211" s="2718"/>
      <c r="BZ211" s="2718"/>
      <c r="CA211" s="3009"/>
      <c r="CB211" s="4933" t="str">
        <f t="shared" si="52"/>
        <v/>
      </c>
      <c r="CC211" s="2718"/>
      <c r="CD211" s="2718"/>
      <c r="CE211" s="2718"/>
      <c r="CF211" s="2718"/>
      <c r="CG211" s="1791">
        <f t="shared" si="53"/>
        <v>0</v>
      </c>
      <c r="CH211" s="1793"/>
      <c r="CI211" s="1793"/>
      <c r="CJ211" s="1793"/>
      <c r="CK211" s="1793"/>
      <c r="DI211"/>
    </row>
    <row r="212" spans="1:113" x14ac:dyDescent="0.25">
      <c r="A212" s="3273" t="s">
        <v>75</v>
      </c>
      <c r="B212" s="1752">
        <f>SUM(C212:S212)</f>
        <v>0</v>
      </c>
      <c r="C212" s="153"/>
      <c r="D212" s="153"/>
      <c r="E212" s="153"/>
      <c r="F212" s="153"/>
      <c r="G212" s="153"/>
      <c r="H212" s="153"/>
      <c r="I212" s="153"/>
      <c r="J212" s="153"/>
      <c r="K212" s="153"/>
      <c r="L212" s="153"/>
      <c r="M212" s="153"/>
      <c r="N212" s="153"/>
      <c r="O212" s="153"/>
      <c r="P212" s="153"/>
      <c r="Q212" s="153"/>
      <c r="R212" s="153"/>
      <c r="S212" s="1756"/>
      <c r="T212" s="117"/>
      <c r="U212" s="153"/>
      <c r="V212" s="153"/>
      <c r="W212" s="153"/>
      <c r="X212" s="153"/>
      <c r="Y212" s="1755" t="str">
        <f>$CA212&amp;CB212</f>
        <v/>
      </c>
      <c r="BD212" s="2718"/>
      <c r="BE212" s="2718"/>
      <c r="BF212" s="2718"/>
      <c r="BG212" s="2718"/>
      <c r="BH212" s="2718"/>
      <c r="BI212" s="2718"/>
      <c r="BJ212" s="2718"/>
      <c r="BK212" s="2718"/>
      <c r="BL212" s="2718"/>
      <c r="BM212" s="2718"/>
      <c r="BN212" s="2718"/>
      <c r="BO212" s="2718"/>
      <c r="BP212" s="2718"/>
      <c r="BQ212" s="2718"/>
      <c r="BR212" s="2718"/>
      <c r="BS212" s="2718"/>
      <c r="BT212" s="2718"/>
      <c r="BU212" s="2718"/>
      <c r="BV212" s="2718"/>
      <c r="BW212" s="2718"/>
      <c r="BX212" s="2718"/>
      <c r="BY212" s="2718"/>
      <c r="BZ212" s="2718"/>
      <c r="CA212" s="3009"/>
      <c r="CB212" s="4933" t="str">
        <f t="shared" si="52"/>
        <v/>
      </c>
      <c r="CC212" s="2718"/>
      <c r="CD212" s="2718"/>
      <c r="CE212" s="2718"/>
      <c r="CF212" s="2718"/>
      <c r="CG212" s="1791">
        <f t="shared" si="53"/>
        <v>0</v>
      </c>
      <c r="CH212" s="1793"/>
      <c r="CI212" s="1793"/>
      <c r="CJ212" s="1793"/>
      <c r="CK212" s="1793"/>
      <c r="DI212"/>
    </row>
    <row r="213" spans="1:113" x14ac:dyDescent="0.25">
      <c r="A213" s="5456" t="s">
        <v>24</v>
      </c>
      <c r="B213" s="5455">
        <f t="shared" ref="B213:X213" si="54">SUM(B209:B212)</f>
        <v>0</v>
      </c>
      <c r="C213" s="5455">
        <f t="shared" si="54"/>
        <v>0</v>
      </c>
      <c r="D213" s="5455">
        <f t="shared" si="54"/>
        <v>0</v>
      </c>
      <c r="E213" s="5455">
        <f t="shared" si="54"/>
        <v>0</v>
      </c>
      <c r="F213" s="5455">
        <f t="shared" si="54"/>
        <v>0</v>
      </c>
      <c r="G213" s="5455">
        <f t="shared" si="54"/>
        <v>0</v>
      </c>
      <c r="H213" s="5455">
        <f t="shared" si="54"/>
        <v>0</v>
      </c>
      <c r="I213" s="5455">
        <f t="shared" si="54"/>
        <v>0</v>
      </c>
      <c r="J213" s="5455">
        <f t="shared" si="54"/>
        <v>0</v>
      </c>
      <c r="K213" s="5455">
        <f t="shared" si="54"/>
        <v>0</v>
      </c>
      <c r="L213" s="5455">
        <f t="shared" si="54"/>
        <v>0</v>
      </c>
      <c r="M213" s="5455">
        <f t="shared" si="54"/>
        <v>0</v>
      </c>
      <c r="N213" s="5455">
        <f t="shared" si="54"/>
        <v>0</v>
      </c>
      <c r="O213" s="5455">
        <f t="shared" si="54"/>
        <v>0</v>
      </c>
      <c r="P213" s="5455">
        <f t="shared" si="54"/>
        <v>0</v>
      </c>
      <c r="Q213" s="5455">
        <f t="shared" si="54"/>
        <v>0</v>
      </c>
      <c r="R213" s="5455">
        <f t="shared" si="54"/>
        <v>0</v>
      </c>
      <c r="S213" s="5454">
        <f t="shared" si="54"/>
        <v>0</v>
      </c>
      <c r="T213" s="777">
        <f t="shared" si="54"/>
        <v>0</v>
      </c>
      <c r="U213" s="150">
        <f t="shared" si="54"/>
        <v>0</v>
      </c>
      <c r="V213" s="150">
        <f t="shared" si="54"/>
        <v>0</v>
      </c>
      <c r="W213" s="150">
        <f t="shared" si="54"/>
        <v>0</v>
      </c>
      <c r="X213" s="150">
        <f t="shared" si="54"/>
        <v>0</v>
      </c>
    </row>
    <row r="214" spans="1:113" ht="18" customHeight="1" x14ac:dyDescent="0.25">
      <c r="A214" s="123" t="s">
        <v>3317</v>
      </c>
      <c r="B214" s="101"/>
    </row>
    <row r="215" spans="1:113" x14ac:dyDescent="0.25">
      <c r="A215" s="5352" t="s">
        <v>3318</v>
      </c>
      <c r="B215" s="5453" t="s">
        <v>1</v>
      </c>
    </row>
    <row r="216" spans="1:113" x14ac:dyDescent="0.25">
      <c r="A216" s="1759" t="s">
        <v>3319</v>
      </c>
      <c r="B216" s="148"/>
    </row>
    <row r="217" spans="1:113" x14ac:dyDescent="0.25">
      <c r="A217" s="3243" t="s">
        <v>3320</v>
      </c>
      <c r="B217" s="3234"/>
    </row>
    <row r="218" spans="1:113" x14ac:dyDescent="0.25">
      <c r="A218" s="3243" t="s">
        <v>3321</v>
      </c>
      <c r="B218" s="3234"/>
    </row>
    <row r="219" spans="1:113" x14ac:dyDescent="0.25">
      <c r="A219" s="593" t="s">
        <v>3322</v>
      </c>
      <c r="B219" s="153"/>
    </row>
    <row r="220" spans="1:113" ht="18" customHeight="1" x14ac:dyDescent="0.25">
      <c r="A220" s="122" t="s">
        <v>3323</v>
      </c>
      <c r="B220" s="101"/>
    </row>
    <row r="221" spans="1:113" x14ac:dyDescent="0.25">
      <c r="A221" s="5374" t="s">
        <v>112</v>
      </c>
      <c r="B221" s="5453" t="s">
        <v>24</v>
      </c>
    </row>
    <row r="222" spans="1:113" x14ac:dyDescent="0.25">
      <c r="A222" s="3243" t="s">
        <v>3230</v>
      </c>
      <c r="B222" s="3234"/>
    </row>
    <row r="223" spans="1:113" x14ac:dyDescent="0.25">
      <c r="A223" s="3243" t="s">
        <v>2881</v>
      </c>
      <c r="B223" s="3234"/>
    </row>
    <row r="224" spans="1:113" x14ac:dyDescent="0.25">
      <c r="A224" s="3243" t="s">
        <v>3231</v>
      </c>
      <c r="B224" s="3234"/>
    </row>
    <row r="225" spans="1:2" ht="24" customHeight="1" x14ac:dyDescent="0.25">
      <c r="A225" s="4026" t="s">
        <v>3232</v>
      </c>
      <c r="B225" s="3234"/>
    </row>
    <row r="226" spans="1:2" x14ac:dyDescent="0.25">
      <c r="A226" s="3243" t="s">
        <v>3233</v>
      </c>
      <c r="B226" s="3234"/>
    </row>
    <row r="227" spans="1:2" x14ac:dyDescent="0.25">
      <c r="A227" s="3243" t="s">
        <v>3234</v>
      </c>
      <c r="B227" s="3234"/>
    </row>
    <row r="228" spans="1:2" x14ac:dyDescent="0.25">
      <c r="A228" s="3243" t="s">
        <v>3235</v>
      </c>
      <c r="B228" s="3234"/>
    </row>
    <row r="229" spans="1:2" x14ac:dyDescent="0.25">
      <c r="A229" s="3243" t="s">
        <v>3324</v>
      </c>
      <c r="B229" s="3234"/>
    </row>
    <row r="230" spans="1:2" x14ac:dyDescent="0.25">
      <c r="A230" s="3243" t="s">
        <v>3239</v>
      </c>
      <c r="B230" s="3234"/>
    </row>
    <row r="231" spans="1:2" x14ac:dyDescent="0.25">
      <c r="A231" s="3243" t="s">
        <v>3236</v>
      </c>
      <c r="B231" s="3234"/>
    </row>
    <row r="232" spans="1:2" x14ac:dyDescent="0.25">
      <c r="A232" s="3243" t="s">
        <v>3325</v>
      </c>
      <c r="B232" s="3234"/>
    </row>
    <row r="233" spans="1:2" x14ac:dyDescent="0.25">
      <c r="A233" s="3243" t="s">
        <v>3238</v>
      </c>
      <c r="B233" s="3234"/>
    </row>
    <row r="234" spans="1:2" x14ac:dyDescent="0.25">
      <c r="A234" s="3243" t="s">
        <v>3326</v>
      </c>
      <c r="B234" s="3234"/>
    </row>
    <row r="235" spans="1:2" x14ac:dyDescent="0.25">
      <c r="A235" s="3243" t="s">
        <v>3327</v>
      </c>
      <c r="B235" s="3234"/>
    </row>
    <row r="236" spans="1:2" x14ac:dyDescent="0.25">
      <c r="A236" s="3243" t="s">
        <v>3240</v>
      </c>
      <c r="B236" s="3234"/>
    </row>
    <row r="237" spans="1:2" x14ac:dyDescent="0.25">
      <c r="A237" s="3243" t="s">
        <v>3241</v>
      </c>
      <c r="B237" s="3234"/>
    </row>
    <row r="238" spans="1:2" x14ac:dyDescent="0.25">
      <c r="A238" s="3243" t="s">
        <v>3242</v>
      </c>
      <c r="B238" s="3234"/>
    </row>
    <row r="239" spans="1:2" x14ac:dyDescent="0.25">
      <c r="A239" s="3243" t="s">
        <v>3243</v>
      </c>
      <c r="B239" s="3234"/>
    </row>
    <row r="240" spans="1:2" x14ac:dyDescent="0.25">
      <c r="A240" s="3243" t="s">
        <v>3328</v>
      </c>
      <c r="B240" s="3234"/>
    </row>
    <row r="241" spans="1:19" x14ac:dyDescent="0.25">
      <c r="A241" s="3243" t="s">
        <v>3245</v>
      </c>
      <c r="B241" s="3234"/>
    </row>
    <row r="242" spans="1:19" x14ac:dyDescent="0.25">
      <c r="A242" s="3243" t="s">
        <v>3329</v>
      </c>
      <c r="B242" s="3234"/>
    </row>
    <row r="243" spans="1:19" x14ac:dyDescent="0.25">
      <c r="A243" s="3243" t="s">
        <v>3330</v>
      </c>
      <c r="B243" s="3234"/>
    </row>
    <row r="244" spans="1:19" x14ac:dyDescent="0.25">
      <c r="A244" s="3243" t="s">
        <v>3331</v>
      </c>
      <c r="B244" s="3234"/>
    </row>
    <row r="245" spans="1:19" x14ac:dyDescent="0.25">
      <c r="A245" s="3243" t="s">
        <v>3332</v>
      </c>
      <c r="B245" s="3234"/>
    </row>
    <row r="246" spans="1:19" x14ac:dyDescent="0.25">
      <c r="A246" s="593" t="s">
        <v>3333</v>
      </c>
      <c r="B246" s="153"/>
    </row>
    <row r="247" spans="1:19" x14ac:dyDescent="0.25">
      <c r="A247" s="5452" t="s">
        <v>24</v>
      </c>
      <c r="B247" s="5273">
        <f>SUM(B222:B246)</f>
        <v>0</v>
      </c>
    </row>
    <row r="248" spans="1:19" ht="18" customHeight="1" x14ac:dyDescent="0.25">
      <c r="A248" s="123" t="s">
        <v>3334</v>
      </c>
      <c r="B248" s="123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</row>
    <row r="249" spans="1:19" ht="18" customHeight="1" x14ac:dyDescent="0.25">
      <c r="A249" s="123" t="s">
        <v>3335</v>
      </c>
      <c r="B249" s="783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</row>
    <row r="250" spans="1:19" x14ac:dyDescent="0.25">
      <c r="A250" s="7753" t="s">
        <v>3336</v>
      </c>
      <c r="B250" s="7673" t="s">
        <v>24</v>
      </c>
      <c r="C250" s="7683" t="s">
        <v>12</v>
      </c>
      <c r="D250" s="7681"/>
      <c r="E250" s="7681"/>
      <c r="F250" s="7681"/>
      <c r="G250" s="7681"/>
      <c r="H250" s="7681"/>
      <c r="I250" s="7681"/>
      <c r="J250" s="7681"/>
      <c r="K250" s="7681"/>
      <c r="L250" s="7681"/>
      <c r="M250" s="7681"/>
      <c r="N250" s="7681"/>
      <c r="O250" s="7681"/>
      <c r="P250" s="7681"/>
      <c r="Q250" s="7681"/>
      <c r="R250" s="7681"/>
      <c r="S250" s="7682"/>
    </row>
    <row r="251" spans="1:19" x14ac:dyDescent="0.25">
      <c r="A251" s="7150"/>
      <c r="B251" s="7674"/>
      <c r="C251" s="5451" t="s">
        <v>36</v>
      </c>
      <c r="D251" s="5451" t="s">
        <v>37</v>
      </c>
      <c r="E251" s="5451" t="s">
        <v>38</v>
      </c>
      <c r="F251" s="5451" t="s">
        <v>4</v>
      </c>
      <c r="G251" s="5451" t="s">
        <v>5</v>
      </c>
      <c r="H251" s="5451" t="s">
        <v>560</v>
      </c>
      <c r="I251" s="5451" t="s">
        <v>561</v>
      </c>
      <c r="J251" s="5451" t="s">
        <v>8</v>
      </c>
      <c r="K251" s="5451" t="s">
        <v>9</v>
      </c>
      <c r="L251" s="5451" t="s">
        <v>576</v>
      </c>
      <c r="M251" s="5451" t="s">
        <v>11</v>
      </c>
      <c r="N251" s="5451" t="s">
        <v>18</v>
      </c>
      <c r="O251" s="5451" t="s">
        <v>19</v>
      </c>
      <c r="P251" s="5451" t="s">
        <v>20</v>
      </c>
      <c r="Q251" s="5451" t="s">
        <v>70</v>
      </c>
      <c r="R251" s="5451" t="s">
        <v>71</v>
      </c>
      <c r="S251" s="5450" t="s">
        <v>72</v>
      </c>
    </row>
    <row r="252" spans="1:19" x14ac:dyDescent="0.25">
      <c r="A252" s="5449" t="s">
        <v>3337</v>
      </c>
      <c r="B252" s="5414">
        <f>SUM(C252:S252)</f>
        <v>0</v>
      </c>
      <c r="C252" s="5418"/>
      <c r="D252" s="5419"/>
      <c r="E252" s="5419"/>
      <c r="F252" s="5419"/>
      <c r="G252" s="5419"/>
      <c r="H252" s="5419"/>
      <c r="I252" s="5419"/>
      <c r="J252" s="5419"/>
      <c r="K252" s="5419"/>
      <c r="L252" s="5419"/>
      <c r="M252" s="5419"/>
      <c r="N252" s="5419"/>
      <c r="O252" s="5419"/>
      <c r="P252" s="5419"/>
      <c r="Q252" s="5419"/>
      <c r="R252" s="5419"/>
      <c r="S252" s="5448"/>
    </row>
    <row r="253" spans="1:19" x14ac:dyDescent="0.25">
      <c r="A253" s="3549" t="s">
        <v>3338</v>
      </c>
      <c r="B253" s="4027">
        <f>SUM(C253:S253)</f>
        <v>0</v>
      </c>
      <c r="C253" s="1089"/>
      <c r="D253" s="1090"/>
      <c r="E253" s="1090"/>
      <c r="F253" s="1090"/>
      <c r="G253" s="1090"/>
      <c r="H253" s="1090"/>
      <c r="I253" s="1090"/>
      <c r="J253" s="1090"/>
      <c r="K253" s="1090"/>
      <c r="L253" s="1090"/>
      <c r="M253" s="1090"/>
      <c r="N253" s="1090"/>
      <c r="O253" s="1090"/>
      <c r="P253" s="1090"/>
      <c r="Q253" s="1090"/>
      <c r="R253" s="1090"/>
      <c r="S253" s="3166"/>
    </row>
    <row r="254" spans="1:19" x14ac:dyDescent="0.25">
      <c r="A254" s="5447" t="s">
        <v>3339</v>
      </c>
      <c r="B254" s="5446">
        <f>SUM(C254:S254)</f>
        <v>0</v>
      </c>
      <c r="C254" s="5281"/>
      <c r="D254" s="2499"/>
      <c r="E254" s="2499"/>
      <c r="F254" s="2499"/>
      <c r="G254" s="2499"/>
      <c r="H254" s="2499"/>
      <c r="I254" s="2499"/>
      <c r="J254" s="2499"/>
      <c r="K254" s="2499"/>
      <c r="L254" s="2499"/>
      <c r="M254" s="2499"/>
      <c r="N254" s="2499"/>
      <c r="O254" s="2499"/>
      <c r="P254" s="2499"/>
      <c r="Q254" s="2499"/>
      <c r="R254" s="2499"/>
      <c r="S254" s="5282"/>
    </row>
    <row r="255" spans="1:19" ht="18" customHeight="1" x14ac:dyDescent="0.25">
      <c r="A255" s="123" t="s">
        <v>3340</v>
      </c>
      <c r="B255" s="4028"/>
      <c r="C255" s="101"/>
      <c r="D255" s="4028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</row>
    <row r="256" spans="1:19" x14ac:dyDescent="0.25">
      <c r="A256" s="7753" t="s">
        <v>3341</v>
      </c>
      <c r="B256" s="7673" t="s">
        <v>47</v>
      </c>
      <c r="C256" s="7683" t="s">
        <v>12</v>
      </c>
      <c r="D256" s="7681"/>
      <c r="E256" s="7681"/>
      <c r="F256" s="7681"/>
      <c r="G256" s="7681"/>
      <c r="H256" s="7681"/>
      <c r="I256" s="7681"/>
      <c r="J256" s="7681"/>
      <c r="K256" s="7681"/>
      <c r="L256" s="7681"/>
      <c r="M256" s="7681"/>
      <c r="N256" s="7681"/>
      <c r="O256" s="7681"/>
      <c r="P256" s="7681"/>
      <c r="Q256" s="7681"/>
      <c r="R256" s="7681"/>
      <c r="S256" s="7682"/>
    </row>
    <row r="257" spans="1:19" x14ac:dyDescent="0.25">
      <c r="A257" s="7150"/>
      <c r="B257" s="7674"/>
      <c r="C257" s="5445" t="s">
        <v>36</v>
      </c>
      <c r="D257" s="5445" t="s">
        <v>37</v>
      </c>
      <c r="E257" s="5445" t="s">
        <v>38</v>
      </c>
      <c r="F257" s="5445" t="s">
        <v>4</v>
      </c>
      <c r="G257" s="5445" t="s">
        <v>5</v>
      </c>
      <c r="H257" s="5445" t="s">
        <v>560</v>
      </c>
      <c r="I257" s="5445" t="s">
        <v>561</v>
      </c>
      <c r="J257" s="5445" t="s">
        <v>8</v>
      </c>
      <c r="K257" s="5445" t="s">
        <v>9</v>
      </c>
      <c r="L257" s="5445" t="s">
        <v>576</v>
      </c>
      <c r="M257" s="5445" t="s">
        <v>11</v>
      </c>
      <c r="N257" s="5445" t="s">
        <v>18</v>
      </c>
      <c r="O257" s="5445" t="s">
        <v>19</v>
      </c>
      <c r="P257" s="5445" t="s">
        <v>20</v>
      </c>
      <c r="Q257" s="5445" t="s">
        <v>70</v>
      </c>
      <c r="R257" s="5445" t="s">
        <v>71</v>
      </c>
      <c r="S257" s="5445" t="s">
        <v>72</v>
      </c>
    </row>
    <row r="258" spans="1:19" x14ac:dyDescent="0.25">
      <c r="A258" s="1760" t="s">
        <v>3342</v>
      </c>
      <c r="B258" s="1760">
        <f t="shared" ref="B258:B284" si="55">SUM(C258:S258)</f>
        <v>0</v>
      </c>
      <c r="C258" s="5418"/>
      <c r="D258" s="5419"/>
      <c r="E258" s="5419"/>
      <c r="F258" s="5419"/>
      <c r="G258" s="5419"/>
      <c r="H258" s="5419"/>
      <c r="I258" s="5419"/>
      <c r="J258" s="5419"/>
      <c r="K258" s="5419"/>
      <c r="L258" s="5419"/>
      <c r="M258" s="5419"/>
      <c r="N258" s="5419"/>
      <c r="O258" s="5419"/>
      <c r="P258" s="5419"/>
      <c r="Q258" s="5419"/>
      <c r="R258" s="5419"/>
      <c r="S258" s="5422"/>
    </row>
    <row r="259" spans="1:19" x14ac:dyDescent="0.25">
      <c r="A259" s="3135" t="s">
        <v>3343</v>
      </c>
      <c r="B259" s="3135">
        <f t="shared" si="55"/>
        <v>0</v>
      </c>
      <c r="C259" s="1089"/>
      <c r="D259" s="1090"/>
      <c r="E259" s="1090"/>
      <c r="F259" s="1090"/>
      <c r="G259" s="1090"/>
      <c r="H259" s="1090"/>
      <c r="I259" s="1090"/>
      <c r="J259" s="1090"/>
      <c r="K259" s="1090"/>
      <c r="L259" s="1090"/>
      <c r="M259" s="1090"/>
      <c r="N259" s="1090"/>
      <c r="O259" s="1090"/>
      <c r="P259" s="1090"/>
      <c r="Q259" s="1090"/>
      <c r="R259" s="1090"/>
      <c r="S259" s="3166"/>
    </row>
    <row r="260" spans="1:19" x14ac:dyDescent="0.25">
      <c r="A260" s="3135" t="s">
        <v>3344</v>
      </c>
      <c r="B260" s="3135">
        <f t="shared" si="55"/>
        <v>0</v>
      </c>
      <c r="C260" s="1089"/>
      <c r="D260" s="1090"/>
      <c r="E260" s="1090"/>
      <c r="F260" s="1090"/>
      <c r="G260" s="1090"/>
      <c r="H260" s="1090"/>
      <c r="I260" s="1090"/>
      <c r="J260" s="1090"/>
      <c r="K260" s="1090"/>
      <c r="L260" s="1090"/>
      <c r="M260" s="1090"/>
      <c r="N260" s="1090"/>
      <c r="O260" s="1090"/>
      <c r="P260" s="1090"/>
      <c r="Q260" s="1090"/>
      <c r="R260" s="1090"/>
      <c r="S260" s="3166"/>
    </row>
    <row r="261" spans="1:19" x14ac:dyDescent="0.25">
      <c r="A261" s="3135" t="s">
        <v>3345</v>
      </c>
      <c r="B261" s="3135">
        <f t="shared" si="55"/>
        <v>0</v>
      </c>
      <c r="C261" s="1089"/>
      <c r="D261" s="1090"/>
      <c r="E261" s="1090"/>
      <c r="F261" s="1090"/>
      <c r="G261" s="1090"/>
      <c r="H261" s="1090"/>
      <c r="I261" s="1090"/>
      <c r="J261" s="1090"/>
      <c r="K261" s="1090"/>
      <c r="L261" s="1090"/>
      <c r="M261" s="1090"/>
      <c r="N261" s="1090"/>
      <c r="O261" s="1090"/>
      <c r="P261" s="1090"/>
      <c r="Q261" s="1090"/>
      <c r="R261" s="1090"/>
      <c r="S261" s="3166"/>
    </row>
    <row r="262" spans="1:19" x14ac:dyDescent="0.25">
      <c r="A262" s="3135" t="s">
        <v>3346</v>
      </c>
      <c r="B262" s="3135">
        <f t="shared" si="55"/>
        <v>0</v>
      </c>
      <c r="C262" s="1089"/>
      <c r="D262" s="1090"/>
      <c r="E262" s="1090"/>
      <c r="F262" s="1090"/>
      <c r="G262" s="1090"/>
      <c r="H262" s="1090"/>
      <c r="I262" s="1090"/>
      <c r="J262" s="1090"/>
      <c r="K262" s="1090"/>
      <c r="L262" s="1090"/>
      <c r="M262" s="1090"/>
      <c r="N262" s="1090"/>
      <c r="O262" s="1090"/>
      <c r="P262" s="1090"/>
      <c r="Q262" s="1090"/>
      <c r="R262" s="1090"/>
      <c r="S262" s="3166"/>
    </row>
    <row r="263" spans="1:19" x14ac:dyDescent="0.25">
      <c r="A263" s="3135" t="s">
        <v>3347</v>
      </c>
      <c r="B263" s="3135">
        <f t="shared" si="55"/>
        <v>0</v>
      </c>
      <c r="C263" s="1089"/>
      <c r="D263" s="1090"/>
      <c r="E263" s="1090"/>
      <c r="F263" s="1090"/>
      <c r="G263" s="1090"/>
      <c r="H263" s="1090"/>
      <c r="I263" s="1090"/>
      <c r="J263" s="1090"/>
      <c r="K263" s="1090"/>
      <c r="L263" s="1090"/>
      <c r="M263" s="1090"/>
      <c r="N263" s="1090"/>
      <c r="O263" s="1090"/>
      <c r="P263" s="1090"/>
      <c r="Q263" s="1090"/>
      <c r="R263" s="1090"/>
      <c r="S263" s="3166"/>
    </row>
    <row r="264" spans="1:19" x14ac:dyDescent="0.25">
      <c r="A264" s="3135" t="s">
        <v>3348</v>
      </c>
      <c r="B264" s="3135">
        <f t="shared" si="55"/>
        <v>0</v>
      </c>
      <c r="C264" s="1089"/>
      <c r="D264" s="1090"/>
      <c r="E264" s="1090"/>
      <c r="F264" s="1090"/>
      <c r="G264" s="1090"/>
      <c r="H264" s="1090"/>
      <c r="I264" s="1090"/>
      <c r="J264" s="1090"/>
      <c r="K264" s="1090"/>
      <c r="L264" s="1090"/>
      <c r="M264" s="1090"/>
      <c r="N264" s="1090"/>
      <c r="O264" s="1090"/>
      <c r="P264" s="1090"/>
      <c r="Q264" s="1090"/>
      <c r="R264" s="1090"/>
      <c r="S264" s="3166"/>
    </row>
    <row r="265" spans="1:19" x14ac:dyDescent="0.25">
      <c r="A265" s="3135" t="s">
        <v>3349</v>
      </c>
      <c r="B265" s="3135">
        <f t="shared" si="55"/>
        <v>0</v>
      </c>
      <c r="C265" s="1089"/>
      <c r="D265" s="1090"/>
      <c r="E265" s="1090"/>
      <c r="F265" s="1090"/>
      <c r="G265" s="1090"/>
      <c r="H265" s="1090"/>
      <c r="I265" s="1090"/>
      <c r="J265" s="1090"/>
      <c r="K265" s="1090"/>
      <c r="L265" s="1090"/>
      <c r="M265" s="1090"/>
      <c r="N265" s="1090"/>
      <c r="O265" s="1090"/>
      <c r="P265" s="1090"/>
      <c r="Q265" s="1090"/>
      <c r="R265" s="1090"/>
      <c r="S265" s="3166"/>
    </row>
    <row r="266" spans="1:19" x14ac:dyDescent="0.25">
      <c r="A266" s="3135" t="s">
        <v>3350</v>
      </c>
      <c r="B266" s="3135">
        <f t="shared" si="55"/>
        <v>0</v>
      </c>
      <c r="C266" s="1089"/>
      <c r="D266" s="1090"/>
      <c r="E266" s="1090"/>
      <c r="F266" s="1090"/>
      <c r="G266" s="1090"/>
      <c r="H266" s="1090"/>
      <c r="I266" s="1090"/>
      <c r="J266" s="1090"/>
      <c r="K266" s="1090"/>
      <c r="L266" s="1090"/>
      <c r="M266" s="1090"/>
      <c r="N266" s="1090"/>
      <c r="O266" s="1090"/>
      <c r="P266" s="1090"/>
      <c r="Q266" s="1090"/>
      <c r="R266" s="1090"/>
      <c r="S266" s="3166"/>
    </row>
    <row r="267" spans="1:19" x14ac:dyDescent="0.25">
      <c r="A267" s="3135" t="s">
        <v>3351</v>
      </c>
      <c r="B267" s="3135">
        <f t="shared" si="55"/>
        <v>0</v>
      </c>
      <c r="C267" s="1089"/>
      <c r="D267" s="1090"/>
      <c r="E267" s="1090"/>
      <c r="F267" s="1090"/>
      <c r="G267" s="1090"/>
      <c r="H267" s="1090"/>
      <c r="I267" s="1090"/>
      <c r="J267" s="1090"/>
      <c r="K267" s="1090"/>
      <c r="L267" s="1090"/>
      <c r="M267" s="1090"/>
      <c r="N267" s="1090"/>
      <c r="O267" s="1090"/>
      <c r="P267" s="1090"/>
      <c r="Q267" s="1090"/>
      <c r="R267" s="1090"/>
      <c r="S267" s="3166"/>
    </row>
    <row r="268" spans="1:19" ht="22.5" x14ac:dyDescent="0.25">
      <c r="A268" s="3648" t="s">
        <v>3352</v>
      </c>
      <c r="B268" s="3135">
        <f t="shared" si="55"/>
        <v>0</v>
      </c>
      <c r="C268" s="1089"/>
      <c r="D268" s="1090"/>
      <c r="E268" s="1090"/>
      <c r="F268" s="1090"/>
      <c r="G268" s="1090"/>
      <c r="H268" s="1090"/>
      <c r="I268" s="1090"/>
      <c r="J268" s="1090"/>
      <c r="K268" s="1090"/>
      <c r="L268" s="1090"/>
      <c r="M268" s="1090"/>
      <c r="N268" s="1090"/>
      <c r="O268" s="1090"/>
      <c r="P268" s="1090"/>
      <c r="Q268" s="1090"/>
      <c r="R268" s="1090"/>
      <c r="S268" s="3166"/>
    </row>
    <row r="269" spans="1:19" ht="22.5" x14ac:dyDescent="0.25">
      <c r="A269" s="3648" t="s">
        <v>3353</v>
      </c>
      <c r="B269" s="3135">
        <f t="shared" si="55"/>
        <v>0</v>
      </c>
      <c r="C269" s="1089"/>
      <c r="D269" s="1090"/>
      <c r="E269" s="1090"/>
      <c r="F269" s="1090"/>
      <c r="G269" s="1090"/>
      <c r="H269" s="1090"/>
      <c r="I269" s="1090"/>
      <c r="J269" s="1090"/>
      <c r="K269" s="1090"/>
      <c r="L269" s="1090"/>
      <c r="M269" s="1090"/>
      <c r="N269" s="1090"/>
      <c r="O269" s="1090"/>
      <c r="P269" s="1090"/>
      <c r="Q269" s="1090"/>
      <c r="R269" s="1090"/>
      <c r="S269" s="3166"/>
    </row>
    <row r="270" spans="1:19" x14ac:dyDescent="0.25">
      <c r="A270" s="3135" t="s">
        <v>3354</v>
      </c>
      <c r="B270" s="3135">
        <f t="shared" si="55"/>
        <v>0</v>
      </c>
      <c r="C270" s="1089"/>
      <c r="D270" s="1090"/>
      <c r="E270" s="1090"/>
      <c r="F270" s="1090"/>
      <c r="G270" s="1090"/>
      <c r="H270" s="1090"/>
      <c r="I270" s="1090"/>
      <c r="J270" s="1090"/>
      <c r="K270" s="1090"/>
      <c r="L270" s="1090"/>
      <c r="M270" s="1090"/>
      <c r="N270" s="1090"/>
      <c r="O270" s="1090"/>
      <c r="P270" s="1090"/>
      <c r="Q270" s="1090"/>
      <c r="R270" s="1090"/>
      <c r="S270" s="3166"/>
    </row>
    <row r="271" spans="1:19" x14ac:dyDescent="0.25">
      <c r="A271" s="3135" t="s">
        <v>3355</v>
      </c>
      <c r="B271" s="3135">
        <f t="shared" si="55"/>
        <v>0</v>
      </c>
      <c r="C271" s="1089"/>
      <c r="D271" s="1090"/>
      <c r="E271" s="1090"/>
      <c r="F271" s="1090"/>
      <c r="G271" s="1090"/>
      <c r="H271" s="1090"/>
      <c r="I271" s="1090"/>
      <c r="J271" s="1090"/>
      <c r="K271" s="1090"/>
      <c r="L271" s="1090"/>
      <c r="M271" s="1090"/>
      <c r="N271" s="1090"/>
      <c r="O271" s="1090"/>
      <c r="P271" s="1090"/>
      <c r="Q271" s="1090"/>
      <c r="R271" s="1090"/>
      <c r="S271" s="3166"/>
    </row>
    <row r="272" spans="1:19" x14ac:dyDescent="0.25">
      <c r="A272" s="3135" t="s">
        <v>3356</v>
      </c>
      <c r="B272" s="3135">
        <f t="shared" si="55"/>
        <v>0</v>
      </c>
      <c r="C272" s="1089"/>
      <c r="D272" s="1090"/>
      <c r="E272" s="1090"/>
      <c r="F272" s="1090"/>
      <c r="G272" s="1090"/>
      <c r="H272" s="1090"/>
      <c r="I272" s="1090"/>
      <c r="J272" s="1090"/>
      <c r="K272" s="1090"/>
      <c r="L272" s="1090"/>
      <c r="M272" s="1090"/>
      <c r="N272" s="1090"/>
      <c r="O272" s="1090"/>
      <c r="P272" s="1090"/>
      <c r="Q272" s="1090"/>
      <c r="R272" s="1090"/>
      <c r="S272" s="3166"/>
    </row>
    <row r="273" spans="1:19" x14ac:dyDescent="0.25">
      <c r="A273" s="3135" t="s">
        <v>3357</v>
      </c>
      <c r="B273" s="3135">
        <f t="shared" si="55"/>
        <v>0</v>
      </c>
      <c r="C273" s="1089"/>
      <c r="D273" s="1090"/>
      <c r="E273" s="1090"/>
      <c r="F273" s="1090"/>
      <c r="G273" s="1090"/>
      <c r="H273" s="1090"/>
      <c r="I273" s="1090"/>
      <c r="J273" s="1090"/>
      <c r="K273" s="1090"/>
      <c r="L273" s="1090"/>
      <c r="M273" s="1090"/>
      <c r="N273" s="1090"/>
      <c r="O273" s="1090"/>
      <c r="P273" s="1090"/>
      <c r="Q273" s="1090"/>
      <c r="R273" s="1090"/>
      <c r="S273" s="3166"/>
    </row>
    <row r="274" spans="1:19" x14ac:dyDescent="0.25">
      <c r="A274" s="3135" t="s">
        <v>3358</v>
      </c>
      <c r="B274" s="3135">
        <f t="shared" si="55"/>
        <v>0</v>
      </c>
      <c r="C274" s="1089"/>
      <c r="D274" s="1090"/>
      <c r="E274" s="1090"/>
      <c r="F274" s="1090"/>
      <c r="G274" s="1090"/>
      <c r="H274" s="1090"/>
      <c r="I274" s="1090"/>
      <c r="J274" s="1090"/>
      <c r="K274" s="1090"/>
      <c r="L274" s="1090"/>
      <c r="M274" s="1090"/>
      <c r="N274" s="1090"/>
      <c r="O274" s="1090"/>
      <c r="P274" s="1090"/>
      <c r="Q274" s="1090"/>
      <c r="R274" s="1090"/>
      <c r="S274" s="3166"/>
    </row>
    <row r="275" spans="1:19" x14ac:dyDescent="0.25">
      <c r="A275" s="3135" t="s">
        <v>3359</v>
      </c>
      <c r="B275" s="3135">
        <f t="shared" si="55"/>
        <v>0</v>
      </c>
      <c r="C275" s="1089"/>
      <c r="D275" s="1090"/>
      <c r="E275" s="1090"/>
      <c r="F275" s="1090"/>
      <c r="G275" s="1090"/>
      <c r="H275" s="1090"/>
      <c r="I275" s="1090"/>
      <c r="J275" s="1090"/>
      <c r="K275" s="1090"/>
      <c r="L275" s="1090"/>
      <c r="M275" s="1090"/>
      <c r="N275" s="1090"/>
      <c r="O275" s="1090"/>
      <c r="P275" s="1090"/>
      <c r="Q275" s="1090"/>
      <c r="R275" s="1090"/>
      <c r="S275" s="3166"/>
    </row>
    <row r="276" spans="1:19" x14ac:dyDescent="0.25">
      <c r="A276" s="3135" t="s">
        <v>3360</v>
      </c>
      <c r="B276" s="3135">
        <f t="shared" si="55"/>
        <v>0</v>
      </c>
      <c r="C276" s="1089"/>
      <c r="D276" s="1090"/>
      <c r="E276" s="1090"/>
      <c r="F276" s="1090"/>
      <c r="G276" s="1090"/>
      <c r="H276" s="1090"/>
      <c r="I276" s="1090"/>
      <c r="J276" s="1090"/>
      <c r="K276" s="1090"/>
      <c r="L276" s="1090"/>
      <c r="M276" s="1090"/>
      <c r="N276" s="1090"/>
      <c r="O276" s="1090"/>
      <c r="P276" s="1090"/>
      <c r="Q276" s="1090"/>
      <c r="R276" s="1090"/>
      <c r="S276" s="3166"/>
    </row>
    <row r="277" spans="1:19" x14ac:dyDescent="0.25">
      <c r="A277" s="3135" t="s">
        <v>3361</v>
      </c>
      <c r="B277" s="3135">
        <f t="shared" si="55"/>
        <v>0</v>
      </c>
      <c r="C277" s="1089"/>
      <c r="D277" s="1090"/>
      <c r="E277" s="1090"/>
      <c r="F277" s="1090"/>
      <c r="G277" s="1090"/>
      <c r="H277" s="1090"/>
      <c r="I277" s="1090"/>
      <c r="J277" s="1090"/>
      <c r="K277" s="1090"/>
      <c r="L277" s="1090"/>
      <c r="M277" s="1090"/>
      <c r="N277" s="1090"/>
      <c r="O277" s="1090"/>
      <c r="P277" s="1090"/>
      <c r="Q277" s="1090"/>
      <c r="R277" s="1090"/>
      <c r="S277" s="3166"/>
    </row>
    <row r="278" spans="1:19" x14ac:dyDescent="0.25">
      <c r="A278" s="3135" t="s">
        <v>3362</v>
      </c>
      <c r="B278" s="3135">
        <f t="shared" si="55"/>
        <v>0</v>
      </c>
      <c r="C278" s="1089"/>
      <c r="D278" s="1090"/>
      <c r="E278" s="1090"/>
      <c r="F278" s="1090"/>
      <c r="G278" s="1090"/>
      <c r="H278" s="1090"/>
      <c r="I278" s="1090"/>
      <c r="J278" s="1090"/>
      <c r="K278" s="1090"/>
      <c r="L278" s="1090"/>
      <c r="M278" s="1090"/>
      <c r="N278" s="1090"/>
      <c r="O278" s="1090"/>
      <c r="P278" s="1090"/>
      <c r="Q278" s="1090"/>
      <c r="R278" s="1090"/>
      <c r="S278" s="3166"/>
    </row>
    <row r="279" spans="1:19" x14ac:dyDescent="0.25">
      <c r="A279" s="926" t="s">
        <v>3363</v>
      </c>
      <c r="B279" s="3135">
        <f t="shared" si="55"/>
        <v>0</v>
      </c>
      <c r="C279" s="106"/>
      <c r="D279" s="5239"/>
      <c r="E279" s="5239"/>
      <c r="F279" s="5239"/>
      <c r="G279" s="5239"/>
      <c r="H279" s="5239"/>
      <c r="I279" s="5239"/>
      <c r="J279" s="5239"/>
      <c r="K279" s="5239"/>
      <c r="L279" s="5239"/>
      <c r="M279" s="5239"/>
      <c r="N279" s="5239"/>
      <c r="O279" s="5239"/>
      <c r="P279" s="5239"/>
      <c r="Q279" s="5239"/>
      <c r="R279" s="5239"/>
      <c r="S279" s="4561"/>
    </row>
    <row r="280" spans="1:19" x14ac:dyDescent="0.25">
      <c r="A280" s="926" t="s">
        <v>3364</v>
      </c>
      <c r="B280" s="3135">
        <f t="shared" si="55"/>
        <v>0</v>
      </c>
      <c r="C280" s="1089"/>
      <c r="D280" s="1090"/>
      <c r="E280" s="1090"/>
      <c r="F280" s="1090"/>
      <c r="G280" s="1090"/>
      <c r="H280" s="1090"/>
      <c r="I280" s="1090"/>
      <c r="J280" s="1090"/>
      <c r="K280" s="1090"/>
      <c r="L280" s="1090"/>
      <c r="M280" s="1090"/>
      <c r="N280" s="1090"/>
      <c r="O280" s="1090"/>
      <c r="P280" s="1090"/>
      <c r="Q280" s="1090"/>
      <c r="R280" s="1090"/>
      <c r="S280" s="3166"/>
    </row>
    <row r="281" spans="1:19" ht="15" customHeight="1" x14ac:dyDescent="0.25">
      <c r="A281" s="327" t="s">
        <v>3365</v>
      </c>
      <c r="B281" s="3135">
        <f t="shared" si="55"/>
        <v>0</v>
      </c>
      <c r="C281" s="1089"/>
      <c r="D281" s="1090"/>
      <c r="E281" s="1090"/>
      <c r="F281" s="1090"/>
      <c r="G281" s="1090"/>
      <c r="H281" s="1090"/>
      <c r="I281" s="1090"/>
      <c r="J281" s="1090"/>
      <c r="K281" s="1090"/>
      <c r="L281" s="1090"/>
      <c r="M281" s="1090"/>
      <c r="N281" s="1090"/>
      <c r="O281" s="1090"/>
      <c r="P281" s="1090"/>
      <c r="Q281" s="1090"/>
      <c r="R281" s="1090"/>
      <c r="S281" s="3166"/>
    </row>
    <row r="282" spans="1:19" x14ac:dyDescent="0.25">
      <c r="A282" s="926" t="s">
        <v>3366</v>
      </c>
      <c r="B282" s="3135">
        <f t="shared" si="55"/>
        <v>0</v>
      </c>
      <c r="C282" s="1089"/>
      <c r="D282" s="1090"/>
      <c r="E282" s="1090"/>
      <c r="F282" s="1090"/>
      <c r="G282" s="1090"/>
      <c r="H282" s="1090"/>
      <c r="I282" s="1090"/>
      <c r="J282" s="1090"/>
      <c r="K282" s="1090"/>
      <c r="L282" s="1090"/>
      <c r="M282" s="1090"/>
      <c r="N282" s="1090"/>
      <c r="O282" s="1090"/>
      <c r="P282" s="1090"/>
      <c r="Q282" s="1090"/>
      <c r="R282" s="1090"/>
      <c r="S282" s="3166"/>
    </row>
    <row r="283" spans="1:19" x14ac:dyDescent="0.25">
      <c r="A283" s="926" t="s">
        <v>3367</v>
      </c>
      <c r="B283" s="3135">
        <f t="shared" si="55"/>
        <v>0</v>
      </c>
      <c r="C283" s="1089"/>
      <c r="D283" s="1090"/>
      <c r="E283" s="1090"/>
      <c r="F283" s="1090"/>
      <c r="G283" s="1090"/>
      <c r="H283" s="1090"/>
      <c r="I283" s="1090"/>
      <c r="J283" s="1090"/>
      <c r="K283" s="1090"/>
      <c r="L283" s="1090"/>
      <c r="M283" s="1090"/>
      <c r="N283" s="1090"/>
      <c r="O283" s="1090"/>
      <c r="P283" s="1090"/>
      <c r="Q283" s="1090"/>
      <c r="R283" s="1090"/>
      <c r="S283" s="3166"/>
    </row>
    <row r="284" spans="1:19" x14ac:dyDescent="0.25">
      <c r="A284" s="596" t="s">
        <v>44</v>
      </c>
      <c r="B284" s="150">
        <f t="shared" si="55"/>
        <v>0</v>
      </c>
      <c r="C284" s="3112"/>
      <c r="D284" s="3109"/>
      <c r="E284" s="3109"/>
      <c r="F284" s="3109"/>
      <c r="G284" s="3109"/>
      <c r="H284" s="3109"/>
      <c r="I284" s="3109"/>
      <c r="J284" s="3109"/>
      <c r="K284" s="3109"/>
      <c r="L284" s="3109"/>
      <c r="M284" s="3109"/>
      <c r="N284" s="3109"/>
      <c r="O284" s="3109"/>
      <c r="P284" s="3109"/>
      <c r="Q284" s="3109"/>
      <c r="R284" s="3109"/>
      <c r="S284" s="117"/>
    </row>
    <row r="285" spans="1:19" ht="18" customHeight="1" x14ac:dyDescent="0.25">
      <c r="A285" s="783" t="s">
        <v>3368</v>
      </c>
      <c r="B285" s="783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</row>
    <row r="286" spans="1:19" x14ac:dyDescent="0.25">
      <c r="A286" s="7753" t="s">
        <v>3369</v>
      </c>
      <c r="B286" s="7673" t="s">
        <v>24</v>
      </c>
      <c r="C286" s="7683" t="s">
        <v>3370</v>
      </c>
      <c r="D286" s="7681"/>
      <c r="E286" s="7681"/>
      <c r="F286" s="7681"/>
      <c r="G286" s="7681"/>
      <c r="H286" s="7681"/>
      <c r="I286" s="7681"/>
      <c r="J286" s="7681"/>
      <c r="K286" s="7681"/>
      <c r="L286" s="7681"/>
      <c r="M286" s="7681"/>
      <c r="N286" s="7681"/>
      <c r="O286" s="7681"/>
      <c r="P286" s="7681"/>
      <c r="Q286" s="7681"/>
      <c r="R286" s="7681"/>
      <c r="S286" s="7682"/>
    </row>
    <row r="287" spans="1:19" x14ac:dyDescent="0.25">
      <c r="A287" s="7150"/>
      <c r="B287" s="7674"/>
      <c r="C287" s="5445" t="s">
        <v>36</v>
      </c>
      <c r="D287" s="5445" t="s">
        <v>37</v>
      </c>
      <c r="E287" s="5445" t="s">
        <v>38</v>
      </c>
      <c r="F287" s="5445" t="s">
        <v>4</v>
      </c>
      <c r="G287" s="5445" t="s">
        <v>5</v>
      </c>
      <c r="H287" s="5445" t="s">
        <v>560</v>
      </c>
      <c r="I287" s="5445" t="s">
        <v>561</v>
      </c>
      <c r="J287" s="5445" t="s">
        <v>8</v>
      </c>
      <c r="K287" s="5445" t="s">
        <v>9</v>
      </c>
      <c r="L287" s="5445" t="s">
        <v>576</v>
      </c>
      <c r="M287" s="5445" t="s">
        <v>11</v>
      </c>
      <c r="N287" s="5445" t="s">
        <v>18</v>
      </c>
      <c r="O287" s="5445" t="s">
        <v>19</v>
      </c>
      <c r="P287" s="5445" t="s">
        <v>20</v>
      </c>
      <c r="Q287" s="5445" t="s">
        <v>70</v>
      </c>
      <c r="R287" s="5445" t="s">
        <v>71</v>
      </c>
      <c r="S287" s="5445" t="s">
        <v>72</v>
      </c>
    </row>
    <row r="288" spans="1:19" x14ac:dyDescent="0.25">
      <c r="A288" s="5350" t="s">
        <v>3204</v>
      </c>
      <c r="B288" s="4027">
        <f t="shared" ref="B288:B308" si="56">SUM(C288:S288)</f>
        <v>0</v>
      </c>
      <c r="C288" s="5239"/>
      <c r="D288" s="5239"/>
      <c r="E288" s="5239"/>
      <c r="F288" s="5239"/>
      <c r="G288" s="5239"/>
      <c r="H288" s="5239"/>
      <c r="I288" s="5239"/>
      <c r="J288" s="5239"/>
      <c r="K288" s="5239"/>
      <c r="L288" s="5239"/>
      <c r="M288" s="5239"/>
      <c r="N288" s="5239"/>
      <c r="O288" s="5239"/>
      <c r="P288" s="5239"/>
      <c r="Q288" s="5239"/>
      <c r="R288" s="5239"/>
      <c r="S288" s="4561"/>
    </row>
    <row r="289" spans="1:19" x14ac:dyDescent="0.25">
      <c r="A289" s="3995" t="s">
        <v>3209</v>
      </c>
      <c r="B289" s="4027">
        <f t="shared" si="56"/>
        <v>0</v>
      </c>
      <c r="C289" s="1090"/>
      <c r="D289" s="1090"/>
      <c r="E289" s="1090"/>
      <c r="F289" s="1090"/>
      <c r="G289" s="1090"/>
      <c r="H289" s="1090"/>
      <c r="I289" s="1090"/>
      <c r="J289" s="1090"/>
      <c r="K289" s="1090"/>
      <c r="L289" s="1090"/>
      <c r="M289" s="1090"/>
      <c r="N289" s="1090"/>
      <c r="O289" s="1090"/>
      <c r="P289" s="1090"/>
      <c r="Q289" s="1090"/>
      <c r="R289" s="1090"/>
      <c r="S289" s="3166"/>
    </row>
    <row r="290" spans="1:19" x14ac:dyDescent="0.25">
      <c r="A290" s="3273" t="s">
        <v>3205</v>
      </c>
      <c r="B290" s="4027">
        <f t="shared" si="56"/>
        <v>0</v>
      </c>
      <c r="C290" s="1090"/>
      <c r="D290" s="1090"/>
      <c r="E290" s="1090"/>
      <c r="F290" s="1090"/>
      <c r="G290" s="1090"/>
      <c r="H290" s="1090"/>
      <c r="I290" s="1090"/>
      <c r="J290" s="1090"/>
      <c r="K290" s="1090"/>
      <c r="L290" s="1090"/>
      <c r="M290" s="1090"/>
      <c r="N290" s="1090"/>
      <c r="O290" s="1090"/>
      <c r="P290" s="1090"/>
      <c r="Q290" s="1090"/>
      <c r="R290" s="1090"/>
      <c r="S290" s="3166"/>
    </row>
    <row r="291" spans="1:19" x14ac:dyDescent="0.25">
      <c r="A291" s="3273" t="s">
        <v>3203</v>
      </c>
      <c r="B291" s="4027">
        <f t="shared" si="56"/>
        <v>0</v>
      </c>
      <c r="C291" s="1090"/>
      <c r="D291" s="1090"/>
      <c r="E291" s="1090"/>
      <c r="F291" s="1090"/>
      <c r="G291" s="1090"/>
      <c r="H291" s="1090"/>
      <c r="I291" s="1090"/>
      <c r="J291" s="1090"/>
      <c r="K291" s="1090"/>
      <c r="L291" s="1090"/>
      <c r="M291" s="1090"/>
      <c r="N291" s="1090"/>
      <c r="O291" s="1090"/>
      <c r="P291" s="1090"/>
      <c r="Q291" s="1090"/>
      <c r="R291" s="1090"/>
      <c r="S291" s="3166"/>
    </row>
    <row r="292" spans="1:19" x14ac:dyDescent="0.25">
      <c r="A292" s="3995" t="s">
        <v>3293</v>
      </c>
      <c r="B292" s="4027">
        <f t="shared" si="56"/>
        <v>0</v>
      </c>
      <c r="C292" s="1090"/>
      <c r="D292" s="1090"/>
      <c r="E292" s="1090"/>
      <c r="F292" s="1090"/>
      <c r="G292" s="1090"/>
      <c r="H292" s="1090"/>
      <c r="I292" s="1090"/>
      <c r="J292" s="1090"/>
      <c r="K292" s="1090"/>
      <c r="L292" s="1090"/>
      <c r="M292" s="1090"/>
      <c r="N292" s="1090"/>
      <c r="O292" s="1090"/>
      <c r="P292" s="1090"/>
      <c r="Q292" s="1090"/>
      <c r="R292" s="1090"/>
      <c r="S292" s="3166"/>
    </row>
    <row r="293" spans="1:19" x14ac:dyDescent="0.25">
      <c r="A293" s="3996" t="s">
        <v>3206</v>
      </c>
      <c r="B293" s="4027">
        <f t="shared" si="56"/>
        <v>0</v>
      </c>
      <c r="C293" s="1090"/>
      <c r="D293" s="1090"/>
      <c r="E293" s="1090"/>
      <c r="F293" s="1090"/>
      <c r="G293" s="1090"/>
      <c r="H293" s="1090"/>
      <c r="I293" s="1090"/>
      <c r="J293" s="1090"/>
      <c r="K293" s="1090"/>
      <c r="L293" s="1090"/>
      <c r="M293" s="1090"/>
      <c r="N293" s="1090"/>
      <c r="O293" s="1090"/>
      <c r="P293" s="1090"/>
      <c r="Q293" s="1090"/>
      <c r="R293" s="1090"/>
      <c r="S293" s="3166"/>
    </row>
    <row r="294" spans="1:19" x14ac:dyDescent="0.25">
      <c r="A294" s="3996" t="s">
        <v>3371</v>
      </c>
      <c r="B294" s="4027">
        <f t="shared" si="56"/>
        <v>0</v>
      </c>
      <c r="C294" s="1090"/>
      <c r="D294" s="1090"/>
      <c r="E294" s="1090"/>
      <c r="F294" s="1090"/>
      <c r="G294" s="1090"/>
      <c r="H294" s="1090"/>
      <c r="I294" s="1090"/>
      <c r="J294" s="1090"/>
      <c r="K294" s="1090"/>
      <c r="L294" s="1090"/>
      <c r="M294" s="1090"/>
      <c r="N294" s="1090"/>
      <c r="O294" s="1090"/>
      <c r="P294" s="1090"/>
      <c r="Q294" s="1090"/>
      <c r="R294" s="1090"/>
      <c r="S294" s="3166"/>
    </row>
    <row r="295" spans="1:19" x14ac:dyDescent="0.25">
      <c r="A295" s="3996" t="s">
        <v>3291</v>
      </c>
      <c r="B295" s="4027">
        <f t="shared" si="56"/>
        <v>0</v>
      </c>
      <c r="C295" s="1090"/>
      <c r="D295" s="1090"/>
      <c r="E295" s="1090"/>
      <c r="F295" s="1090"/>
      <c r="G295" s="1090"/>
      <c r="H295" s="1090"/>
      <c r="I295" s="1090"/>
      <c r="J295" s="1090"/>
      <c r="K295" s="1090"/>
      <c r="L295" s="1090"/>
      <c r="M295" s="1090"/>
      <c r="N295" s="1090"/>
      <c r="O295" s="1090"/>
      <c r="P295" s="1090"/>
      <c r="Q295" s="1090"/>
      <c r="R295" s="1090"/>
      <c r="S295" s="3166"/>
    </row>
    <row r="296" spans="1:19" x14ac:dyDescent="0.25">
      <c r="A296" s="3995" t="s">
        <v>3298</v>
      </c>
      <c r="B296" s="4027">
        <f t="shared" si="56"/>
        <v>0</v>
      </c>
      <c r="C296" s="1090"/>
      <c r="D296" s="1090"/>
      <c r="E296" s="1090"/>
      <c r="F296" s="1090"/>
      <c r="G296" s="1090"/>
      <c r="H296" s="1090"/>
      <c r="I296" s="1090"/>
      <c r="J296" s="1090"/>
      <c r="K296" s="1090"/>
      <c r="L296" s="1090"/>
      <c r="M296" s="1090"/>
      <c r="N296" s="1090"/>
      <c r="O296" s="1090"/>
      <c r="P296" s="1090"/>
      <c r="Q296" s="1090"/>
      <c r="R296" s="1090"/>
      <c r="S296" s="3166"/>
    </row>
    <row r="297" spans="1:19" x14ac:dyDescent="0.25">
      <c r="A297" s="3996" t="s">
        <v>3372</v>
      </c>
      <c r="B297" s="4027">
        <f t="shared" si="56"/>
        <v>0</v>
      </c>
      <c r="C297" s="1090"/>
      <c r="D297" s="1090"/>
      <c r="E297" s="1090"/>
      <c r="F297" s="1090"/>
      <c r="G297" s="1090"/>
      <c r="H297" s="1090"/>
      <c r="I297" s="1090"/>
      <c r="J297" s="1090"/>
      <c r="K297" s="1090"/>
      <c r="L297" s="1090"/>
      <c r="M297" s="1090"/>
      <c r="N297" s="1090"/>
      <c r="O297" s="1090"/>
      <c r="P297" s="1090"/>
      <c r="Q297" s="1090"/>
      <c r="R297" s="1090"/>
      <c r="S297" s="3166"/>
    </row>
    <row r="298" spans="1:19" x14ac:dyDescent="0.25">
      <c r="A298" s="3995" t="s">
        <v>3211</v>
      </c>
      <c r="B298" s="4027">
        <f t="shared" si="56"/>
        <v>0</v>
      </c>
      <c r="C298" s="1090"/>
      <c r="D298" s="1090"/>
      <c r="E298" s="1090"/>
      <c r="F298" s="1090"/>
      <c r="G298" s="1090"/>
      <c r="H298" s="1090"/>
      <c r="I298" s="1090"/>
      <c r="J298" s="1090"/>
      <c r="K298" s="1090"/>
      <c r="L298" s="1090"/>
      <c r="M298" s="1090"/>
      <c r="N298" s="1090"/>
      <c r="O298" s="1090"/>
      <c r="P298" s="1090"/>
      <c r="Q298" s="1090"/>
      <c r="R298" s="1090"/>
      <c r="S298" s="3166"/>
    </row>
    <row r="299" spans="1:19" x14ac:dyDescent="0.25">
      <c r="A299" s="3996" t="s">
        <v>3302</v>
      </c>
      <c r="B299" s="4027">
        <f t="shared" si="56"/>
        <v>0</v>
      </c>
      <c r="C299" s="1090"/>
      <c r="D299" s="1090"/>
      <c r="E299" s="1090"/>
      <c r="F299" s="1090"/>
      <c r="G299" s="1090"/>
      <c r="H299" s="1090"/>
      <c r="I299" s="1090"/>
      <c r="J299" s="1090"/>
      <c r="K299" s="1090"/>
      <c r="L299" s="1090"/>
      <c r="M299" s="1090"/>
      <c r="N299" s="1090"/>
      <c r="O299" s="1090"/>
      <c r="P299" s="1090"/>
      <c r="Q299" s="1090"/>
      <c r="R299" s="1090"/>
      <c r="S299" s="3166"/>
    </row>
    <row r="300" spans="1:19" x14ac:dyDescent="0.25">
      <c r="A300" s="3995" t="s">
        <v>3212</v>
      </c>
      <c r="B300" s="4027">
        <f t="shared" si="56"/>
        <v>0</v>
      </c>
      <c r="C300" s="5239"/>
      <c r="D300" s="5239"/>
      <c r="E300" s="5239"/>
      <c r="F300" s="5239"/>
      <c r="G300" s="5239"/>
      <c r="H300" s="5239"/>
      <c r="I300" s="5239"/>
      <c r="J300" s="5239"/>
      <c r="K300" s="5239"/>
      <c r="L300" s="5239"/>
      <c r="M300" s="5239"/>
      <c r="N300" s="5239"/>
      <c r="O300" s="5239"/>
      <c r="P300" s="5239"/>
      <c r="Q300" s="5239"/>
      <c r="R300" s="5239"/>
      <c r="S300" s="4561"/>
    </row>
    <row r="301" spans="1:19" x14ac:dyDescent="0.25">
      <c r="A301" s="3996" t="s">
        <v>3373</v>
      </c>
      <c r="B301" s="4027">
        <f t="shared" si="56"/>
        <v>0</v>
      </c>
      <c r="C301" s="5239"/>
      <c r="D301" s="5239"/>
      <c r="E301" s="5239"/>
      <c r="F301" s="5239"/>
      <c r="G301" s="5239"/>
      <c r="H301" s="5239"/>
      <c r="I301" s="5239"/>
      <c r="J301" s="5239"/>
      <c r="K301" s="5239"/>
      <c r="L301" s="5239"/>
      <c r="M301" s="5239"/>
      <c r="N301" s="5239"/>
      <c r="O301" s="5239"/>
      <c r="P301" s="5239"/>
      <c r="Q301" s="5239"/>
      <c r="R301" s="5239"/>
      <c r="S301" s="4561"/>
    </row>
    <row r="302" spans="1:19" x14ac:dyDescent="0.25">
      <c r="A302" s="3996" t="s">
        <v>3374</v>
      </c>
      <c r="B302" s="4027">
        <f t="shared" si="56"/>
        <v>0</v>
      </c>
      <c r="C302" s="5239"/>
      <c r="D302" s="5239"/>
      <c r="E302" s="5239"/>
      <c r="F302" s="5239"/>
      <c r="G302" s="5239"/>
      <c r="H302" s="5239"/>
      <c r="I302" s="5239"/>
      <c r="J302" s="5239"/>
      <c r="K302" s="5239"/>
      <c r="L302" s="5239"/>
      <c r="M302" s="5239"/>
      <c r="N302" s="5239"/>
      <c r="O302" s="5239"/>
      <c r="P302" s="5239"/>
      <c r="Q302" s="5239"/>
      <c r="R302" s="5239"/>
      <c r="S302" s="4561"/>
    </row>
    <row r="303" spans="1:19" x14ac:dyDescent="0.25">
      <c r="A303" s="3995" t="s">
        <v>3213</v>
      </c>
      <c r="B303" s="4027">
        <f t="shared" si="56"/>
        <v>0</v>
      </c>
      <c r="C303" s="1090"/>
      <c r="D303" s="1090"/>
      <c r="E303" s="1090"/>
      <c r="F303" s="1090"/>
      <c r="G303" s="1090"/>
      <c r="H303" s="1090"/>
      <c r="I303" s="1090"/>
      <c r="J303" s="1090"/>
      <c r="K303" s="1090"/>
      <c r="L303" s="1090"/>
      <c r="M303" s="1090"/>
      <c r="N303" s="1090"/>
      <c r="O303" s="1090"/>
      <c r="P303" s="1090"/>
      <c r="Q303" s="1090"/>
      <c r="R303" s="1090"/>
      <c r="S303" s="3166"/>
    </row>
    <row r="304" spans="1:19" x14ac:dyDescent="0.25">
      <c r="A304" s="4022" t="s">
        <v>3295</v>
      </c>
      <c r="B304" s="4027">
        <f t="shared" si="56"/>
        <v>0</v>
      </c>
      <c r="C304" s="1090"/>
      <c r="D304" s="1090"/>
      <c r="E304" s="1090"/>
      <c r="F304" s="1090"/>
      <c r="G304" s="1090"/>
      <c r="H304" s="1090"/>
      <c r="I304" s="1090"/>
      <c r="J304" s="1090"/>
      <c r="K304" s="1090"/>
      <c r="L304" s="1090"/>
      <c r="M304" s="1090"/>
      <c r="N304" s="1090"/>
      <c r="O304" s="1090"/>
      <c r="P304" s="1090"/>
      <c r="Q304" s="1090"/>
      <c r="R304" s="1090"/>
      <c r="S304" s="3166"/>
    </row>
    <row r="305" spans="1:19" x14ac:dyDescent="0.25">
      <c r="A305" s="3328" t="s">
        <v>3375</v>
      </c>
      <c r="B305" s="4027">
        <f t="shared" si="56"/>
        <v>0</v>
      </c>
      <c r="C305" s="1090"/>
      <c r="D305" s="1090"/>
      <c r="E305" s="1090"/>
      <c r="F305" s="1090"/>
      <c r="G305" s="1090"/>
      <c r="H305" s="1090"/>
      <c r="I305" s="1090"/>
      <c r="J305" s="1090"/>
      <c r="K305" s="1090"/>
      <c r="L305" s="1090"/>
      <c r="M305" s="1090"/>
      <c r="N305" s="1090"/>
      <c r="O305" s="1090"/>
      <c r="P305" s="1090"/>
      <c r="Q305" s="1090"/>
      <c r="R305" s="1090"/>
      <c r="S305" s="3166"/>
    </row>
    <row r="306" spans="1:19" x14ac:dyDescent="0.25">
      <c r="A306" s="3328" t="s">
        <v>3201</v>
      </c>
      <c r="B306" s="4027">
        <f t="shared" si="56"/>
        <v>0</v>
      </c>
      <c r="C306" s="1090"/>
      <c r="D306" s="1090"/>
      <c r="E306" s="1090"/>
      <c r="F306" s="1090"/>
      <c r="G306" s="1090"/>
      <c r="H306" s="1090"/>
      <c r="I306" s="1090"/>
      <c r="J306" s="1090"/>
      <c r="K306" s="1090"/>
      <c r="L306" s="1090"/>
      <c r="M306" s="1090"/>
      <c r="N306" s="1090"/>
      <c r="O306" s="1090"/>
      <c r="P306" s="1090"/>
      <c r="Q306" s="1090"/>
      <c r="R306" s="1090"/>
      <c r="S306" s="3166"/>
    </row>
    <row r="307" spans="1:19" x14ac:dyDescent="0.25">
      <c r="A307" s="3328" t="s">
        <v>3299</v>
      </c>
      <c r="B307" s="4029">
        <f t="shared" si="56"/>
        <v>0</v>
      </c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91"/>
    </row>
    <row r="308" spans="1:19" x14ac:dyDescent="0.25">
      <c r="A308" s="5444" t="s">
        <v>3376</v>
      </c>
      <c r="B308" s="388">
        <f t="shared" si="56"/>
        <v>0</v>
      </c>
      <c r="C308" s="3109"/>
      <c r="D308" s="3109"/>
      <c r="E308" s="3109"/>
      <c r="F308" s="3109"/>
      <c r="G308" s="3109"/>
      <c r="H308" s="3109"/>
      <c r="I308" s="3109"/>
      <c r="J308" s="3109"/>
      <c r="K308" s="3109"/>
      <c r="L308" s="3109"/>
      <c r="M308" s="3109"/>
      <c r="N308" s="3109"/>
      <c r="O308" s="3109"/>
      <c r="P308" s="3109"/>
      <c r="Q308" s="3109"/>
      <c r="R308" s="3109"/>
      <c r="S308" s="117"/>
    </row>
    <row r="349" spans="1:2" hidden="1" x14ac:dyDescent="0.25">
      <c r="A349" s="4030">
        <f>SUM(B13:B24,C29:C50,B59,B67,B75,B95:E95,B103:E103,B111:E111,B115:B116,B120:B122,C126:L141,B147:B175,B176:B181,B193,B204,B213,B216:B219,B247,B252:B254,B258:B284,B288:B308)</f>
        <v>0</v>
      </c>
      <c r="B349" s="4030">
        <f>SUM(CG13:CM212)</f>
        <v>0</v>
      </c>
    </row>
  </sheetData>
  <sheetProtection algorithmName="SHA-512" hashValue="/vA614mpBttXaSqyTDUpDmx0r0EH/QkCjOvhMFOWxzewkn/XPquCOC/LYOMxj8ujnpdAZyy1vZdaJH3X0vkSZg==" saltValue="rcs3wrAhjFF0pFAx/Trnfw==" spinCount="100000" sheet="1" objects="1" scenarios="1"/>
  <mergeCells count="141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P11:AP12"/>
    <mergeCell ref="AC11:AD11"/>
    <mergeCell ref="AE11:AF11"/>
    <mergeCell ref="AN11:AN12"/>
    <mergeCell ref="AO11:AO12"/>
    <mergeCell ref="AG11:AH11"/>
    <mergeCell ref="AI11:AJ11"/>
    <mergeCell ref="AK11:AL11"/>
    <mergeCell ref="AM11:AM12"/>
    <mergeCell ref="A26:A28"/>
    <mergeCell ref="B26:B28"/>
    <mergeCell ref="C26:E27"/>
    <mergeCell ref="F26:AM26"/>
    <mergeCell ref="AN26:AQ26"/>
    <mergeCell ref="F27:G27"/>
    <mergeCell ref="H27:I27"/>
    <mergeCell ref="AQ27:AQ28"/>
    <mergeCell ref="N27:O27"/>
    <mergeCell ref="P27:Q27"/>
    <mergeCell ref="R27:S27"/>
    <mergeCell ref="T27:U27"/>
    <mergeCell ref="AB27:AC27"/>
    <mergeCell ref="AD27:AE27"/>
    <mergeCell ref="AF27:AG27"/>
    <mergeCell ref="AH27:AI27"/>
    <mergeCell ref="AO27:AO28"/>
    <mergeCell ref="AP27:AP28"/>
    <mergeCell ref="J27:K27"/>
    <mergeCell ref="L27:M27"/>
    <mergeCell ref="T69:W69"/>
    <mergeCell ref="X69:Z69"/>
    <mergeCell ref="V27:W27"/>
    <mergeCell ref="X27:Y27"/>
    <mergeCell ref="Z27:AA27"/>
    <mergeCell ref="G52:H52"/>
    <mergeCell ref="AJ27:AK27"/>
    <mergeCell ref="AL27:AM27"/>
    <mergeCell ref="AN27:AN28"/>
    <mergeCell ref="T61:W61"/>
    <mergeCell ref="X61:Z61"/>
    <mergeCell ref="A113:A114"/>
    <mergeCell ref="B113:B114"/>
    <mergeCell ref="C113:F113"/>
    <mergeCell ref="G113:H113"/>
    <mergeCell ref="A61:A62"/>
    <mergeCell ref="B61:B62"/>
    <mergeCell ref="C61:S61"/>
    <mergeCell ref="A29:B29"/>
    <mergeCell ref="A30:A48"/>
    <mergeCell ref="A52:A53"/>
    <mergeCell ref="B52:B53"/>
    <mergeCell ref="C52:F52"/>
    <mergeCell ref="A69:A70"/>
    <mergeCell ref="B69:B70"/>
    <mergeCell ref="C69:S69"/>
    <mergeCell ref="A135:A140"/>
    <mergeCell ref="A144:A146"/>
    <mergeCell ref="B144:D145"/>
    <mergeCell ref="E144:AL144"/>
    <mergeCell ref="W145:X145"/>
    <mergeCell ref="Y145:Z145"/>
    <mergeCell ref="AA145:AB145"/>
    <mergeCell ref="A118:A119"/>
    <mergeCell ref="B118:B119"/>
    <mergeCell ref="C118:E118"/>
    <mergeCell ref="F118:F119"/>
    <mergeCell ref="G118:G119"/>
    <mergeCell ref="H118:K118"/>
    <mergeCell ref="A124:A125"/>
    <mergeCell ref="B124:B125"/>
    <mergeCell ref="C124:D124"/>
    <mergeCell ref="E124:F124"/>
    <mergeCell ref="G124:H124"/>
    <mergeCell ref="I124:J124"/>
    <mergeCell ref="K124:L124"/>
    <mergeCell ref="A126:A129"/>
    <mergeCell ref="A130:A134"/>
    <mergeCell ref="AM144:AO144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AN145:AO145"/>
    <mergeCell ref="AI145:AJ145"/>
    <mergeCell ref="AK145:AL145"/>
    <mergeCell ref="AM145:AM146"/>
    <mergeCell ref="AC145:AD145"/>
    <mergeCell ref="AE145:AF145"/>
    <mergeCell ref="AG145:AH145"/>
    <mergeCell ref="A286:A287"/>
    <mergeCell ref="B286:B287"/>
    <mergeCell ref="C286:S286"/>
    <mergeCell ref="A250:A251"/>
    <mergeCell ref="B250:B251"/>
    <mergeCell ref="A206:A208"/>
    <mergeCell ref="B206:B208"/>
    <mergeCell ref="C206:S207"/>
    <mergeCell ref="T206:X206"/>
    <mergeCell ref="T207:V207"/>
    <mergeCell ref="W207:X207"/>
    <mergeCell ref="C250:S250"/>
    <mergeCell ref="A256:A257"/>
    <mergeCell ref="B256:B257"/>
    <mergeCell ref="C256:S256"/>
    <mergeCell ref="T195:X195"/>
    <mergeCell ref="T196:V196"/>
    <mergeCell ref="W196:X196"/>
    <mergeCell ref="A183:A185"/>
    <mergeCell ref="B183:B185"/>
    <mergeCell ref="C183:S184"/>
    <mergeCell ref="T183:X183"/>
    <mergeCell ref="T184:V184"/>
    <mergeCell ref="W184:X184"/>
    <mergeCell ref="A195:A197"/>
    <mergeCell ref="B195:B197"/>
    <mergeCell ref="C195:S196"/>
  </mergeCells>
  <dataValidations count="5">
    <dataValidation allowBlank="1" showInputMessage="1" showErrorMessage="1" error="Valor no Permitido" sqref="T62 T70" xr:uid="{00000000-0002-0000-1400-000000000000}"/>
    <dataValidation type="whole" operator="greaterThanOrEqual" allowBlank="1" showInputMessage="1" showErrorMessage="1" sqref="C54:H59 C71:Z75" xr:uid="{00000000-0002-0000-1400-000001000000}">
      <formula1>0</formula1>
    </dataValidation>
    <dataValidation type="whole" operator="greaterThanOrEqual" allowBlank="1" showInputMessage="1" showErrorMessage="1" error="Valor no Permitido" sqref="B13:AS24 C288:S308 C63:Z67 B78:E95 B98:E103 B106:E110 C115:H116 C120:K122 C126:L141 E147:AO181 C186:X193 C198:X204 C209:X212 B216:B219 B222:B246 C252:S254 C258:S284 C29:AQ50" xr:uid="{00000000-0002-0000-1400-000002000000}">
      <formula1>0</formula1>
    </dataValidation>
    <dataValidation allowBlank="1" sqref="CA6:CF6 CA29:CF51" xr:uid="{00000000-0002-0000-1400-000003000000}"/>
    <dataValidation type="whole" allowBlank="1" showInputMessage="1" showErrorMessage="1" error="Valor no Permitido" sqref="CG6:CT6 F60 W61 F68 C177:D181 C144:D175 B142:B175 E146:AL146 CH29:CK51 CG28:CG51" xr:uid="{00000000-0002-0000-1400-000004000000}">
      <formula1>0</formula1>
      <formula2>1E+30</formula2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CZ198"/>
  <sheetViews>
    <sheetView showGridLines="0" zoomScaleNormal="100" workbookViewId="0"/>
  </sheetViews>
  <sheetFormatPr baseColWidth="10" defaultColWidth="11.42578125" defaultRowHeight="15" x14ac:dyDescent="0.25"/>
  <cols>
    <col min="1" max="1" width="71.28515625" customWidth="1"/>
    <col min="2" max="2" width="48.7109375" customWidth="1"/>
    <col min="3" max="4" width="19.140625" customWidth="1"/>
    <col min="5" max="6" width="12.5703125" customWidth="1"/>
    <col min="7" max="7" width="12.7109375" customWidth="1"/>
    <col min="12" max="12" width="13.7109375" customWidth="1"/>
    <col min="13" max="13" width="12.28515625" customWidth="1"/>
    <col min="14" max="14" width="15" customWidth="1"/>
    <col min="15" max="16" width="14.7109375" customWidth="1"/>
    <col min="73" max="77" width="13.28515625" customWidth="1"/>
    <col min="78" max="78" width="12" hidden="1" customWidth="1"/>
    <col min="79" max="85" width="11.42578125" hidden="1" customWidth="1"/>
    <col min="86" max="104" width="11.42578125" customWidth="1"/>
    <col min="105" max="105" width="12" customWidth="1"/>
  </cols>
  <sheetData>
    <row r="1" spans="1:104" x14ac:dyDescent="0.25">
      <c r="A1" s="779" t="s">
        <v>3878</v>
      </c>
    </row>
    <row r="2" spans="1:104" x14ac:dyDescent="0.25">
      <c r="A2" s="779" t="str">
        <f>CONCATENATE("COMUNA: ",NOMBRE!B2," - ","( ",NOMBRE!C2,NOMBRE!D2,NOMBRE!E2,NOMBRE!F2,NOMBRE!G2," )")</f>
        <v>COMUNA:  - (  )</v>
      </c>
    </row>
    <row r="3" spans="1:104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04" x14ac:dyDescent="0.25">
      <c r="A4" s="779" t="str">
        <f>CONCATENATE("MES: ",NOMBRE!B6," - ","( ",NOMBRE!C6,NOMBRE!D6," )")</f>
        <v>MES:  - (  )</v>
      </c>
    </row>
    <row r="5" spans="1:104" x14ac:dyDescent="0.25">
      <c r="A5" s="779" t="str">
        <f>CONCATENATE("AÑO: ",NOMBRE!B7)</f>
        <v>AÑO: 2024</v>
      </c>
    </row>
    <row r="6" spans="1:104" s="20" customFormat="1" ht="18" customHeight="1" x14ac:dyDescent="0.2">
      <c r="A6" s="7243" t="s">
        <v>3377</v>
      </c>
      <c r="B6" s="7243"/>
      <c r="C6" s="7243"/>
      <c r="D6" s="7243"/>
      <c r="E6" s="7243"/>
      <c r="F6" s="7243"/>
      <c r="G6" s="7243"/>
      <c r="H6" s="7243"/>
      <c r="I6" s="7243"/>
      <c r="J6" s="7243"/>
      <c r="K6" s="7243"/>
      <c r="L6" s="7243"/>
      <c r="M6" s="7243"/>
      <c r="N6" s="7243"/>
      <c r="O6" s="7243"/>
      <c r="P6" s="7243"/>
      <c r="Q6" s="7243"/>
      <c r="R6" s="7243"/>
      <c r="S6" s="7243"/>
      <c r="T6" s="7243"/>
      <c r="CA6" s="2586"/>
      <c r="CB6" s="2586"/>
      <c r="CC6" s="2586"/>
      <c r="CD6" s="2586"/>
      <c r="CE6" s="2586"/>
      <c r="CF6" s="2586"/>
      <c r="CG6" s="2586"/>
      <c r="CH6" s="2586"/>
      <c r="CI6" s="2586"/>
      <c r="CJ6" s="2586"/>
      <c r="CK6" s="2586"/>
      <c r="CL6" s="2586"/>
      <c r="CM6" s="2586"/>
      <c r="CN6" s="2586"/>
      <c r="CO6" s="2586"/>
      <c r="CP6" s="2586"/>
      <c r="CQ6" s="2586"/>
      <c r="CR6" s="2586"/>
      <c r="CS6" s="2586"/>
      <c r="CT6" s="2586"/>
      <c r="CU6" s="2586"/>
      <c r="CV6" s="2586"/>
      <c r="CW6" s="2586"/>
      <c r="CX6" s="2586"/>
      <c r="CY6" s="2586"/>
      <c r="CZ6" s="2586"/>
    </row>
    <row r="8" spans="1:104" ht="18" customHeight="1" x14ac:dyDescent="0.25">
      <c r="A8" s="4031" t="s">
        <v>3378</v>
      </c>
      <c r="B8" s="19"/>
      <c r="C8" s="15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104" ht="50.25" customHeight="1" x14ac:dyDescent="0.25">
      <c r="A9" s="7955" t="s">
        <v>3379</v>
      </c>
      <c r="B9" s="8463" t="s">
        <v>24</v>
      </c>
      <c r="C9" s="8464"/>
      <c r="D9" s="8465"/>
      <c r="E9" s="8466" t="s">
        <v>3380</v>
      </c>
      <c r="F9" s="8466"/>
      <c r="G9" s="8466" t="s">
        <v>4</v>
      </c>
      <c r="H9" s="8466"/>
      <c r="I9" s="8466" t="s">
        <v>944</v>
      </c>
      <c r="J9" s="8466"/>
      <c r="K9" s="8466" t="s">
        <v>945</v>
      </c>
      <c r="L9" s="8467"/>
      <c r="M9" s="8468" t="s">
        <v>3381</v>
      </c>
      <c r="N9" s="8469"/>
      <c r="O9" s="8469" t="s">
        <v>3382</v>
      </c>
      <c r="P9" s="8469"/>
      <c r="Q9" s="8469" t="s">
        <v>3383</v>
      </c>
      <c r="R9" s="8470"/>
      <c r="S9" s="8453" t="s">
        <v>2</v>
      </c>
      <c r="T9" s="8461" t="s">
        <v>3</v>
      </c>
    </row>
    <row r="10" spans="1:104" ht="21" x14ac:dyDescent="0.25">
      <c r="A10" s="6938"/>
      <c r="B10" s="4036" t="s">
        <v>26</v>
      </c>
      <c r="C10" s="4032" t="s">
        <v>22</v>
      </c>
      <c r="D10" s="4037" t="s">
        <v>27</v>
      </c>
      <c r="E10" s="4038" t="s">
        <v>22</v>
      </c>
      <c r="F10" s="4037" t="s">
        <v>27</v>
      </c>
      <c r="G10" s="4038" t="s">
        <v>22</v>
      </c>
      <c r="H10" s="4037" t="s">
        <v>27</v>
      </c>
      <c r="I10" s="4038" t="s">
        <v>22</v>
      </c>
      <c r="J10" s="4037" t="s">
        <v>27</v>
      </c>
      <c r="K10" s="4038" t="s">
        <v>22</v>
      </c>
      <c r="L10" s="4039" t="s">
        <v>27</v>
      </c>
      <c r="M10" s="4033" t="s">
        <v>218</v>
      </c>
      <c r="N10" s="4034" t="s">
        <v>242</v>
      </c>
      <c r="O10" s="4034" t="s">
        <v>218</v>
      </c>
      <c r="P10" s="4034" t="s">
        <v>242</v>
      </c>
      <c r="Q10" s="4035" t="s">
        <v>3384</v>
      </c>
      <c r="R10" s="4040" t="s">
        <v>3385</v>
      </c>
      <c r="S10" s="8454"/>
      <c r="T10" s="8462"/>
    </row>
    <row r="11" spans="1:104" x14ac:dyDescent="0.25">
      <c r="A11" s="4041" t="s">
        <v>3386</v>
      </c>
      <c r="B11" s="8455"/>
      <c r="C11" s="8456"/>
      <c r="D11" s="8456"/>
      <c r="E11" s="8456"/>
      <c r="F11" s="8456"/>
      <c r="G11" s="8456"/>
      <c r="H11" s="8456"/>
      <c r="I11" s="8456"/>
      <c r="J11" s="8456"/>
      <c r="K11" s="8456"/>
      <c r="L11" s="8456"/>
      <c r="M11" s="8456"/>
      <c r="N11" s="8456"/>
      <c r="O11" s="8456"/>
      <c r="P11" s="8456"/>
      <c r="Q11" s="8456"/>
      <c r="R11" s="8456"/>
      <c r="S11" s="8456"/>
      <c r="T11" s="8457"/>
      <c r="U11" s="18"/>
    </row>
    <row r="12" spans="1:104" x14ac:dyDescent="0.25">
      <c r="A12" s="4042" t="s">
        <v>3387</v>
      </c>
      <c r="B12" s="4043">
        <f>SUM(C12+D12)</f>
        <v>0</v>
      </c>
      <c r="C12" s="4043">
        <f t="shared" ref="C12:D15" si="0">SUM(E12+G12+I12+K12)</f>
        <v>0</v>
      </c>
      <c r="D12" s="4044">
        <f t="shared" si="0"/>
        <v>0</v>
      </c>
      <c r="E12" s="4045"/>
      <c r="F12" s="4046"/>
      <c r="G12" s="4045"/>
      <c r="H12" s="4046"/>
      <c r="I12" s="4045"/>
      <c r="J12" s="4046"/>
      <c r="K12" s="4045"/>
      <c r="L12" s="4047"/>
      <c r="M12" s="1107"/>
      <c r="N12" s="1761"/>
      <c r="O12" s="1761"/>
      <c r="P12" s="1761"/>
      <c r="Q12" s="4048"/>
      <c r="R12" s="4049"/>
      <c r="S12" s="1107"/>
      <c r="T12" s="1761"/>
      <c r="U12" s="1755" t="str">
        <f>CA12&amp;CB12</f>
        <v/>
      </c>
      <c r="AZ12" s="2718"/>
      <c r="BA12" s="2718"/>
      <c r="BB12" s="2718"/>
      <c r="BC12" s="2718"/>
      <c r="BD12" s="2718"/>
      <c r="BE12" s="2718"/>
      <c r="BF12" s="2718"/>
      <c r="BG12" s="2718"/>
      <c r="BH12" s="2718"/>
      <c r="BI12" s="2718"/>
      <c r="BJ12" s="2718"/>
      <c r="BK12" s="2718"/>
      <c r="BL12" s="2718"/>
      <c r="BM12" s="2718"/>
      <c r="BN12" s="2718"/>
      <c r="BO12" s="2718"/>
      <c r="BP12" s="2718"/>
      <c r="BQ12" s="2718"/>
      <c r="BR12" s="2718"/>
      <c r="BS12" s="2718"/>
      <c r="BT12" s="2718"/>
      <c r="BU12" s="2718"/>
      <c r="BV12" s="2718"/>
      <c r="BW12" s="2718"/>
      <c r="BX12" s="2718"/>
      <c r="BY12" s="2718"/>
      <c r="BZ12" s="2718"/>
      <c r="CA12" s="2873" t="str">
        <f>IF(AND($B12&lt;&gt;0,S12=""),"* No olvide ingresar la columna "&amp;S$9&amp;""&amp;" (Digite CERO si no tiene). ",IF(S12&gt;$B12,"* El Número de Pueblos Originarios no puede superar el Total. ",""))</f>
        <v/>
      </c>
      <c r="CB12" s="2873" t="str">
        <f>IF(AND($B12&lt;&gt;0,T12=""),"* No olvide ingresar la columna "&amp;T$9&amp;""&amp;" (Digite CERO si no tiene). ",IF(T12&gt;$B12,"* El Número de Migrantes no puede superar el Total. ",""))</f>
        <v/>
      </c>
      <c r="CC12" s="2718"/>
      <c r="CD12" s="2718"/>
      <c r="CE12" s="1793">
        <f>IF(AND($B12&lt;&gt;0,S12=""),1,IF(S12&gt;$B12,1,0))</f>
        <v>0</v>
      </c>
      <c r="CF12" s="1793">
        <f>IF(AND($B12&lt;&gt;0,T12=""),1,IF(T12&gt;$B12,1,0))</f>
        <v>0</v>
      </c>
    </row>
    <row r="13" spans="1:104" x14ac:dyDescent="0.25">
      <c r="A13" s="4050" t="s">
        <v>3388</v>
      </c>
      <c r="B13" s="1762">
        <f>SUM(C13+D13)</f>
        <v>0</v>
      </c>
      <c r="C13" s="1762">
        <f>SUM(E13+G13+I13+K13)</f>
        <v>0</v>
      </c>
      <c r="D13" s="1763">
        <f t="shared" si="0"/>
        <v>0</v>
      </c>
      <c r="E13" s="9"/>
      <c r="F13" s="11"/>
      <c r="G13" s="9"/>
      <c r="H13" s="11"/>
      <c r="I13" s="9"/>
      <c r="J13" s="11"/>
      <c r="K13" s="9"/>
      <c r="L13" s="1764"/>
      <c r="M13" s="11"/>
      <c r="N13" s="27"/>
      <c r="O13" s="27"/>
      <c r="P13" s="27"/>
      <c r="Q13" s="4051"/>
      <c r="R13" s="4052"/>
      <c r="S13" s="11"/>
      <c r="T13" s="27"/>
      <c r="U13" s="1755" t="str">
        <f t="shared" ref="U13:U15" si="1">CA13&amp;CB13</f>
        <v/>
      </c>
      <c r="AZ13" s="2718"/>
      <c r="BA13" s="2718"/>
      <c r="BB13" s="2718"/>
      <c r="BC13" s="2718"/>
      <c r="BD13" s="2718"/>
      <c r="BE13" s="2718"/>
      <c r="BF13" s="2718"/>
      <c r="BG13" s="2718"/>
      <c r="BH13" s="2718"/>
      <c r="BI13" s="2718"/>
      <c r="BJ13" s="2718"/>
      <c r="BK13" s="2718"/>
      <c r="BL13" s="2718"/>
      <c r="BM13" s="2718"/>
      <c r="BN13" s="2718"/>
      <c r="BO13" s="2718"/>
      <c r="BP13" s="2718"/>
      <c r="BQ13" s="2718"/>
      <c r="BR13" s="2718"/>
      <c r="BS13" s="2718"/>
      <c r="BT13" s="2718"/>
      <c r="BU13" s="2718"/>
      <c r="BV13" s="2718"/>
      <c r="BW13" s="2718"/>
      <c r="BX13" s="2718"/>
      <c r="BY13" s="2718"/>
      <c r="BZ13" s="2718"/>
      <c r="CA13" s="2873" t="str">
        <f t="shared" ref="CA13:CA15" si="2">IF(AND($B13&lt;&gt;0,S13=""),"* No olvide ingresar la columna "&amp;S$9&amp;""&amp;" (Digite CERO si no tiene). ",IF(S13&gt;$B13,"* El Número de Pueblos Originarios no puede superar el Total. ",""))</f>
        <v/>
      </c>
      <c r="CB13" s="2873" t="str">
        <f t="shared" ref="CB13:CB15" si="3">IF(AND($B13&lt;&gt;0,T13=""),"* No olvide ingresar la columna "&amp;T$9&amp;""&amp;" (Digite CERO si no tiene). ",IF(T13&gt;$B13,"* El Número de Migrantes no puede superar el Total. ",""))</f>
        <v/>
      </c>
      <c r="CC13" s="2718"/>
      <c r="CD13" s="2718"/>
      <c r="CE13" s="1793">
        <f t="shared" ref="CE13:CF15" si="4">IF(AND($B13&lt;&gt;0,S13=""),1,IF(S13&gt;$B13,1,0))</f>
        <v>0</v>
      </c>
      <c r="CF13" s="1793">
        <f t="shared" si="4"/>
        <v>0</v>
      </c>
    </row>
    <row r="14" spans="1:104" x14ac:dyDescent="0.25">
      <c r="A14" s="4050" t="s">
        <v>3389</v>
      </c>
      <c r="B14" s="3825">
        <f>SUM(C14+D14)</f>
        <v>0</v>
      </c>
      <c r="C14" s="3825">
        <f t="shared" si="0"/>
        <v>0</v>
      </c>
      <c r="D14" s="4053">
        <f t="shared" si="0"/>
        <v>0</v>
      </c>
      <c r="E14" s="4054"/>
      <c r="F14" s="4055"/>
      <c r="G14" s="4054"/>
      <c r="H14" s="4055"/>
      <c r="I14" s="4054"/>
      <c r="J14" s="4055"/>
      <c r="K14" s="4054"/>
      <c r="L14" s="4056"/>
      <c r="M14" s="4055"/>
      <c r="N14" s="4051"/>
      <c r="O14" s="4051"/>
      <c r="P14" s="4055"/>
      <c r="Q14" s="4051"/>
      <c r="R14" s="4057"/>
      <c r="S14" s="4055"/>
      <c r="T14" s="4055"/>
      <c r="U14" s="1755" t="str">
        <f t="shared" si="1"/>
        <v/>
      </c>
      <c r="AZ14" s="2718"/>
      <c r="BA14" s="2718"/>
      <c r="BB14" s="2718"/>
      <c r="BC14" s="2718"/>
      <c r="BD14" s="2718"/>
      <c r="BE14" s="2718"/>
      <c r="BF14" s="2718"/>
      <c r="BG14" s="2718"/>
      <c r="BH14" s="2718"/>
      <c r="BI14" s="2718"/>
      <c r="BJ14" s="2718"/>
      <c r="BK14" s="2718"/>
      <c r="BL14" s="2718"/>
      <c r="BM14" s="2718"/>
      <c r="BN14" s="2718"/>
      <c r="BO14" s="2718"/>
      <c r="BP14" s="2718"/>
      <c r="BQ14" s="2718"/>
      <c r="BR14" s="2718"/>
      <c r="BS14" s="2718"/>
      <c r="BT14" s="2718"/>
      <c r="BU14" s="2718"/>
      <c r="BV14" s="2718"/>
      <c r="BW14" s="2718"/>
      <c r="BX14" s="2718"/>
      <c r="BY14" s="2718"/>
      <c r="BZ14" s="2718"/>
      <c r="CA14" s="2873" t="str">
        <f t="shared" si="2"/>
        <v/>
      </c>
      <c r="CB14" s="2873" t="str">
        <f t="shared" si="3"/>
        <v/>
      </c>
      <c r="CC14" s="2718"/>
      <c r="CD14" s="2718"/>
      <c r="CE14" s="1793">
        <f t="shared" si="4"/>
        <v>0</v>
      </c>
      <c r="CF14" s="1793">
        <f t="shared" si="4"/>
        <v>0</v>
      </c>
    </row>
    <row r="15" spans="1:104" x14ac:dyDescent="0.25">
      <c r="A15" s="4050" t="s">
        <v>3390</v>
      </c>
      <c r="B15" s="1762">
        <f>SUM(C15+D15)</f>
        <v>0</v>
      </c>
      <c r="C15" s="1762">
        <f>SUM(E15+G15+I15+K15)</f>
        <v>0</v>
      </c>
      <c r="D15" s="1763">
        <f t="shared" si="0"/>
        <v>0</v>
      </c>
      <c r="E15" s="9"/>
      <c r="F15" s="11"/>
      <c r="G15" s="9"/>
      <c r="H15" s="11"/>
      <c r="I15" s="9"/>
      <c r="J15" s="11"/>
      <c r="K15" s="9"/>
      <c r="L15" s="1764"/>
      <c r="M15" s="11"/>
      <c r="N15" s="27"/>
      <c r="O15" s="27"/>
      <c r="P15" s="11"/>
      <c r="Q15" s="27"/>
      <c r="R15" s="4922"/>
      <c r="S15" s="11"/>
      <c r="T15" s="11"/>
      <c r="U15" s="1755" t="str">
        <f t="shared" si="1"/>
        <v/>
      </c>
      <c r="AZ15" s="2718"/>
      <c r="BA15" s="2718"/>
      <c r="BB15" s="2718"/>
      <c r="BC15" s="2718"/>
      <c r="BD15" s="2718"/>
      <c r="BE15" s="2718"/>
      <c r="BF15" s="2718"/>
      <c r="BG15" s="2718"/>
      <c r="BH15" s="2718"/>
      <c r="BI15" s="2718"/>
      <c r="BJ15" s="2718"/>
      <c r="BK15" s="2718"/>
      <c r="BL15" s="2718"/>
      <c r="BM15" s="2718"/>
      <c r="BN15" s="2718"/>
      <c r="BO15" s="2718"/>
      <c r="BP15" s="2718"/>
      <c r="BQ15" s="2718"/>
      <c r="BR15" s="2718"/>
      <c r="BS15" s="2718"/>
      <c r="BT15" s="2718"/>
      <c r="BU15" s="2718"/>
      <c r="BV15" s="2718"/>
      <c r="BW15" s="2718"/>
      <c r="BX15" s="2718"/>
      <c r="BY15" s="2718"/>
      <c r="BZ15" s="2718"/>
      <c r="CA15" s="2873" t="str">
        <f t="shared" si="2"/>
        <v/>
      </c>
      <c r="CB15" s="2873" t="str">
        <f t="shared" si="3"/>
        <v/>
      </c>
      <c r="CC15" s="2718"/>
      <c r="CD15" s="2718"/>
      <c r="CE15" s="1793">
        <f t="shared" si="4"/>
        <v>0</v>
      </c>
      <c r="CF15" s="1793">
        <f t="shared" si="4"/>
        <v>0</v>
      </c>
    </row>
    <row r="16" spans="1:104" x14ac:dyDescent="0.25">
      <c r="A16" s="4041" t="s">
        <v>3391</v>
      </c>
      <c r="B16" s="8458"/>
      <c r="C16" s="8459"/>
      <c r="D16" s="8459"/>
      <c r="E16" s="8459"/>
      <c r="F16" s="8459"/>
      <c r="G16" s="8459"/>
      <c r="H16" s="8459"/>
      <c r="I16" s="8459"/>
      <c r="J16" s="8459"/>
      <c r="K16" s="8459"/>
      <c r="L16" s="8459"/>
      <c r="M16" s="8459"/>
      <c r="N16" s="8459"/>
      <c r="O16" s="8459"/>
      <c r="P16" s="8459"/>
      <c r="Q16" s="8459"/>
      <c r="R16" s="8459"/>
      <c r="S16" s="8459"/>
      <c r="T16" s="8460"/>
    </row>
    <row r="17" spans="1:84" x14ac:dyDescent="0.25">
      <c r="A17" s="4060" t="s">
        <v>3392</v>
      </c>
      <c r="B17" s="4100">
        <f t="shared" ref="B17:B22" si="5">SUM(C17+D17)</f>
        <v>0</v>
      </c>
      <c r="C17" s="4100">
        <f t="shared" ref="C17:D22" si="6">SUM(E17+G17+I17+K17)</f>
        <v>0</v>
      </c>
      <c r="D17" s="4100">
        <f t="shared" si="6"/>
        <v>0</v>
      </c>
      <c r="E17" s="2201"/>
      <c r="F17" s="4544"/>
      <c r="G17" s="2201"/>
      <c r="H17" s="4544"/>
      <c r="I17" s="2201"/>
      <c r="J17" s="4544"/>
      <c r="K17" s="2201"/>
      <c r="L17" s="2202"/>
      <c r="M17" s="4923"/>
      <c r="N17" s="4083"/>
      <c r="O17" s="4083"/>
      <c r="P17" s="4923"/>
      <c r="Q17" s="1761"/>
      <c r="R17" s="4059"/>
      <c r="S17" s="1120"/>
      <c r="T17" s="1761"/>
      <c r="U17" s="1755" t="str">
        <f t="shared" ref="U17:U22" si="7">CA17&amp;CB17</f>
        <v/>
      </c>
      <c r="AZ17" s="2718"/>
      <c r="BA17" s="2718"/>
      <c r="BB17" s="2718"/>
      <c r="BC17" s="2718"/>
      <c r="BD17" s="2718"/>
      <c r="BE17" s="2718"/>
      <c r="BF17" s="2718"/>
      <c r="BG17" s="2718"/>
      <c r="BH17" s="2718"/>
      <c r="BI17" s="2718"/>
      <c r="BJ17" s="2718"/>
      <c r="BK17" s="2718"/>
      <c r="BL17" s="2718"/>
      <c r="BM17" s="2718"/>
      <c r="BN17" s="2718"/>
      <c r="BO17" s="2718"/>
      <c r="BP17" s="2718"/>
      <c r="BQ17" s="2718"/>
      <c r="BR17" s="2718"/>
      <c r="BS17" s="2718"/>
      <c r="BT17" s="2718"/>
      <c r="BU17" s="2718"/>
      <c r="BV17" s="2718"/>
      <c r="BW17" s="2718"/>
      <c r="BX17" s="2718"/>
      <c r="BY17" s="2718"/>
      <c r="BZ17" s="2718"/>
      <c r="CA17" s="2873" t="str">
        <f t="shared" ref="CA17:CA22" si="8">IF(AND($B17&lt;&gt;0,S17=""),"* No olvide ingresar la columna "&amp;S$9&amp;""&amp;" (Digite CERO si no tiene). ",IF(S17&gt;$B17,"* El Número de Pueblos Originarios no puede superar el Total. ",""))</f>
        <v/>
      </c>
      <c r="CB17" s="2873" t="str">
        <f t="shared" ref="CB17:CB22" si="9">IF(AND($B17&lt;&gt;0,T17=""),"* No olvide ingresar la columna "&amp;T$9&amp;""&amp;" (Digite CERO si no tiene). ",IF(T17&gt;$B17,"* El Número de Migrantes no puede superar el Total. ",""))</f>
        <v/>
      </c>
      <c r="CC17" s="2718"/>
      <c r="CD17" s="2718"/>
      <c r="CE17" s="1793">
        <f t="shared" ref="CE17:CF22" si="10">IF(AND($B17&lt;&gt;0,S17=""),1,IF(S17&gt;$B17,1,0))</f>
        <v>0</v>
      </c>
      <c r="CF17" s="1793">
        <f t="shared" si="10"/>
        <v>0</v>
      </c>
    </row>
    <row r="18" spans="1:84" x14ac:dyDescent="0.25">
      <c r="A18" s="4064" t="s">
        <v>3393</v>
      </c>
      <c r="B18" s="3825">
        <f t="shared" si="5"/>
        <v>0</v>
      </c>
      <c r="C18" s="3825">
        <f>SUM(E18+G18+I18+K18)</f>
        <v>0</v>
      </c>
      <c r="D18" s="3825">
        <f t="shared" si="6"/>
        <v>0</v>
      </c>
      <c r="E18" s="4054"/>
      <c r="F18" s="4055"/>
      <c r="G18" s="4054"/>
      <c r="H18" s="4055"/>
      <c r="I18" s="4054"/>
      <c r="J18" s="4055"/>
      <c r="K18" s="4054"/>
      <c r="L18" s="4056"/>
      <c r="M18" s="4065"/>
      <c r="N18" s="4063"/>
      <c r="O18" s="4063"/>
      <c r="P18" s="4062"/>
      <c r="Q18" s="4051"/>
      <c r="R18" s="4057"/>
      <c r="S18" s="4066"/>
      <c r="T18" s="4051"/>
      <c r="U18" s="1755" t="str">
        <f t="shared" si="7"/>
        <v/>
      </c>
      <c r="AZ18" s="2718"/>
      <c r="BA18" s="2718"/>
      <c r="BB18" s="2718"/>
      <c r="BC18" s="2718"/>
      <c r="BD18" s="2718"/>
      <c r="BE18" s="2718"/>
      <c r="BF18" s="2718"/>
      <c r="BG18" s="2718"/>
      <c r="BH18" s="2718"/>
      <c r="BI18" s="2718"/>
      <c r="BJ18" s="2718"/>
      <c r="BK18" s="2718"/>
      <c r="BL18" s="2718"/>
      <c r="BM18" s="2718"/>
      <c r="BN18" s="2718"/>
      <c r="BO18" s="2718"/>
      <c r="BP18" s="2718"/>
      <c r="BQ18" s="2718"/>
      <c r="BR18" s="2718"/>
      <c r="BS18" s="2718"/>
      <c r="BT18" s="2718"/>
      <c r="BU18" s="2718"/>
      <c r="BV18" s="2718"/>
      <c r="BW18" s="2718"/>
      <c r="BX18" s="2718"/>
      <c r="BY18" s="2718"/>
      <c r="BZ18" s="2718"/>
      <c r="CA18" s="2873" t="str">
        <f t="shared" si="8"/>
        <v/>
      </c>
      <c r="CB18" s="2873" t="str">
        <f t="shared" si="9"/>
        <v/>
      </c>
      <c r="CC18" s="2718"/>
      <c r="CD18" s="2718"/>
      <c r="CE18" s="1793">
        <f t="shared" si="10"/>
        <v>0</v>
      </c>
      <c r="CF18" s="1793">
        <f t="shared" si="10"/>
        <v>0</v>
      </c>
    </row>
    <row r="19" spans="1:84" x14ac:dyDescent="0.25">
      <c r="A19" s="4064" t="s">
        <v>3394</v>
      </c>
      <c r="B19" s="4067">
        <f t="shared" si="5"/>
        <v>0</v>
      </c>
      <c r="C19" s="4067">
        <f t="shared" si="6"/>
        <v>0</v>
      </c>
      <c r="D19" s="4067">
        <f t="shared" si="6"/>
        <v>0</v>
      </c>
      <c r="E19" s="4054"/>
      <c r="F19" s="4068"/>
      <c r="G19" s="4054"/>
      <c r="H19" s="4068"/>
      <c r="I19" s="4054"/>
      <c r="J19" s="4068"/>
      <c r="K19" s="4054"/>
      <c r="L19" s="4056"/>
      <c r="M19" s="4062"/>
      <c r="N19" s="4063"/>
      <c r="O19" s="4063"/>
      <c r="P19" s="4062"/>
      <c r="Q19" s="4051"/>
      <c r="R19" s="4057"/>
      <c r="S19" s="4066"/>
      <c r="T19" s="4051"/>
      <c r="U19" s="1755" t="str">
        <f t="shared" si="7"/>
        <v/>
      </c>
      <c r="AZ19" s="2718"/>
      <c r="BA19" s="2718"/>
      <c r="BB19" s="2718"/>
      <c r="BC19" s="2718"/>
      <c r="BD19" s="2718"/>
      <c r="BE19" s="2718"/>
      <c r="BF19" s="2718"/>
      <c r="BG19" s="2718"/>
      <c r="BH19" s="2718"/>
      <c r="BI19" s="2718"/>
      <c r="BJ19" s="2718"/>
      <c r="BK19" s="2718"/>
      <c r="BL19" s="2718"/>
      <c r="BM19" s="2718"/>
      <c r="BN19" s="2718"/>
      <c r="BO19" s="2718"/>
      <c r="BP19" s="2718"/>
      <c r="BQ19" s="2718"/>
      <c r="BR19" s="2718"/>
      <c r="BS19" s="2718"/>
      <c r="BT19" s="2718"/>
      <c r="BU19" s="2718"/>
      <c r="BV19" s="2718"/>
      <c r="BW19" s="2718"/>
      <c r="BX19" s="2718"/>
      <c r="BY19" s="2718"/>
      <c r="BZ19" s="2718"/>
      <c r="CA19" s="2873" t="str">
        <f t="shared" si="8"/>
        <v/>
      </c>
      <c r="CB19" s="2873" t="str">
        <f t="shared" si="9"/>
        <v/>
      </c>
      <c r="CC19" s="2718"/>
      <c r="CD19" s="2718"/>
      <c r="CE19" s="1793">
        <f t="shared" si="10"/>
        <v>0</v>
      </c>
      <c r="CF19" s="1793">
        <f t="shared" si="10"/>
        <v>0</v>
      </c>
    </row>
    <row r="20" spans="1:84" x14ac:dyDescent="0.25">
      <c r="A20" s="4064" t="s">
        <v>3395</v>
      </c>
      <c r="B20" s="3825">
        <f t="shared" si="5"/>
        <v>0</v>
      </c>
      <c r="C20" s="3825">
        <f t="shared" si="6"/>
        <v>0</v>
      </c>
      <c r="D20" s="3825">
        <f t="shared" si="6"/>
        <v>0</v>
      </c>
      <c r="E20" s="4054"/>
      <c r="F20" s="4069"/>
      <c r="G20" s="4054"/>
      <c r="H20" s="4069"/>
      <c r="I20" s="4054"/>
      <c r="J20" s="4069"/>
      <c r="K20" s="4054"/>
      <c r="L20" s="4070"/>
      <c r="M20" s="4062"/>
      <c r="N20" s="4063"/>
      <c r="O20" s="4063"/>
      <c r="P20" s="4062"/>
      <c r="Q20" s="4051"/>
      <c r="R20" s="4057"/>
      <c r="S20" s="4066"/>
      <c r="T20" s="4051"/>
      <c r="U20" s="1755" t="str">
        <f t="shared" si="7"/>
        <v/>
      </c>
      <c r="AZ20" s="2718"/>
      <c r="BA20" s="2718"/>
      <c r="BB20" s="2718"/>
      <c r="BC20" s="2718"/>
      <c r="BD20" s="2718"/>
      <c r="BE20" s="2718"/>
      <c r="BF20" s="2718"/>
      <c r="BG20" s="2718"/>
      <c r="BH20" s="2718"/>
      <c r="BI20" s="2718"/>
      <c r="BJ20" s="2718"/>
      <c r="BK20" s="2718"/>
      <c r="BL20" s="2718"/>
      <c r="BM20" s="2718"/>
      <c r="BN20" s="2718"/>
      <c r="BO20" s="2718"/>
      <c r="BP20" s="2718"/>
      <c r="BQ20" s="2718"/>
      <c r="BR20" s="2718"/>
      <c r="BS20" s="2718"/>
      <c r="BT20" s="2718"/>
      <c r="BU20" s="2718"/>
      <c r="BV20" s="2718"/>
      <c r="BW20" s="2718"/>
      <c r="BX20" s="2718"/>
      <c r="BY20" s="2718"/>
      <c r="BZ20" s="2718"/>
      <c r="CA20" s="2873" t="str">
        <f t="shared" si="8"/>
        <v/>
      </c>
      <c r="CB20" s="2873" t="str">
        <f t="shared" si="9"/>
        <v/>
      </c>
      <c r="CC20" s="2718"/>
      <c r="CD20" s="2718"/>
      <c r="CE20" s="1793">
        <f t="shared" si="10"/>
        <v>0</v>
      </c>
      <c r="CF20" s="1793">
        <f t="shared" si="10"/>
        <v>0</v>
      </c>
    </row>
    <row r="21" spans="1:84" x14ac:dyDescent="0.25">
      <c r="A21" s="4071" t="s">
        <v>3396</v>
      </c>
      <c r="B21" s="3825">
        <f t="shared" si="5"/>
        <v>0</v>
      </c>
      <c r="C21" s="3825">
        <f t="shared" si="6"/>
        <v>0</v>
      </c>
      <c r="D21" s="3825">
        <f t="shared" si="6"/>
        <v>0</v>
      </c>
      <c r="E21" s="4054"/>
      <c r="F21" s="4069"/>
      <c r="G21" s="4054"/>
      <c r="H21" s="4069"/>
      <c r="I21" s="4054"/>
      <c r="J21" s="4069"/>
      <c r="K21" s="4054"/>
      <c r="L21" s="4070"/>
      <c r="M21" s="4062"/>
      <c r="N21" s="4063"/>
      <c r="O21" s="4063"/>
      <c r="P21" s="4062"/>
      <c r="Q21" s="4051"/>
      <c r="R21" s="4057"/>
      <c r="S21" s="4066"/>
      <c r="T21" s="4051"/>
      <c r="U21" s="1755" t="str">
        <f t="shared" si="7"/>
        <v/>
      </c>
      <c r="AZ21" s="2718"/>
      <c r="BA21" s="2718"/>
      <c r="BB21" s="2718"/>
      <c r="BC21" s="2718"/>
      <c r="BD21" s="2718"/>
      <c r="BE21" s="2718"/>
      <c r="BF21" s="2718"/>
      <c r="BG21" s="2718"/>
      <c r="BH21" s="2718"/>
      <c r="BI21" s="2718"/>
      <c r="BJ21" s="2718"/>
      <c r="BK21" s="2718"/>
      <c r="BL21" s="2718"/>
      <c r="BM21" s="2718"/>
      <c r="BN21" s="2718"/>
      <c r="BO21" s="2718"/>
      <c r="BP21" s="2718"/>
      <c r="BQ21" s="2718"/>
      <c r="BR21" s="2718"/>
      <c r="BS21" s="2718"/>
      <c r="BT21" s="2718"/>
      <c r="BU21" s="2718"/>
      <c r="BV21" s="2718"/>
      <c r="BW21" s="2718"/>
      <c r="BX21" s="2718"/>
      <c r="BY21" s="2718"/>
      <c r="BZ21" s="2718"/>
      <c r="CA21" s="2873" t="str">
        <f t="shared" si="8"/>
        <v/>
      </c>
      <c r="CB21" s="2873" t="str">
        <f t="shared" si="9"/>
        <v/>
      </c>
      <c r="CC21" s="2718"/>
      <c r="CD21" s="2718"/>
      <c r="CE21" s="1793">
        <f t="shared" si="10"/>
        <v>0</v>
      </c>
      <c r="CF21" s="1793">
        <f t="shared" si="10"/>
        <v>0</v>
      </c>
    </row>
    <row r="22" spans="1:84" x14ac:dyDescent="0.25">
      <c r="A22" s="4072" t="s">
        <v>79</v>
      </c>
      <c r="B22" s="1762">
        <f t="shared" si="5"/>
        <v>0</v>
      </c>
      <c r="C22" s="1762">
        <f t="shared" si="6"/>
        <v>0</v>
      </c>
      <c r="D22" s="1762">
        <f t="shared" si="6"/>
        <v>0</v>
      </c>
      <c r="E22" s="9"/>
      <c r="F22" s="25"/>
      <c r="G22" s="9"/>
      <c r="H22" s="25"/>
      <c r="I22" s="9"/>
      <c r="J22" s="25"/>
      <c r="K22" s="9"/>
      <c r="L22" s="23"/>
      <c r="M22" s="4924"/>
      <c r="N22" s="4075"/>
      <c r="O22" s="4075"/>
      <c r="P22" s="4924"/>
      <c r="Q22" s="4075"/>
      <c r="R22" s="4922"/>
      <c r="S22" s="24"/>
      <c r="T22" s="27"/>
      <c r="U22" s="1755" t="str">
        <f t="shared" si="7"/>
        <v/>
      </c>
      <c r="AZ22" s="2718"/>
      <c r="BA22" s="2718"/>
      <c r="BB22" s="2718"/>
      <c r="BC22" s="2718"/>
      <c r="BD22" s="2718"/>
      <c r="BE22" s="2718"/>
      <c r="BF22" s="2718"/>
      <c r="BG22" s="2718"/>
      <c r="BH22" s="2718"/>
      <c r="BI22" s="2718"/>
      <c r="BJ22" s="2718"/>
      <c r="BK22" s="2718"/>
      <c r="BL22" s="2718"/>
      <c r="BM22" s="2718"/>
      <c r="BN22" s="2718"/>
      <c r="BO22" s="2718"/>
      <c r="BP22" s="2718"/>
      <c r="BQ22" s="2718"/>
      <c r="BR22" s="2718"/>
      <c r="BS22" s="2718"/>
      <c r="BT22" s="2718"/>
      <c r="BU22" s="2718"/>
      <c r="BV22" s="2718"/>
      <c r="BW22" s="2718"/>
      <c r="BX22" s="2718"/>
      <c r="BY22" s="2718"/>
      <c r="BZ22" s="2718"/>
      <c r="CA22" s="2873" t="str">
        <f t="shared" si="8"/>
        <v/>
      </c>
      <c r="CB22" s="2873" t="str">
        <f t="shared" si="9"/>
        <v/>
      </c>
      <c r="CC22" s="2718"/>
      <c r="CD22" s="2718"/>
      <c r="CE22" s="1793">
        <f t="shared" si="10"/>
        <v>0</v>
      </c>
      <c r="CF22" s="1793">
        <f t="shared" si="10"/>
        <v>0</v>
      </c>
    </row>
    <row r="23" spans="1:84" x14ac:dyDescent="0.25">
      <c r="A23" s="4076" t="s">
        <v>3397</v>
      </c>
      <c r="B23" s="8458"/>
      <c r="C23" s="8459"/>
      <c r="D23" s="8459"/>
      <c r="E23" s="8459"/>
      <c r="F23" s="8459"/>
      <c r="G23" s="8459"/>
      <c r="H23" s="8459"/>
      <c r="I23" s="8459"/>
      <c r="J23" s="8459"/>
      <c r="K23" s="8459"/>
      <c r="L23" s="8459"/>
      <c r="M23" s="8459"/>
      <c r="N23" s="8459"/>
      <c r="O23" s="8459"/>
      <c r="P23" s="8459"/>
      <c r="Q23" s="8459"/>
      <c r="R23" s="8459"/>
      <c r="S23" s="8459"/>
      <c r="T23" s="8460"/>
    </row>
    <row r="24" spans="1:84" x14ac:dyDescent="0.25">
      <c r="A24" s="4079" t="s">
        <v>3398</v>
      </c>
      <c r="B24" s="4080">
        <f>SUM(C24+D24)</f>
        <v>0</v>
      </c>
      <c r="C24" s="4080">
        <f>SUM(E24+G24+I24+K24)</f>
        <v>0</v>
      </c>
      <c r="D24" s="4080">
        <f>SUM(F24+H24+J24+L24)</f>
        <v>0</v>
      </c>
      <c r="E24" s="4081"/>
      <c r="F24" s="2376"/>
      <c r="G24" s="4081"/>
      <c r="H24" s="2376"/>
      <c r="I24" s="4081"/>
      <c r="J24" s="2376"/>
      <c r="K24" s="4081"/>
      <c r="L24" s="1612"/>
      <c r="M24" s="4082"/>
      <c r="N24" s="4083"/>
      <c r="O24" s="4083"/>
      <c r="P24" s="4082"/>
      <c r="Q24" s="1761"/>
      <c r="R24" s="4059"/>
      <c r="S24" s="1120"/>
      <c r="T24" s="1761"/>
      <c r="U24" s="1755" t="str">
        <f t="shared" ref="U24:U25" si="11">CA24&amp;CB24</f>
        <v/>
      </c>
      <c r="AZ24" s="2718"/>
      <c r="BA24" s="2718"/>
      <c r="BB24" s="2718"/>
      <c r="BC24" s="2718"/>
      <c r="BD24" s="2718"/>
      <c r="BE24" s="2718"/>
      <c r="BF24" s="2718"/>
      <c r="BG24" s="2718"/>
      <c r="BH24" s="2718"/>
      <c r="BI24" s="2718"/>
      <c r="BJ24" s="2718"/>
      <c r="BK24" s="2718"/>
      <c r="BL24" s="2718"/>
      <c r="BM24" s="2718"/>
      <c r="BN24" s="2718"/>
      <c r="BO24" s="2718"/>
      <c r="BP24" s="2718"/>
      <c r="BQ24" s="2718"/>
      <c r="BR24" s="2718"/>
      <c r="BS24" s="2718"/>
      <c r="BT24" s="2718"/>
      <c r="BU24" s="2718"/>
      <c r="BV24" s="2718"/>
      <c r="BW24" s="2718"/>
      <c r="BX24" s="2718"/>
      <c r="BY24" s="2718"/>
      <c r="BZ24" s="2718"/>
      <c r="CA24" s="2873" t="str">
        <f t="shared" ref="CA24:CA25" si="12">IF(AND($B24&lt;&gt;0,S24=""),"* No olvide ingresar la columna "&amp;S$9&amp;""&amp;" (Digite CERO si no tiene). ",IF(S24&gt;$B24,"* El Número de Pueblos Originarios no puede superar el Total. ",""))</f>
        <v/>
      </c>
      <c r="CB24" s="2873" t="str">
        <f t="shared" ref="CB24:CB25" si="13">IF(AND($B24&lt;&gt;0,T24=""),"* No olvide ingresar la columna "&amp;T$9&amp;""&amp;" (Digite CERO si no tiene). ",IF(T24&gt;$B24,"* El Número de Migrantes no puede superar el Total. ",""))</f>
        <v/>
      </c>
      <c r="CC24" s="2718"/>
      <c r="CD24" s="2718"/>
      <c r="CE24" s="1793">
        <f t="shared" ref="CE24:CF25" si="14">IF(AND($B24&lt;&gt;0,S24=""),1,IF(S24&gt;$B24,1,0))</f>
        <v>0</v>
      </c>
      <c r="CF24" s="1793">
        <f t="shared" si="14"/>
        <v>0</v>
      </c>
    </row>
    <row r="25" spans="1:84" x14ac:dyDescent="0.25">
      <c r="A25" s="18" t="s">
        <v>3399</v>
      </c>
      <c r="B25" s="1762">
        <f>SUM(C25+D25)</f>
        <v>0</v>
      </c>
      <c r="C25" s="1762">
        <f>SUM(E25+G25+I25+K25)</f>
        <v>0</v>
      </c>
      <c r="D25" s="1762">
        <f>SUM(F25+H25+J25+L25)</f>
        <v>0</v>
      </c>
      <c r="E25" s="9"/>
      <c r="F25" s="11"/>
      <c r="G25" s="9"/>
      <c r="H25" s="11"/>
      <c r="I25" s="9"/>
      <c r="J25" s="11"/>
      <c r="K25" s="9"/>
      <c r="L25" s="1764"/>
      <c r="M25" s="4924"/>
      <c r="N25" s="4075"/>
      <c r="O25" s="4075"/>
      <c r="P25" s="4924"/>
      <c r="Q25" s="4075"/>
      <c r="R25" s="4922"/>
      <c r="S25" s="24"/>
      <c r="T25" s="27"/>
      <c r="U25" s="1755" t="str">
        <f t="shared" si="11"/>
        <v/>
      </c>
      <c r="AZ25" s="2718"/>
      <c r="BA25" s="2718"/>
      <c r="BB25" s="2718"/>
      <c r="BC25" s="2718"/>
      <c r="BD25" s="2718"/>
      <c r="BE25" s="2718"/>
      <c r="BF25" s="2718"/>
      <c r="BG25" s="2718"/>
      <c r="BH25" s="2718"/>
      <c r="BI25" s="2718"/>
      <c r="BJ25" s="2718"/>
      <c r="BK25" s="2718"/>
      <c r="BL25" s="2718"/>
      <c r="BM25" s="2718"/>
      <c r="BN25" s="2718"/>
      <c r="BO25" s="2718"/>
      <c r="BP25" s="2718"/>
      <c r="BQ25" s="2718"/>
      <c r="BR25" s="2718"/>
      <c r="BS25" s="2718"/>
      <c r="BT25" s="2718"/>
      <c r="BU25" s="2718"/>
      <c r="BV25" s="2718"/>
      <c r="BW25" s="2718"/>
      <c r="BX25" s="2718"/>
      <c r="BY25" s="2718"/>
      <c r="BZ25" s="2718"/>
      <c r="CA25" s="2873" t="str">
        <f t="shared" si="12"/>
        <v/>
      </c>
      <c r="CB25" s="2873" t="str">
        <f t="shared" si="13"/>
        <v/>
      </c>
      <c r="CC25" s="2718"/>
      <c r="CD25" s="2718"/>
      <c r="CE25" s="1793">
        <f t="shared" si="14"/>
        <v>0</v>
      </c>
      <c r="CF25" s="1793">
        <f t="shared" si="14"/>
        <v>0</v>
      </c>
    </row>
    <row r="26" spans="1:84" x14ac:dyDescent="0.25">
      <c r="A26" s="4076" t="s">
        <v>3400</v>
      </c>
      <c r="B26" s="8458"/>
      <c r="C26" s="8459"/>
      <c r="D26" s="8459"/>
      <c r="E26" s="8459"/>
      <c r="F26" s="8459"/>
      <c r="G26" s="8459"/>
      <c r="H26" s="8459"/>
      <c r="I26" s="8459"/>
      <c r="J26" s="8459"/>
      <c r="K26" s="8459"/>
      <c r="L26" s="8459"/>
      <c r="M26" s="8459"/>
      <c r="N26" s="8459"/>
      <c r="O26" s="8459"/>
      <c r="P26" s="8459"/>
      <c r="Q26" s="8459"/>
      <c r="R26" s="8459"/>
      <c r="S26" s="8459"/>
      <c r="T26" s="8460"/>
    </row>
    <row r="27" spans="1:84" x14ac:dyDescent="0.25">
      <c r="A27" s="4079" t="s">
        <v>3401</v>
      </c>
      <c r="B27" s="4100">
        <f>SUM(C27+D27)</f>
        <v>0</v>
      </c>
      <c r="C27" s="4152">
        <f>SUM(E27+G27+I27+K27)</f>
        <v>0</v>
      </c>
      <c r="D27" s="4152">
        <f>SUM(F27+H27+J27+L27)</f>
        <v>0</v>
      </c>
      <c r="E27" s="2201"/>
      <c r="F27" s="4544"/>
      <c r="G27" s="1120"/>
      <c r="H27" s="4544"/>
      <c r="I27" s="2201"/>
      <c r="J27" s="4544"/>
      <c r="K27" s="2201"/>
      <c r="L27" s="2202"/>
      <c r="M27" s="4923"/>
      <c r="N27" s="4083"/>
      <c r="O27" s="4083"/>
      <c r="P27" s="4923"/>
      <c r="Q27" s="1761"/>
      <c r="R27" s="1481"/>
      <c r="S27" s="1120"/>
      <c r="T27" s="1761"/>
      <c r="U27" s="1755" t="str">
        <f t="shared" ref="U27:U28" si="15">CA27&amp;CB27</f>
        <v/>
      </c>
      <c r="AZ27" s="2718"/>
      <c r="BA27" s="2718"/>
      <c r="BB27" s="2718"/>
      <c r="BC27" s="2718"/>
      <c r="BD27" s="2718"/>
      <c r="BE27" s="2718"/>
      <c r="BF27" s="2718"/>
      <c r="BG27" s="2718"/>
      <c r="BH27" s="2718"/>
      <c r="BI27" s="2718"/>
      <c r="BJ27" s="2718"/>
      <c r="BK27" s="2718"/>
      <c r="BL27" s="2718"/>
      <c r="BM27" s="2718"/>
      <c r="BN27" s="2718"/>
      <c r="BO27" s="2718"/>
      <c r="BP27" s="2718"/>
      <c r="BQ27" s="2718"/>
      <c r="BR27" s="2718"/>
      <c r="BS27" s="2718"/>
      <c r="BT27" s="2718"/>
      <c r="BU27" s="2718"/>
      <c r="BV27" s="2718"/>
      <c r="BW27" s="2718"/>
      <c r="BX27" s="2718"/>
      <c r="BY27" s="2718"/>
      <c r="BZ27" s="2718"/>
      <c r="CA27" s="2873" t="str">
        <f t="shared" ref="CA27:CA28" si="16">IF(AND($B27&lt;&gt;0,S27=""),"* No olvide ingresar la columna "&amp;S$9&amp;""&amp;" (Digite CERO si no tiene). ",IF(S27&gt;$B27,"* El Número de Pueblos Originarios no puede superar el Total. ",""))</f>
        <v/>
      </c>
      <c r="CB27" s="2873" t="str">
        <f t="shared" ref="CB27:CB28" si="17">IF(AND($B27&lt;&gt;0,T27=""),"* No olvide ingresar la columna "&amp;T$9&amp;""&amp;" (Digite CERO si no tiene). ",IF(T27&gt;$B27,"* El Número de Migrantes no puede superar el Total. ",""))</f>
        <v/>
      </c>
      <c r="CC27" s="2718"/>
      <c r="CD27" s="2718"/>
      <c r="CE27" s="1793">
        <f t="shared" ref="CE27:CF28" si="18">IF(AND($B27&lt;&gt;0,S27=""),1,IF(S27&gt;$B27,1,0))</f>
        <v>0</v>
      </c>
      <c r="CF27" s="1793">
        <f t="shared" si="18"/>
        <v>0</v>
      </c>
    </row>
    <row r="28" spans="1:84" x14ac:dyDescent="0.25">
      <c r="A28" s="4072" t="s">
        <v>3402</v>
      </c>
      <c r="B28" s="2448">
        <f>SUM(C28+D28)</f>
        <v>0</v>
      </c>
      <c r="C28" s="38">
        <f>SUM(E28+G28+I28+K28)</f>
        <v>0</v>
      </c>
      <c r="D28" s="38">
        <f>SUM(F28+H28+J28+L28)</f>
        <v>0</v>
      </c>
      <c r="E28" s="3"/>
      <c r="F28" s="2849"/>
      <c r="G28" s="3"/>
      <c r="H28" s="4073"/>
      <c r="I28" s="3"/>
      <c r="J28" s="4073"/>
      <c r="K28" s="3"/>
      <c r="L28" s="4074"/>
      <c r="M28" s="4077"/>
      <c r="N28" s="4078"/>
      <c r="O28" s="4078"/>
      <c r="P28" s="4077"/>
      <c r="Q28" s="3"/>
      <c r="R28" s="1121"/>
      <c r="S28" s="21"/>
      <c r="T28" s="30"/>
      <c r="U28" s="1755" t="str">
        <f t="shared" si="15"/>
        <v/>
      </c>
      <c r="AZ28" s="2718"/>
      <c r="BA28" s="2718"/>
      <c r="BB28" s="2718"/>
      <c r="BC28" s="2718"/>
      <c r="BD28" s="2718"/>
      <c r="BE28" s="2718"/>
      <c r="BF28" s="2718"/>
      <c r="BG28" s="2718"/>
      <c r="BH28" s="2718"/>
      <c r="BI28" s="2718"/>
      <c r="BJ28" s="2718"/>
      <c r="BK28" s="2718"/>
      <c r="BL28" s="2718"/>
      <c r="BM28" s="2718"/>
      <c r="BN28" s="2718"/>
      <c r="BO28" s="2718"/>
      <c r="BP28" s="2718"/>
      <c r="BQ28" s="2718"/>
      <c r="BR28" s="2718"/>
      <c r="BS28" s="2718"/>
      <c r="BT28" s="2718"/>
      <c r="BU28" s="2718"/>
      <c r="BV28" s="2718"/>
      <c r="BW28" s="2718"/>
      <c r="BX28" s="2718"/>
      <c r="BY28" s="2718"/>
      <c r="BZ28" s="2718"/>
      <c r="CA28" s="2873" t="str">
        <f t="shared" si="16"/>
        <v/>
      </c>
      <c r="CB28" s="2873" t="str">
        <f t="shared" si="17"/>
        <v/>
      </c>
      <c r="CC28" s="2718"/>
      <c r="CD28" s="2718"/>
      <c r="CE28" s="1793">
        <f t="shared" si="18"/>
        <v>0</v>
      </c>
      <c r="CF28" s="1793">
        <f t="shared" si="18"/>
        <v>0</v>
      </c>
    </row>
    <row r="29" spans="1:84" ht="18" customHeight="1" x14ac:dyDescent="0.25">
      <c r="A29" s="4031" t="s">
        <v>3403</v>
      </c>
      <c r="B29" s="19"/>
      <c r="C29" s="15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84" x14ac:dyDescent="0.25">
      <c r="A30" s="7883" t="s">
        <v>3404</v>
      </c>
      <c r="B30" s="6989"/>
      <c r="C30" s="7883" t="s">
        <v>24</v>
      </c>
      <c r="D30" s="8463" t="s">
        <v>1468</v>
      </c>
      <c r="E30" s="8464"/>
      <c r="F30" s="8464"/>
      <c r="G30" s="8464"/>
      <c r="H30" s="8464"/>
      <c r="I30" s="8464"/>
      <c r="J30" s="8464"/>
      <c r="K30" s="8464"/>
      <c r="L30" s="8472"/>
      <c r="M30" s="8451" t="s">
        <v>946</v>
      </c>
      <c r="N30" s="8451"/>
      <c r="O30" s="8452"/>
      <c r="P30" s="8453" t="s">
        <v>2</v>
      </c>
      <c r="Q30" s="8461" t="s">
        <v>3</v>
      </c>
    </row>
    <row r="31" spans="1:84" ht="21" x14ac:dyDescent="0.25">
      <c r="A31" s="8471"/>
      <c r="B31" s="6813"/>
      <c r="C31" s="6990"/>
      <c r="D31" s="4038" t="s">
        <v>3405</v>
      </c>
      <c r="E31" s="4084" t="s">
        <v>3733</v>
      </c>
      <c r="F31" s="3841" t="s">
        <v>11</v>
      </c>
      <c r="G31" s="3841" t="s">
        <v>18</v>
      </c>
      <c r="H31" s="3841" t="s">
        <v>19</v>
      </c>
      <c r="I31" s="3841" t="s">
        <v>20</v>
      </c>
      <c r="J31" s="3841" t="s">
        <v>70</v>
      </c>
      <c r="K31" s="3841" t="s">
        <v>71</v>
      </c>
      <c r="L31" s="2612" t="s">
        <v>32</v>
      </c>
      <c r="M31" s="2647" t="s">
        <v>947</v>
      </c>
      <c r="N31" s="3096" t="s">
        <v>3406</v>
      </c>
      <c r="O31" s="4085" t="s">
        <v>3407</v>
      </c>
      <c r="P31" s="8454"/>
      <c r="Q31" s="8462"/>
    </row>
    <row r="32" spans="1:84" x14ac:dyDescent="0.25">
      <c r="A32" s="7889" t="s">
        <v>3408</v>
      </c>
      <c r="B32" s="4086" t="s">
        <v>948</v>
      </c>
      <c r="C32" s="4087">
        <f t="shared" ref="C32:C57" si="19">SUM(D32:L32)</f>
        <v>0</v>
      </c>
      <c r="D32" s="4088"/>
      <c r="E32" s="4089"/>
      <c r="F32" s="4089"/>
      <c r="G32" s="4089"/>
      <c r="H32" s="4089"/>
      <c r="I32" s="4089"/>
      <c r="J32" s="4089"/>
      <c r="K32" s="4089"/>
      <c r="L32" s="4090"/>
      <c r="M32" s="4091"/>
      <c r="N32" s="4092"/>
      <c r="O32" s="4093"/>
      <c r="P32" s="4094"/>
      <c r="Q32" s="4095"/>
      <c r="R32" s="1755" t="str">
        <f>CA32&amp;CB32</f>
        <v/>
      </c>
      <c r="AW32" s="2718"/>
      <c r="AX32" s="2718"/>
      <c r="AY32" s="2718"/>
      <c r="AZ32" s="2718"/>
      <c r="BA32" s="2718"/>
      <c r="BB32" s="2718"/>
      <c r="BC32" s="2718"/>
      <c r="BD32" s="2718"/>
      <c r="BE32" s="2718"/>
      <c r="BF32" s="2718"/>
      <c r="BG32" s="2718"/>
      <c r="BH32" s="2718"/>
      <c r="BI32" s="2718"/>
      <c r="BJ32" s="2718"/>
      <c r="BK32" s="2718"/>
      <c r="BL32" s="2718"/>
      <c r="BM32" s="2718"/>
      <c r="BN32" s="2718"/>
      <c r="BO32" s="2718"/>
      <c r="BP32" s="2718"/>
      <c r="BQ32" s="2718"/>
      <c r="BR32" s="2718"/>
      <c r="BS32" s="2718"/>
      <c r="BT32" s="2718"/>
      <c r="BU32" s="2718"/>
      <c r="BV32" s="2718"/>
      <c r="BW32" s="2718"/>
      <c r="BX32" s="2718"/>
      <c r="BY32" s="2718"/>
      <c r="BZ32" s="2718"/>
      <c r="CA32" s="2873" t="str">
        <f>IF(AND($C32&lt;&gt;0,P32=""),"* No olvide ingresar la columna "&amp;P$30&amp;""&amp;" (Digite CERO si no tiene). ",IF(P32&gt;$C32,"* El Número de Pueblos Originarios no puede superar el Total. ",""))</f>
        <v/>
      </c>
      <c r="CB32" s="2873" t="str">
        <f>IF(AND($C32&lt;&gt;0,Q32=""),"* No olvide ingresar la columna "&amp;Q$30&amp;""&amp;" (Digite CERO si no tiene). ",IF(Q32&gt;$C32,"* El Número de Migrantes no puede superar el Total. ",""))</f>
        <v/>
      </c>
      <c r="CC32" s="2718"/>
      <c r="CD32" s="2718"/>
      <c r="CE32" s="1793">
        <f>IF(AND($C32&lt;&gt;0,P32=""),1,IF(P32&gt;$C32,1,0))</f>
        <v>0</v>
      </c>
      <c r="CF32" s="1793">
        <f>IF(AND($C32&lt;&gt;0,Q32=""),1,IF(Q32&gt;$C32,1,0))</f>
        <v>0</v>
      </c>
    </row>
    <row r="33" spans="1:84" x14ac:dyDescent="0.25">
      <c r="A33" s="8445"/>
      <c r="B33" s="4058" t="s">
        <v>3409</v>
      </c>
      <c r="C33" s="4058">
        <f>SUM(D33:L33)</f>
        <v>0</v>
      </c>
      <c r="D33" s="4096">
        <f>SUM(D34:D38)</f>
        <v>0</v>
      </c>
      <c r="E33" s="4097">
        <f>SUM(E34:E38)</f>
        <v>0</v>
      </c>
      <c r="F33" s="4097">
        <f>SUM(F34:F38)</f>
        <v>0</v>
      </c>
      <c r="G33" s="4097">
        <f t="shared" ref="G33:L33" si="20">SUM(G34:G38)</f>
        <v>0</v>
      </c>
      <c r="H33" s="4097">
        <f t="shared" si="20"/>
        <v>0</v>
      </c>
      <c r="I33" s="4097">
        <f t="shared" si="20"/>
        <v>0</v>
      </c>
      <c r="J33" s="4097">
        <f t="shared" si="20"/>
        <v>0</v>
      </c>
      <c r="K33" s="4097">
        <f t="shared" si="20"/>
        <v>0</v>
      </c>
      <c r="L33" s="4098">
        <f t="shared" si="20"/>
        <v>0</v>
      </c>
      <c r="M33" s="4094"/>
      <c r="N33" s="4095"/>
      <c r="O33" s="4099"/>
      <c r="P33" s="4094"/>
      <c r="Q33" s="4095"/>
      <c r="R33" s="1755" t="str">
        <f t="shared" ref="R33:R64" si="21">CA33&amp;CB33</f>
        <v/>
      </c>
      <c r="AW33" s="2718"/>
      <c r="AX33" s="2718"/>
      <c r="AY33" s="2718"/>
      <c r="AZ33" s="2718"/>
      <c r="BA33" s="2718"/>
      <c r="BB33" s="2718"/>
      <c r="BC33" s="2718"/>
      <c r="BD33" s="2718"/>
      <c r="BE33" s="2718"/>
      <c r="BF33" s="2718"/>
      <c r="BG33" s="2718"/>
      <c r="BH33" s="2718"/>
      <c r="BI33" s="2718"/>
      <c r="BJ33" s="2718"/>
      <c r="BK33" s="2718"/>
      <c r="BL33" s="2718"/>
      <c r="BM33" s="2718"/>
      <c r="BN33" s="2718"/>
      <c r="BO33" s="2718"/>
      <c r="BP33" s="2718"/>
      <c r="BQ33" s="2718"/>
      <c r="BR33" s="2718"/>
      <c r="BS33" s="2718"/>
      <c r="BT33" s="2718"/>
      <c r="BU33" s="2718"/>
      <c r="BV33" s="2718"/>
      <c r="BW33" s="2718"/>
      <c r="BX33" s="2718"/>
      <c r="BY33" s="2718"/>
      <c r="BZ33" s="2718"/>
      <c r="CA33" s="2718"/>
      <c r="CB33" s="2718"/>
      <c r="CC33" s="2718"/>
      <c r="CD33" s="2718"/>
    </row>
    <row r="34" spans="1:84" x14ac:dyDescent="0.25">
      <c r="A34" s="8445"/>
      <c r="B34" s="1767" t="s">
        <v>3862</v>
      </c>
      <c r="C34" s="4100">
        <f t="shared" si="19"/>
        <v>0</v>
      </c>
      <c r="D34" s="4101"/>
      <c r="E34" s="4102"/>
      <c r="F34" s="4102"/>
      <c r="G34" s="4102"/>
      <c r="H34" s="4102"/>
      <c r="I34" s="4102"/>
      <c r="J34" s="4102"/>
      <c r="K34" s="4102"/>
      <c r="L34" s="4103"/>
      <c r="M34" s="4104"/>
      <c r="N34" s="4105"/>
      <c r="O34" s="4106"/>
      <c r="P34" s="4094"/>
      <c r="Q34" s="4095"/>
      <c r="R34" s="1755" t="str">
        <f t="shared" si="21"/>
        <v/>
      </c>
      <c r="AW34" s="2718"/>
      <c r="AX34" s="2718"/>
      <c r="AY34" s="2718"/>
      <c r="AZ34" s="2718"/>
      <c r="BA34" s="2718"/>
      <c r="BB34" s="2718"/>
      <c r="BC34" s="2718"/>
      <c r="BD34" s="2718"/>
      <c r="BE34" s="2718"/>
      <c r="BF34" s="2718"/>
      <c r="BG34" s="2718"/>
      <c r="BH34" s="2718"/>
      <c r="BI34" s="2718"/>
      <c r="BJ34" s="2718"/>
      <c r="BK34" s="2718"/>
      <c r="BL34" s="2718"/>
      <c r="BM34" s="2718"/>
      <c r="BN34" s="2718"/>
      <c r="BO34" s="2718"/>
      <c r="BP34" s="2718"/>
      <c r="BQ34" s="2718"/>
      <c r="BR34" s="2718"/>
      <c r="BS34" s="2718"/>
      <c r="BT34" s="2718"/>
      <c r="BU34" s="2718"/>
      <c r="BV34" s="2718"/>
      <c r="BW34" s="2718"/>
      <c r="BX34" s="2718"/>
      <c r="BY34" s="2718"/>
      <c r="BZ34" s="2718"/>
      <c r="CA34" s="2873" t="str">
        <f t="shared" ref="CA34:CA64" si="22">IF(AND($C34&lt;&gt;0,P34=""),"* No olvide ingresar la columna "&amp;P$30&amp;""&amp;" (Digite CERO si no tiene). ",IF(P34&gt;$C34,"* El Número de Pueblos Originarios no puede superar el Total. ",""))</f>
        <v/>
      </c>
      <c r="CB34" s="2873" t="str">
        <f t="shared" ref="CB34:CB64" si="23">IF(AND($C34&lt;&gt;0,Q34=""),"* No olvide ingresar la columna "&amp;Q$30&amp;""&amp;" (Digite CERO si no tiene). ",IF(Q34&gt;$C34,"* El Número de Migrantes no puede superar el Total. ",""))</f>
        <v/>
      </c>
      <c r="CC34" s="2718"/>
      <c r="CD34" s="2718"/>
      <c r="CE34" s="1793">
        <f t="shared" ref="CE34:CF64" si="24">IF(AND($C34&lt;&gt;0,P34=""),1,IF(P34&gt;$C34,1,0))</f>
        <v>0</v>
      </c>
      <c r="CF34" s="1793">
        <f t="shared" si="24"/>
        <v>0</v>
      </c>
    </row>
    <row r="35" spans="1:84" x14ac:dyDescent="0.25">
      <c r="A35" s="8445"/>
      <c r="B35" s="4107" t="s">
        <v>3410</v>
      </c>
      <c r="C35" s="3825">
        <f t="shared" si="19"/>
        <v>0</v>
      </c>
      <c r="D35" s="4108"/>
      <c r="E35" s="4109"/>
      <c r="F35" s="4109"/>
      <c r="G35" s="4109"/>
      <c r="H35" s="4109"/>
      <c r="I35" s="4109"/>
      <c r="J35" s="4109"/>
      <c r="K35" s="4109"/>
      <c r="L35" s="4110"/>
      <c r="M35" s="4111"/>
      <c r="N35" s="4112"/>
      <c r="O35" s="4113"/>
      <c r="P35" s="4094"/>
      <c r="Q35" s="4095"/>
      <c r="R35" s="1755" t="str">
        <f t="shared" si="21"/>
        <v/>
      </c>
      <c r="AW35" s="2718"/>
      <c r="AX35" s="2718"/>
      <c r="AY35" s="2718"/>
      <c r="AZ35" s="2718"/>
      <c r="BA35" s="2718"/>
      <c r="BB35" s="2718"/>
      <c r="BC35" s="2718"/>
      <c r="BD35" s="2718"/>
      <c r="BE35" s="2718"/>
      <c r="BF35" s="2718"/>
      <c r="BG35" s="2718"/>
      <c r="BH35" s="2718"/>
      <c r="BI35" s="2718"/>
      <c r="BJ35" s="2718"/>
      <c r="BK35" s="2718"/>
      <c r="BL35" s="2718"/>
      <c r="BM35" s="2718"/>
      <c r="BN35" s="2718"/>
      <c r="BO35" s="2718"/>
      <c r="BP35" s="2718"/>
      <c r="BQ35" s="2718"/>
      <c r="BR35" s="2718"/>
      <c r="BS35" s="2718"/>
      <c r="BT35" s="2718"/>
      <c r="BU35" s="2718"/>
      <c r="BV35" s="2718"/>
      <c r="BW35" s="2718"/>
      <c r="BX35" s="2718"/>
      <c r="BY35" s="2718"/>
      <c r="BZ35" s="2718"/>
      <c r="CA35" s="2873" t="str">
        <f t="shared" si="22"/>
        <v/>
      </c>
      <c r="CB35" s="2873" t="str">
        <f t="shared" si="23"/>
        <v/>
      </c>
      <c r="CC35" s="2718"/>
      <c r="CD35" s="2718"/>
      <c r="CE35" s="1793">
        <f t="shared" si="24"/>
        <v>0</v>
      </c>
      <c r="CF35" s="1793">
        <f t="shared" si="24"/>
        <v>0</v>
      </c>
    </row>
    <row r="36" spans="1:84" x14ac:dyDescent="0.25">
      <c r="A36" s="8445"/>
      <c r="B36" s="4107" t="s">
        <v>3411</v>
      </c>
      <c r="C36" s="3825">
        <f t="shared" si="19"/>
        <v>0</v>
      </c>
      <c r="D36" s="4114"/>
      <c r="E36" s="4115"/>
      <c r="F36" s="4115"/>
      <c r="G36" s="4115"/>
      <c r="H36" s="4115"/>
      <c r="I36" s="4115"/>
      <c r="J36" s="4115"/>
      <c r="K36" s="4115"/>
      <c r="L36" s="4116"/>
      <c r="M36" s="4117"/>
      <c r="N36" s="4118"/>
      <c r="O36" s="4119"/>
      <c r="P36" s="4094"/>
      <c r="Q36" s="4095"/>
      <c r="R36" s="1755" t="str">
        <f t="shared" si="21"/>
        <v/>
      </c>
      <c r="AW36" s="2718"/>
      <c r="AX36" s="2718"/>
      <c r="AY36" s="2718"/>
      <c r="AZ36" s="2718"/>
      <c r="BA36" s="2718"/>
      <c r="BB36" s="2718"/>
      <c r="BC36" s="2718"/>
      <c r="BD36" s="2718"/>
      <c r="BE36" s="2718"/>
      <c r="BF36" s="2718"/>
      <c r="BG36" s="2718"/>
      <c r="BH36" s="2718"/>
      <c r="BI36" s="2718"/>
      <c r="BJ36" s="2718"/>
      <c r="BK36" s="2718"/>
      <c r="BL36" s="2718"/>
      <c r="BM36" s="2718"/>
      <c r="BN36" s="2718"/>
      <c r="BO36" s="2718"/>
      <c r="BP36" s="2718"/>
      <c r="BQ36" s="2718"/>
      <c r="BR36" s="2718"/>
      <c r="BS36" s="2718"/>
      <c r="BT36" s="2718"/>
      <c r="BU36" s="2718"/>
      <c r="BV36" s="2718"/>
      <c r="BW36" s="2718"/>
      <c r="BX36" s="2718"/>
      <c r="BY36" s="2718"/>
      <c r="BZ36" s="2718"/>
      <c r="CA36" s="2873" t="str">
        <f t="shared" si="22"/>
        <v/>
      </c>
      <c r="CB36" s="2873" t="str">
        <f t="shared" si="23"/>
        <v/>
      </c>
      <c r="CC36" s="2718"/>
      <c r="CD36" s="2718"/>
      <c r="CE36" s="1793">
        <f t="shared" si="24"/>
        <v>0</v>
      </c>
      <c r="CF36" s="1793">
        <f t="shared" si="24"/>
        <v>0</v>
      </c>
    </row>
    <row r="37" spans="1:84" x14ac:dyDescent="0.25">
      <c r="A37" s="8445"/>
      <c r="B37" s="4107" t="s">
        <v>3412</v>
      </c>
      <c r="C37" s="3825">
        <f t="shared" si="19"/>
        <v>0</v>
      </c>
      <c r="D37" s="4120"/>
      <c r="E37" s="4121"/>
      <c r="F37" s="4121"/>
      <c r="G37" s="4121"/>
      <c r="H37" s="4121"/>
      <c r="I37" s="4121"/>
      <c r="J37" s="4121"/>
      <c r="K37" s="4121"/>
      <c r="L37" s="4122"/>
      <c r="M37" s="4123"/>
      <c r="N37" s="4124"/>
      <c r="O37" s="4125"/>
      <c r="P37" s="4094"/>
      <c r="Q37" s="4095"/>
      <c r="R37" s="1755" t="str">
        <f t="shared" si="21"/>
        <v/>
      </c>
      <c r="AW37" s="2718"/>
      <c r="AX37" s="2718"/>
      <c r="AY37" s="2718"/>
      <c r="AZ37" s="2718"/>
      <c r="BA37" s="2718"/>
      <c r="BB37" s="2718"/>
      <c r="BC37" s="2718"/>
      <c r="BD37" s="2718"/>
      <c r="BE37" s="2718"/>
      <c r="BF37" s="2718"/>
      <c r="BG37" s="2718"/>
      <c r="BH37" s="2718"/>
      <c r="BI37" s="2718"/>
      <c r="BJ37" s="2718"/>
      <c r="BK37" s="2718"/>
      <c r="BL37" s="2718"/>
      <c r="BM37" s="2718"/>
      <c r="BN37" s="2718"/>
      <c r="BO37" s="2718"/>
      <c r="BP37" s="2718"/>
      <c r="BQ37" s="2718"/>
      <c r="BR37" s="2718"/>
      <c r="BS37" s="2718"/>
      <c r="BT37" s="2718"/>
      <c r="BU37" s="2718"/>
      <c r="BV37" s="2718"/>
      <c r="BW37" s="2718"/>
      <c r="BX37" s="2718"/>
      <c r="BY37" s="2718"/>
      <c r="BZ37" s="2718"/>
      <c r="CA37" s="2873" t="str">
        <f t="shared" si="22"/>
        <v/>
      </c>
      <c r="CB37" s="2873" t="str">
        <f t="shared" si="23"/>
        <v/>
      </c>
      <c r="CC37" s="2718"/>
      <c r="CD37" s="2718"/>
      <c r="CE37" s="1793">
        <f t="shared" si="24"/>
        <v>0</v>
      </c>
      <c r="CF37" s="1793">
        <f t="shared" si="24"/>
        <v>0</v>
      </c>
    </row>
    <row r="38" spans="1:84" x14ac:dyDescent="0.25">
      <c r="A38" s="8445"/>
      <c r="B38" s="4107" t="s">
        <v>3413</v>
      </c>
      <c r="C38" s="3825">
        <f t="shared" si="19"/>
        <v>0</v>
      </c>
      <c r="D38" s="4108"/>
      <c r="E38" s="4109"/>
      <c r="F38" s="4109"/>
      <c r="G38" s="4109"/>
      <c r="H38" s="4109"/>
      <c r="I38" s="4109"/>
      <c r="J38" s="4109"/>
      <c r="K38" s="4109"/>
      <c r="L38" s="4110"/>
      <c r="M38" s="4111"/>
      <c r="N38" s="4112"/>
      <c r="O38" s="4113"/>
      <c r="P38" s="4094"/>
      <c r="Q38" s="4095"/>
      <c r="R38" s="1755" t="str">
        <f t="shared" si="21"/>
        <v/>
      </c>
      <c r="AW38" s="2718"/>
      <c r="AX38" s="2718"/>
      <c r="AY38" s="2718"/>
      <c r="AZ38" s="2718"/>
      <c r="BA38" s="2718"/>
      <c r="BB38" s="2718"/>
      <c r="BC38" s="2718"/>
      <c r="BD38" s="2718"/>
      <c r="BE38" s="2718"/>
      <c r="BF38" s="2718"/>
      <c r="BG38" s="2718"/>
      <c r="BH38" s="2718"/>
      <c r="BI38" s="2718"/>
      <c r="BJ38" s="2718"/>
      <c r="BK38" s="2718"/>
      <c r="BL38" s="2718"/>
      <c r="BM38" s="2718"/>
      <c r="BN38" s="2718"/>
      <c r="BO38" s="2718"/>
      <c r="BP38" s="2718"/>
      <c r="BQ38" s="2718"/>
      <c r="BR38" s="2718"/>
      <c r="BS38" s="2718"/>
      <c r="BT38" s="2718"/>
      <c r="BU38" s="2718"/>
      <c r="BV38" s="2718"/>
      <c r="BW38" s="2718"/>
      <c r="BX38" s="2718"/>
      <c r="BY38" s="2718"/>
      <c r="BZ38" s="2718"/>
      <c r="CA38" s="2873" t="str">
        <f t="shared" si="22"/>
        <v/>
      </c>
      <c r="CB38" s="2873" t="str">
        <f t="shared" si="23"/>
        <v/>
      </c>
      <c r="CC38" s="2718"/>
      <c r="CD38" s="2718"/>
      <c r="CE38" s="1793">
        <f t="shared" si="24"/>
        <v>0</v>
      </c>
      <c r="CF38" s="1793">
        <f t="shared" si="24"/>
        <v>0</v>
      </c>
    </row>
    <row r="39" spans="1:84" x14ac:dyDescent="0.25">
      <c r="A39" s="8446"/>
      <c r="B39" s="4107" t="s">
        <v>3414</v>
      </c>
      <c r="C39" s="3825">
        <f t="shared" si="19"/>
        <v>0</v>
      </c>
      <c r="D39" s="4127"/>
      <c r="E39" s="4128"/>
      <c r="F39" s="4128"/>
      <c r="G39" s="4128"/>
      <c r="H39" s="4128"/>
      <c r="I39" s="4128"/>
      <c r="J39" s="4128"/>
      <c r="K39" s="4128"/>
      <c r="L39" s="4129"/>
      <c r="M39" s="4130"/>
      <c r="N39" s="4131"/>
      <c r="O39" s="4132"/>
      <c r="P39" s="4133"/>
      <c r="Q39" s="4134"/>
      <c r="R39" s="1755" t="str">
        <f t="shared" si="21"/>
        <v/>
      </c>
      <c r="AW39" s="2718"/>
      <c r="AX39" s="2718"/>
      <c r="AY39" s="2718"/>
      <c r="AZ39" s="2718"/>
      <c r="BA39" s="2718"/>
      <c r="BB39" s="2718"/>
      <c r="BC39" s="2718"/>
      <c r="BD39" s="2718"/>
      <c r="BE39" s="2718"/>
      <c r="BF39" s="2718"/>
      <c r="BG39" s="2718"/>
      <c r="BH39" s="2718"/>
      <c r="BI39" s="2718"/>
      <c r="BJ39" s="2718"/>
      <c r="BK39" s="2718"/>
      <c r="BL39" s="2718"/>
      <c r="BM39" s="2718"/>
      <c r="BN39" s="2718"/>
      <c r="BO39" s="2718"/>
      <c r="BP39" s="2718"/>
      <c r="BQ39" s="2718"/>
      <c r="BR39" s="2718"/>
      <c r="BS39" s="2718"/>
      <c r="BT39" s="2718"/>
      <c r="BU39" s="2718"/>
      <c r="BV39" s="2718"/>
      <c r="BW39" s="2718"/>
      <c r="BX39" s="2718"/>
      <c r="BY39" s="2718"/>
      <c r="BZ39" s="2718"/>
      <c r="CA39" s="2873" t="str">
        <f t="shared" si="22"/>
        <v/>
      </c>
      <c r="CB39" s="2873" t="str">
        <f t="shared" si="23"/>
        <v/>
      </c>
      <c r="CC39" s="2718"/>
      <c r="CD39" s="2718"/>
      <c r="CE39" s="1793">
        <f t="shared" si="24"/>
        <v>0</v>
      </c>
      <c r="CF39" s="1793">
        <f t="shared" si="24"/>
        <v>0</v>
      </c>
    </row>
    <row r="40" spans="1:84" x14ac:dyDescent="0.25">
      <c r="A40" s="8437" t="s">
        <v>3415</v>
      </c>
      <c r="B40" s="4135" t="s">
        <v>948</v>
      </c>
      <c r="C40" s="4061">
        <f t="shared" si="19"/>
        <v>0</v>
      </c>
      <c r="D40" s="4101"/>
      <c r="E40" s="4136"/>
      <c r="F40" s="4136"/>
      <c r="G40" s="4136"/>
      <c r="H40" s="4136"/>
      <c r="I40" s="4136"/>
      <c r="J40" s="4136"/>
      <c r="K40" s="4136"/>
      <c r="L40" s="4137"/>
      <c r="M40" s="4138"/>
      <c r="N40" s="4139"/>
      <c r="O40" s="4140"/>
      <c r="P40" s="4141"/>
      <c r="Q40" s="4142"/>
      <c r="R40" s="1755" t="str">
        <f t="shared" si="21"/>
        <v/>
      </c>
      <c r="AW40" s="2718"/>
      <c r="AX40" s="2718"/>
      <c r="AY40" s="2718"/>
      <c r="AZ40" s="2718"/>
      <c r="BA40" s="2718"/>
      <c r="BB40" s="2718"/>
      <c r="BC40" s="2718"/>
      <c r="BD40" s="2718"/>
      <c r="BE40" s="2718"/>
      <c r="BF40" s="2718"/>
      <c r="BG40" s="2718"/>
      <c r="BH40" s="2718"/>
      <c r="BI40" s="2718"/>
      <c r="BJ40" s="2718"/>
      <c r="BK40" s="2718"/>
      <c r="BL40" s="2718"/>
      <c r="BM40" s="2718"/>
      <c r="BN40" s="2718"/>
      <c r="BO40" s="2718"/>
      <c r="BP40" s="2718"/>
      <c r="BQ40" s="2718"/>
      <c r="BR40" s="2718"/>
      <c r="BS40" s="2718"/>
      <c r="BT40" s="2718"/>
      <c r="BU40" s="2718"/>
      <c r="BV40" s="2718"/>
      <c r="BW40" s="2718"/>
      <c r="BX40" s="2718"/>
      <c r="BY40" s="2718"/>
      <c r="BZ40" s="2718"/>
      <c r="CA40" s="2873" t="str">
        <f t="shared" si="22"/>
        <v/>
      </c>
      <c r="CB40" s="2873" t="str">
        <f t="shared" si="23"/>
        <v/>
      </c>
      <c r="CC40" s="2718"/>
      <c r="CD40" s="2718"/>
      <c r="CE40" s="1793">
        <f t="shared" si="24"/>
        <v>0</v>
      </c>
      <c r="CF40" s="1793">
        <f t="shared" si="24"/>
        <v>0</v>
      </c>
    </row>
    <row r="41" spans="1:84" x14ac:dyDescent="0.25">
      <c r="A41" s="7044"/>
      <c r="B41" s="1767" t="s">
        <v>3409</v>
      </c>
      <c r="C41" s="4100">
        <f t="shared" si="19"/>
        <v>0</v>
      </c>
      <c r="D41" s="4108"/>
      <c r="E41" s="4109"/>
      <c r="F41" s="4109"/>
      <c r="G41" s="4109"/>
      <c r="H41" s="4109"/>
      <c r="I41" s="4109"/>
      <c r="J41" s="4109"/>
      <c r="K41" s="4109"/>
      <c r="L41" s="4110"/>
      <c r="M41" s="4094"/>
      <c r="N41" s="4095"/>
      <c r="O41" s="4099"/>
      <c r="P41" s="4094"/>
      <c r="Q41" s="4095"/>
      <c r="R41" s="1755" t="str">
        <f t="shared" si="21"/>
        <v/>
      </c>
      <c r="AW41" s="2718"/>
      <c r="AX41" s="2718"/>
      <c r="AY41" s="2718"/>
      <c r="AZ41" s="2718"/>
      <c r="BA41" s="2718"/>
      <c r="BB41" s="2718"/>
      <c r="BC41" s="2718"/>
      <c r="BD41" s="2718"/>
      <c r="BE41" s="2718"/>
      <c r="BF41" s="2718"/>
      <c r="BG41" s="2718"/>
      <c r="BH41" s="2718"/>
      <c r="BI41" s="2718"/>
      <c r="BJ41" s="2718"/>
      <c r="BK41" s="2718"/>
      <c r="BL41" s="2718"/>
      <c r="BM41" s="2718"/>
      <c r="BN41" s="2718"/>
      <c r="BO41" s="2718"/>
      <c r="BP41" s="2718"/>
      <c r="BQ41" s="2718"/>
      <c r="BR41" s="2718"/>
      <c r="BS41" s="2718"/>
      <c r="BT41" s="2718"/>
      <c r="BU41" s="2718"/>
      <c r="BV41" s="2718"/>
      <c r="BW41" s="2718"/>
      <c r="BX41" s="2718"/>
      <c r="BY41" s="2718"/>
      <c r="BZ41" s="2718"/>
      <c r="CA41" s="2873" t="str">
        <f t="shared" si="22"/>
        <v/>
      </c>
      <c r="CB41" s="2873" t="str">
        <f t="shared" si="23"/>
        <v/>
      </c>
      <c r="CC41" s="2718"/>
      <c r="CD41" s="2718"/>
      <c r="CE41" s="1793">
        <f t="shared" si="24"/>
        <v>0</v>
      </c>
      <c r="CF41" s="1793">
        <f t="shared" si="24"/>
        <v>0</v>
      </c>
    </row>
    <row r="42" spans="1:84" x14ac:dyDescent="0.25">
      <c r="A42" s="6932"/>
      <c r="B42" s="4143" t="s">
        <v>3416</v>
      </c>
      <c r="C42" s="38">
        <f t="shared" si="19"/>
        <v>0</v>
      </c>
      <c r="D42" s="4144"/>
      <c r="E42" s="4145"/>
      <c r="F42" s="4145"/>
      <c r="G42" s="4145"/>
      <c r="H42" s="4145"/>
      <c r="I42" s="4145"/>
      <c r="J42" s="4145"/>
      <c r="K42" s="4145"/>
      <c r="L42" s="4146"/>
      <c r="M42" s="4147"/>
      <c r="N42" s="4148"/>
      <c r="O42" s="4149"/>
      <c r="P42" s="4133"/>
      <c r="Q42" s="4134"/>
      <c r="R42" s="1755" t="str">
        <f t="shared" si="21"/>
        <v/>
      </c>
      <c r="AW42" s="2718"/>
      <c r="AX42" s="2718"/>
      <c r="AY42" s="2718"/>
      <c r="AZ42" s="2718"/>
      <c r="BA42" s="2718"/>
      <c r="BB42" s="2718"/>
      <c r="BC42" s="2718"/>
      <c r="BD42" s="2718"/>
      <c r="BE42" s="2718"/>
      <c r="BF42" s="2718"/>
      <c r="BG42" s="2718"/>
      <c r="BH42" s="2718"/>
      <c r="BI42" s="2718"/>
      <c r="BJ42" s="2718"/>
      <c r="BK42" s="2718"/>
      <c r="BL42" s="2718"/>
      <c r="BM42" s="2718"/>
      <c r="BN42" s="2718"/>
      <c r="BO42" s="2718"/>
      <c r="BP42" s="2718"/>
      <c r="BQ42" s="2718"/>
      <c r="BR42" s="2718"/>
      <c r="BS42" s="2718"/>
      <c r="BT42" s="2718"/>
      <c r="BU42" s="2718"/>
      <c r="BV42" s="2718"/>
      <c r="BW42" s="2718"/>
      <c r="BX42" s="2718"/>
      <c r="BY42" s="2718"/>
      <c r="BZ42" s="2718"/>
      <c r="CA42" s="2873" t="str">
        <f t="shared" si="22"/>
        <v/>
      </c>
      <c r="CB42" s="2873" t="str">
        <f t="shared" si="23"/>
        <v/>
      </c>
      <c r="CC42" s="2718"/>
      <c r="CD42" s="2718"/>
      <c r="CE42" s="1793">
        <f t="shared" si="24"/>
        <v>0</v>
      </c>
      <c r="CF42" s="1793">
        <f t="shared" si="24"/>
        <v>0</v>
      </c>
    </row>
    <row r="43" spans="1:84" x14ac:dyDescent="0.25">
      <c r="A43" s="8437" t="s">
        <v>3417</v>
      </c>
      <c r="B43" s="4150" t="s">
        <v>948</v>
      </c>
      <c r="C43" s="4100">
        <f t="shared" si="19"/>
        <v>0</v>
      </c>
      <c r="D43" s="4151"/>
      <c r="E43" s="4136"/>
      <c r="F43" s="4136"/>
      <c r="G43" s="4136"/>
      <c r="H43" s="4136"/>
      <c r="I43" s="4136"/>
      <c r="J43" s="4136"/>
      <c r="K43" s="4136"/>
      <c r="L43" s="4137"/>
      <c r="M43" s="4138"/>
      <c r="N43" s="4139"/>
      <c r="O43" s="4140"/>
      <c r="P43" s="4141"/>
      <c r="Q43" s="4142"/>
      <c r="R43" s="1755" t="str">
        <f t="shared" si="21"/>
        <v/>
      </c>
      <c r="AW43" s="2718"/>
      <c r="AX43" s="2718"/>
      <c r="AY43" s="2718"/>
      <c r="AZ43" s="2718"/>
      <c r="BA43" s="2718"/>
      <c r="BB43" s="2718"/>
      <c r="BC43" s="2718"/>
      <c r="BD43" s="2718"/>
      <c r="BE43" s="2718"/>
      <c r="BF43" s="2718"/>
      <c r="BG43" s="2718"/>
      <c r="BH43" s="2718"/>
      <c r="BI43" s="2718"/>
      <c r="BJ43" s="2718"/>
      <c r="BK43" s="2718"/>
      <c r="BL43" s="2718"/>
      <c r="BM43" s="2718"/>
      <c r="BN43" s="2718"/>
      <c r="BO43" s="2718"/>
      <c r="BP43" s="2718"/>
      <c r="BQ43" s="2718"/>
      <c r="BR43" s="2718"/>
      <c r="BS43" s="2718"/>
      <c r="BT43" s="2718"/>
      <c r="BU43" s="2718"/>
      <c r="BV43" s="2718"/>
      <c r="BW43" s="2718"/>
      <c r="BX43" s="2718"/>
      <c r="BY43" s="2718"/>
      <c r="BZ43" s="2718"/>
      <c r="CA43" s="2873" t="str">
        <f t="shared" si="22"/>
        <v/>
      </c>
      <c r="CB43" s="2873" t="str">
        <f t="shared" si="23"/>
        <v/>
      </c>
      <c r="CC43" s="2718"/>
      <c r="CD43" s="2718"/>
      <c r="CE43" s="1793">
        <f t="shared" si="24"/>
        <v>0</v>
      </c>
      <c r="CF43" s="1793">
        <f t="shared" si="24"/>
        <v>0</v>
      </c>
    </row>
    <row r="44" spans="1:84" x14ac:dyDescent="0.25">
      <c r="A44" s="7044"/>
      <c r="B44" s="1768" t="s">
        <v>3409</v>
      </c>
      <c r="C44" s="3825">
        <f t="shared" si="19"/>
        <v>0</v>
      </c>
      <c r="D44" s="4108"/>
      <c r="E44" s="4109"/>
      <c r="F44" s="4109"/>
      <c r="G44" s="4109"/>
      <c r="H44" s="4109"/>
      <c r="I44" s="4109"/>
      <c r="J44" s="4109"/>
      <c r="K44" s="4109"/>
      <c r="L44" s="4110"/>
      <c r="M44" s="4094"/>
      <c r="N44" s="4095"/>
      <c r="O44" s="4099"/>
      <c r="P44" s="4094"/>
      <c r="Q44" s="4095"/>
      <c r="R44" s="1755" t="str">
        <f t="shared" si="21"/>
        <v/>
      </c>
      <c r="AW44" s="2718"/>
      <c r="AX44" s="2718"/>
      <c r="AY44" s="2718"/>
      <c r="AZ44" s="2718"/>
      <c r="BA44" s="2718"/>
      <c r="BB44" s="2718"/>
      <c r="BC44" s="2718"/>
      <c r="BD44" s="2718"/>
      <c r="BE44" s="2718"/>
      <c r="BF44" s="2718"/>
      <c r="BG44" s="2718"/>
      <c r="BH44" s="2718"/>
      <c r="BI44" s="2718"/>
      <c r="BJ44" s="2718"/>
      <c r="BK44" s="2718"/>
      <c r="BL44" s="2718"/>
      <c r="BM44" s="2718"/>
      <c r="BN44" s="2718"/>
      <c r="BO44" s="2718"/>
      <c r="BP44" s="2718"/>
      <c r="BQ44" s="2718"/>
      <c r="BR44" s="2718"/>
      <c r="BS44" s="2718"/>
      <c r="BT44" s="2718"/>
      <c r="BU44" s="2718"/>
      <c r="BV44" s="2718"/>
      <c r="BW44" s="2718"/>
      <c r="BX44" s="2718"/>
      <c r="BY44" s="2718"/>
      <c r="BZ44" s="2718"/>
      <c r="CA44" s="2873" t="str">
        <f t="shared" si="22"/>
        <v/>
      </c>
      <c r="CB44" s="2873" t="str">
        <f t="shared" si="23"/>
        <v/>
      </c>
      <c r="CC44" s="2718"/>
      <c r="CD44" s="2718"/>
      <c r="CE44" s="1793">
        <f t="shared" si="24"/>
        <v>0</v>
      </c>
      <c r="CF44" s="1793">
        <f t="shared" si="24"/>
        <v>0</v>
      </c>
    </row>
    <row r="45" spans="1:84" x14ac:dyDescent="0.25">
      <c r="A45" s="6932"/>
      <c r="B45" s="1124" t="s">
        <v>3418</v>
      </c>
      <c r="C45" s="2448">
        <f t="shared" si="19"/>
        <v>0</v>
      </c>
      <c r="D45" s="4144"/>
      <c r="E45" s="4145"/>
      <c r="F45" s="4145"/>
      <c r="G45" s="4145"/>
      <c r="H45" s="4145"/>
      <c r="I45" s="4145"/>
      <c r="J45" s="4145"/>
      <c r="K45" s="4145"/>
      <c r="L45" s="4146"/>
      <c r="M45" s="4147"/>
      <c r="N45" s="4148"/>
      <c r="O45" s="4149"/>
      <c r="P45" s="4133"/>
      <c r="Q45" s="4134"/>
      <c r="R45" s="1755" t="str">
        <f t="shared" si="21"/>
        <v/>
      </c>
      <c r="AW45" s="2718"/>
      <c r="AX45" s="2718"/>
      <c r="AY45" s="2718"/>
      <c r="AZ45" s="2718"/>
      <c r="BA45" s="2718"/>
      <c r="BB45" s="2718"/>
      <c r="BC45" s="2718"/>
      <c r="BD45" s="2718"/>
      <c r="BE45" s="2718"/>
      <c r="BF45" s="2718"/>
      <c r="BG45" s="2718"/>
      <c r="BH45" s="2718"/>
      <c r="BI45" s="2718"/>
      <c r="BJ45" s="2718"/>
      <c r="BK45" s="2718"/>
      <c r="BL45" s="2718"/>
      <c r="BM45" s="2718"/>
      <c r="BN45" s="2718"/>
      <c r="BO45" s="2718"/>
      <c r="BP45" s="2718"/>
      <c r="BQ45" s="2718"/>
      <c r="BR45" s="2718"/>
      <c r="BS45" s="2718"/>
      <c r="BT45" s="2718"/>
      <c r="BU45" s="2718"/>
      <c r="BV45" s="2718"/>
      <c r="BW45" s="2718"/>
      <c r="BX45" s="2718"/>
      <c r="BY45" s="2718"/>
      <c r="BZ45" s="2718"/>
      <c r="CA45" s="2873" t="str">
        <f t="shared" si="22"/>
        <v/>
      </c>
      <c r="CB45" s="2873" t="str">
        <f t="shared" si="23"/>
        <v/>
      </c>
      <c r="CC45" s="2718"/>
      <c r="CD45" s="2718"/>
      <c r="CE45" s="1793">
        <f t="shared" si="24"/>
        <v>0</v>
      </c>
      <c r="CF45" s="1793">
        <f t="shared" si="24"/>
        <v>0</v>
      </c>
    </row>
    <row r="46" spans="1:84" x14ac:dyDescent="0.25">
      <c r="A46" s="8437" t="s">
        <v>3419</v>
      </c>
      <c r="B46" s="4150" t="s">
        <v>948</v>
      </c>
      <c r="C46" s="4061">
        <f>SUM(D46:L46)</f>
        <v>0</v>
      </c>
      <c r="D46" s="4151"/>
      <c r="E46" s="4136"/>
      <c r="F46" s="4136"/>
      <c r="G46" s="4136"/>
      <c r="H46" s="4136"/>
      <c r="I46" s="4136"/>
      <c r="J46" s="4136"/>
      <c r="K46" s="4136"/>
      <c r="L46" s="4137"/>
      <c r="M46" s="4138"/>
      <c r="N46" s="4139"/>
      <c r="O46" s="4140"/>
      <c r="P46" s="4141"/>
      <c r="Q46" s="4142"/>
      <c r="R46" s="1755" t="str">
        <f t="shared" si="21"/>
        <v/>
      </c>
      <c r="AW46" s="2718"/>
      <c r="AX46" s="2718"/>
      <c r="AY46" s="2718"/>
      <c r="AZ46" s="2718"/>
      <c r="BA46" s="2718"/>
      <c r="BB46" s="2718"/>
      <c r="BC46" s="2718"/>
      <c r="BD46" s="2718"/>
      <c r="BE46" s="2718"/>
      <c r="BF46" s="2718"/>
      <c r="BG46" s="2718"/>
      <c r="BH46" s="2718"/>
      <c r="BI46" s="2718"/>
      <c r="BJ46" s="2718"/>
      <c r="BK46" s="2718"/>
      <c r="BL46" s="2718"/>
      <c r="BM46" s="2718"/>
      <c r="BN46" s="2718"/>
      <c r="BO46" s="2718"/>
      <c r="BP46" s="2718"/>
      <c r="BQ46" s="2718"/>
      <c r="BR46" s="2718"/>
      <c r="BS46" s="2718"/>
      <c r="BT46" s="2718"/>
      <c r="BU46" s="2718"/>
      <c r="BV46" s="2718"/>
      <c r="BW46" s="2718"/>
      <c r="BX46" s="2718"/>
      <c r="BY46" s="2718"/>
      <c r="BZ46" s="2718"/>
      <c r="CA46" s="2873" t="str">
        <f t="shared" si="22"/>
        <v/>
      </c>
      <c r="CB46" s="2873" t="str">
        <f t="shared" si="23"/>
        <v/>
      </c>
      <c r="CC46" s="2718"/>
      <c r="CD46" s="2718"/>
      <c r="CE46" s="1793">
        <f t="shared" si="24"/>
        <v>0</v>
      </c>
      <c r="CF46" s="1793">
        <f t="shared" si="24"/>
        <v>0</v>
      </c>
    </row>
    <row r="47" spans="1:84" x14ac:dyDescent="0.25">
      <c r="A47" s="7044"/>
      <c r="B47" s="4107" t="s">
        <v>3409</v>
      </c>
      <c r="C47" s="3825">
        <f>SUM(D47:L47)</f>
        <v>0</v>
      </c>
      <c r="D47" s="4108"/>
      <c r="E47" s="4109"/>
      <c r="F47" s="4109"/>
      <c r="G47" s="4109"/>
      <c r="H47" s="4109"/>
      <c r="I47" s="4109"/>
      <c r="J47" s="4109"/>
      <c r="K47" s="4109"/>
      <c r="L47" s="4110"/>
      <c r="M47" s="4094"/>
      <c r="N47" s="4095"/>
      <c r="O47" s="4099"/>
      <c r="P47" s="4094"/>
      <c r="Q47" s="4095"/>
      <c r="R47" s="1755" t="str">
        <f t="shared" si="21"/>
        <v/>
      </c>
      <c r="AW47" s="2718"/>
      <c r="AX47" s="2718"/>
      <c r="AY47" s="2718"/>
      <c r="AZ47" s="2718"/>
      <c r="BA47" s="2718"/>
      <c r="BB47" s="2718"/>
      <c r="BC47" s="2718"/>
      <c r="BD47" s="2718"/>
      <c r="BE47" s="2718"/>
      <c r="BF47" s="2718"/>
      <c r="BG47" s="2718"/>
      <c r="BH47" s="2718"/>
      <c r="BI47" s="2718"/>
      <c r="BJ47" s="2718"/>
      <c r="BK47" s="2718"/>
      <c r="BL47" s="2718"/>
      <c r="BM47" s="2718"/>
      <c r="BN47" s="2718"/>
      <c r="BO47" s="2718"/>
      <c r="BP47" s="2718"/>
      <c r="BQ47" s="2718"/>
      <c r="BR47" s="2718"/>
      <c r="BS47" s="2718"/>
      <c r="BT47" s="2718"/>
      <c r="BU47" s="2718"/>
      <c r="BV47" s="2718"/>
      <c r="BW47" s="2718"/>
      <c r="BX47" s="2718"/>
      <c r="BY47" s="2718"/>
      <c r="BZ47" s="2718"/>
      <c r="CA47" s="2873" t="str">
        <f t="shared" si="22"/>
        <v/>
      </c>
      <c r="CB47" s="2873" t="str">
        <f t="shared" si="23"/>
        <v/>
      </c>
      <c r="CC47" s="2718"/>
      <c r="CD47" s="2718"/>
      <c r="CE47" s="1793">
        <f t="shared" si="24"/>
        <v>0</v>
      </c>
      <c r="CF47" s="1793">
        <f t="shared" si="24"/>
        <v>0</v>
      </c>
    </row>
    <row r="48" spans="1:84" x14ac:dyDescent="0.25">
      <c r="A48" s="6932"/>
      <c r="B48" s="4143" t="s">
        <v>3420</v>
      </c>
      <c r="C48" s="4152">
        <f>SUM(D48:L48)</f>
        <v>0</v>
      </c>
      <c r="D48" s="4153"/>
      <c r="E48" s="4128"/>
      <c r="F48" s="4128"/>
      <c r="G48" s="4128"/>
      <c r="H48" s="4128"/>
      <c r="I48" s="4128"/>
      <c r="J48" s="4128"/>
      <c r="K48" s="4128"/>
      <c r="L48" s="4129"/>
      <c r="M48" s="4130"/>
      <c r="N48" s="4131"/>
      <c r="O48" s="4132"/>
      <c r="P48" s="4133"/>
      <c r="Q48" s="4134"/>
      <c r="R48" s="1755" t="str">
        <f t="shared" si="21"/>
        <v/>
      </c>
      <c r="AW48" s="2718"/>
      <c r="AX48" s="2718"/>
      <c r="AY48" s="2718"/>
      <c r="AZ48" s="2718"/>
      <c r="BA48" s="2718"/>
      <c r="BB48" s="2718"/>
      <c r="BC48" s="2718"/>
      <c r="BD48" s="2718"/>
      <c r="BE48" s="2718"/>
      <c r="BF48" s="2718"/>
      <c r="BG48" s="2718"/>
      <c r="BH48" s="2718"/>
      <c r="BI48" s="2718"/>
      <c r="BJ48" s="2718"/>
      <c r="BK48" s="2718"/>
      <c r="BL48" s="2718"/>
      <c r="BM48" s="2718"/>
      <c r="BN48" s="2718"/>
      <c r="BO48" s="2718"/>
      <c r="BP48" s="2718"/>
      <c r="BQ48" s="2718"/>
      <c r="BR48" s="2718"/>
      <c r="BS48" s="2718"/>
      <c r="BT48" s="2718"/>
      <c r="BU48" s="2718"/>
      <c r="BV48" s="2718"/>
      <c r="BW48" s="2718"/>
      <c r="BX48" s="2718"/>
      <c r="BY48" s="2718"/>
      <c r="BZ48" s="2718"/>
      <c r="CA48" s="2873" t="str">
        <f t="shared" si="22"/>
        <v/>
      </c>
      <c r="CB48" s="2873" t="str">
        <f t="shared" si="23"/>
        <v/>
      </c>
      <c r="CC48" s="2718"/>
      <c r="CD48" s="2718"/>
      <c r="CE48" s="1793">
        <f t="shared" si="24"/>
        <v>0</v>
      </c>
      <c r="CF48" s="1793">
        <f t="shared" si="24"/>
        <v>0</v>
      </c>
    </row>
    <row r="49" spans="1:84" x14ac:dyDescent="0.25">
      <c r="A49" s="8437" t="s">
        <v>3421</v>
      </c>
      <c r="B49" s="4150" t="s">
        <v>948</v>
      </c>
      <c r="C49" s="4061">
        <f t="shared" si="19"/>
        <v>0</v>
      </c>
      <c r="D49" s="4154"/>
      <c r="E49" s="4155"/>
      <c r="F49" s="4155"/>
      <c r="G49" s="4155"/>
      <c r="H49" s="4155"/>
      <c r="I49" s="4155"/>
      <c r="J49" s="4155"/>
      <c r="K49" s="4155"/>
      <c r="L49" s="4156"/>
      <c r="M49" s="4157"/>
      <c r="N49" s="4158"/>
      <c r="O49" s="4159"/>
      <c r="P49" s="4141"/>
      <c r="Q49" s="4142"/>
      <c r="R49" s="1755" t="str">
        <f t="shared" si="21"/>
        <v/>
      </c>
      <c r="AW49" s="2718"/>
      <c r="AX49" s="2718"/>
      <c r="AY49" s="2718"/>
      <c r="AZ49" s="2718"/>
      <c r="BA49" s="2718"/>
      <c r="BB49" s="2718"/>
      <c r="BC49" s="2718"/>
      <c r="BD49" s="2718"/>
      <c r="BE49" s="2718"/>
      <c r="BF49" s="2718"/>
      <c r="BG49" s="2718"/>
      <c r="BH49" s="2718"/>
      <c r="BI49" s="2718"/>
      <c r="BJ49" s="2718"/>
      <c r="BK49" s="2718"/>
      <c r="BL49" s="2718"/>
      <c r="BM49" s="2718"/>
      <c r="BN49" s="2718"/>
      <c r="BO49" s="2718"/>
      <c r="BP49" s="2718"/>
      <c r="BQ49" s="2718"/>
      <c r="BR49" s="2718"/>
      <c r="BS49" s="2718"/>
      <c r="BT49" s="2718"/>
      <c r="BU49" s="2718"/>
      <c r="BV49" s="2718"/>
      <c r="BW49" s="2718"/>
      <c r="BX49" s="2718"/>
      <c r="BY49" s="2718"/>
      <c r="BZ49" s="2718"/>
      <c r="CA49" s="2873" t="str">
        <f t="shared" si="22"/>
        <v/>
      </c>
      <c r="CB49" s="2873" t="str">
        <f t="shared" si="23"/>
        <v/>
      </c>
      <c r="CC49" s="2718"/>
      <c r="CD49" s="2718"/>
      <c r="CE49" s="1793">
        <f t="shared" si="24"/>
        <v>0</v>
      </c>
      <c r="CF49" s="1793">
        <f t="shared" si="24"/>
        <v>0</v>
      </c>
    </row>
    <row r="50" spans="1:84" x14ac:dyDescent="0.25">
      <c r="A50" s="7044"/>
      <c r="B50" s="1768" t="s">
        <v>3409</v>
      </c>
      <c r="C50" s="4100">
        <f t="shared" si="19"/>
        <v>0</v>
      </c>
      <c r="D50" s="4160"/>
      <c r="E50" s="4161"/>
      <c r="F50" s="4161"/>
      <c r="G50" s="4161"/>
      <c r="H50" s="4161"/>
      <c r="I50" s="4161"/>
      <c r="J50" s="4161"/>
      <c r="K50" s="4161"/>
      <c r="L50" s="4162"/>
      <c r="M50" s="4163"/>
      <c r="N50" s="4164"/>
      <c r="O50" s="4165"/>
      <c r="P50" s="4094"/>
      <c r="Q50" s="4095"/>
      <c r="R50" s="1755" t="str">
        <f t="shared" si="21"/>
        <v/>
      </c>
      <c r="AW50" s="2718"/>
      <c r="AX50" s="2718"/>
      <c r="AY50" s="2718"/>
      <c r="AZ50" s="2718"/>
      <c r="BA50" s="2718"/>
      <c r="BB50" s="2718"/>
      <c r="BC50" s="2718"/>
      <c r="BD50" s="2718"/>
      <c r="BE50" s="2718"/>
      <c r="BF50" s="2718"/>
      <c r="BG50" s="2718"/>
      <c r="BH50" s="2718"/>
      <c r="BI50" s="2718"/>
      <c r="BJ50" s="2718"/>
      <c r="BK50" s="2718"/>
      <c r="BL50" s="2718"/>
      <c r="BM50" s="2718"/>
      <c r="BN50" s="2718"/>
      <c r="BO50" s="2718"/>
      <c r="BP50" s="2718"/>
      <c r="BQ50" s="2718"/>
      <c r="BR50" s="2718"/>
      <c r="BS50" s="2718"/>
      <c r="BT50" s="2718"/>
      <c r="BU50" s="2718"/>
      <c r="BV50" s="2718"/>
      <c r="BW50" s="2718"/>
      <c r="BX50" s="2718"/>
      <c r="BY50" s="2718"/>
      <c r="BZ50" s="2718"/>
      <c r="CA50" s="2873" t="str">
        <f t="shared" si="22"/>
        <v/>
      </c>
      <c r="CB50" s="2873" t="str">
        <f t="shared" si="23"/>
        <v/>
      </c>
      <c r="CC50" s="2718"/>
      <c r="CD50" s="2718"/>
      <c r="CE50" s="1793">
        <f t="shared" si="24"/>
        <v>0</v>
      </c>
      <c r="CF50" s="1793">
        <f t="shared" si="24"/>
        <v>0</v>
      </c>
    </row>
    <row r="51" spans="1:84" x14ac:dyDescent="0.25">
      <c r="A51" s="7044"/>
      <c r="B51" s="4107" t="s">
        <v>3422</v>
      </c>
      <c r="C51" s="3825">
        <f t="shared" si="19"/>
        <v>0</v>
      </c>
      <c r="D51" s="4108"/>
      <c r="E51" s="4109"/>
      <c r="F51" s="4109"/>
      <c r="G51" s="4109"/>
      <c r="H51" s="4109"/>
      <c r="I51" s="4109"/>
      <c r="J51" s="4109"/>
      <c r="K51" s="4109"/>
      <c r="L51" s="4110"/>
      <c r="M51" s="4111"/>
      <c r="N51" s="4112"/>
      <c r="O51" s="4113"/>
      <c r="P51" s="4094"/>
      <c r="Q51" s="4095"/>
      <c r="R51" s="1755" t="str">
        <f t="shared" si="21"/>
        <v/>
      </c>
      <c r="AW51" s="2718"/>
      <c r="AX51" s="2718"/>
      <c r="AY51" s="2718"/>
      <c r="AZ51" s="2718"/>
      <c r="BA51" s="2718"/>
      <c r="BB51" s="2718"/>
      <c r="BC51" s="2718"/>
      <c r="BD51" s="2718"/>
      <c r="BE51" s="2718"/>
      <c r="BF51" s="2718"/>
      <c r="BG51" s="2718"/>
      <c r="BH51" s="2718"/>
      <c r="BI51" s="2718"/>
      <c r="BJ51" s="2718"/>
      <c r="BK51" s="2718"/>
      <c r="BL51" s="2718"/>
      <c r="BM51" s="2718"/>
      <c r="BN51" s="2718"/>
      <c r="BO51" s="2718"/>
      <c r="BP51" s="2718"/>
      <c r="BQ51" s="2718"/>
      <c r="BR51" s="2718"/>
      <c r="BS51" s="2718"/>
      <c r="BT51" s="2718"/>
      <c r="BU51" s="2718"/>
      <c r="BV51" s="2718"/>
      <c r="BW51" s="2718"/>
      <c r="BX51" s="2718"/>
      <c r="BY51" s="2718"/>
      <c r="BZ51" s="2718"/>
      <c r="CA51" s="2873" t="str">
        <f t="shared" si="22"/>
        <v/>
      </c>
      <c r="CB51" s="2873" t="str">
        <f t="shared" si="23"/>
        <v/>
      </c>
      <c r="CC51" s="2718"/>
      <c r="CD51" s="2718"/>
      <c r="CE51" s="1793">
        <f t="shared" si="24"/>
        <v>0</v>
      </c>
      <c r="CF51" s="1793">
        <f t="shared" si="24"/>
        <v>0</v>
      </c>
    </row>
    <row r="52" spans="1:84" x14ac:dyDescent="0.25">
      <c r="A52" s="7044"/>
      <c r="B52" s="4143" t="s">
        <v>3416</v>
      </c>
      <c r="C52" s="3825">
        <f t="shared" si="19"/>
        <v>0</v>
      </c>
      <c r="D52" s="4108"/>
      <c r="E52" s="4109"/>
      <c r="F52" s="4109"/>
      <c r="G52" s="4109"/>
      <c r="H52" s="4109"/>
      <c r="I52" s="4109"/>
      <c r="J52" s="4109"/>
      <c r="K52" s="4109"/>
      <c r="L52" s="4110"/>
      <c r="M52" s="4111"/>
      <c r="N52" s="4112"/>
      <c r="O52" s="4113"/>
      <c r="P52" s="4094"/>
      <c r="Q52" s="4095"/>
      <c r="R52" s="1755" t="str">
        <f t="shared" si="21"/>
        <v/>
      </c>
      <c r="AW52" s="2718"/>
      <c r="AX52" s="2718"/>
      <c r="AY52" s="2718"/>
      <c r="AZ52" s="2718"/>
      <c r="BA52" s="2718"/>
      <c r="BB52" s="2718"/>
      <c r="BC52" s="2718"/>
      <c r="BD52" s="2718"/>
      <c r="BE52" s="2718"/>
      <c r="BF52" s="2718"/>
      <c r="BG52" s="2718"/>
      <c r="BH52" s="2718"/>
      <c r="BI52" s="2718"/>
      <c r="BJ52" s="2718"/>
      <c r="BK52" s="2718"/>
      <c r="BL52" s="2718"/>
      <c r="BM52" s="2718"/>
      <c r="BN52" s="2718"/>
      <c r="BO52" s="2718"/>
      <c r="BP52" s="2718"/>
      <c r="BQ52" s="2718"/>
      <c r="BR52" s="2718"/>
      <c r="BS52" s="2718"/>
      <c r="BT52" s="2718"/>
      <c r="BU52" s="2718"/>
      <c r="BV52" s="2718"/>
      <c r="BW52" s="2718"/>
      <c r="BX52" s="2718"/>
      <c r="BY52" s="2718"/>
      <c r="BZ52" s="2718"/>
      <c r="CA52" s="2873" t="str">
        <f t="shared" si="22"/>
        <v/>
      </c>
      <c r="CB52" s="2873" t="str">
        <f t="shared" si="23"/>
        <v/>
      </c>
      <c r="CC52" s="2718"/>
      <c r="CD52" s="2718"/>
      <c r="CE52" s="1793">
        <f t="shared" si="24"/>
        <v>0</v>
      </c>
      <c r="CF52" s="1793">
        <f t="shared" si="24"/>
        <v>0</v>
      </c>
    </row>
    <row r="53" spans="1:84" x14ac:dyDescent="0.25">
      <c r="A53" s="7044"/>
      <c r="B53" s="1125" t="s">
        <v>3423</v>
      </c>
      <c r="C53" s="4100">
        <f t="shared" si="19"/>
        <v>0</v>
      </c>
      <c r="D53" s="4101"/>
      <c r="E53" s="4102"/>
      <c r="F53" s="4102"/>
      <c r="G53" s="4102"/>
      <c r="H53" s="4102"/>
      <c r="I53" s="4102"/>
      <c r="J53" s="4102"/>
      <c r="K53" s="4102"/>
      <c r="L53" s="4103"/>
      <c r="M53" s="4104"/>
      <c r="N53" s="4105"/>
      <c r="O53" s="4106"/>
      <c r="P53" s="4094"/>
      <c r="Q53" s="4095"/>
      <c r="R53" s="1755" t="str">
        <f t="shared" si="21"/>
        <v/>
      </c>
      <c r="AW53" s="2718"/>
      <c r="AX53" s="2718"/>
      <c r="AY53" s="2718"/>
      <c r="AZ53" s="2718"/>
      <c r="BA53" s="2718"/>
      <c r="BB53" s="2718"/>
      <c r="BC53" s="2718"/>
      <c r="BD53" s="2718"/>
      <c r="BE53" s="2718"/>
      <c r="BF53" s="2718"/>
      <c r="BG53" s="2718"/>
      <c r="BH53" s="2718"/>
      <c r="BI53" s="2718"/>
      <c r="BJ53" s="2718"/>
      <c r="BK53" s="2718"/>
      <c r="BL53" s="2718"/>
      <c r="BM53" s="2718"/>
      <c r="BN53" s="2718"/>
      <c r="BO53" s="2718"/>
      <c r="BP53" s="2718"/>
      <c r="BQ53" s="2718"/>
      <c r="BR53" s="2718"/>
      <c r="BS53" s="2718"/>
      <c r="BT53" s="2718"/>
      <c r="BU53" s="2718"/>
      <c r="BV53" s="2718"/>
      <c r="BW53" s="2718"/>
      <c r="BX53" s="2718"/>
      <c r="BY53" s="2718"/>
      <c r="BZ53" s="2718"/>
      <c r="CA53" s="2873" t="str">
        <f t="shared" si="22"/>
        <v/>
      </c>
      <c r="CB53" s="2873" t="str">
        <f t="shared" si="23"/>
        <v/>
      </c>
      <c r="CC53" s="2718"/>
      <c r="CD53" s="2718"/>
      <c r="CE53" s="1793">
        <f t="shared" si="24"/>
        <v>0</v>
      </c>
      <c r="CF53" s="1793">
        <f t="shared" si="24"/>
        <v>0</v>
      </c>
    </row>
    <row r="54" spans="1:84" x14ac:dyDescent="0.25">
      <c r="A54" s="6932"/>
      <c r="B54" s="38" t="s">
        <v>3424</v>
      </c>
      <c r="C54" s="38">
        <f t="shared" si="19"/>
        <v>0</v>
      </c>
      <c r="D54" s="4144"/>
      <c r="E54" s="4145"/>
      <c r="F54" s="4145"/>
      <c r="G54" s="4145"/>
      <c r="H54" s="4145"/>
      <c r="I54" s="4145"/>
      <c r="J54" s="4145"/>
      <c r="K54" s="4145"/>
      <c r="L54" s="4146"/>
      <c r="M54" s="4147"/>
      <c r="N54" s="4148"/>
      <c r="O54" s="4149"/>
      <c r="P54" s="4133"/>
      <c r="Q54" s="4134"/>
      <c r="R54" s="1755" t="str">
        <f t="shared" si="21"/>
        <v/>
      </c>
      <c r="AW54" s="2718"/>
      <c r="AX54" s="2718"/>
      <c r="AY54" s="2718"/>
      <c r="AZ54" s="2718"/>
      <c r="BA54" s="2718"/>
      <c r="BB54" s="2718"/>
      <c r="BC54" s="2718"/>
      <c r="BD54" s="2718"/>
      <c r="BE54" s="2718"/>
      <c r="BF54" s="2718"/>
      <c r="BG54" s="2718"/>
      <c r="BH54" s="2718"/>
      <c r="BI54" s="2718"/>
      <c r="BJ54" s="2718"/>
      <c r="BK54" s="2718"/>
      <c r="BL54" s="2718"/>
      <c r="BM54" s="2718"/>
      <c r="BN54" s="2718"/>
      <c r="BO54" s="2718"/>
      <c r="BP54" s="2718"/>
      <c r="BQ54" s="2718"/>
      <c r="BR54" s="2718"/>
      <c r="BS54" s="2718"/>
      <c r="BT54" s="2718"/>
      <c r="BU54" s="2718"/>
      <c r="BV54" s="2718"/>
      <c r="BW54" s="2718"/>
      <c r="BX54" s="2718"/>
      <c r="BY54" s="2718"/>
      <c r="BZ54" s="2718"/>
      <c r="CA54" s="2873" t="str">
        <f t="shared" si="22"/>
        <v/>
      </c>
      <c r="CB54" s="2873" t="str">
        <f t="shared" si="23"/>
        <v/>
      </c>
      <c r="CC54" s="2718"/>
      <c r="CD54" s="2718"/>
      <c r="CE54" s="1793">
        <f t="shared" si="24"/>
        <v>0</v>
      </c>
      <c r="CF54" s="1793">
        <f t="shared" si="24"/>
        <v>0</v>
      </c>
    </row>
    <row r="55" spans="1:84" x14ac:dyDescent="0.25">
      <c r="A55" s="8449" t="s">
        <v>3425</v>
      </c>
      <c r="B55" s="4166" t="s">
        <v>948</v>
      </c>
      <c r="C55" s="4167">
        <f t="shared" si="19"/>
        <v>0</v>
      </c>
      <c r="D55" s="4151"/>
      <c r="E55" s="4136"/>
      <c r="F55" s="4136"/>
      <c r="G55" s="4136"/>
      <c r="H55" s="4136"/>
      <c r="I55" s="4136"/>
      <c r="J55" s="4136"/>
      <c r="K55" s="4136"/>
      <c r="L55" s="4168"/>
      <c r="M55" s="4169"/>
      <c r="N55" s="4170"/>
      <c r="O55" s="4171"/>
      <c r="P55" s="4141"/>
      <c r="Q55" s="4142"/>
      <c r="R55" s="1755" t="str">
        <f t="shared" si="21"/>
        <v/>
      </c>
      <c r="AW55" s="2718"/>
      <c r="AX55" s="2718"/>
      <c r="AY55" s="2718"/>
      <c r="AZ55" s="2718"/>
      <c r="BA55" s="2718"/>
      <c r="BB55" s="2718"/>
      <c r="BC55" s="2718"/>
      <c r="BD55" s="2718"/>
      <c r="BE55" s="2718"/>
      <c r="BF55" s="2718"/>
      <c r="BG55" s="2718"/>
      <c r="BH55" s="2718"/>
      <c r="BI55" s="2718"/>
      <c r="BJ55" s="2718"/>
      <c r="BK55" s="2718"/>
      <c r="BL55" s="2718"/>
      <c r="BM55" s="2718"/>
      <c r="BN55" s="2718"/>
      <c r="BO55" s="2718"/>
      <c r="BP55" s="2718"/>
      <c r="BQ55" s="2718"/>
      <c r="BR55" s="2718"/>
      <c r="BS55" s="2718"/>
      <c r="BT55" s="2718"/>
      <c r="BU55" s="2718"/>
      <c r="BV55" s="2718"/>
      <c r="BW55" s="2718"/>
      <c r="BX55" s="2718"/>
      <c r="BY55" s="2718"/>
      <c r="BZ55" s="2718"/>
      <c r="CA55" s="2873" t="str">
        <f t="shared" si="22"/>
        <v/>
      </c>
      <c r="CB55" s="2873" t="str">
        <f t="shared" si="23"/>
        <v/>
      </c>
      <c r="CC55" s="2718"/>
      <c r="CD55" s="2718"/>
      <c r="CE55" s="1793">
        <f t="shared" si="24"/>
        <v>0</v>
      </c>
      <c r="CF55" s="1793">
        <f t="shared" si="24"/>
        <v>0</v>
      </c>
    </row>
    <row r="56" spans="1:84" x14ac:dyDescent="0.25">
      <c r="A56" s="7044"/>
      <c r="B56" s="1768" t="s">
        <v>3426</v>
      </c>
      <c r="C56" s="3825">
        <f t="shared" si="19"/>
        <v>0</v>
      </c>
      <c r="D56" s="4108"/>
      <c r="E56" s="4109"/>
      <c r="F56" s="4109"/>
      <c r="G56" s="4109"/>
      <c r="H56" s="4109"/>
      <c r="I56" s="4109"/>
      <c r="J56" s="4109"/>
      <c r="K56" s="4109"/>
      <c r="L56" s="4110"/>
      <c r="M56" s="4094"/>
      <c r="N56" s="4095"/>
      <c r="O56" s="4099"/>
      <c r="P56" s="4094"/>
      <c r="Q56" s="4095"/>
      <c r="R56" s="1755" t="str">
        <f t="shared" si="21"/>
        <v/>
      </c>
      <c r="AW56" s="2718"/>
      <c r="AX56" s="2718"/>
      <c r="AY56" s="2718"/>
      <c r="AZ56" s="2718"/>
      <c r="BA56" s="2718"/>
      <c r="BB56" s="2718"/>
      <c r="BC56" s="2718"/>
      <c r="BD56" s="2718"/>
      <c r="BE56" s="2718"/>
      <c r="BF56" s="2718"/>
      <c r="BG56" s="2718"/>
      <c r="BH56" s="2718"/>
      <c r="BI56" s="2718"/>
      <c r="BJ56" s="2718"/>
      <c r="BK56" s="2718"/>
      <c r="BL56" s="2718"/>
      <c r="BM56" s="2718"/>
      <c r="BN56" s="2718"/>
      <c r="BO56" s="2718"/>
      <c r="BP56" s="2718"/>
      <c r="BQ56" s="2718"/>
      <c r="BR56" s="2718"/>
      <c r="BS56" s="2718"/>
      <c r="BT56" s="2718"/>
      <c r="BU56" s="2718"/>
      <c r="BV56" s="2718"/>
      <c r="BW56" s="2718"/>
      <c r="BX56" s="2718"/>
      <c r="BY56" s="2718"/>
      <c r="BZ56" s="2718"/>
      <c r="CA56" s="2873" t="str">
        <f t="shared" si="22"/>
        <v/>
      </c>
      <c r="CB56" s="2873" t="str">
        <f t="shared" si="23"/>
        <v/>
      </c>
      <c r="CC56" s="2718"/>
      <c r="CD56" s="2718"/>
      <c r="CE56" s="1793">
        <f t="shared" si="24"/>
        <v>0</v>
      </c>
      <c r="CF56" s="1793">
        <f t="shared" si="24"/>
        <v>0</v>
      </c>
    </row>
    <row r="57" spans="1:84" ht="15" customHeight="1" x14ac:dyDescent="0.25">
      <c r="A57" s="7044"/>
      <c r="B57" s="3821" t="s">
        <v>3427</v>
      </c>
      <c r="C57" s="3825">
        <f t="shared" si="19"/>
        <v>0</v>
      </c>
      <c r="D57" s="4101"/>
      <c r="E57" s="4102"/>
      <c r="F57" s="4102"/>
      <c r="G57" s="4102"/>
      <c r="H57" s="4102"/>
      <c r="I57" s="4102"/>
      <c r="J57" s="4102"/>
      <c r="K57" s="4102"/>
      <c r="L57" s="4103"/>
      <c r="M57" s="4104"/>
      <c r="N57" s="4105"/>
      <c r="O57" s="4106"/>
      <c r="P57" s="4094"/>
      <c r="Q57" s="4095"/>
      <c r="R57" s="1755" t="str">
        <f t="shared" si="21"/>
        <v/>
      </c>
      <c r="AW57" s="2718"/>
      <c r="AX57" s="2718"/>
      <c r="AY57" s="2718"/>
      <c r="AZ57" s="2718"/>
      <c r="BA57" s="2718"/>
      <c r="BB57" s="2718"/>
      <c r="BC57" s="2718"/>
      <c r="BD57" s="2718"/>
      <c r="BE57" s="2718"/>
      <c r="BF57" s="2718"/>
      <c r="BG57" s="2718"/>
      <c r="BH57" s="2718"/>
      <c r="BI57" s="2718"/>
      <c r="BJ57" s="2718"/>
      <c r="BK57" s="2718"/>
      <c r="BL57" s="2718"/>
      <c r="BM57" s="2718"/>
      <c r="BN57" s="2718"/>
      <c r="BO57" s="2718"/>
      <c r="BP57" s="2718"/>
      <c r="BQ57" s="2718"/>
      <c r="BR57" s="2718"/>
      <c r="BS57" s="2718"/>
      <c r="BT57" s="2718"/>
      <c r="BU57" s="2718"/>
      <c r="BV57" s="2718"/>
      <c r="BW57" s="2718"/>
      <c r="BX57" s="2718"/>
      <c r="BY57" s="2718"/>
      <c r="BZ57" s="2718"/>
      <c r="CA57" s="2873" t="str">
        <f t="shared" si="22"/>
        <v/>
      </c>
      <c r="CB57" s="2873" t="str">
        <f t="shared" si="23"/>
        <v/>
      </c>
      <c r="CC57" s="2718"/>
      <c r="CD57" s="2718"/>
      <c r="CE57" s="1793">
        <f t="shared" si="24"/>
        <v>0</v>
      </c>
      <c r="CF57" s="1793">
        <f t="shared" si="24"/>
        <v>0</v>
      </c>
    </row>
    <row r="58" spans="1:84" ht="22.5" x14ac:dyDescent="0.25">
      <c r="A58" s="6932"/>
      <c r="B58" s="4172" t="s">
        <v>3428</v>
      </c>
      <c r="C58" s="2448">
        <f>SUM(D58:L58)</f>
        <v>0</v>
      </c>
      <c r="D58" s="4153"/>
      <c r="E58" s="4128"/>
      <c r="F58" s="4128"/>
      <c r="G58" s="4128"/>
      <c r="H58" s="4128"/>
      <c r="I58" s="4128"/>
      <c r="J58" s="4128"/>
      <c r="K58" s="4128"/>
      <c r="L58" s="4129"/>
      <c r="M58" s="4130"/>
      <c r="N58" s="4131"/>
      <c r="O58" s="4132"/>
      <c r="P58" s="4133"/>
      <c r="Q58" s="4134"/>
      <c r="R58" s="1755" t="str">
        <f t="shared" si="21"/>
        <v/>
      </c>
      <c r="AW58" s="2718"/>
      <c r="AX58" s="2718"/>
      <c r="AY58" s="2718"/>
      <c r="AZ58" s="2718"/>
      <c r="BA58" s="2718"/>
      <c r="BB58" s="2718"/>
      <c r="BC58" s="2718"/>
      <c r="BD58" s="2718"/>
      <c r="BE58" s="2718"/>
      <c r="BF58" s="2718"/>
      <c r="BG58" s="2718"/>
      <c r="BH58" s="2718"/>
      <c r="BI58" s="2718"/>
      <c r="BJ58" s="2718"/>
      <c r="BK58" s="2718"/>
      <c r="BL58" s="2718"/>
      <c r="BM58" s="2718"/>
      <c r="BN58" s="2718"/>
      <c r="BO58" s="2718"/>
      <c r="BP58" s="2718"/>
      <c r="BQ58" s="2718"/>
      <c r="BR58" s="2718"/>
      <c r="BS58" s="2718"/>
      <c r="BT58" s="2718"/>
      <c r="BU58" s="2718"/>
      <c r="BV58" s="2718"/>
      <c r="BW58" s="2718"/>
      <c r="BX58" s="2718"/>
      <c r="BY58" s="2718"/>
      <c r="BZ58" s="2718"/>
      <c r="CA58" s="2873" t="str">
        <f t="shared" si="22"/>
        <v/>
      </c>
      <c r="CB58" s="2873" t="str">
        <f t="shared" si="23"/>
        <v/>
      </c>
      <c r="CC58" s="2718"/>
      <c r="CD58" s="2718"/>
      <c r="CE58" s="1793">
        <f t="shared" si="24"/>
        <v>0</v>
      </c>
      <c r="CF58" s="1793">
        <f t="shared" si="24"/>
        <v>0</v>
      </c>
    </row>
    <row r="59" spans="1:84" x14ac:dyDescent="0.25">
      <c r="A59" s="8449" t="s">
        <v>3429</v>
      </c>
      <c r="B59" s="4173" t="s">
        <v>948</v>
      </c>
      <c r="C59" s="4174"/>
      <c r="D59" s="4175"/>
      <c r="E59" s="4176"/>
      <c r="F59" s="4176"/>
      <c r="G59" s="4176"/>
      <c r="H59" s="4176"/>
      <c r="I59" s="4176"/>
      <c r="J59" s="4176"/>
      <c r="K59" s="4176"/>
      <c r="L59" s="4177"/>
      <c r="M59" s="4178"/>
      <c r="N59" s="4179"/>
      <c r="O59" s="4180"/>
      <c r="P59" s="4141"/>
      <c r="Q59" s="4142"/>
      <c r="R59" s="1755" t="str">
        <f t="shared" si="21"/>
        <v/>
      </c>
      <c r="AW59" s="2718"/>
      <c r="AX59" s="2718"/>
      <c r="AY59" s="2718"/>
      <c r="AZ59" s="2718"/>
      <c r="BA59" s="2718"/>
      <c r="BB59" s="2718"/>
      <c r="BC59" s="2718"/>
      <c r="BD59" s="2718"/>
      <c r="BE59" s="2718"/>
      <c r="BF59" s="2718"/>
      <c r="BG59" s="2718"/>
      <c r="BH59" s="2718"/>
      <c r="BI59" s="2718"/>
      <c r="BJ59" s="2718"/>
      <c r="BK59" s="2718"/>
      <c r="BL59" s="2718"/>
      <c r="BM59" s="2718"/>
      <c r="BN59" s="2718"/>
      <c r="BO59" s="2718"/>
      <c r="BP59" s="2718"/>
      <c r="BQ59" s="2718"/>
      <c r="BR59" s="2718"/>
      <c r="BS59" s="2718"/>
      <c r="BT59" s="2718"/>
      <c r="BU59" s="2718"/>
      <c r="BV59" s="2718"/>
      <c r="BW59" s="2718"/>
      <c r="BX59" s="2718"/>
      <c r="BY59" s="2718"/>
      <c r="BZ59" s="2718"/>
      <c r="CA59" s="2873" t="str">
        <f t="shared" si="22"/>
        <v/>
      </c>
      <c r="CB59" s="2873" t="str">
        <f t="shared" si="23"/>
        <v/>
      </c>
      <c r="CC59" s="2718"/>
      <c r="CD59" s="2718"/>
      <c r="CE59" s="1793">
        <f t="shared" si="24"/>
        <v>0</v>
      </c>
      <c r="CF59" s="1793">
        <f t="shared" si="24"/>
        <v>0</v>
      </c>
    </row>
    <row r="60" spans="1:84" x14ac:dyDescent="0.25">
      <c r="A60" s="7044"/>
      <c r="B60" s="1767" t="s">
        <v>3426</v>
      </c>
      <c r="C60" s="4181">
        <f>SUM(D60:L60)</f>
        <v>0</v>
      </c>
      <c r="D60" s="4182">
        <f>SUM(D61:D62)</f>
        <v>0</v>
      </c>
      <c r="E60" s="4183">
        <f t="shared" ref="E60:L60" si="25">SUM(E61:E62)</f>
        <v>0</v>
      </c>
      <c r="F60" s="4183">
        <f t="shared" si="25"/>
        <v>0</v>
      </c>
      <c r="G60" s="4183">
        <f t="shared" si="25"/>
        <v>0</v>
      </c>
      <c r="H60" s="4183">
        <f t="shared" si="25"/>
        <v>0</v>
      </c>
      <c r="I60" s="4183">
        <f t="shared" si="25"/>
        <v>0</v>
      </c>
      <c r="J60" s="4183">
        <f t="shared" si="25"/>
        <v>0</v>
      </c>
      <c r="K60" s="4183">
        <f t="shared" si="25"/>
        <v>0</v>
      </c>
      <c r="L60" s="4184">
        <f t="shared" si="25"/>
        <v>0</v>
      </c>
      <c r="M60" s="4185"/>
      <c r="N60" s="4186"/>
      <c r="O60" s="4187"/>
      <c r="P60" s="4094"/>
      <c r="Q60" s="4095"/>
      <c r="R60" s="1755" t="str">
        <f t="shared" si="21"/>
        <v/>
      </c>
      <c r="AW60" s="2718"/>
      <c r="AX60" s="2718"/>
      <c r="AY60" s="2718"/>
      <c r="AZ60" s="2718"/>
      <c r="BA60" s="2718"/>
      <c r="BB60" s="2718"/>
      <c r="BC60" s="2718"/>
      <c r="BD60" s="2718"/>
      <c r="BE60" s="2718"/>
      <c r="BF60" s="2718"/>
      <c r="BG60" s="2718"/>
      <c r="BH60" s="2718"/>
      <c r="BI60" s="2718"/>
      <c r="BJ60" s="2718"/>
      <c r="BK60" s="2718"/>
      <c r="BL60" s="2718"/>
      <c r="BM60" s="2718"/>
      <c r="BN60" s="2718"/>
      <c r="BO60" s="2718"/>
      <c r="BP60" s="2718"/>
      <c r="BQ60" s="2718"/>
      <c r="BR60" s="2718"/>
      <c r="BS60" s="2718"/>
      <c r="BT60" s="2718"/>
      <c r="BU60" s="2718"/>
      <c r="BV60" s="2718"/>
      <c r="BW60" s="2718"/>
      <c r="BX60" s="2718"/>
      <c r="BY60" s="2718"/>
      <c r="BZ60" s="2718"/>
      <c r="CA60" s="2718"/>
      <c r="CB60" s="2718"/>
      <c r="CC60" s="2718"/>
      <c r="CD60" s="2718"/>
    </row>
    <row r="61" spans="1:84" x14ac:dyDescent="0.25">
      <c r="A61" s="7044"/>
      <c r="B61" s="3821" t="s">
        <v>3430</v>
      </c>
      <c r="C61" s="4188">
        <f>SUM(D61:L61)</f>
        <v>0</v>
      </c>
      <c r="D61" s="4101"/>
      <c r="E61" s="4102"/>
      <c r="F61" s="4102"/>
      <c r="G61" s="4102"/>
      <c r="H61" s="4102"/>
      <c r="I61" s="4102"/>
      <c r="J61" s="4102"/>
      <c r="K61" s="4102"/>
      <c r="L61" s="4103"/>
      <c r="M61" s="4104"/>
      <c r="N61" s="4105"/>
      <c r="O61" s="4106"/>
      <c r="P61" s="4094"/>
      <c r="Q61" s="4095"/>
      <c r="R61" s="1755" t="str">
        <f t="shared" si="21"/>
        <v/>
      </c>
      <c r="AW61" s="2718"/>
      <c r="AX61" s="2718"/>
      <c r="AY61" s="2718"/>
      <c r="AZ61" s="2718"/>
      <c r="BA61" s="2718"/>
      <c r="BB61" s="2718"/>
      <c r="BC61" s="2718"/>
      <c r="BD61" s="2718"/>
      <c r="BE61" s="2718"/>
      <c r="BF61" s="2718"/>
      <c r="BG61" s="2718"/>
      <c r="BH61" s="2718"/>
      <c r="BI61" s="2718"/>
      <c r="BJ61" s="2718"/>
      <c r="BK61" s="2718"/>
      <c r="BL61" s="2718"/>
      <c r="BM61" s="2718"/>
      <c r="BN61" s="2718"/>
      <c r="BO61" s="2718"/>
      <c r="BP61" s="2718"/>
      <c r="BQ61" s="2718"/>
      <c r="BR61" s="2718"/>
      <c r="BS61" s="2718"/>
      <c r="BT61" s="2718"/>
      <c r="BU61" s="2718"/>
      <c r="BV61" s="2718"/>
      <c r="BW61" s="2718"/>
      <c r="BX61" s="2718"/>
      <c r="BY61" s="2718"/>
      <c r="BZ61" s="2718"/>
      <c r="CA61" s="2873" t="str">
        <f t="shared" si="22"/>
        <v/>
      </c>
      <c r="CB61" s="2873" t="str">
        <f t="shared" si="23"/>
        <v/>
      </c>
      <c r="CC61" s="2718"/>
      <c r="CD61" s="2718"/>
      <c r="CE61" s="1793">
        <f t="shared" si="24"/>
        <v>0</v>
      </c>
      <c r="CF61" s="1793">
        <f t="shared" si="24"/>
        <v>0</v>
      </c>
    </row>
    <row r="62" spans="1:84" x14ac:dyDescent="0.25">
      <c r="A62" s="6932"/>
      <c r="B62" s="4189" t="s">
        <v>3431</v>
      </c>
      <c r="C62" s="1771">
        <f>SUM(D62:L62)</f>
        <v>0</v>
      </c>
      <c r="D62" s="4144"/>
      <c r="E62" s="4145"/>
      <c r="F62" s="4145"/>
      <c r="G62" s="4145"/>
      <c r="H62" s="4145"/>
      <c r="I62" s="4145"/>
      <c r="J62" s="4145"/>
      <c r="K62" s="4145"/>
      <c r="L62" s="4146"/>
      <c r="M62" s="4147"/>
      <c r="N62" s="4148"/>
      <c r="O62" s="4149"/>
      <c r="P62" s="4133"/>
      <c r="Q62" s="4134"/>
      <c r="R62" s="1755" t="str">
        <f t="shared" si="21"/>
        <v/>
      </c>
      <c r="AW62" s="2718"/>
      <c r="AX62" s="2718"/>
      <c r="AY62" s="2718"/>
      <c r="AZ62" s="2718"/>
      <c r="BA62" s="2718"/>
      <c r="BB62" s="2718"/>
      <c r="BC62" s="2718"/>
      <c r="BD62" s="2718"/>
      <c r="BE62" s="2718"/>
      <c r="BF62" s="2718"/>
      <c r="BG62" s="2718"/>
      <c r="BH62" s="2718"/>
      <c r="BI62" s="2718"/>
      <c r="BJ62" s="2718"/>
      <c r="BK62" s="2718"/>
      <c r="BL62" s="2718"/>
      <c r="BM62" s="2718"/>
      <c r="BN62" s="2718"/>
      <c r="BO62" s="2718"/>
      <c r="BP62" s="2718"/>
      <c r="BQ62" s="2718"/>
      <c r="BR62" s="2718"/>
      <c r="BS62" s="2718"/>
      <c r="BT62" s="2718"/>
      <c r="BU62" s="2718"/>
      <c r="BV62" s="2718"/>
      <c r="BW62" s="2718"/>
      <c r="BX62" s="2718"/>
      <c r="BY62" s="2718"/>
      <c r="BZ62" s="2718"/>
      <c r="CA62" s="2873" t="str">
        <f t="shared" si="22"/>
        <v/>
      </c>
      <c r="CB62" s="2873" t="str">
        <f t="shared" si="23"/>
        <v/>
      </c>
      <c r="CC62" s="2718"/>
      <c r="CD62" s="2718"/>
      <c r="CE62" s="1793">
        <f t="shared" si="24"/>
        <v>0</v>
      </c>
      <c r="CF62" s="1793">
        <f t="shared" si="24"/>
        <v>0</v>
      </c>
    </row>
    <row r="63" spans="1:84" x14ac:dyDescent="0.25">
      <c r="A63" s="8449" t="s">
        <v>3432</v>
      </c>
      <c r="B63" s="4166" t="s">
        <v>948</v>
      </c>
      <c r="C63" s="4108"/>
      <c r="D63" s="4190"/>
      <c r="E63" s="4191"/>
      <c r="F63" s="4191"/>
      <c r="G63" s="4191"/>
      <c r="H63" s="4191"/>
      <c r="I63" s="4191"/>
      <c r="J63" s="4191"/>
      <c r="K63" s="4191"/>
      <c r="L63" s="4192"/>
      <c r="M63" s="4169"/>
      <c r="N63" s="4170"/>
      <c r="O63" s="4171"/>
      <c r="P63" s="4141"/>
      <c r="Q63" s="4142"/>
      <c r="R63" s="1755" t="str">
        <f t="shared" si="21"/>
        <v/>
      </c>
      <c r="AW63" s="2718"/>
      <c r="AX63" s="2718"/>
      <c r="AY63" s="2718"/>
      <c r="AZ63" s="2718"/>
      <c r="BA63" s="2718"/>
      <c r="BB63" s="2718"/>
      <c r="BC63" s="2718"/>
      <c r="BD63" s="2718"/>
      <c r="BE63" s="2718"/>
      <c r="BF63" s="2718"/>
      <c r="BG63" s="2718"/>
      <c r="BH63" s="2718"/>
      <c r="BI63" s="2718"/>
      <c r="BJ63" s="2718"/>
      <c r="BK63" s="2718"/>
      <c r="BL63" s="2718"/>
      <c r="BM63" s="2718"/>
      <c r="BN63" s="2718"/>
      <c r="BO63" s="2718"/>
      <c r="BP63" s="2718"/>
      <c r="BQ63" s="2718"/>
      <c r="BR63" s="2718"/>
      <c r="BS63" s="2718"/>
      <c r="BT63" s="2718"/>
      <c r="BU63" s="2718"/>
      <c r="BV63" s="2718"/>
      <c r="BW63" s="2718"/>
      <c r="BX63" s="2718"/>
      <c r="BY63" s="2718"/>
      <c r="BZ63" s="2718"/>
      <c r="CA63" s="2873" t="str">
        <f t="shared" si="22"/>
        <v/>
      </c>
      <c r="CB63" s="2873" t="str">
        <f t="shared" si="23"/>
        <v/>
      </c>
      <c r="CC63" s="2718"/>
      <c r="CD63" s="2718"/>
      <c r="CE63" s="1793">
        <f t="shared" si="24"/>
        <v>0</v>
      </c>
      <c r="CF63" s="1793">
        <f t="shared" si="24"/>
        <v>0</v>
      </c>
    </row>
    <row r="64" spans="1:84" x14ac:dyDescent="0.25">
      <c r="A64" s="6932"/>
      <c r="B64" s="1124" t="s">
        <v>3409</v>
      </c>
      <c r="C64" s="4144"/>
      <c r="D64" s="4193"/>
      <c r="E64" s="4194"/>
      <c r="F64" s="4194"/>
      <c r="G64" s="4194"/>
      <c r="H64" s="4194"/>
      <c r="I64" s="4194"/>
      <c r="J64" s="4194"/>
      <c r="K64" s="4194"/>
      <c r="L64" s="4195"/>
      <c r="M64" s="4196"/>
      <c r="N64" s="4134"/>
      <c r="O64" s="4197"/>
      <c r="P64" s="4133"/>
      <c r="Q64" s="4134"/>
      <c r="R64" s="1755" t="str">
        <f t="shared" si="21"/>
        <v/>
      </c>
      <c r="AW64" s="2718"/>
      <c r="AX64" s="2718"/>
      <c r="AY64" s="2718"/>
      <c r="AZ64" s="2718"/>
      <c r="BA64" s="2718"/>
      <c r="BB64" s="2718"/>
      <c r="BC64" s="2718"/>
      <c r="BD64" s="2718"/>
      <c r="BE64" s="2718"/>
      <c r="BF64" s="2718"/>
      <c r="BG64" s="2718"/>
      <c r="BH64" s="2718"/>
      <c r="BI64" s="2718"/>
      <c r="BJ64" s="2718"/>
      <c r="BK64" s="2718"/>
      <c r="BL64" s="2718"/>
      <c r="BM64" s="2718"/>
      <c r="BN64" s="2718"/>
      <c r="BO64" s="2718"/>
      <c r="BP64" s="2718"/>
      <c r="BQ64" s="2718"/>
      <c r="BR64" s="2718"/>
      <c r="BS64" s="2718"/>
      <c r="BT64" s="2718"/>
      <c r="BU64" s="2718"/>
      <c r="BV64" s="2718"/>
      <c r="BW64" s="2718"/>
      <c r="BX64" s="2718"/>
      <c r="BY64" s="2718"/>
      <c r="BZ64" s="2718"/>
      <c r="CA64" s="2873" t="str">
        <f t="shared" si="22"/>
        <v/>
      </c>
      <c r="CB64" s="2873" t="str">
        <f t="shared" si="23"/>
        <v/>
      </c>
      <c r="CC64" s="2718"/>
      <c r="CD64" s="2718"/>
      <c r="CE64" s="1793">
        <f t="shared" si="24"/>
        <v>0</v>
      </c>
      <c r="CF64" s="1793">
        <f t="shared" si="24"/>
        <v>0</v>
      </c>
    </row>
    <row r="65" spans="1:4" ht="18" customHeight="1" x14ac:dyDescent="0.25">
      <c r="A65" s="4198" t="s">
        <v>3433</v>
      </c>
      <c r="B65" s="19"/>
      <c r="C65" s="15"/>
      <c r="D65" s="19"/>
    </row>
    <row r="66" spans="1:4" ht="31.5" x14ac:dyDescent="0.25">
      <c r="A66" s="4939" t="s">
        <v>3434</v>
      </c>
      <c r="B66" s="4940" t="s">
        <v>1046</v>
      </c>
      <c r="C66" s="4938" t="s">
        <v>3435</v>
      </c>
      <c r="D66" s="4938" t="s">
        <v>3436</v>
      </c>
    </row>
    <row r="67" spans="1:4" ht="22.5" x14ac:dyDescent="0.25">
      <c r="A67" s="8444" t="s">
        <v>238</v>
      </c>
      <c r="B67" s="4199" t="s">
        <v>3437</v>
      </c>
      <c r="C67" s="4200"/>
      <c r="D67" s="4200"/>
    </row>
    <row r="68" spans="1:4" x14ac:dyDescent="0.25">
      <c r="A68" s="8445"/>
      <c r="B68" s="4201" t="s">
        <v>3438</v>
      </c>
      <c r="C68" s="4202"/>
      <c r="D68" s="4202"/>
    </row>
    <row r="69" spans="1:4" x14ac:dyDescent="0.25">
      <c r="A69" s="8445"/>
      <c r="B69" s="4201" t="s">
        <v>3439</v>
      </c>
      <c r="C69" s="4202"/>
      <c r="D69" s="4202"/>
    </row>
    <row r="70" spans="1:4" ht="22.5" x14ac:dyDescent="0.25">
      <c r="A70" s="8445"/>
      <c r="B70" s="4201" t="s">
        <v>3440</v>
      </c>
      <c r="C70" s="4202"/>
      <c r="D70" s="4202"/>
    </row>
    <row r="71" spans="1:4" x14ac:dyDescent="0.25">
      <c r="A71" s="8445"/>
      <c r="B71" s="4201" t="s">
        <v>3441</v>
      </c>
      <c r="C71" s="4202"/>
      <c r="D71" s="4202"/>
    </row>
    <row r="72" spans="1:4" x14ac:dyDescent="0.25">
      <c r="A72" s="8445"/>
      <c r="B72" s="4203" t="s">
        <v>3442</v>
      </c>
      <c r="C72" s="4202"/>
      <c r="D72" s="4202"/>
    </row>
    <row r="73" spans="1:4" ht="22.5" x14ac:dyDescent="0.25">
      <c r="A73" s="8445"/>
      <c r="B73" s="4201" t="s">
        <v>3443</v>
      </c>
      <c r="C73" s="4202"/>
      <c r="D73" s="4202"/>
    </row>
    <row r="74" spans="1:4" x14ac:dyDescent="0.25">
      <c r="A74" s="8445"/>
      <c r="B74" s="4201" t="s">
        <v>3444</v>
      </c>
      <c r="C74" s="4202"/>
      <c r="D74" s="4202"/>
    </row>
    <row r="75" spans="1:4" x14ac:dyDescent="0.25">
      <c r="A75" s="8445"/>
      <c r="B75" s="4203" t="s">
        <v>3445</v>
      </c>
      <c r="C75" s="4202"/>
      <c r="D75" s="4202"/>
    </row>
    <row r="76" spans="1:4" x14ac:dyDescent="0.25">
      <c r="A76" s="8445"/>
      <c r="B76" s="4203" t="s">
        <v>3446</v>
      </c>
      <c r="C76" s="4202"/>
      <c r="D76" s="4202"/>
    </row>
    <row r="77" spans="1:4" x14ac:dyDescent="0.25">
      <c r="A77" s="8445"/>
      <c r="B77" s="4203" t="s">
        <v>3447</v>
      </c>
      <c r="C77" s="4204"/>
      <c r="D77" s="4204"/>
    </row>
    <row r="78" spans="1:4" x14ac:dyDescent="0.25">
      <c r="A78" s="8445"/>
      <c r="B78" s="4203" t="s">
        <v>3448</v>
      </c>
      <c r="C78" s="4204"/>
      <c r="D78" s="4204"/>
    </row>
    <row r="79" spans="1:4" x14ac:dyDescent="0.25">
      <c r="A79" s="8445"/>
      <c r="B79" s="4203" t="s">
        <v>3449</v>
      </c>
      <c r="C79" s="4204"/>
      <c r="D79" s="4204"/>
    </row>
    <row r="80" spans="1:4" x14ac:dyDescent="0.25">
      <c r="A80" s="8445"/>
      <c r="B80" s="4203" t="s">
        <v>3450</v>
      </c>
      <c r="C80" s="4204"/>
      <c r="D80" s="4204"/>
    </row>
    <row r="81" spans="1:4" x14ac:dyDescent="0.25">
      <c r="A81" s="8445"/>
      <c r="B81" s="4203" t="s">
        <v>3451</v>
      </c>
      <c r="C81" s="4204"/>
      <c r="D81" s="4204"/>
    </row>
    <row r="82" spans="1:4" x14ac:dyDescent="0.25">
      <c r="A82" s="8445"/>
      <c r="B82" s="4201" t="s">
        <v>3452</v>
      </c>
      <c r="C82" s="4204"/>
      <c r="D82" s="4204"/>
    </row>
    <row r="83" spans="1:4" ht="22.5" x14ac:dyDescent="0.25">
      <c r="A83" s="8445"/>
      <c r="B83" s="4201" t="s">
        <v>3453</v>
      </c>
      <c r="C83" s="4204"/>
      <c r="D83" s="4204"/>
    </row>
    <row r="84" spans="1:4" x14ac:dyDescent="0.25">
      <c r="A84" s="8445"/>
      <c r="B84" s="4203" t="s">
        <v>3454</v>
      </c>
      <c r="C84" s="4204"/>
      <c r="D84" s="4204"/>
    </row>
    <row r="85" spans="1:4" x14ac:dyDescent="0.25">
      <c r="A85" s="8445"/>
      <c r="B85" s="4203" t="s">
        <v>3455</v>
      </c>
      <c r="C85" s="4204"/>
      <c r="D85" s="4204"/>
    </row>
    <row r="86" spans="1:4" x14ac:dyDescent="0.25">
      <c r="A86" s="8446"/>
      <c r="B86" s="3092" t="s">
        <v>3456</v>
      </c>
      <c r="C86" s="4205"/>
      <c r="D86" s="4205"/>
    </row>
    <row r="87" spans="1:4" x14ac:dyDescent="0.25">
      <c r="A87" s="8442" t="s">
        <v>239</v>
      </c>
      <c r="B87" s="4206" t="s">
        <v>3457</v>
      </c>
      <c r="C87" s="4207"/>
      <c r="D87" s="4207"/>
    </row>
    <row r="88" spans="1:4" x14ac:dyDescent="0.25">
      <c r="A88" s="6998"/>
      <c r="B88" s="4201" t="s">
        <v>3458</v>
      </c>
      <c r="C88" s="4208"/>
      <c r="D88" s="4208"/>
    </row>
    <row r="89" spans="1:4" x14ac:dyDescent="0.25">
      <c r="A89" s="6998"/>
      <c r="B89" s="4201" t="s">
        <v>3459</v>
      </c>
      <c r="C89" s="4209"/>
      <c r="D89" s="4209"/>
    </row>
    <row r="90" spans="1:4" x14ac:dyDescent="0.25">
      <c r="A90" s="6998"/>
      <c r="B90" s="4201" t="s">
        <v>3460</v>
      </c>
      <c r="C90" s="4209"/>
      <c r="D90" s="4209"/>
    </row>
    <row r="91" spans="1:4" x14ac:dyDescent="0.25">
      <c r="A91" s="6998"/>
      <c r="B91" s="4201" t="s">
        <v>3461</v>
      </c>
      <c r="C91" s="4210"/>
      <c r="D91" s="4210"/>
    </row>
    <row r="92" spans="1:4" x14ac:dyDescent="0.25">
      <c r="A92" s="6998"/>
      <c r="B92" s="4201" t="s">
        <v>3462</v>
      </c>
      <c r="C92" s="4211"/>
      <c r="D92" s="4212"/>
    </row>
    <row r="93" spans="1:4" x14ac:dyDescent="0.25">
      <c r="A93" s="6998"/>
      <c r="B93" s="4201" t="s">
        <v>3463</v>
      </c>
      <c r="C93" s="4211"/>
      <c r="D93" s="4212"/>
    </row>
    <row r="94" spans="1:4" x14ac:dyDescent="0.25">
      <c r="A94" s="6998"/>
      <c r="B94" s="4201" t="s">
        <v>3464</v>
      </c>
      <c r="C94" s="4211"/>
      <c r="D94" s="4212"/>
    </row>
    <row r="95" spans="1:4" x14ac:dyDescent="0.25">
      <c r="A95" s="6998"/>
      <c r="B95" s="4201" t="s">
        <v>3465</v>
      </c>
      <c r="C95" s="4211"/>
      <c r="D95" s="4212"/>
    </row>
    <row r="96" spans="1:4" x14ac:dyDescent="0.25">
      <c r="A96" s="6998"/>
      <c r="B96" s="4201" t="s">
        <v>3466</v>
      </c>
      <c r="C96" s="4211"/>
      <c r="D96" s="4212"/>
    </row>
    <row r="97" spans="1:4" x14ac:dyDescent="0.25">
      <c r="A97" s="6998"/>
      <c r="B97" s="4201" t="s">
        <v>3467</v>
      </c>
      <c r="C97" s="4211"/>
      <c r="D97" s="4212"/>
    </row>
    <row r="98" spans="1:4" x14ac:dyDescent="0.25">
      <c r="A98" s="6998"/>
      <c r="B98" s="4201" t="s">
        <v>3468</v>
      </c>
      <c r="C98" s="4211"/>
      <c r="D98" s="4212"/>
    </row>
    <row r="99" spans="1:4" x14ac:dyDescent="0.25">
      <c r="A99" s="6998"/>
      <c r="B99" s="4213" t="s">
        <v>3469</v>
      </c>
      <c r="C99" s="4211"/>
      <c r="D99" s="4212"/>
    </row>
    <row r="100" spans="1:4" x14ac:dyDescent="0.25">
      <c r="A100" s="8443"/>
      <c r="B100" s="3092" t="s">
        <v>3470</v>
      </c>
      <c r="C100" s="4214"/>
      <c r="D100" s="4215"/>
    </row>
    <row r="101" spans="1:4" ht="18" customHeight="1" x14ac:dyDescent="0.25">
      <c r="A101" s="4198" t="s">
        <v>3471</v>
      </c>
      <c r="B101" s="19"/>
      <c r="C101" s="15"/>
      <c r="D101" s="19"/>
    </row>
    <row r="102" spans="1:4" x14ac:dyDescent="0.25">
      <c r="A102" s="7177" t="s">
        <v>23</v>
      </c>
      <c r="B102" s="7177" t="s">
        <v>24</v>
      </c>
      <c r="C102" s="8447" t="s">
        <v>3472</v>
      </c>
      <c r="D102" s="8448"/>
    </row>
    <row r="103" spans="1:4" x14ac:dyDescent="0.25">
      <c r="A103" s="8450"/>
      <c r="B103" s="8450"/>
      <c r="C103" s="4934" t="s">
        <v>22</v>
      </c>
      <c r="D103" s="4934" t="s">
        <v>27</v>
      </c>
    </row>
    <row r="104" spans="1:4" ht="15" customHeight="1" x14ac:dyDescent="0.25">
      <c r="A104" s="4216" t="s">
        <v>3473</v>
      </c>
      <c r="B104" s="4217">
        <f>SUM(C104:D104)</f>
        <v>0</v>
      </c>
      <c r="C104" s="4218"/>
      <c r="D104" s="4218"/>
    </row>
    <row r="105" spans="1:4" ht="15" customHeight="1" x14ac:dyDescent="0.25">
      <c r="A105" s="1128" t="s">
        <v>3474</v>
      </c>
      <c r="B105" s="38">
        <f>SUM(C105:D105)</f>
        <v>0</v>
      </c>
      <c r="C105" s="4219"/>
      <c r="D105" s="4219"/>
    </row>
    <row r="106" spans="1:4" ht="18" customHeight="1" x14ac:dyDescent="0.25">
      <c r="A106" s="4198" t="s">
        <v>3475</v>
      </c>
      <c r="B106" s="19"/>
    </row>
    <row r="107" spans="1:4" ht="17.25" customHeight="1" x14ac:dyDescent="0.25">
      <c r="A107" s="8441" t="s">
        <v>3476</v>
      </c>
      <c r="B107" s="6997"/>
    </row>
    <row r="108" spans="1:4" x14ac:dyDescent="0.25">
      <c r="A108" s="4220" t="s">
        <v>3477</v>
      </c>
      <c r="B108" s="4221"/>
    </row>
    <row r="109" spans="1:4" x14ac:dyDescent="0.25">
      <c r="A109" s="4222" t="s">
        <v>3478</v>
      </c>
      <c r="B109" s="4142"/>
    </row>
    <row r="110" spans="1:4" x14ac:dyDescent="0.25">
      <c r="A110" s="4222" t="s">
        <v>3479</v>
      </c>
      <c r="B110" s="4095"/>
    </row>
    <row r="111" spans="1:4" x14ac:dyDescent="0.25">
      <c r="A111" s="4222" t="s">
        <v>3480</v>
      </c>
      <c r="B111" s="4095"/>
    </row>
    <row r="112" spans="1:4" x14ac:dyDescent="0.25">
      <c r="A112" s="4222" t="s">
        <v>3481</v>
      </c>
      <c r="B112" s="4095"/>
    </row>
    <row r="113" spans="1:5" x14ac:dyDescent="0.25">
      <c r="A113" s="4222" t="s">
        <v>3482</v>
      </c>
      <c r="B113" s="4095"/>
    </row>
    <row r="114" spans="1:5" x14ac:dyDescent="0.25">
      <c r="A114" s="4222" t="s">
        <v>3483</v>
      </c>
      <c r="B114" s="4095"/>
    </row>
    <row r="115" spans="1:5" x14ac:dyDescent="0.25">
      <c r="A115" s="4222" t="s">
        <v>3484</v>
      </c>
      <c r="B115" s="4095"/>
    </row>
    <row r="116" spans="1:5" x14ac:dyDescent="0.25">
      <c r="A116" s="4222" t="s">
        <v>3485</v>
      </c>
      <c r="B116" s="4095"/>
    </row>
    <row r="117" spans="1:5" x14ac:dyDescent="0.25">
      <c r="A117" s="4222" t="s">
        <v>3486</v>
      </c>
      <c r="B117" s="4095"/>
    </row>
    <row r="118" spans="1:5" x14ac:dyDescent="0.25">
      <c r="A118" s="4222" t="s">
        <v>3487</v>
      </c>
      <c r="B118" s="4095"/>
    </row>
    <row r="119" spans="1:5" x14ac:dyDescent="0.25">
      <c r="A119" s="4222" t="s">
        <v>3488</v>
      </c>
      <c r="B119" s="4095"/>
    </row>
    <row r="120" spans="1:5" x14ac:dyDescent="0.25">
      <c r="A120" s="4222" t="s">
        <v>3489</v>
      </c>
      <c r="B120" s="4095"/>
    </row>
    <row r="121" spans="1:5" x14ac:dyDescent="0.25">
      <c r="A121" s="4222" t="s">
        <v>3490</v>
      </c>
      <c r="B121" s="4095"/>
    </row>
    <row r="122" spans="1:5" x14ac:dyDescent="0.25">
      <c r="A122" s="4222" t="s">
        <v>3491</v>
      </c>
      <c r="B122" s="4095"/>
    </row>
    <row r="123" spans="1:5" x14ac:dyDescent="0.25">
      <c r="A123" s="4222" t="s">
        <v>3492</v>
      </c>
      <c r="B123" s="4095"/>
    </row>
    <row r="124" spans="1:5" x14ac:dyDescent="0.25">
      <c r="A124" s="4223" t="s">
        <v>3493</v>
      </c>
      <c r="B124" s="4134"/>
    </row>
    <row r="125" spans="1:5" x14ac:dyDescent="0.25">
      <c r="A125" s="4224" t="s">
        <v>24</v>
      </c>
      <c r="B125" s="4225">
        <f>SUM(B108:B124)</f>
        <v>0</v>
      </c>
    </row>
    <row r="126" spans="1:5" ht="18" customHeight="1" x14ac:dyDescent="0.25">
      <c r="A126" s="4198" t="s">
        <v>3494</v>
      </c>
      <c r="B126" s="19"/>
      <c r="C126" s="15"/>
      <c r="D126" s="19"/>
      <c r="E126" s="19"/>
    </row>
    <row r="127" spans="1:5" ht="31.5" x14ac:dyDescent="0.25">
      <c r="A127" s="4226" t="s">
        <v>3495</v>
      </c>
      <c r="B127" s="4226" t="s">
        <v>701</v>
      </c>
      <c r="C127" s="4226" t="s">
        <v>24</v>
      </c>
      <c r="D127" s="4226" t="s">
        <v>3496</v>
      </c>
      <c r="E127" s="4226" t="s">
        <v>3497</v>
      </c>
    </row>
    <row r="128" spans="1:5" x14ac:dyDescent="0.25">
      <c r="A128" s="8438" t="s">
        <v>3498</v>
      </c>
      <c r="B128" s="4227" t="s">
        <v>3499</v>
      </c>
      <c r="C128" s="4221"/>
      <c r="D128" s="4228"/>
      <c r="E128" s="4228"/>
    </row>
    <row r="129" spans="1:5" x14ac:dyDescent="0.25">
      <c r="A129" s="8439"/>
      <c r="B129" s="4229" t="s">
        <v>3500</v>
      </c>
      <c r="C129" s="4134"/>
      <c r="D129" s="4230"/>
      <c r="E129" s="4230"/>
    </row>
    <row r="130" spans="1:5" x14ac:dyDescent="0.25">
      <c r="A130" s="4231" t="s">
        <v>3501</v>
      </c>
      <c r="B130" s="4231" t="s">
        <v>3502</v>
      </c>
      <c r="C130" s="4142"/>
      <c r="D130" s="4232"/>
      <c r="E130" s="4232"/>
    </row>
    <row r="131" spans="1:5" x14ac:dyDescent="0.25">
      <c r="A131" s="8440" t="s">
        <v>3503</v>
      </c>
      <c r="B131" s="4233" t="s">
        <v>3504</v>
      </c>
      <c r="C131" s="4095"/>
      <c r="D131" s="4234"/>
      <c r="E131" s="4234"/>
    </row>
    <row r="132" spans="1:5" x14ac:dyDescent="0.25">
      <c r="A132" s="8439"/>
      <c r="B132" s="4229" t="s">
        <v>3505</v>
      </c>
      <c r="C132" s="4134"/>
      <c r="D132" s="4134"/>
      <c r="E132" s="4134"/>
    </row>
    <row r="133" spans="1:5" x14ac:dyDescent="0.25">
      <c r="A133" s="8438" t="s">
        <v>3506</v>
      </c>
      <c r="B133" s="4233" t="s">
        <v>3504</v>
      </c>
      <c r="C133" s="4221"/>
      <c r="D133" s="4221"/>
      <c r="E133" s="4228"/>
    </row>
    <row r="134" spans="1:5" x14ac:dyDescent="0.25">
      <c r="A134" s="8439"/>
      <c r="B134" s="4229" t="s">
        <v>3505</v>
      </c>
      <c r="C134" s="4134"/>
      <c r="D134" s="4134"/>
      <c r="E134" s="4230"/>
    </row>
    <row r="135" spans="1:5" x14ac:dyDescent="0.25">
      <c r="A135" s="8438" t="s">
        <v>3507</v>
      </c>
      <c r="B135" s="4227" t="s">
        <v>3384</v>
      </c>
      <c r="C135" s="4221"/>
      <c r="D135" s="4228"/>
      <c r="E135" s="4228"/>
    </row>
    <row r="136" spans="1:5" x14ac:dyDescent="0.25">
      <c r="A136" s="8439"/>
      <c r="B136" s="4229" t="s">
        <v>3385</v>
      </c>
      <c r="C136" s="4134"/>
      <c r="D136" s="4230"/>
      <c r="E136" s="4230"/>
    </row>
    <row r="137" spans="1:5" ht="18" customHeight="1" x14ac:dyDescent="0.25">
      <c r="A137" s="4198" t="s">
        <v>3508</v>
      </c>
      <c r="B137" s="19"/>
      <c r="C137" s="15"/>
      <c r="D137" s="19"/>
    </row>
    <row r="138" spans="1:5" ht="21" x14ac:dyDescent="0.25">
      <c r="A138" s="4226" t="s">
        <v>137</v>
      </c>
      <c r="B138" s="4226" t="s">
        <v>3509</v>
      </c>
      <c r="C138" s="4226" t="s">
        <v>3510</v>
      </c>
      <c r="D138" s="4226" t="s">
        <v>3511</v>
      </c>
    </row>
    <row r="139" spans="1:5" x14ac:dyDescent="0.25">
      <c r="A139" s="4227" t="s">
        <v>3512</v>
      </c>
      <c r="B139" s="4221"/>
      <c r="C139" s="4221"/>
      <c r="D139" s="4221"/>
    </row>
    <row r="140" spans="1:5" x14ac:dyDescent="0.25">
      <c r="A140" s="4235" t="s">
        <v>3513</v>
      </c>
      <c r="B140" s="4095"/>
      <c r="C140" s="4095"/>
      <c r="D140" s="4095"/>
    </row>
    <row r="141" spans="1:5" x14ac:dyDescent="0.25">
      <c r="A141" s="4235" t="s">
        <v>3514</v>
      </c>
      <c r="B141" s="4095"/>
      <c r="C141" s="4234"/>
      <c r="D141" s="4234"/>
    </row>
    <row r="142" spans="1:5" x14ac:dyDescent="0.25">
      <c r="A142" s="4235" t="s">
        <v>3515</v>
      </c>
      <c r="B142" s="4095"/>
      <c r="C142" s="4234"/>
      <c r="D142" s="4234"/>
    </row>
    <row r="143" spans="1:5" x14ac:dyDescent="0.25">
      <c r="A143" s="4235" t="s">
        <v>3516</v>
      </c>
      <c r="B143" s="4095"/>
      <c r="C143" s="4095"/>
      <c r="D143" s="4095"/>
    </row>
    <row r="144" spans="1:5" x14ac:dyDescent="0.25">
      <c r="A144" s="4126" t="s">
        <v>3517</v>
      </c>
      <c r="B144" s="4219"/>
      <c r="C144" s="4219"/>
      <c r="D144" s="4219"/>
    </row>
    <row r="145" spans="1:13" ht="18" customHeight="1" x14ac:dyDescent="0.25">
      <c r="A145" s="4198" t="s">
        <v>3518</v>
      </c>
      <c r="B145" s="19"/>
      <c r="C145" s="15"/>
      <c r="D145" s="19"/>
      <c r="E145" s="19"/>
      <c r="F145" s="19"/>
      <c r="G145" s="19"/>
      <c r="H145" s="19"/>
      <c r="I145" s="19"/>
      <c r="J145" s="19"/>
      <c r="K145" s="19"/>
      <c r="L145" s="19"/>
      <c r="M145" s="19"/>
    </row>
    <row r="146" spans="1:13" x14ac:dyDescent="0.25">
      <c r="A146" s="8423" t="s">
        <v>3519</v>
      </c>
      <c r="B146" s="8423" t="s">
        <v>24</v>
      </c>
      <c r="C146" s="8424" t="s">
        <v>3380</v>
      </c>
      <c r="D146" s="8424"/>
      <c r="E146" s="8435" t="s">
        <v>4</v>
      </c>
      <c r="F146" s="8436"/>
      <c r="G146" s="8424" t="s">
        <v>944</v>
      </c>
      <c r="H146" s="8424"/>
      <c r="I146" s="8424" t="s">
        <v>945</v>
      </c>
      <c r="J146" s="8425"/>
      <c r="K146" s="8426" t="s">
        <v>3735</v>
      </c>
      <c r="L146" s="8427"/>
      <c r="M146" s="8427"/>
    </row>
    <row r="147" spans="1:13" x14ac:dyDescent="0.25">
      <c r="A147" s="6938"/>
      <c r="B147" s="6938"/>
      <c r="C147" s="4236" t="s">
        <v>22</v>
      </c>
      <c r="D147" s="4236" t="s">
        <v>27</v>
      </c>
      <c r="E147" s="4236" t="s">
        <v>22</v>
      </c>
      <c r="F147" s="4236" t="s">
        <v>27</v>
      </c>
      <c r="G147" s="4236" t="s">
        <v>22</v>
      </c>
      <c r="H147" s="4236" t="s">
        <v>27</v>
      </c>
      <c r="I147" s="4236" t="s">
        <v>22</v>
      </c>
      <c r="J147" s="4237" t="s">
        <v>27</v>
      </c>
      <c r="K147" s="4238" t="s">
        <v>947</v>
      </c>
      <c r="L147" s="4239" t="s">
        <v>3520</v>
      </c>
      <c r="M147" s="4239" t="s">
        <v>3521</v>
      </c>
    </row>
    <row r="148" spans="1:13" x14ac:dyDescent="0.25">
      <c r="A148" s="4240" t="s">
        <v>3522</v>
      </c>
      <c r="B148" s="4241"/>
      <c r="C148" s="4242"/>
      <c r="D148" s="4242"/>
      <c r="E148" s="4242"/>
      <c r="F148" s="4242"/>
      <c r="G148" s="4242"/>
      <c r="H148" s="4242"/>
      <c r="I148" s="4242"/>
      <c r="J148" s="4243"/>
      <c r="K148" s="4244"/>
      <c r="L148" s="4245"/>
      <c r="M148" s="4245"/>
    </row>
    <row r="149" spans="1:13" x14ac:dyDescent="0.25">
      <c r="A149" s="4246" t="s">
        <v>3523</v>
      </c>
      <c r="B149" s="4786">
        <f>SUM(C149:J149)</f>
        <v>0</v>
      </c>
      <c r="C149" s="4051"/>
      <c r="D149" s="4051"/>
      <c r="E149" s="4051"/>
      <c r="F149" s="4051"/>
      <c r="G149" s="4051"/>
      <c r="H149" s="4051"/>
      <c r="I149" s="4051"/>
      <c r="J149" s="4052"/>
      <c r="K149" s="4055"/>
      <c r="L149" s="4051"/>
      <c r="M149" s="4051"/>
    </row>
    <row r="150" spans="1:13" x14ac:dyDescent="0.25">
      <c r="A150" s="4247" t="s">
        <v>3524</v>
      </c>
      <c r="B150" s="4787">
        <f>SUM(C150:J150)</f>
        <v>0</v>
      </c>
      <c r="C150" s="2304"/>
      <c r="D150" s="2304"/>
      <c r="E150" s="2304"/>
      <c r="F150" s="2304"/>
      <c r="G150" s="2304"/>
      <c r="H150" s="2304"/>
      <c r="I150" s="2304"/>
      <c r="J150" s="4248"/>
      <c r="K150" s="4249"/>
      <c r="L150" s="2304"/>
      <c r="M150" s="2304"/>
    </row>
    <row r="151" spans="1:13" ht="18" customHeight="1" x14ac:dyDescent="0.25">
      <c r="A151" s="4198" t="s">
        <v>3525</v>
      </c>
      <c r="B151" s="19"/>
      <c r="C151" s="15"/>
      <c r="D151" s="19"/>
      <c r="E151" s="19"/>
      <c r="F151" s="19"/>
      <c r="G151" s="19"/>
      <c r="H151" s="19"/>
    </row>
    <row r="152" spans="1:13" x14ac:dyDescent="0.25">
      <c r="A152" s="8423" t="s">
        <v>3519</v>
      </c>
      <c r="B152" s="8423" t="s">
        <v>24</v>
      </c>
      <c r="C152" s="8428" t="s">
        <v>12</v>
      </c>
      <c r="D152" s="8429"/>
      <c r="E152" s="8430" t="s">
        <v>3383</v>
      </c>
      <c r="F152" s="8430"/>
      <c r="G152" s="8430"/>
      <c r="H152" s="8431"/>
    </row>
    <row r="153" spans="1:13" x14ac:dyDescent="0.25">
      <c r="A153" s="7178"/>
      <c r="B153" s="7178"/>
      <c r="C153" s="8428"/>
      <c r="D153" s="8429"/>
      <c r="E153" s="8432" t="s">
        <v>3384</v>
      </c>
      <c r="F153" s="8423" t="s">
        <v>1469</v>
      </c>
      <c r="G153" s="8434" t="s">
        <v>3526</v>
      </c>
      <c r="H153" s="8434"/>
    </row>
    <row r="154" spans="1:13" x14ac:dyDescent="0.25">
      <c r="A154" s="6938"/>
      <c r="B154" s="6938"/>
      <c r="C154" s="4236" t="s">
        <v>3527</v>
      </c>
      <c r="D154" s="4237" t="s">
        <v>945</v>
      </c>
      <c r="E154" s="8433"/>
      <c r="F154" s="6938"/>
      <c r="G154" s="4236" t="s">
        <v>3384</v>
      </c>
      <c r="H154" s="4236" t="s">
        <v>1469</v>
      </c>
    </row>
    <row r="155" spans="1:13" ht="15" customHeight="1" x14ac:dyDescent="0.25">
      <c r="A155" s="4240" t="s">
        <v>3528</v>
      </c>
      <c r="B155" s="4788">
        <f>SUM(C155:D155)</f>
        <v>0</v>
      </c>
      <c r="C155" s="4245"/>
      <c r="D155" s="4250"/>
      <c r="E155" s="4244"/>
      <c r="F155" s="4245"/>
      <c r="G155" s="4245"/>
      <c r="H155" s="4245"/>
    </row>
    <row r="156" spans="1:13" ht="15" customHeight="1" x14ac:dyDescent="0.25">
      <c r="A156" s="4050" t="s">
        <v>3529</v>
      </c>
      <c r="B156" s="4789">
        <f>SUM(C156:D156)</f>
        <v>0</v>
      </c>
      <c r="C156" s="4051"/>
      <c r="D156" s="4052"/>
      <c r="E156" s="4055"/>
      <c r="F156" s="4051"/>
      <c r="G156" s="4051"/>
      <c r="H156" s="4051"/>
    </row>
    <row r="157" spans="1:13" ht="15" customHeight="1" x14ac:dyDescent="0.25">
      <c r="A157" s="4251" t="s">
        <v>3530</v>
      </c>
      <c r="B157" s="4790">
        <f>SUM(C157:D157)</f>
        <v>0</v>
      </c>
      <c r="C157" s="2304"/>
      <c r="D157" s="4248"/>
      <c r="E157" s="4249"/>
      <c r="F157" s="2304"/>
      <c r="G157" s="2304"/>
      <c r="H157" s="2304"/>
    </row>
    <row r="198" spans="1:2" hidden="1" x14ac:dyDescent="0.25">
      <c r="A198" s="4252">
        <f>SUM(B12:B28,C32:C64,C67:D100,B104:B105,B125,C128:E136,B139:D144,B149:B150,B155:B157)</f>
        <v>0</v>
      </c>
      <c r="B198" s="4252">
        <f>SUM(CE12:CG64)</f>
        <v>0</v>
      </c>
    </row>
  </sheetData>
  <sheetProtection algorithmName="SHA-512" hashValue="a2o5TMI/kRVbgdW2FdLkBvkJxJnq3LhpFf/1cx0yW/rLU1+mw8mERqxgwAIBMC4/vYr0YjTI0eJ4SpyyXmQ3Xg==" saltValue="6siHNt4IVb5yH2C5grRnlw==" spinCount="100000" sheet="1" objects="1" scenarios="1"/>
  <mergeCells count="54">
    <mergeCell ref="A32:A39"/>
    <mergeCell ref="A6:T6"/>
    <mergeCell ref="A9:A10"/>
    <mergeCell ref="B9:D9"/>
    <mergeCell ref="E9:F9"/>
    <mergeCell ref="G9:H9"/>
    <mergeCell ref="I9:J9"/>
    <mergeCell ref="K9:L9"/>
    <mergeCell ref="M9:N9"/>
    <mergeCell ref="O9:P9"/>
    <mergeCell ref="Q9:R9"/>
    <mergeCell ref="S9:S10"/>
    <mergeCell ref="T9:T10"/>
    <mergeCell ref="A30:B31"/>
    <mergeCell ref="C30:C31"/>
    <mergeCell ref="D30:L30"/>
    <mergeCell ref="M30:O30"/>
    <mergeCell ref="P30:P31"/>
    <mergeCell ref="B11:T11"/>
    <mergeCell ref="B16:T16"/>
    <mergeCell ref="B23:T23"/>
    <mergeCell ref="B26:T26"/>
    <mergeCell ref="Q30:Q31"/>
    <mergeCell ref="C102:D102"/>
    <mergeCell ref="A55:A58"/>
    <mergeCell ref="A59:A62"/>
    <mergeCell ref="A63:A64"/>
    <mergeCell ref="A102:A103"/>
    <mergeCell ref="B102:B103"/>
    <mergeCell ref="A40:A42"/>
    <mergeCell ref="A128:A129"/>
    <mergeCell ref="A131:A132"/>
    <mergeCell ref="A133:A134"/>
    <mergeCell ref="A135:A136"/>
    <mergeCell ref="A107:B107"/>
    <mergeCell ref="A49:A54"/>
    <mergeCell ref="A87:A100"/>
    <mergeCell ref="A43:A45"/>
    <mergeCell ref="A46:A48"/>
    <mergeCell ref="A67:A86"/>
    <mergeCell ref="A146:A147"/>
    <mergeCell ref="I146:J146"/>
    <mergeCell ref="K146:M146"/>
    <mergeCell ref="A152:A154"/>
    <mergeCell ref="B152:B154"/>
    <mergeCell ref="C152:D153"/>
    <mergeCell ref="E152:H152"/>
    <mergeCell ref="E153:E154"/>
    <mergeCell ref="B146:B147"/>
    <mergeCell ref="F153:F154"/>
    <mergeCell ref="G153:H153"/>
    <mergeCell ref="C146:D146"/>
    <mergeCell ref="E146:F146"/>
    <mergeCell ref="G146:H146"/>
  </mergeCells>
  <dataValidations count="2">
    <dataValidation allowBlank="1" showInputMessage="1" showErrorMessage="1" error="Valor no Permitido" sqref="A6:XFD6 A11:A13 S9:T9 A15:A46 Q10:R10 C12:D15 R24:R25 C9:P10 K145:M147 R17:R22 C27:D28 F153 C17:D22 Q25 A198:B198 C8:T8 A8:A9 U11 P29:Q30 R14:R15 C151:D154 D65 A87 B8:B92 B125:B138 A101:A102 C141:D142 B145:B146 D33:L33 F146 F145:H145 E148:F148 C145:D148 A148:B157 E145:E146 F151:H151 G153:H154 E151:E153 C65:C66 M27:P28 C24:D25 G146:H148 D63:L64 M34:O40 C60:C62 M61:O63 M57:O59 M51:O55 M48:O49 M45:O46 M42:O43 M29:O32 C29:C58 D59:L60 D29:L31 I145:J148 C137:D138 A104:A146 C126:C127 E133:E136 D126:E131 D135:D136 C66:D66 Q22 M17:P22 M24:P25 A49:A67 B104:B105 C101:D103 B94:B102" xr:uid="{00000000-0002-0000-1500-000000000000}"/>
    <dataValidation type="whole" operator="greaterThanOrEqual" allowBlank="1" showInputMessage="1" showErrorMessage="1" error="Valor no Permitido" sqref="E12:Q15 R12:R13 S12:T15 E17:L22 Q17:Q21 S17:T22 E24:L25 E27:L28 Q27:T28 Q24 S24:T25 D32:L32 D34:L58 C59 M33:O33 M41:O41 M44:O44 M47:O47 M50:O50 M56:O56 M60:O60 D61:L62 C63:C64 M64:O64 P32:Q64 C67:D100 C104:D105 B108:B124 C128:C136 D132:D134 E132 B139:B144 C139:D140 C143:D144 C149:M150 K148:M148 C155:H157" xr:uid="{00000000-0002-0000-15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N180"/>
  <sheetViews>
    <sheetView showGridLines="0" zoomScaleNormal="100" workbookViewId="0"/>
  </sheetViews>
  <sheetFormatPr baseColWidth="10" defaultColWidth="11.42578125" defaultRowHeight="15" x14ac:dyDescent="0.25"/>
  <cols>
    <col min="1" max="1" width="66.42578125" style="4358" customWidth="1"/>
    <col min="2" max="2" width="13.5703125" style="4358" customWidth="1"/>
    <col min="3" max="5" width="11.42578125" style="4358"/>
    <col min="6" max="6" width="13.28515625" style="4358" customWidth="1"/>
    <col min="7" max="7" width="11.42578125" style="4358"/>
    <col min="8" max="8" width="16.7109375" style="4358" customWidth="1"/>
    <col min="9" max="9" width="13.42578125" style="4358" customWidth="1"/>
    <col min="10" max="10" width="13.28515625" style="4358" bestFit="1" customWidth="1"/>
    <col min="11" max="17" width="11.42578125" style="4358"/>
    <col min="18" max="18" width="15.85546875" style="4358" customWidth="1"/>
    <col min="19" max="19" width="14" style="4358" customWidth="1"/>
    <col min="20" max="20" width="14.42578125" style="4358" customWidth="1"/>
    <col min="21" max="23" width="11.42578125" style="4358"/>
    <col min="24" max="24" width="11.28515625" style="4358" customWidth="1"/>
    <col min="25" max="25" width="12" style="4358" customWidth="1"/>
    <col min="26" max="40" width="11.42578125" style="4358"/>
  </cols>
  <sheetData>
    <row r="1" spans="1:37" x14ac:dyDescent="0.25">
      <c r="A1" s="779" t="s">
        <v>3878</v>
      </c>
    </row>
    <row r="2" spans="1:37" x14ac:dyDescent="0.25">
      <c r="A2" s="779" t="str">
        <f>CONCATENATE("COMUNA: ",NOMBRE!B2," - ","( ",NOMBRE!C2,NOMBRE!D2,NOMBRE!E2,NOMBRE!F2,NOMBRE!G2," )")</f>
        <v>COMUNA:  - (  )</v>
      </c>
    </row>
    <row r="3" spans="1:37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37" x14ac:dyDescent="0.25">
      <c r="A4" s="779" t="str">
        <f>CONCATENATE("MES: ",NOMBRE!B6," - ","( ",NOMBRE!C6,NOMBRE!D6," )")</f>
        <v>MES:  - (  )</v>
      </c>
    </row>
    <row r="5" spans="1:37" x14ac:dyDescent="0.25">
      <c r="A5" s="779" t="str">
        <f>CONCATENATE("AÑO: ",NOMBRE!B7)</f>
        <v>AÑO: 2024</v>
      </c>
    </row>
    <row r="6" spans="1:37" s="103" customFormat="1" ht="18" customHeight="1" x14ac:dyDescent="0.2">
      <c r="A6" s="7822" t="s">
        <v>3531</v>
      </c>
      <c r="B6" s="7822"/>
      <c r="C6" s="7822"/>
      <c r="D6" s="7822"/>
      <c r="E6" s="7822"/>
      <c r="F6" s="7822"/>
      <c r="G6" s="7822"/>
      <c r="H6" s="7822"/>
      <c r="I6" s="7822"/>
      <c r="J6" s="7822"/>
      <c r="K6" s="7822"/>
      <c r="L6" s="7822"/>
      <c r="M6" s="7822"/>
      <c r="N6" s="7822"/>
      <c r="O6" s="7822"/>
      <c r="P6" s="7822"/>
      <c r="Q6" s="7822"/>
      <c r="R6" s="7822"/>
      <c r="S6" s="7822"/>
      <c r="T6" s="7822"/>
      <c r="U6" s="7822"/>
      <c r="V6" s="7822"/>
      <c r="W6" s="7822"/>
      <c r="X6" s="7822"/>
      <c r="Y6" s="7822"/>
      <c r="Z6" s="7822"/>
      <c r="AA6" s="7822"/>
      <c r="AB6" s="7822"/>
      <c r="AC6" s="7822"/>
      <c r="AD6" s="7822"/>
      <c r="AE6" s="7822"/>
      <c r="AF6" s="102"/>
      <c r="AG6" s="102"/>
    </row>
    <row r="7" spans="1:37" s="103" customFormat="1" x14ac:dyDescent="0.2">
      <c r="A7" s="4253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</row>
    <row r="8" spans="1:37" s="101" customFormat="1" ht="18" customHeight="1" x14ac:dyDescent="0.15">
      <c r="A8" s="564" t="s">
        <v>3532</v>
      </c>
      <c r="B8" s="564"/>
      <c r="C8" s="564"/>
      <c r="D8" s="564"/>
      <c r="E8" s="564"/>
      <c r="F8" s="564"/>
      <c r="G8" s="564"/>
    </row>
    <row r="9" spans="1:37" s="102" customFormat="1" ht="24.95" customHeight="1" x14ac:dyDescent="0.15">
      <c r="A9" s="8040" t="s">
        <v>3533</v>
      </c>
      <c r="B9" s="6680" t="s">
        <v>3534</v>
      </c>
      <c r="C9" s="6768"/>
      <c r="D9" s="6768"/>
      <c r="E9" s="6768"/>
      <c r="F9" s="6768"/>
      <c r="G9" s="8494"/>
      <c r="H9" s="6680" t="s">
        <v>3535</v>
      </c>
      <c r="I9" s="6768"/>
      <c r="J9" s="6768"/>
      <c r="K9" s="6768"/>
      <c r="L9" s="6768"/>
      <c r="M9" s="8494"/>
      <c r="N9" s="6680" t="s">
        <v>3536</v>
      </c>
      <c r="O9" s="6768"/>
      <c r="P9" s="6768"/>
      <c r="Q9" s="6768"/>
      <c r="R9" s="6768"/>
      <c r="S9" s="8474"/>
      <c r="T9" s="8477" t="s">
        <v>3383</v>
      </c>
      <c r="U9" s="8477"/>
      <c r="V9" s="8486"/>
      <c r="W9" s="8493" t="s">
        <v>3537</v>
      </c>
      <c r="X9" s="6768"/>
      <c r="Y9" s="6768"/>
      <c r="Z9" s="6768"/>
      <c r="AA9" s="6768"/>
      <c r="AB9" s="8474"/>
      <c r="AC9" s="8475" t="s">
        <v>3383</v>
      </c>
      <c r="AD9" s="8477"/>
      <c r="AE9" s="8486"/>
      <c r="AF9" s="8493" t="s">
        <v>3538</v>
      </c>
      <c r="AG9" s="6768"/>
      <c r="AH9" s="6768"/>
      <c r="AI9" s="6768"/>
      <c r="AJ9" s="6768"/>
      <c r="AK9" s="8494"/>
    </row>
    <row r="10" spans="1:37" s="102" customFormat="1" ht="15" customHeight="1" x14ac:dyDescent="0.15">
      <c r="A10" s="7151"/>
      <c r="B10" s="8477" t="s">
        <v>3734</v>
      </c>
      <c r="C10" s="8476"/>
      <c r="D10" s="8485" t="s">
        <v>4</v>
      </c>
      <c r="E10" s="8476"/>
      <c r="F10" s="8485" t="s">
        <v>3539</v>
      </c>
      <c r="G10" s="8476"/>
      <c r="H10" s="8477" t="s">
        <v>3734</v>
      </c>
      <c r="I10" s="8476"/>
      <c r="J10" s="8485" t="s">
        <v>4</v>
      </c>
      <c r="K10" s="8476"/>
      <c r="L10" s="8485" t="s">
        <v>3539</v>
      </c>
      <c r="M10" s="8476"/>
      <c r="N10" s="8485" t="s">
        <v>3734</v>
      </c>
      <c r="O10" s="8476"/>
      <c r="P10" s="8485" t="s">
        <v>4</v>
      </c>
      <c r="Q10" s="8476"/>
      <c r="R10" s="8485" t="s">
        <v>3539</v>
      </c>
      <c r="S10" s="8486"/>
      <c r="T10" s="8512" t="s">
        <v>947</v>
      </c>
      <c r="U10" s="8502" t="s">
        <v>702</v>
      </c>
      <c r="V10" s="8474"/>
      <c r="W10" s="8475" t="s">
        <v>3734</v>
      </c>
      <c r="X10" s="8476"/>
      <c r="Y10" s="8477" t="s">
        <v>4</v>
      </c>
      <c r="Z10" s="8476"/>
      <c r="AA10" s="8485" t="s">
        <v>3539</v>
      </c>
      <c r="AB10" s="8476"/>
      <c r="AC10" s="8501" t="s">
        <v>947</v>
      </c>
      <c r="AD10" s="8502" t="s">
        <v>702</v>
      </c>
      <c r="AE10" s="8474"/>
      <c r="AF10" s="8477" t="s">
        <v>3734</v>
      </c>
      <c r="AG10" s="8476"/>
      <c r="AH10" s="8485" t="s">
        <v>4</v>
      </c>
      <c r="AI10" s="8476"/>
      <c r="AJ10" s="8485" t="s">
        <v>3539</v>
      </c>
      <c r="AK10" s="8476"/>
    </row>
    <row r="11" spans="1:37" s="102" customFormat="1" ht="15" customHeight="1" x14ac:dyDescent="0.15">
      <c r="A11" s="6451"/>
      <c r="B11" s="4260" t="s">
        <v>22</v>
      </c>
      <c r="C11" s="4261" t="s">
        <v>27</v>
      </c>
      <c r="D11" s="4262" t="s">
        <v>22</v>
      </c>
      <c r="E11" s="4261" t="s">
        <v>27</v>
      </c>
      <c r="F11" s="4262" t="s">
        <v>22</v>
      </c>
      <c r="G11" s="4261" t="s">
        <v>27</v>
      </c>
      <c r="H11" s="4262" t="s">
        <v>22</v>
      </c>
      <c r="I11" s="4261" t="s">
        <v>27</v>
      </c>
      <c r="J11" s="4262" t="s">
        <v>22</v>
      </c>
      <c r="K11" s="4261" t="s">
        <v>27</v>
      </c>
      <c r="L11" s="4262" t="s">
        <v>22</v>
      </c>
      <c r="M11" s="4261" t="s">
        <v>27</v>
      </c>
      <c r="N11" s="4262" t="s">
        <v>22</v>
      </c>
      <c r="O11" s="4261" t="s">
        <v>27</v>
      </c>
      <c r="P11" s="4262" t="s">
        <v>22</v>
      </c>
      <c r="Q11" s="4261" t="s">
        <v>27</v>
      </c>
      <c r="R11" s="4262" t="s">
        <v>22</v>
      </c>
      <c r="S11" s="4263" t="s">
        <v>27</v>
      </c>
      <c r="T11" s="8513"/>
      <c r="U11" s="4264" t="s">
        <v>949</v>
      </c>
      <c r="V11" s="4265" t="s">
        <v>950</v>
      </c>
      <c r="W11" s="4266" t="s">
        <v>22</v>
      </c>
      <c r="X11" s="4261" t="s">
        <v>27</v>
      </c>
      <c r="Y11" s="4260" t="s">
        <v>22</v>
      </c>
      <c r="Z11" s="4261" t="s">
        <v>27</v>
      </c>
      <c r="AA11" s="4262" t="s">
        <v>22</v>
      </c>
      <c r="AB11" s="4263" t="s">
        <v>27</v>
      </c>
      <c r="AC11" s="6564"/>
      <c r="AD11" s="4264" t="s">
        <v>949</v>
      </c>
      <c r="AE11" s="4265" t="s">
        <v>950</v>
      </c>
      <c r="AF11" s="4266" t="s">
        <v>22</v>
      </c>
      <c r="AG11" s="4261" t="s">
        <v>27</v>
      </c>
      <c r="AH11" s="4260" t="s">
        <v>22</v>
      </c>
      <c r="AI11" s="4261" t="s">
        <v>27</v>
      </c>
      <c r="AJ11" s="4262" t="s">
        <v>22</v>
      </c>
      <c r="AK11" s="4261" t="s">
        <v>27</v>
      </c>
    </row>
    <row r="12" spans="1:37" s="102" customFormat="1" ht="15" customHeight="1" x14ac:dyDescent="0.15">
      <c r="A12" s="4267" t="s">
        <v>24</v>
      </c>
      <c r="B12" s="586">
        <f t="shared" ref="B12:AK12" si="0">SUM(B13:B72)</f>
        <v>0</v>
      </c>
      <c r="C12" s="3438">
        <f t="shared" si="0"/>
        <v>0</v>
      </c>
      <c r="D12" s="120">
        <f t="shared" si="0"/>
        <v>0</v>
      </c>
      <c r="E12" s="3438">
        <f t="shared" si="0"/>
        <v>0</v>
      </c>
      <c r="F12" s="120">
        <f>SUM(F13:F72)</f>
        <v>0</v>
      </c>
      <c r="G12" s="3438">
        <f>SUM(G13:G72)</f>
        <v>0</v>
      </c>
      <c r="H12" s="120">
        <f>SUM(H13:H72)</f>
        <v>0</v>
      </c>
      <c r="I12" s="3438">
        <f>SUM(I13:I72)</f>
        <v>0</v>
      </c>
      <c r="J12" s="120">
        <f t="shared" si="0"/>
        <v>0</v>
      </c>
      <c r="K12" s="3438">
        <f t="shared" si="0"/>
        <v>0</v>
      </c>
      <c r="L12" s="120">
        <f t="shared" si="0"/>
        <v>0</v>
      </c>
      <c r="M12" s="3438">
        <f t="shared" si="0"/>
        <v>0</v>
      </c>
      <c r="N12" s="120">
        <f>SUM(N13:N72)</f>
        <v>0</v>
      </c>
      <c r="O12" s="3438">
        <f>SUM(O13:O72)</f>
        <v>0</v>
      </c>
      <c r="P12" s="586">
        <f>SUM(P13:P72)</f>
        <v>0</v>
      </c>
      <c r="Q12" s="3438">
        <f t="shared" si="0"/>
        <v>0</v>
      </c>
      <c r="R12" s="120">
        <f t="shared" si="0"/>
        <v>0</v>
      </c>
      <c r="S12" s="4268">
        <f t="shared" si="0"/>
        <v>0</v>
      </c>
      <c r="T12" s="4269">
        <f t="shared" si="0"/>
        <v>0</v>
      </c>
      <c r="U12" s="586">
        <f t="shared" si="0"/>
        <v>0</v>
      </c>
      <c r="V12" s="3457">
        <f t="shared" si="0"/>
        <v>0</v>
      </c>
      <c r="W12" s="4270">
        <f>SUM(W13:W72)</f>
        <v>0</v>
      </c>
      <c r="X12" s="3438">
        <f>SUM(X13:X72)</f>
        <v>0</v>
      </c>
      <c r="Y12" s="586">
        <f t="shared" si="0"/>
        <v>0</v>
      </c>
      <c r="Z12" s="3438">
        <f t="shared" si="0"/>
        <v>0</v>
      </c>
      <c r="AA12" s="120">
        <f t="shared" si="0"/>
        <v>0</v>
      </c>
      <c r="AB12" s="4268">
        <f t="shared" si="0"/>
        <v>0</v>
      </c>
      <c r="AC12" s="4271">
        <f t="shared" si="0"/>
        <v>0</v>
      </c>
      <c r="AD12" s="586">
        <f t="shared" si="0"/>
        <v>0</v>
      </c>
      <c r="AE12" s="3457">
        <f t="shared" si="0"/>
        <v>0</v>
      </c>
      <c r="AF12" s="4270">
        <f>SUM(AF13:AF72)</f>
        <v>0</v>
      </c>
      <c r="AG12" s="3438">
        <f>SUM(AG13:AG72)</f>
        <v>0</v>
      </c>
      <c r="AH12" s="586">
        <f t="shared" si="0"/>
        <v>0</v>
      </c>
      <c r="AI12" s="3438">
        <f t="shared" si="0"/>
        <v>0</v>
      </c>
      <c r="AJ12" s="120">
        <f t="shared" si="0"/>
        <v>0</v>
      </c>
      <c r="AK12" s="3438">
        <f t="shared" si="0"/>
        <v>0</v>
      </c>
    </row>
    <row r="13" spans="1:37" s="102" customFormat="1" ht="15" customHeight="1" x14ac:dyDescent="0.15">
      <c r="A13" s="2028" t="s">
        <v>224</v>
      </c>
      <c r="B13" s="4272"/>
      <c r="C13" s="3905"/>
      <c r="D13" s="4272"/>
      <c r="E13" s="3905"/>
      <c r="F13" s="4272"/>
      <c r="G13" s="3905"/>
      <c r="H13" s="4272"/>
      <c r="I13" s="3905"/>
      <c r="J13" s="4272"/>
      <c r="K13" s="3905"/>
      <c r="L13" s="4272"/>
      <c r="M13" s="3905"/>
      <c r="N13" s="4273">
        <f t="shared" ref="N13:S28" si="1">SUM(B13+H13)</f>
        <v>0</v>
      </c>
      <c r="O13" s="4274">
        <f t="shared" si="1"/>
        <v>0</v>
      </c>
      <c r="P13" s="4273">
        <f t="shared" si="1"/>
        <v>0</v>
      </c>
      <c r="Q13" s="4274">
        <f t="shared" si="1"/>
        <v>0</v>
      </c>
      <c r="R13" s="4275">
        <f t="shared" si="1"/>
        <v>0</v>
      </c>
      <c r="S13" s="4276">
        <f t="shared" si="1"/>
        <v>0</v>
      </c>
      <c r="T13" s="4277"/>
      <c r="U13" s="4278"/>
      <c r="V13" s="3905"/>
      <c r="W13" s="4277"/>
      <c r="X13" s="3905"/>
      <c r="Y13" s="4279"/>
      <c r="Z13" s="3905"/>
      <c r="AA13" s="4272"/>
      <c r="AB13" s="3906"/>
      <c r="AC13" s="4277"/>
      <c r="AD13" s="4278"/>
      <c r="AE13" s="3905"/>
      <c r="AF13" s="4280"/>
      <c r="AG13" s="4281"/>
      <c r="AH13" s="4282"/>
      <c r="AI13" s="4281"/>
      <c r="AJ13" s="4283"/>
      <c r="AK13" s="4281"/>
    </row>
    <row r="14" spans="1:37" s="102" customFormat="1" ht="15" customHeight="1" x14ac:dyDescent="0.15">
      <c r="A14" s="3470" t="s">
        <v>951</v>
      </c>
      <c r="B14" s="90"/>
      <c r="C14" s="92"/>
      <c r="D14" s="90"/>
      <c r="E14" s="92"/>
      <c r="F14" s="90"/>
      <c r="G14" s="92"/>
      <c r="H14" s="90"/>
      <c r="I14" s="92"/>
      <c r="J14" s="90"/>
      <c r="K14" s="92"/>
      <c r="L14" s="90"/>
      <c r="M14" s="92"/>
      <c r="N14" s="3398">
        <f t="shared" si="1"/>
        <v>0</v>
      </c>
      <c r="O14" s="3442">
        <f t="shared" si="1"/>
        <v>0</v>
      </c>
      <c r="P14" s="3398">
        <f t="shared" si="1"/>
        <v>0</v>
      </c>
      <c r="Q14" s="3442">
        <f t="shared" si="1"/>
        <v>0</v>
      </c>
      <c r="R14" s="3397">
        <f t="shared" si="1"/>
        <v>0</v>
      </c>
      <c r="S14" s="4284">
        <f t="shared" si="1"/>
        <v>0</v>
      </c>
      <c r="T14" s="2922"/>
      <c r="U14" s="2056"/>
      <c r="V14" s="92"/>
      <c r="W14" s="2922"/>
      <c r="X14" s="92"/>
      <c r="Y14" s="129"/>
      <c r="Z14" s="92"/>
      <c r="AA14" s="90"/>
      <c r="AB14" s="94"/>
      <c r="AC14" s="2922"/>
      <c r="AD14" s="2056"/>
      <c r="AE14" s="92"/>
      <c r="AF14" s="4285"/>
      <c r="AG14" s="4286"/>
      <c r="AH14" s="4287"/>
      <c r="AI14" s="4286"/>
      <c r="AJ14" s="4288"/>
      <c r="AK14" s="4286"/>
    </row>
    <row r="15" spans="1:37" s="102" customFormat="1" ht="15" customHeight="1" x14ac:dyDescent="0.15">
      <c r="A15" s="3470" t="s">
        <v>226</v>
      </c>
      <c r="B15" s="90"/>
      <c r="C15" s="92"/>
      <c r="D15" s="90"/>
      <c r="E15" s="92"/>
      <c r="F15" s="90"/>
      <c r="G15" s="92"/>
      <c r="H15" s="90"/>
      <c r="I15" s="92"/>
      <c r="J15" s="90"/>
      <c r="K15" s="92"/>
      <c r="L15" s="90"/>
      <c r="M15" s="92"/>
      <c r="N15" s="3398">
        <f t="shared" si="1"/>
        <v>0</v>
      </c>
      <c r="O15" s="3442">
        <f t="shared" si="1"/>
        <v>0</v>
      </c>
      <c r="P15" s="3398">
        <f t="shared" si="1"/>
        <v>0</v>
      </c>
      <c r="Q15" s="3442">
        <f t="shared" si="1"/>
        <v>0</v>
      </c>
      <c r="R15" s="3397">
        <f t="shared" si="1"/>
        <v>0</v>
      </c>
      <c r="S15" s="4284">
        <f t="shared" si="1"/>
        <v>0</v>
      </c>
      <c r="T15" s="2922"/>
      <c r="U15" s="2056"/>
      <c r="V15" s="92"/>
      <c r="W15" s="2922"/>
      <c r="X15" s="92"/>
      <c r="Y15" s="129"/>
      <c r="Z15" s="92"/>
      <c r="AA15" s="90"/>
      <c r="AB15" s="94"/>
      <c r="AC15" s="2922"/>
      <c r="AD15" s="2056"/>
      <c r="AE15" s="92"/>
      <c r="AF15" s="4285"/>
      <c r="AG15" s="4286"/>
      <c r="AH15" s="4287"/>
      <c r="AI15" s="4286"/>
      <c r="AJ15" s="4288"/>
      <c r="AK15" s="4286"/>
    </row>
    <row r="16" spans="1:37" s="102" customFormat="1" ht="15" customHeight="1" x14ac:dyDescent="0.15">
      <c r="A16" s="3470" t="s">
        <v>3540</v>
      </c>
      <c r="B16" s="90"/>
      <c r="C16" s="92"/>
      <c r="D16" s="90"/>
      <c r="E16" s="92"/>
      <c r="F16" s="90"/>
      <c r="G16" s="92"/>
      <c r="H16" s="90"/>
      <c r="I16" s="92"/>
      <c r="J16" s="90"/>
      <c r="K16" s="92"/>
      <c r="L16" s="90"/>
      <c r="M16" s="92"/>
      <c r="N16" s="3398">
        <f t="shared" si="1"/>
        <v>0</v>
      </c>
      <c r="O16" s="3442">
        <f t="shared" si="1"/>
        <v>0</v>
      </c>
      <c r="P16" s="3398">
        <f t="shared" si="1"/>
        <v>0</v>
      </c>
      <c r="Q16" s="3442">
        <f t="shared" si="1"/>
        <v>0</v>
      </c>
      <c r="R16" s="3397">
        <f t="shared" si="1"/>
        <v>0</v>
      </c>
      <c r="S16" s="4284">
        <f t="shared" si="1"/>
        <v>0</v>
      </c>
      <c r="T16" s="2922"/>
      <c r="U16" s="2056"/>
      <c r="V16" s="92"/>
      <c r="W16" s="2922"/>
      <c r="X16" s="92"/>
      <c r="Y16" s="129"/>
      <c r="Z16" s="92"/>
      <c r="AA16" s="90"/>
      <c r="AB16" s="94"/>
      <c r="AC16" s="2922"/>
      <c r="AD16" s="2056"/>
      <c r="AE16" s="92"/>
      <c r="AF16" s="4285"/>
      <c r="AG16" s="4286"/>
      <c r="AH16" s="4287"/>
      <c r="AI16" s="4286"/>
      <c r="AJ16" s="4288"/>
      <c r="AK16" s="4286"/>
    </row>
    <row r="17" spans="1:37" s="102" customFormat="1" ht="15" customHeight="1" x14ac:dyDescent="0.15">
      <c r="A17" s="3470" t="s">
        <v>952</v>
      </c>
      <c r="B17" s="90"/>
      <c r="C17" s="92"/>
      <c r="D17" s="90"/>
      <c r="E17" s="92"/>
      <c r="F17" s="90"/>
      <c r="G17" s="92"/>
      <c r="H17" s="90"/>
      <c r="I17" s="92"/>
      <c r="J17" s="90"/>
      <c r="K17" s="92"/>
      <c r="L17" s="90"/>
      <c r="M17" s="92"/>
      <c r="N17" s="3398">
        <f t="shared" si="1"/>
        <v>0</v>
      </c>
      <c r="O17" s="3442">
        <f t="shared" si="1"/>
        <v>0</v>
      </c>
      <c r="P17" s="3398">
        <f t="shared" si="1"/>
        <v>0</v>
      </c>
      <c r="Q17" s="3442">
        <f t="shared" si="1"/>
        <v>0</v>
      </c>
      <c r="R17" s="3397">
        <f t="shared" si="1"/>
        <v>0</v>
      </c>
      <c r="S17" s="4284">
        <f t="shared" si="1"/>
        <v>0</v>
      </c>
      <c r="T17" s="2922"/>
      <c r="U17" s="2056"/>
      <c r="V17" s="92"/>
      <c r="W17" s="2922"/>
      <c r="X17" s="92"/>
      <c r="Y17" s="129"/>
      <c r="Z17" s="92"/>
      <c r="AA17" s="90"/>
      <c r="AB17" s="94"/>
      <c r="AC17" s="2922"/>
      <c r="AD17" s="2056"/>
      <c r="AE17" s="92"/>
      <c r="AF17" s="4285"/>
      <c r="AG17" s="4286"/>
      <c r="AH17" s="4287"/>
      <c r="AI17" s="4286"/>
      <c r="AJ17" s="4288"/>
      <c r="AK17" s="4286"/>
    </row>
    <row r="18" spans="1:37" s="102" customFormat="1" ht="15" customHeight="1" x14ac:dyDescent="0.15">
      <c r="A18" s="3470" t="s">
        <v>953</v>
      </c>
      <c r="B18" s="90"/>
      <c r="C18" s="92"/>
      <c r="D18" s="90"/>
      <c r="E18" s="92"/>
      <c r="F18" s="90"/>
      <c r="G18" s="92"/>
      <c r="H18" s="90"/>
      <c r="I18" s="92"/>
      <c r="J18" s="90"/>
      <c r="K18" s="92"/>
      <c r="L18" s="90"/>
      <c r="M18" s="92"/>
      <c r="N18" s="3398">
        <f t="shared" si="1"/>
        <v>0</v>
      </c>
      <c r="O18" s="3442">
        <f t="shared" si="1"/>
        <v>0</v>
      </c>
      <c r="P18" s="3398">
        <f t="shared" si="1"/>
        <v>0</v>
      </c>
      <c r="Q18" s="3442">
        <f t="shared" si="1"/>
        <v>0</v>
      </c>
      <c r="R18" s="3397">
        <f t="shared" si="1"/>
        <v>0</v>
      </c>
      <c r="S18" s="4284">
        <f t="shared" si="1"/>
        <v>0</v>
      </c>
      <c r="T18" s="2922"/>
      <c r="U18" s="2056"/>
      <c r="V18" s="92"/>
      <c r="W18" s="2922"/>
      <c r="X18" s="92"/>
      <c r="Y18" s="129"/>
      <c r="Z18" s="92"/>
      <c r="AA18" s="90"/>
      <c r="AB18" s="94"/>
      <c r="AC18" s="2922"/>
      <c r="AD18" s="2056"/>
      <c r="AE18" s="92"/>
      <c r="AF18" s="4285"/>
      <c r="AG18" s="4286"/>
      <c r="AH18" s="4287"/>
      <c r="AI18" s="4286"/>
      <c r="AJ18" s="4288"/>
      <c r="AK18" s="4286"/>
    </row>
    <row r="19" spans="1:37" s="102" customFormat="1" ht="15" customHeight="1" x14ac:dyDescent="0.15">
      <c r="A19" s="3470" t="s">
        <v>954</v>
      </c>
      <c r="B19" s="90"/>
      <c r="C19" s="92"/>
      <c r="D19" s="90"/>
      <c r="E19" s="92"/>
      <c r="F19" s="90"/>
      <c r="G19" s="92"/>
      <c r="H19" s="90"/>
      <c r="I19" s="92"/>
      <c r="J19" s="90"/>
      <c r="K19" s="92"/>
      <c r="L19" s="90"/>
      <c r="M19" s="92"/>
      <c r="N19" s="3398">
        <f t="shared" si="1"/>
        <v>0</v>
      </c>
      <c r="O19" s="3442">
        <f t="shared" si="1"/>
        <v>0</v>
      </c>
      <c r="P19" s="3398">
        <f t="shared" si="1"/>
        <v>0</v>
      </c>
      <c r="Q19" s="3442">
        <f t="shared" si="1"/>
        <v>0</v>
      </c>
      <c r="R19" s="3397">
        <f t="shared" si="1"/>
        <v>0</v>
      </c>
      <c r="S19" s="4284">
        <f t="shared" si="1"/>
        <v>0</v>
      </c>
      <c r="T19" s="2922"/>
      <c r="U19" s="2056"/>
      <c r="V19" s="92"/>
      <c r="W19" s="2922"/>
      <c r="X19" s="92"/>
      <c r="Y19" s="129"/>
      <c r="Z19" s="92"/>
      <c r="AA19" s="90"/>
      <c r="AB19" s="94"/>
      <c r="AC19" s="2922"/>
      <c r="AD19" s="2056"/>
      <c r="AE19" s="92"/>
      <c r="AF19" s="4285"/>
      <c r="AG19" s="4286"/>
      <c r="AH19" s="4287"/>
      <c r="AI19" s="4286"/>
      <c r="AJ19" s="4288"/>
      <c r="AK19" s="4286"/>
    </row>
    <row r="20" spans="1:37" s="102" customFormat="1" ht="15" customHeight="1" x14ac:dyDescent="0.15">
      <c r="A20" s="3470" t="s">
        <v>955</v>
      </c>
      <c r="B20" s="90"/>
      <c r="C20" s="92"/>
      <c r="D20" s="90"/>
      <c r="E20" s="92"/>
      <c r="F20" s="90"/>
      <c r="G20" s="92"/>
      <c r="H20" s="90"/>
      <c r="I20" s="92"/>
      <c r="J20" s="90"/>
      <c r="K20" s="92"/>
      <c r="L20" s="90"/>
      <c r="M20" s="92"/>
      <c r="N20" s="3398">
        <f t="shared" si="1"/>
        <v>0</v>
      </c>
      <c r="O20" s="3442">
        <f t="shared" si="1"/>
        <v>0</v>
      </c>
      <c r="P20" s="3398">
        <f t="shared" si="1"/>
        <v>0</v>
      </c>
      <c r="Q20" s="3442">
        <f t="shared" si="1"/>
        <v>0</v>
      </c>
      <c r="R20" s="3397">
        <f t="shared" si="1"/>
        <v>0</v>
      </c>
      <c r="S20" s="4284">
        <f t="shared" si="1"/>
        <v>0</v>
      </c>
      <c r="T20" s="2922"/>
      <c r="U20" s="2056"/>
      <c r="V20" s="92"/>
      <c r="W20" s="2922"/>
      <c r="X20" s="92"/>
      <c r="Y20" s="129"/>
      <c r="Z20" s="92"/>
      <c r="AA20" s="90"/>
      <c r="AB20" s="94"/>
      <c r="AC20" s="2922"/>
      <c r="AD20" s="2056"/>
      <c r="AE20" s="92"/>
      <c r="AF20" s="4285"/>
      <c r="AG20" s="4286"/>
      <c r="AH20" s="4287"/>
      <c r="AI20" s="4286"/>
      <c r="AJ20" s="4288"/>
      <c r="AK20" s="4286"/>
    </row>
    <row r="21" spans="1:37" s="102" customFormat="1" ht="15" customHeight="1" x14ac:dyDescent="0.15">
      <c r="A21" s="3470" t="s">
        <v>956</v>
      </c>
      <c r="B21" s="90"/>
      <c r="C21" s="92"/>
      <c r="D21" s="90"/>
      <c r="E21" s="92"/>
      <c r="F21" s="90"/>
      <c r="G21" s="92"/>
      <c r="H21" s="90"/>
      <c r="I21" s="92"/>
      <c r="J21" s="90"/>
      <c r="K21" s="92"/>
      <c r="L21" s="90"/>
      <c r="M21" s="92"/>
      <c r="N21" s="3398">
        <f t="shared" si="1"/>
        <v>0</v>
      </c>
      <c r="O21" s="3442">
        <f t="shared" si="1"/>
        <v>0</v>
      </c>
      <c r="P21" s="3398">
        <f t="shared" si="1"/>
        <v>0</v>
      </c>
      <c r="Q21" s="3442">
        <f t="shared" si="1"/>
        <v>0</v>
      </c>
      <c r="R21" s="3397">
        <f t="shared" si="1"/>
        <v>0</v>
      </c>
      <c r="S21" s="4284">
        <f t="shared" si="1"/>
        <v>0</v>
      </c>
      <c r="T21" s="2922"/>
      <c r="U21" s="2056"/>
      <c r="V21" s="92"/>
      <c r="W21" s="2922"/>
      <c r="X21" s="92"/>
      <c r="Y21" s="129"/>
      <c r="Z21" s="92"/>
      <c r="AA21" s="90"/>
      <c r="AB21" s="94"/>
      <c r="AC21" s="2922"/>
      <c r="AD21" s="2056"/>
      <c r="AE21" s="92"/>
      <c r="AF21" s="4285"/>
      <c r="AG21" s="4286"/>
      <c r="AH21" s="4287"/>
      <c r="AI21" s="4286"/>
      <c r="AJ21" s="4288"/>
      <c r="AK21" s="4286"/>
    </row>
    <row r="22" spans="1:37" s="102" customFormat="1" ht="15" customHeight="1" x14ac:dyDescent="0.15">
      <c r="A22" s="3470" t="s">
        <v>957</v>
      </c>
      <c r="B22" s="90"/>
      <c r="C22" s="92"/>
      <c r="D22" s="90"/>
      <c r="E22" s="92"/>
      <c r="F22" s="90"/>
      <c r="G22" s="92"/>
      <c r="H22" s="90"/>
      <c r="I22" s="92"/>
      <c r="J22" s="90"/>
      <c r="K22" s="92"/>
      <c r="L22" s="90"/>
      <c r="M22" s="92"/>
      <c r="N22" s="3398">
        <f t="shared" si="1"/>
        <v>0</v>
      </c>
      <c r="O22" s="3442">
        <f t="shared" si="1"/>
        <v>0</v>
      </c>
      <c r="P22" s="3398">
        <f t="shared" si="1"/>
        <v>0</v>
      </c>
      <c r="Q22" s="3442">
        <f t="shared" si="1"/>
        <v>0</v>
      </c>
      <c r="R22" s="3397">
        <f t="shared" si="1"/>
        <v>0</v>
      </c>
      <c r="S22" s="4284">
        <f t="shared" si="1"/>
        <v>0</v>
      </c>
      <c r="T22" s="2922"/>
      <c r="U22" s="2056"/>
      <c r="V22" s="92"/>
      <c r="W22" s="2922"/>
      <c r="X22" s="92"/>
      <c r="Y22" s="129"/>
      <c r="Z22" s="92"/>
      <c r="AA22" s="90"/>
      <c r="AB22" s="94"/>
      <c r="AC22" s="2922"/>
      <c r="AD22" s="2056"/>
      <c r="AE22" s="92"/>
      <c r="AF22" s="4285"/>
      <c r="AG22" s="4286"/>
      <c r="AH22" s="4287"/>
      <c r="AI22" s="4286"/>
      <c r="AJ22" s="4288"/>
      <c r="AK22" s="4286"/>
    </row>
    <row r="23" spans="1:37" s="102" customFormat="1" ht="15" customHeight="1" x14ac:dyDescent="0.15">
      <c r="A23" s="3470" t="s">
        <v>958</v>
      </c>
      <c r="B23" s="90"/>
      <c r="C23" s="92"/>
      <c r="D23" s="90"/>
      <c r="E23" s="92"/>
      <c r="F23" s="90"/>
      <c r="G23" s="92"/>
      <c r="H23" s="90"/>
      <c r="I23" s="92"/>
      <c r="J23" s="90"/>
      <c r="K23" s="92"/>
      <c r="L23" s="90"/>
      <c r="M23" s="92"/>
      <c r="N23" s="3398">
        <f t="shared" si="1"/>
        <v>0</v>
      </c>
      <c r="O23" s="3442">
        <f t="shared" si="1"/>
        <v>0</v>
      </c>
      <c r="P23" s="3398">
        <f t="shared" si="1"/>
        <v>0</v>
      </c>
      <c r="Q23" s="3442">
        <f t="shared" si="1"/>
        <v>0</v>
      </c>
      <c r="R23" s="3397">
        <f t="shared" si="1"/>
        <v>0</v>
      </c>
      <c r="S23" s="4284">
        <f t="shared" si="1"/>
        <v>0</v>
      </c>
      <c r="T23" s="2922"/>
      <c r="U23" s="2056"/>
      <c r="V23" s="92"/>
      <c r="W23" s="2922"/>
      <c r="X23" s="92"/>
      <c r="Y23" s="129"/>
      <c r="Z23" s="92"/>
      <c r="AA23" s="90"/>
      <c r="AB23" s="94"/>
      <c r="AC23" s="2922"/>
      <c r="AD23" s="2056"/>
      <c r="AE23" s="92"/>
      <c r="AF23" s="4285"/>
      <c r="AG23" s="4286"/>
      <c r="AH23" s="4287"/>
      <c r="AI23" s="4286"/>
      <c r="AJ23" s="4288"/>
      <c r="AK23" s="4286"/>
    </row>
    <row r="24" spans="1:37" s="102" customFormat="1" ht="15" customHeight="1" x14ac:dyDescent="0.15">
      <c r="A24" s="3470" t="s">
        <v>959</v>
      </c>
      <c r="B24" s="90"/>
      <c r="C24" s="92"/>
      <c r="D24" s="90"/>
      <c r="E24" s="92"/>
      <c r="F24" s="90"/>
      <c r="G24" s="92"/>
      <c r="H24" s="90"/>
      <c r="I24" s="92"/>
      <c r="J24" s="90"/>
      <c r="K24" s="92"/>
      <c r="L24" s="90"/>
      <c r="M24" s="92"/>
      <c r="N24" s="3398">
        <f t="shared" si="1"/>
        <v>0</v>
      </c>
      <c r="O24" s="3442">
        <f t="shared" si="1"/>
        <v>0</v>
      </c>
      <c r="P24" s="3398">
        <f t="shared" si="1"/>
        <v>0</v>
      </c>
      <c r="Q24" s="3442">
        <f t="shared" si="1"/>
        <v>0</v>
      </c>
      <c r="R24" s="3397">
        <f t="shared" si="1"/>
        <v>0</v>
      </c>
      <c r="S24" s="4284">
        <f t="shared" si="1"/>
        <v>0</v>
      </c>
      <c r="T24" s="2922"/>
      <c r="U24" s="2056"/>
      <c r="V24" s="92"/>
      <c r="W24" s="2922"/>
      <c r="X24" s="92"/>
      <c r="Y24" s="129"/>
      <c r="Z24" s="92"/>
      <c r="AA24" s="90"/>
      <c r="AB24" s="94"/>
      <c r="AC24" s="2922"/>
      <c r="AD24" s="2056"/>
      <c r="AE24" s="92"/>
      <c r="AF24" s="4285"/>
      <c r="AG24" s="4286"/>
      <c r="AH24" s="4287"/>
      <c r="AI24" s="4286"/>
      <c r="AJ24" s="4288"/>
      <c r="AK24" s="4286"/>
    </row>
    <row r="25" spans="1:37" s="102" customFormat="1" ht="15" customHeight="1" x14ac:dyDescent="0.15">
      <c r="A25" s="3470" t="s">
        <v>960</v>
      </c>
      <c r="B25" s="90"/>
      <c r="C25" s="92"/>
      <c r="D25" s="90"/>
      <c r="E25" s="92"/>
      <c r="F25" s="90"/>
      <c r="G25" s="92"/>
      <c r="H25" s="90"/>
      <c r="I25" s="92"/>
      <c r="J25" s="90"/>
      <c r="K25" s="92"/>
      <c r="L25" s="90"/>
      <c r="M25" s="92"/>
      <c r="N25" s="3398">
        <f t="shared" si="1"/>
        <v>0</v>
      </c>
      <c r="O25" s="3442">
        <f t="shared" si="1"/>
        <v>0</v>
      </c>
      <c r="P25" s="3398">
        <f t="shared" si="1"/>
        <v>0</v>
      </c>
      <c r="Q25" s="3442">
        <f t="shared" si="1"/>
        <v>0</v>
      </c>
      <c r="R25" s="3397">
        <f t="shared" si="1"/>
        <v>0</v>
      </c>
      <c r="S25" s="4284">
        <f t="shared" si="1"/>
        <v>0</v>
      </c>
      <c r="T25" s="2922"/>
      <c r="U25" s="2056"/>
      <c r="V25" s="92"/>
      <c r="W25" s="2922"/>
      <c r="X25" s="92"/>
      <c r="Y25" s="129"/>
      <c r="Z25" s="92"/>
      <c r="AA25" s="90"/>
      <c r="AB25" s="94"/>
      <c r="AC25" s="2922"/>
      <c r="AD25" s="2056"/>
      <c r="AE25" s="92"/>
      <c r="AF25" s="4285"/>
      <c r="AG25" s="4286"/>
      <c r="AH25" s="4287"/>
      <c r="AI25" s="4286"/>
      <c r="AJ25" s="4288"/>
      <c r="AK25" s="4286"/>
    </row>
    <row r="26" spans="1:37" s="102" customFormat="1" ht="15" customHeight="1" x14ac:dyDescent="0.15">
      <c r="A26" s="3470" t="s">
        <v>961</v>
      </c>
      <c r="B26" s="90"/>
      <c r="C26" s="92"/>
      <c r="D26" s="90"/>
      <c r="E26" s="92"/>
      <c r="F26" s="90"/>
      <c r="G26" s="92"/>
      <c r="H26" s="90"/>
      <c r="I26" s="92"/>
      <c r="J26" s="90"/>
      <c r="K26" s="92"/>
      <c r="L26" s="90"/>
      <c r="M26" s="92"/>
      <c r="N26" s="3398">
        <f t="shared" si="1"/>
        <v>0</v>
      </c>
      <c r="O26" s="3442">
        <f t="shared" si="1"/>
        <v>0</v>
      </c>
      <c r="P26" s="3398">
        <f t="shared" si="1"/>
        <v>0</v>
      </c>
      <c r="Q26" s="3442">
        <f t="shared" si="1"/>
        <v>0</v>
      </c>
      <c r="R26" s="3397">
        <f t="shared" si="1"/>
        <v>0</v>
      </c>
      <c r="S26" s="4284">
        <f t="shared" si="1"/>
        <v>0</v>
      </c>
      <c r="T26" s="2922"/>
      <c r="U26" s="2056"/>
      <c r="V26" s="92"/>
      <c r="W26" s="2922"/>
      <c r="X26" s="92"/>
      <c r="Y26" s="129"/>
      <c r="Z26" s="92"/>
      <c r="AA26" s="90"/>
      <c r="AB26" s="94"/>
      <c r="AC26" s="2922"/>
      <c r="AD26" s="2056"/>
      <c r="AE26" s="92"/>
      <c r="AF26" s="4285"/>
      <c r="AG26" s="4286"/>
      <c r="AH26" s="4287"/>
      <c r="AI26" s="4286"/>
      <c r="AJ26" s="4288"/>
      <c r="AK26" s="4286"/>
    </row>
    <row r="27" spans="1:37" s="102" customFormat="1" ht="15" customHeight="1" x14ac:dyDescent="0.15">
      <c r="A27" s="3470" t="s">
        <v>962</v>
      </c>
      <c r="B27" s="90"/>
      <c r="C27" s="92"/>
      <c r="D27" s="90"/>
      <c r="E27" s="92"/>
      <c r="F27" s="90"/>
      <c r="G27" s="92"/>
      <c r="H27" s="90"/>
      <c r="I27" s="92"/>
      <c r="J27" s="90"/>
      <c r="K27" s="92"/>
      <c r="L27" s="90"/>
      <c r="M27" s="92"/>
      <c r="N27" s="3398">
        <f t="shared" si="1"/>
        <v>0</v>
      </c>
      <c r="O27" s="3442">
        <f t="shared" si="1"/>
        <v>0</v>
      </c>
      <c r="P27" s="3398">
        <f t="shared" si="1"/>
        <v>0</v>
      </c>
      <c r="Q27" s="3442">
        <f t="shared" si="1"/>
        <v>0</v>
      </c>
      <c r="R27" s="3397">
        <f t="shared" si="1"/>
        <v>0</v>
      </c>
      <c r="S27" s="4284">
        <f t="shared" si="1"/>
        <v>0</v>
      </c>
      <c r="T27" s="2922"/>
      <c r="U27" s="2056"/>
      <c r="V27" s="92"/>
      <c r="W27" s="2922"/>
      <c r="X27" s="92"/>
      <c r="Y27" s="129"/>
      <c r="Z27" s="92"/>
      <c r="AA27" s="90"/>
      <c r="AB27" s="94"/>
      <c r="AC27" s="2922"/>
      <c r="AD27" s="2056"/>
      <c r="AE27" s="92"/>
      <c r="AF27" s="4285"/>
      <c r="AG27" s="4286"/>
      <c r="AH27" s="4287"/>
      <c r="AI27" s="4286"/>
      <c r="AJ27" s="4288"/>
      <c r="AK27" s="4286"/>
    </row>
    <row r="28" spans="1:37" s="102" customFormat="1" ht="15" customHeight="1" x14ac:dyDescent="0.15">
      <c r="A28" s="3470" t="s">
        <v>963</v>
      </c>
      <c r="B28" s="90"/>
      <c r="C28" s="92"/>
      <c r="D28" s="90"/>
      <c r="E28" s="92"/>
      <c r="F28" s="90"/>
      <c r="G28" s="92"/>
      <c r="H28" s="90"/>
      <c r="I28" s="92"/>
      <c r="J28" s="90"/>
      <c r="K28" s="92"/>
      <c r="L28" s="90"/>
      <c r="M28" s="92"/>
      <c r="N28" s="3398">
        <f t="shared" si="1"/>
        <v>0</v>
      </c>
      <c r="O28" s="3442">
        <f t="shared" si="1"/>
        <v>0</v>
      </c>
      <c r="P28" s="3398">
        <f t="shared" si="1"/>
        <v>0</v>
      </c>
      <c r="Q28" s="3442">
        <f t="shared" si="1"/>
        <v>0</v>
      </c>
      <c r="R28" s="3397">
        <f t="shared" si="1"/>
        <v>0</v>
      </c>
      <c r="S28" s="4284">
        <f t="shared" si="1"/>
        <v>0</v>
      </c>
      <c r="T28" s="2922"/>
      <c r="U28" s="2056"/>
      <c r="V28" s="92"/>
      <c r="W28" s="2922"/>
      <c r="X28" s="92"/>
      <c r="Y28" s="129"/>
      <c r="Z28" s="92"/>
      <c r="AA28" s="90"/>
      <c r="AB28" s="94"/>
      <c r="AC28" s="2922"/>
      <c r="AD28" s="2056"/>
      <c r="AE28" s="92"/>
      <c r="AF28" s="4285"/>
      <c r="AG28" s="4286"/>
      <c r="AH28" s="4287"/>
      <c r="AI28" s="4286"/>
      <c r="AJ28" s="4288"/>
      <c r="AK28" s="4286"/>
    </row>
    <row r="29" spans="1:37" s="102" customFormat="1" ht="15" customHeight="1" x14ac:dyDescent="0.15">
      <c r="A29" s="3470" t="s">
        <v>964</v>
      </c>
      <c r="B29" s="90"/>
      <c r="C29" s="92"/>
      <c r="D29" s="90"/>
      <c r="E29" s="92"/>
      <c r="F29" s="90"/>
      <c r="G29" s="92"/>
      <c r="H29" s="90"/>
      <c r="I29" s="92"/>
      <c r="J29" s="90"/>
      <c r="K29" s="92"/>
      <c r="L29" s="90"/>
      <c r="M29" s="92"/>
      <c r="N29" s="3398">
        <f t="shared" ref="N29:S71" si="2">SUM(B29+H29)</f>
        <v>0</v>
      </c>
      <c r="O29" s="3442">
        <f t="shared" si="2"/>
        <v>0</v>
      </c>
      <c r="P29" s="3398">
        <f t="shared" si="2"/>
        <v>0</v>
      </c>
      <c r="Q29" s="3442">
        <f t="shared" si="2"/>
        <v>0</v>
      </c>
      <c r="R29" s="3397">
        <f t="shared" si="2"/>
        <v>0</v>
      </c>
      <c r="S29" s="4284">
        <f>SUM(G29+M29)</f>
        <v>0</v>
      </c>
      <c r="T29" s="2922"/>
      <c r="U29" s="2056"/>
      <c r="V29" s="92"/>
      <c r="W29" s="2922"/>
      <c r="X29" s="92"/>
      <c r="Y29" s="129"/>
      <c r="Z29" s="92"/>
      <c r="AA29" s="90"/>
      <c r="AB29" s="94"/>
      <c r="AC29" s="2922"/>
      <c r="AD29" s="2056"/>
      <c r="AE29" s="92"/>
      <c r="AF29" s="4285"/>
      <c r="AG29" s="4286"/>
      <c r="AH29" s="4287"/>
      <c r="AI29" s="4286"/>
      <c r="AJ29" s="4288"/>
      <c r="AK29" s="4286"/>
    </row>
    <row r="30" spans="1:37" s="102" customFormat="1" ht="15" customHeight="1" x14ac:dyDescent="0.15">
      <c r="A30" s="3470" t="s">
        <v>965</v>
      </c>
      <c r="B30" s="90"/>
      <c r="C30" s="92"/>
      <c r="D30" s="90"/>
      <c r="E30" s="92"/>
      <c r="F30" s="90"/>
      <c r="G30" s="92"/>
      <c r="H30" s="90"/>
      <c r="I30" s="92"/>
      <c r="J30" s="90"/>
      <c r="K30" s="92"/>
      <c r="L30" s="90"/>
      <c r="M30" s="92"/>
      <c r="N30" s="3398">
        <f t="shared" si="2"/>
        <v>0</v>
      </c>
      <c r="O30" s="3442">
        <f t="shared" si="2"/>
        <v>0</v>
      </c>
      <c r="P30" s="3398">
        <f t="shared" si="2"/>
        <v>0</v>
      </c>
      <c r="Q30" s="3442">
        <f t="shared" si="2"/>
        <v>0</v>
      </c>
      <c r="R30" s="3397">
        <f t="shared" si="2"/>
        <v>0</v>
      </c>
      <c r="S30" s="4284">
        <f t="shared" si="2"/>
        <v>0</v>
      </c>
      <c r="T30" s="2922"/>
      <c r="U30" s="2056"/>
      <c r="V30" s="92"/>
      <c r="W30" s="2922"/>
      <c r="X30" s="92"/>
      <c r="Y30" s="129"/>
      <c r="Z30" s="92"/>
      <c r="AA30" s="90"/>
      <c r="AB30" s="94"/>
      <c r="AC30" s="2922"/>
      <c r="AD30" s="2056"/>
      <c r="AE30" s="92"/>
      <c r="AF30" s="4285"/>
      <c r="AG30" s="4286"/>
      <c r="AH30" s="4287"/>
      <c r="AI30" s="4286"/>
      <c r="AJ30" s="4288"/>
      <c r="AK30" s="4286"/>
    </row>
    <row r="31" spans="1:37" s="102" customFormat="1" ht="15" customHeight="1" x14ac:dyDescent="0.15">
      <c r="A31" s="3470" t="s">
        <v>966</v>
      </c>
      <c r="B31" s="90"/>
      <c r="C31" s="92"/>
      <c r="D31" s="90"/>
      <c r="E31" s="92"/>
      <c r="F31" s="90"/>
      <c r="G31" s="92"/>
      <c r="H31" s="90"/>
      <c r="I31" s="92"/>
      <c r="J31" s="90"/>
      <c r="K31" s="92"/>
      <c r="L31" s="90"/>
      <c r="M31" s="92"/>
      <c r="N31" s="3398">
        <f t="shared" si="2"/>
        <v>0</v>
      </c>
      <c r="O31" s="3442">
        <f t="shared" si="2"/>
        <v>0</v>
      </c>
      <c r="P31" s="3398">
        <f t="shared" si="2"/>
        <v>0</v>
      </c>
      <c r="Q31" s="3442">
        <f t="shared" si="2"/>
        <v>0</v>
      </c>
      <c r="R31" s="3397">
        <f t="shared" si="2"/>
        <v>0</v>
      </c>
      <c r="S31" s="4284">
        <f t="shared" si="2"/>
        <v>0</v>
      </c>
      <c r="T31" s="2922"/>
      <c r="U31" s="2056"/>
      <c r="V31" s="92"/>
      <c r="W31" s="2922"/>
      <c r="X31" s="92"/>
      <c r="Y31" s="129"/>
      <c r="Z31" s="92"/>
      <c r="AA31" s="90"/>
      <c r="AB31" s="94"/>
      <c r="AC31" s="2922"/>
      <c r="AD31" s="2056"/>
      <c r="AE31" s="92"/>
      <c r="AF31" s="4285"/>
      <c r="AG31" s="4286"/>
      <c r="AH31" s="4287"/>
      <c r="AI31" s="4286"/>
      <c r="AJ31" s="4288"/>
      <c r="AK31" s="4286"/>
    </row>
    <row r="32" spans="1:37" s="102" customFormat="1" ht="15" customHeight="1" x14ac:dyDescent="0.15">
      <c r="A32" s="3470" t="s">
        <v>967</v>
      </c>
      <c r="B32" s="90"/>
      <c r="C32" s="92"/>
      <c r="D32" s="90"/>
      <c r="E32" s="92"/>
      <c r="F32" s="90"/>
      <c r="G32" s="92"/>
      <c r="H32" s="90"/>
      <c r="I32" s="92"/>
      <c r="J32" s="90"/>
      <c r="K32" s="92"/>
      <c r="L32" s="90"/>
      <c r="M32" s="92"/>
      <c r="N32" s="3398">
        <f t="shared" si="2"/>
        <v>0</v>
      </c>
      <c r="O32" s="3442">
        <f t="shared" si="2"/>
        <v>0</v>
      </c>
      <c r="P32" s="3398">
        <f t="shared" si="2"/>
        <v>0</v>
      </c>
      <c r="Q32" s="3442">
        <f t="shared" si="2"/>
        <v>0</v>
      </c>
      <c r="R32" s="3397">
        <f t="shared" si="2"/>
        <v>0</v>
      </c>
      <c r="S32" s="4284">
        <f t="shared" si="2"/>
        <v>0</v>
      </c>
      <c r="T32" s="2922"/>
      <c r="U32" s="2056"/>
      <c r="V32" s="92"/>
      <c r="W32" s="2922"/>
      <c r="X32" s="92"/>
      <c r="Y32" s="129"/>
      <c r="Z32" s="92"/>
      <c r="AA32" s="90"/>
      <c r="AB32" s="94"/>
      <c r="AC32" s="2922"/>
      <c r="AD32" s="2056"/>
      <c r="AE32" s="92"/>
      <c r="AF32" s="4285"/>
      <c r="AG32" s="4286"/>
      <c r="AH32" s="4287"/>
      <c r="AI32" s="4286"/>
      <c r="AJ32" s="4288"/>
      <c r="AK32" s="4286"/>
    </row>
    <row r="33" spans="1:37" s="102" customFormat="1" ht="15" customHeight="1" x14ac:dyDescent="0.15">
      <c r="A33" s="3470" t="s">
        <v>227</v>
      </c>
      <c r="B33" s="90"/>
      <c r="C33" s="92"/>
      <c r="D33" s="90"/>
      <c r="E33" s="92"/>
      <c r="F33" s="90"/>
      <c r="G33" s="92"/>
      <c r="H33" s="90"/>
      <c r="I33" s="92"/>
      <c r="J33" s="90"/>
      <c r="K33" s="92"/>
      <c r="L33" s="90"/>
      <c r="M33" s="92"/>
      <c r="N33" s="3398">
        <f t="shared" si="2"/>
        <v>0</v>
      </c>
      <c r="O33" s="3442">
        <f t="shared" si="2"/>
        <v>0</v>
      </c>
      <c r="P33" s="3398">
        <f t="shared" si="2"/>
        <v>0</v>
      </c>
      <c r="Q33" s="3442">
        <f t="shared" si="2"/>
        <v>0</v>
      </c>
      <c r="R33" s="3397">
        <f t="shared" si="2"/>
        <v>0</v>
      </c>
      <c r="S33" s="4284">
        <f t="shared" si="2"/>
        <v>0</v>
      </c>
      <c r="T33" s="2922"/>
      <c r="U33" s="2056"/>
      <c r="V33" s="92"/>
      <c r="W33" s="2922"/>
      <c r="X33" s="92"/>
      <c r="Y33" s="129"/>
      <c r="Z33" s="92"/>
      <c r="AA33" s="90"/>
      <c r="AB33" s="94"/>
      <c r="AC33" s="2922"/>
      <c r="AD33" s="2056"/>
      <c r="AE33" s="92"/>
      <c r="AF33" s="4285"/>
      <c r="AG33" s="4286"/>
      <c r="AH33" s="4287"/>
      <c r="AI33" s="4286"/>
      <c r="AJ33" s="4288"/>
      <c r="AK33" s="4286"/>
    </row>
    <row r="34" spans="1:37" s="102" customFormat="1" ht="15" customHeight="1" x14ac:dyDescent="0.15">
      <c r="A34" s="3470" t="s">
        <v>968</v>
      </c>
      <c r="B34" s="90"/>
      <c r="C34" s="92"/>
      <c r="D34" s="90"/>
      <c r="E34" s="92"/>
      <c r="F34" s="90"/>
      <c r="G34" s="92"/>
      <c r="H34" s="90"/>
      <c r="I34" s="92"/>
      <c r="J34" s="90"/>
      <c r="K34" s="92"/>
      <c r="L34" s="90"/>
      <c r="M34" s="92"/>
      <c r="N34" s="3398">
        <f t="shared" si="2"/>
        <v>0</v>
      </c>
      <c r="O34" s="3442">
        <f t="shared" si="2"/>
        <v>0</v>
      </c>
      <c r="P34" s="3398">
        <f t="shared" si="2"/>
        <v>0</v>
      </c>
      <c r="Q34" s="3442">
        <f t="shared" si="2"/>
        <v>0</v>
      </c>
      <c r="R34" s="3397">
        <f t="shared" si="2"/>
        <v>0</v>
      </c>
      <c r="S34" s="4284">
        <f t="shared" si="2"/>
        <v>0</v>
      </c>
      <c r="T34" s="2922"/>
      <c r="U34" s="2056"/>
      <c r="V34" s="92"/>
      <c r="W34" s="2922"/>
      <c r="X34" s="92"/>
      <c r="Y34" s="129"/>
      <c r="Z34" s="92"/>
      <c r="AA34" s="90"/>
      <c r="AB34" s="94"/>
      <c r="AC34" s="2922"/>
      <c r="AD34" s="2056"/>
      <c r="AE34" s="92"/>
      <c r="AF34" s="4285"/>
      <c r="AG34" s="4286"/>
      <c r="AH34" s="4287"/>
      <c r="AI34" s="4286"/>
      <c r="AJ34" s="4288"/>
      <c r="AK34" s="4286"/>
    </row>
    <row r="35" spans="1:37" s="102" customFormat="1" ht="15" customHeight="1" x14ac:dyDescent="0.15">
      <c r="A35" s="3470" t="s">
        <v>969</v>
      </c>
      <c r="B35" s="90"/>
      <c r="C35" s="92"/>
      <c r="D35" s="90"/>
      <c r="E35" s="92"/>
      <c r="F35" s="90"/>
      <c r="G35" s="92"/>
      <c r="H35" s="90"/>
      <c r="I35" s="92"/>
      <c r="J35" s="90"/>
      <c r="K35" s="92"/>
      <c r="L35" s="90"/>
      <c r="M35" s="92"/>
      <c r="N35" s="3398">
        <f t="shared" si="2"/>
        <v>0</v>
      </c>
      <c r="O35" s="3442">
        <f t="shared" si="2"/>
        <v>0</v>
      </c>
      <c r="P35" s="3398">
        <f t="shared" si="2"/>
        <v>0</v>
      </c>
      <c r="Q35" s="3442">
        <f t="shared" si="2"/>
        <v>0</v>
      </c>
      <c r="R35" s="3397">
        <f t="shared" si="2"/>
        <v>0</v>
      </c>
      <c r="S35" s="4284">
        <f t="shared" si="2"/>
        <v>0</v>
      </c>
      <c r="T35" s="2922"/>
      <c r="U35" s="2056"/>
      <c r="V35" s="92"/>
      <c r="W35" s="2922"/>
      <c r="X35" s="92"/>
      <c r="Y35" s="129"/>
      <c r="Z35" s="92"/>
      <c r="AA35" s="90"/>
      <c r="AB35" s="94"/>
      <c r="AC35" s="2922"/>
      <c r="AD35" s="2056"/>
      <c r="AE35" s="92"/>
      <c r="AF35" s="4285"/>
      <c r="AG35" s="4286"/>
      <c r="AH35" s="4287"/>
      <c r="AI35" s="4286"/>
      <c r="AJ35" s="4288"/>
      <c r="AK35" s="4286"/>
    </row>
    <row r="36" spans="1:37" s="102" customFormat="1" ht="15" customHeight="1" x14ac:dyDescent="0.15">
      <c r="A36" s="3470" t="s">
        <v>228</v>
      </c>
      <c r="B36" s="90"/>
      <c r="C36" s="92"/>
      <c r="D36" s="90"/>
      <c r="E36" s="92"/>
      <c r="F36" s="90"/>
      <c r="G36" s="92"/>
      <c r="H36" s="90"/>
      <c r="I36" s="92"/>
      <c r="J36" s="90"/>
      <c r="K36" s="92"/>
      <c r="L36" s="90"/>
      <c r="M36" s="92"/>
      <c r="N36" s="3398">
        <f t="shared" si="2"/>
        <v>0</v>
      </c>
      <c r="O36" s="3442">
        <f t="shared" si="2"/>
        <v>0</v>
      </c>
      <c r="P36" s="3398">
        <f t="shared" si="2"/>
        <v>0</v>
      </c>
      <c r="Q36" s="3442">
        <f t="shared" si="2"/>
        <v>0</v>
      </c>
      <c r="R36" s="3397">
        <f t="shared" si="2"/>
        <v>0</v>
      </c>
      <c r="S36" s="4284">
        <f t="shared" si="2"/>
        <v>0</v>
      </c>
      <c r="T36" s="2922"/>
      <c r="U36" s="2056"/>
      <c r="V36" s="92"/>
      <c r="W36" s="2922"/>
      <c r="X36" s="92"/>
      <c r="Y36" s="129"/>
      <c r="Z36" s="92"/>
      <c r="AA36" s="90"/>
      <c r="AB36" s="94"/>
      <c r="AC36" s="2922"/>
      <c r="AD36" s="2056"/>
      <c r="AE36" s="92"/>
      <c r="AF36" s="4285"/>
      <c r="AG36" s="4286"/>
      <c r="AH36" s="4287"/>
      <c r="AI36" s="4286"/>
      <c r="AJ36" s="4288"/>
      <c r="AK36" s="4286"/>
    </row>
    <row r="37" spans="1:37" s="102" customFormat="1" ht="15" customHeight="1" x14ac:dyDescent="0.15">
      <c r="A37" s="3470" t="s">
        <v>229</v>
      </c>
      <c r="B37" s="90"/>
      <c r="C37" s="92"/>
      <c r="D37" s="90"/>
      <c r="E37" s="92"/>
      <c r="F37" s="90"/>
      <c r="G37" s="92"/>
      <c r="H37" s="90"/>
      <c r="I37" s="92"/>
      <c r="J37" s="90"/>
      <c r="K37" s="92"/>
      <c r="L37" s="90"/>
      <c r="M37" s="92"/>
      <c r="N37" s="3398">
        <f t="shared" si="2"/>
        <v>0</v>
      </c>
      <c r="O37" s="3442">
        <f t="shared" si="2"/>
        <v>0</v>
      </c>
      <c r="P37" s="3398">
        <f t="shared" si="2"/>
        <v>0</v>
      </c>
      <c r="Q37" s="3442">
        <f t="shared" si="2"/>
        <v>0</v>
      </c>
      <c r="R37" s="3397">
        <f t="shared" si="2"/>
        <v>0</v>
      </c>
      <c r="S37" s="4284">
        <f t="shared" si="2"/>
        <v>0</v>
      </c>
      <c r="T37" s="2922"/>
      <c r="U37" s="2056"/>
      <c r="V37" s="92"/>
      <c r="W37" s="2922"/>
      <c r="X37" s="92"/>
      <c r="Y37" s="129"/>
      <c r="Z37" s="92"/>
      <c r="AA37" s="90"/>
      <c r="AB37" s="94"/>
      <c r="AC37" s="2922"/>
      <c r="AD37" s="2056"/>
      <c r="AE37" s="92"/>
      <c r="AF37" s="4285"/>
      <c r="AG37" s="4286"/>
      <c r="AH37" s="4287"/>
      <c r="AI37" s="4286"/>
      <c r="AJ37" s="4288"/>
      <c r="AK37" s="4286"/>
    </row>
    <row r="38" spans="1:37" s="102" customFormat="1" ht="15" customHeight="1" x14ac:dyDescent="0.15">
      <c r="A38" s="3470" t="s">
        <v>970</v>
      </c>
      <c r="B38" s="90"/>
      <c r="C38" s="92"/>
      <c r="D38" s="90"/>
      <c r="E38" s="92"/>
      <c r="F38" s="90"/>
      <c r="G38" s="92"/>
      <c r="H38" s="90"/>
      <c r="I38" s="92"/>
      <c r="J38" s="90"/>
      <c r="K38" s="92"/>
      <c r="L38" s="90"/>
      <c r="M38" s="92"/>
      <c r="N38" s="3398">
        <f t="shared" si="2"/>
        <v>0</v>
      </c>
      <c r="O38" s="3442">
        <f t="shared" si="2"/>
        <v>0</v>
      </c>
      <c r="P38" s="3398">
        <f t="shared" si="2"/>
        <v>0</v>
      </c>
      <c r="Q38" s="3442">
        <f t="shared" si="2"/>
        <v>0</v>
      </c>
      <c r="R38" s="3397">
        <f t="shared" si="2"/>
        <v>0</v>
      </c>
      <c r="S38" s="4284">
        <f t="shared" si="2"/>
        <v>0</v>
      </c>
      <c r="T38" s="2922"/>
      <c r="U38" s="2056"/>
      <c r="V38" s="92"/>
      <c r="W38" s="2922"/>
      <c r="X38" s="92"/>
      <c r="Y38" s="129"/>
      <c r="Z38" s="92"/>
      <c r="AA38" s="90"/>
      <c r="AB38" s="94"/>
      <c r="AC38" s="2922"/>
      <c r="AD38" s="2056"/>
      <c r="AE38" s="92"/>
      <c r="AF38" s="4285"/>
      <c r="AG38" s="4286"/>
      <c r="AH38" s="4287"/>
      <c r="AI38" s="4286"/>
      <c r="AJ38" s="4288"/>
      <c r="AK38" s="4286"/>
    </row>
    <row r="39" spans="1:37" s="102" customFormat="1" ht="15" customHeight="1" x14ac:dyDescent="0.15">
      <c r="A39" s="3470" t="s">
        <v>971</v>
      </c>
      <c r="B39" s="90"/>
      <c r="C39" s="92"/>
      <c r="D39" s="90"/>
      <c r="E39" s="92"/>
      <c r="F39" s="90"/>
      <c r="G39" s="92"/>
      <c r="H39" s="90"/>
      <c r="I39" s="92"/>
      <c r="J39" s="90"/>
      <c r="K39" s="92"/>
      <c r="L39" s="90"/>
      <c r="M39" s="92"/>
      <c r="N39" s="3398">
        <f t="shared" si="2"/>
        <v>0</v>
      </c>
      <c r="O39" s="3442">
        <f t="shared" si="2"/>
        <v>0</v>
      </c>
      <c r="P39" s="3398">
        <f t="shared" si="2"/>
        <v>0</v>
      </c>
      <c r="Q39" s="3442">
        <f t="shared" si="2"/>
        <v>0</v>
      </c>
      <c r="R39" s="3397">
        <f t="shared" si="2"/>
        <v>0</v>
      </c>
      <c r="S39" s="4284">
        <f t="shared" si="2"/>
        <v>0</v>
      </c>
      <c r="T39" s="2922"/>
      <c r="U39" s="2056"/>
      <c r="V39" s="92"/>
      <c r="W39" s="2922"/>
      <c r="X39" s="92"/>
      <c r="Y39" s="129"/>
      <c r="Z39" s="92"/>
      <c r="AA39" s="90"/>
      <c r="AB39" s="94"/>
      <c r="AC39" s="2922"/>
      <c r="AD39" s="2056"/>
      <c r="AE39" s="92"/>
      <c r="AF39" s="4285"/>
      <c r="AG39" s="4286"/>
      <c r="AH39" s="4287"/>
      <c r="AI39" s="4286"/>
      <c r="AJ39" s="4288"/>
      <c r="AK39" s="4286"/>
    </row>
    <row r="40" spans="1:37" s="102" customFormat="1" ht="15" customHeight="1" x14ac:dyDescent="0.15">
      <c r="A40" s="3470" t="s">
        <v>972</v>
      </c>
      <c r="B40" s="90"/>
      <c r="C40" s="92"/>
      <c r="D40" s="90"/>
      <c r="E40" s="92"/>
      <c r="F40" s="90"/>
      <c r="G40" s="92"/>
      <c r="H40" s="90"/>
      <c r="I40" s="92"/>
      <c r="J40" s="90"/>
      <c r="K40" s="92"/>
      <c r="L40" s="90"/>
      <c r="M40" s="92"/>
      <c r="N40" s="3398">
        <f t="shared" si="2"/>
        <v>0</v>
      </c>
      <c r="O40" s="3442">
        <f t="shared" si="2"/>
        <v>0</v>
      </c>
      <c r="P40" s="3398">
        <f t="shared" si="2"/>
        <v>0</v>
      </c>
      <c r="Q40" s="3442">
        <f t="shared" si="2"/>
        <v>0</v>
      </c>
      <c r="R40" s="3397">
        <f t="shared" si="2"/>
        <v>0</v>
      </c>
      <c r="S40" s="4284">
        <f t="shared" si="2"/>
        <v>0</v>
      </c>
      <c r="T40" s="2922"/>
      <c r="U40" s="2056"/>
      <c r="V40" s="92"/>
      <c r="W40" s="2922"/>
      <c r="X40" s="92"/>
      <c r="Y40" s="129"/>
      <c r="Z40" s="92"/>
      <c r="AA40" s="90"/>
      <c r="AB40" s="94"/>
      <c r="AC40" s="2922"/>
      <c r="AD40" s="2056"/>
      <c r="AE40" s="92"/>
      <c r="AF40" s="4285"/>
      <c r="AG40" s="4286"/>
      <c r="AH40" s="4287"/>
      <c r="AI40" s="4286"/>
      <c r="AJ40" s="4288"/>
      <c r="AK40" s="4286"/>
    </row>
    <row r="41" spans="1:37" s="102" customFormat="1" ht="15" customHeight="1" x14ac:dyDescent="0.15">
      <c r="A41" s="3470" t="s">
        <v>973</v>
      </c>
      <c r="B41" s="90"/>
      <c r="C41" s="92"/>
      <c r="D41" s="90"/>
      <c r="E41" s="92"/>
      <c r="F41" s="90"/>
      <c r="G41" s="92"/>
      <c r="H41" s="90"/>
      <c r="I41" s="92"/>
      <c r="J41" s="90"/>
      <c r="K41" s="92"/>
      <c r="L41" s="90"/>
      <c r="M41" s="92"/>
      <c r="N41" s="3398">
        <f t="shared" si="2"/>
        <v>0</v>
      </c>
      <c r="O41" s="3442">
        <f t="shared" si="2"/>
        <v>0</v>
      </c>
      <c r="P41" s="3398">
        <f t="shared" si="2"/>
        <v>0</v>
      </c>
      <c r="Q41" s="3442">
        <f t="shared" si="2"/>
        <v>0</v>
      </c>
      <c r="R41" s="3397">
        <f t="shared" si="2"/>
        <v>0</v>
      </c>
      <c r="S41" s="4284">
        <f t="shared" si="2"/>
        <v>0</v>
      </c>
      <c r="T41" s="2922"/>
      <c r="U41" s="2056"/>
      <c r="V41" s="92"/>
      <c r="W41" s="2922"/>
      <c r="X41" s="92"/>
      <c r="Y41" s="129"/>
      <c r="Z41" s="92"/>
      <c r="AA41" s="90"/>
      <c r="AB41" s="94"/>
      <c r="AC41" s="2922"/>
      <c r="AD41" s="2056"/>
      <c r="AE41" s="92"/>
      <c r="AF41" s="4285"/>
      <c r="AG41" s="4286"/>
      <c r="AH41" s="4287"/>
      <c r="AI41" s="4286"/>
      <c r="AJ41" s="4288"/>
      <c r="AK41" s="4286"/>
    </row>
    <row r="42" spans="1:37" s="102" customFormat="1" ht="15" customHeight="1" x14ac:dyDescent="0.15">
      <c r="A42" s="3470" t="s">
        <v>974</v>
      </c>
      <c r="B42" s="90"/>
      <c r="C42" s="92"/>
      <c r="D42" s="90"/>
      <c r="E42" s="92"/>
      <c r="F42" s="90"/>
      <c r="G42" s="92"/>
      <c r="H42" s="90"/>
      <c r="I42" s="92"/>
      <c r="J42" s="90"/>
      <c r="K42" s="92"/>
      <c r="L42" s="90"/>
      <c r="M42" s="92"/>
      <c r="N42" s="3398">
        <f t="shared" si="2"/>
        <v>0</v>
      </c>
      <c r="O42" s="3442">
        <f t="shared" si="2"/>
        <v>0</v>
      </c>
      <c r="P42" s="3398">
        <f t="shared" si="2"/>
        <v>0</v>
      </c>
      <c r="Q42" s="3442">
        <f t="shared" si="2"/>
        <v>0</v>
      </c>
      <c r="R42" s="3397">
        <f t="shared" si="2"/>
        <v>0</v>
      </c>
      <c r="S42" s="4284">
        <f t="shared" si="2"/>
        <v>0</v>
      </c>
      <c r="T42" s="2922"/>
      <c r="U42" s="2056"/>
      <c r="V42" s="92"/>
      <c r="W42" s="2922"/>
      <c r="X42" s="92"/>
      <c r="Y42" s="129"/>
      <c r="Z42" s="92"/>
      <c r="AA42" s="90"/>
      <c r="AB42" s="94"/>
      <c r="AC42" s="2922"/>
      <c r="AD42" s="2056"/>
      <c r="AE42" s="92"/>
      <c r="AF42" s="4285"/>
      <c r="AG42" s="4286"/>
      <c r="AH42" s="4287"/>
      <c r="AI42" s="4286"/>
      <c r="AJ42" s="4288"/>
      <c r="AK42" s="4286"/>
    </row>
    <row r="43" spans="1:37" s="102" customFormat="1" ht="15" customHeight="1" x14ac:dyDescent="0.15">
      <c r="A43" s="3470" t="s">
        <v>975</v>
      </c>
      <c r="B43" s="90"/>
      <c r="C43" s="92"/>
      <c r="D43" s="90"/>
      <c r="E43" s="92"/>
      <c r="F43" s="90"/>
      <c r="G43" s="92"/>
      <c r="H43" s="90"/>
      <c r="I43" s="92"/>
      <c r="J43" s="90"/>
      <c r="K43" s="92"/>
      <c r="L43" s="90"/>
      <c r="M43" s="92"/>
      <c r="N43" s="3398">
        <f t="shared" si="2"/>
        <v>0</v>
      </c>
      <c r="O43" s="3442">
        <f t="shared" si="2"/>
        <v>0</v>
      </c>
      <c r="P43" s="3398">
        <f t="shared" si="2"/>
        <v>0</v>
      </c>
      <c r="Q43" s="3442">
        <f t="shared" si="2"/>
        <v>0</v>
      </c>
      <c r="R43" s="3397">
        <f t="shared" si="2"/>
        <v>0</v>
      </c>
      <c r="S43" s="4284">
        <f t="shared" si="2"/>
        <v>0</v>
      </c>
      <c r="T43" s="2922"/>
      <c r="U43" s="2056"/>
      <c r="V43" s="92"/>
      <c r="W43" s="2922"/>
      <c r="X43" s="92"/>
      <c r="Y43" s="129"/>
      <c r="Z43" s="92"/>
      <c r="AA43" s="90"/>
      <c r="AB43" s="94"/>
      <c r="AC43" s="2922"/>
      <c r="AD43" s="2056"/>
      <c r="AE43" s="92"/>
      <c r="AF43" s="4285"/>
      <c r="AG43" s="4286"/>
      <c r="AH43" s="4287"/>
      <c r="AI43" s="4286"/>
      <c r="AJ43" s="4288"/>
      <c r="AK43" s="4286"/>
    </row>
    <row r="44" spans="1:37" s="102" customFormat="1" ht="15" customHeight="1" x14ac:dyDescent="0.15">
      <c r="A44" s="3470" t="s">
        <v>976</v>
      </c>
      <c r="B44" s="90"/>
      <c r="C44" s="92"/>
      <c r="D44" s="90"/>
      <c r="E44" s="92"/>
      <c r="F44" s="90"/>
      <c r="G44" s="92"/>
      <c r="H44" s="90"/>
      <c r="I44" s="92"/>
      <c r="J44" s="90"/>
      <c r="K44" s="92"/>
      <c r="L44" s="90"/>
      <c r="M44" s="92"/>
      <c r="N44" s="3398">
        <f t="shared" si="2"/>
        <v>0</v>
      </c>
      <c r="O44" s="3442">
        <f t="shared" si="2"/>
        <v>0</v>
      </c>
      <c r="P44" s="3398">
        <f t="shared" si="2"/>
        <v>0</v>
      </c>
      <c r="Q44" s="3442">
        <f t="shared" si="2"/>
        <v>0</v>
      </c>
      <c r="R44" s="3397">
        <f t="shared" si="2"/>
        <v>0</v>
      </c>
      <c r="S44" s="4284">
        <f t="shared" si="2"/>
        <v>0</v>
      </c>
      <c r="T44" s="2922"/>
      <c r="U44" s="2056"/>
      <c r="V44" s="92"/>
      <c r="W44" s="2922"/>
      <c r="X44" s="92"/>
      <c r="Y44" s="129"/>
      <c r="Z44" s="92"/>
      <c r="AA44" s="90"/>
      <c r="AB44" s="94"/>
      <c r="AC44" s="2922"/>
      <c r="AD44" s="2056"/>
      <c r="AE44" s="92"/>
      <c r="AF44" s="4285"/>
      <c r="AG44" s="4286"/>
      <c r="AH44" s="4287"/>
      <c r="AI44" s="4286"/>
      <c r="AJ44" s="4288"/>
      <c r="AK44" s="4286"/>
    </row>
    <row r="45" spans="1:37" s="102" customFormat="1" ht="15" customHeight="1" x14ac:dyDescent="0.15">
      <c r="A45" s="3470" t="s">
        <v>977</v>
      </c>
      <c r="B45" s="90"/>
      <c r="C45" s="92"/>
      <c r="D45" s="90"/>
      <c r="E45" s="92"/>
      <c r="F45" s="90"/>
      <c r="G45" s="92"/>
      <c r="H45" s="90"/>
      <c r="I45" s="92"/>
      <c r="J45" s="90"/>
      <c r="K45" s="92"/>
      <c r="L45" s="90"/>
      <c r="M45" s="92"/>
      <c r="N45" s="3398">
        <f t="shared" si="2"/>
        <v>0</v>
      </c>
      <c r="O45" s="3442">
        <f t="shared" si="2"/>
        <v>0</v>
      </c>
      <c r="P45" s="3398">
        <f t="shared" si="2"/>
        <v>0</v>
      </c>
      <c r="Q45" s="3442">
        <f t="shared" si="2"/>
        <v>0</v>
      </c>
      <c r="R45" s="3397">
        <f t="shared" si="2"/>
        <v>0</v>
      </c>
      <c r="S45" s="4284">
        <f t="shared" si="2"/>
        <v>0</v>
      </c>
      <c r="T45" s="2922"/>
      <c r="U45" s="2056"/>
      <c r="V45" s="92"/>
      <c r="W45" s="2922"/>
      <c r="X45" s="92"/>
      <c r="Y45" s="129"/>
      <c r="Z45" s="92"/>
      <c r="AA45" s="90"/>
      <c r="AB45" s="94"/>
      <c r="AC45" s="2922"/>
      <c r="AD45" s="2056"/>
      <c r="AE45" s="92"/>
      <c r="AF45" s="4285"/>
      <c r="AG45" s="4286"/>
      <c r="AH45" s="4287"/>
      <c r="AI45" s="4286"/>
      <c r="AJ45" s="4288"/>
      <c r="AK45" s="4286"/>
    </row>
    <row r="46" spans="1:37" s="102" customFormat="1" ht="15" customHeight="1" x14ac:dyDescent="0.15">
      <c r="A46" s="3470" t="s">
        <v>978</v>
      </c>
      <c r="B46" s="90"/>
      <c r="C46" s="92"/>
      <c r="D46" s="90"/>
      <c r="E46" s="92"/>
      <c r="F46" s="90"/>
      <c r="G46" s="92"/>
      <c r="H46" s="90"/>
      <c r="I46" s="92"/>
      <c r="J46" s="90"/>
      <c r="K46" s="92"/>
      <c r="L46" s="90"/>
      <c r="M46" s="92"/>
      <c r="N46" s="3398">
        <f t="shared" si="2"/>
        <v>0</v>
      </c>
      <c r="O46" s="3442">
        <f t="shared" si="2"/>
        <v>0</v>
      </c>
      <c r="P46" s="3398">
        <f t="shared" si="2"/>
        <v>0</v>
      </c>
      <c r="Q46" s="3442">
        <f t="shared" si="2"/>
        <v>0</v>
      </c>
      <c r="R46" s="3397">
        <f t="shared" si="2"/>
        <v>0</v>
      </c>
      <c r="S46" s="4284">
        <f t="shared" si="2"/>
        <v>0</v>
      </c>
      <c r="T46" s="2922"/>
      <c r="U46" s="2056"/>
      <c r="V46" s="92"/>
      <c r="W46" s="2922"/>
      <c r="X46" s="92"/>
      <c r="Y46" s="129"/>
      <c r="Z46" s="92"/>
      <c r="AA46" s="90"/>
      <c r="AB46" s="94"/>
      <c r="AC46" s="2922"/>
      <c r="AD46" s="2056"/>
      <c r="AE46" s="92"/>
      <c r="AF46" s="4285"/>
      <c r="AG46" s="4286"/>
      <c r="AH46" s="4287"/>
      <c r="AI46" s="4286"/>
      <c r="AJ46" s="4288"/>
      <c r="AK46" s="4286"/>
    </row>
    <row r="47" spans="1:37" s="102" customFormat="1" ht="15" customHeight="1" x14ac:dyDescent="0.15">
      <c r="A47" s="112" t="s">
        <v>979</v>
      </c>
      <c r="B47" s="90"/>
      <c r="C47" s="92"/>
      <c r="D47" s="90"/>
      <c r="E47" s="92"/>
      <c r="F47" s="90"/>
      <c r="G47" s="92"/>
      <c r="H47" s="90"/>
      <c r="I47" s="92"/>
      <c r="J47" s="90"/>
      <c r="K47" s="92"/>
      <c r="L47" s="90"/>
      <c r="M47" s="92"/>
      <c r="N47" s="3398">
        <f t="shared" si="2"/>
        <v>0</v>
      </c>
      <c r="O47" s="3442">
        <f t="shared" si="2"/>
        <v>0</v>
      </c>
      <c r="P47" s="3398">
        <f t="shared" si="2"/>
        <v>0</v>
      </c>
      <c r="Q47" s="3442">
        <f t="shared" si="2"/>
        <v>0</v>
      </c>
      <c r="R47" s="3397">
        <f t="shared" si="2"/>
        <v>0</v>
      </c>
      <c r="S47" s="4284">
        <f t="shared" si="2"/>
        <v>0</v>
      </c>
      <c r="T47" s="2922"/>
      <c r="U47" s="2056"/>
      <c r="V47" s="92"/>
      <c r="W47" s="2922"/>
      <c r="X47" s="92"/>
      <c r="Y47" s="129"/>
      <c r="Z47" s="92"/>
      <c r="AA47" s="90"/>
      <c r="AB47" s="94"/>
      <c r="AC47" s="2922"/>
      <c r="AD47" s="2056"/>
      <c r="AE47" s="92"/>
      <c r="AF47" s="4285"/>
      <c r="AG47" s="4286"/>
      <c r="AH47" s="4287"/>
      <c r="AI47" s="4286"/>
      <c r="AJ47" s="4288"/>
      <c r="AK47" s="4286"/>
    </row>
    <row r="48" spans="1:37" s="102" customFormat="1" ht="15" customHeight="1" x14ac:dyDescent="0.15">
      <c r="A48" s="3713" t="s">
        <v>980</v>
      </c>
      <c r="B48" s="90"/>
      <c r="C48" s="92"/>
      <c r="D48" s="90"/>
      <c r="E48" s="92"/>
      <c r="F48" s="90"/>
      <c r="G48" s="92"/>
      <c r="H48" s="90"/>
      <c r="I48" s="92"/>
      <c r="J48" s="90"/>
      <c r="K48" s="92"/>
      <c r="L48" s="90"/>
      <c r="M48" s="92"/>
      <c r="N48" s="3398">
        <f t="shared" si="2"/>
        <v>0</v>
      </c>
      <c r="O48" s="3442">
        <f t="shared" si="2"/>
        <v>0</v>
      </c>
      <c r="P48" s="3398">
        <f t="shared" si="2"/>
        <v>0</v>
      </c>
      <c r="Q48" s="3442">
        <f t="shared" si="2"/>
        <v>0</v>
      </c>
      <c r="R48" s="3397">
        <f t="shared" si="2"/>
        <v>0</v>
      </c>
      <c r="S48" s="4284">
        <f t="shared" si="2"/>
        <v>0</v>
      </c>
      <c r="T48" s="2922"/>
      <c r="U48" s="2056"/>
      <c r="V48" s="92"/>
      <c r="W48" s="2922"/>
      <c r="X48" s="92"/>
      <c r="Y48" s="129"/>
      <c r="Z48" s="92"/>
      <c r="AA48" s="90"/>
      <c r="AB48" s="94"/>
      <c r="AC48" s="2922"/>
      <c r="AD48" s="2056"/>
      <c r="AE48" s="92"/>
      <c r="AF48" s="4285"/>
      <c r="AG48" s="4286"/>
      <c r="AH48" s="4287"/>
      <c r="AI48" s="4286"/>
      <c r="AJ48" s="4288"/>
      <c r="AK48" s="4286"/>
    </row>
    <row r="49" spans="1:37" s="102" customFormat="1" ht="15" customHeight="1" x14ac:dyDescent="0.15">
      <c r="A49" s="3470" t="s">
        <v>981</v>
      </c>
      <c r="B49" s="90"/>
      <c r="C49" s="92"/>
      <c r="D49" s="90"/>
      <c r="E49" s="92"/>
      <c r="F49" s="90"/>
      <c r="G49" s="92"/>
      <c r="H49" s="90"/>
      <c r="I49" s="92"/>
      <c r="J49" s="90"/>
      <c r="K49" s="92"/>
      <c r="L49" s="90"/>
      <c r="M49" s="92"/>
      <c r="N49" s="3398">
        <f t="shared" si="2"/>
        <v>0</v>
      </c>
      <c r="O49" s="3442">
        <f t="shared" si="2"/>
        <v>0</v>
      </c>
      <c r="P49" s="3398">
        <f t="shared" si="2"/>
        <v>0</v>
      </c>
      <c r="Q49" s="3442">
        <f t="shared" si="2"/>
        <v>0</v>
      </c>
      <c r="R49" s="3397">
        <f t="shared" si="2"/>
        <v>0</v>
      </c>
      <c r="S49" s="4284">
        <f t="shared" si="2"/>
        <v>0</v>
      </c>
      <c r="T49" s="2922"/>
      <c r="U49" s="2056"/>
      <c r="V49" s="92"/>
      <c r="W49" s="2922"/>
      <c r="X49" s="92"/>
      <c r="Y49" s="129"/>
      <c r="Z49" s="92"/>
      <c r="AA49" s="90"/>
      <c r="AB49" s="94"/>
      <c r="AC49" s="2922"/>
      <c r="AD49" s="2056"/>
      <c r="AE49" s="92"/>
      <c r="AF49" s="4285"/>
      <c r="AG49" s="4286"/>
      <c r="AH49" s="4287"/>
      <c r="AI49" s="4286"/>
      <c r="AJ49" s="4288"/>
      <c r="AK49" s="4286"/>
    </row>
    <row r="50" spans="1:37" s="102" customFormat="1" ht="15" customHeight="1" x14ac:dyDescent="0.15">
      <c r="A50" s="3470" t="s">
        <v>982</v>
      </c>
      <c r="B50" s="90"/>
      <c r="C50" s="92"/>
      <c r="D50" s="90"/>
      <c r="E50" s="92"/>
      <c r="F50" s="90"/>
      <c r="G50" s="92"/>
      <c r="H50" s="90"/>
      <c r="I50" s="92"/>
      <c r="J50" s="90"/>
      <c r="K50" s="92"/>
      <c r="L50" s="90"/>
      <c r="M50" s="92"/>
      <c r="N50" s="3398">
        <f t="shared" si="2"/>
        <v>0</v>
      </c>
      <c r="O50" s="3442">
        <f t="shared" si="2"/>
        <v>0</v>
      </c>
      <c r="P50" s="3398">
        <f t="shared" si="2"/>
        <v>0</v>
      </c>
      <c r="Q50" s="3442">
        <f t="shared" si="2"/>
        <v>0</v>
      </c>
      <c r="R50" s="3397">
        <f t="shared" si="2"/>
        <v>0</v>
      </c>
      <c r="S50" s="4284">
        <f t="shared" si="2"/>
        <v>0</v>
      </c>
      <c r="T50" s="2922"/>
      <c r="U50" s="2056"/>
      <c r="V50" s="92"/>
      <c r="W50" s="2922"/>
      <c r="X50" s="92"/>
      <c r="Y50" s="129"/>
      <c r="Z50" s="92"/>
      <c r="AA50" s="90"/>
      <c r="AB50" s="94"/>
      <c r="AC50" s="2922"/>
      <c r="AD50" s="2056"/>
      <c r="AE50" s="92"/>
      <c r="AF50" s="4285"/>
      <c r="AG50" s="4286"/>
      <c r="AH50" s="4287"/>
      <c r="AI50" s="4286"/>
      <c r="AJ50" s="4288"/>
      <c r="AK50" s="4286"/>
    </row>
    <row r="51" spans="1:37" s="102" customFormat="1" ht="15" customHeight="1" x14ac:dyDescent="0.15">
      <c r="A51" s="3470" t="s">
        <v>3541</v>
      </c>
      <c r="B51" s="90"/>
      <c r="C51" s="92"/>
      <c r="D51" s="90"/>
      <c r="E51" s="92"/>
      <c r="F51" s="90"/>
      <c r="G51" s="92"/>
      <c r="H51" s="90"/>
      <c r="I51" s="92"/>
      <c r="J51" s="90"/>
      <c r="K51" s="92"/>
      <c r="L51" s="90"/>
      <c r="M51" s="92"/>
      <c r="N51" s="3398">
        <f t="shared" si="2"/>
        <v>0</v>
      </c>
      <c r="O51" s="3442">
        <f t="shared" si="2"/>
        <v>0</v>
      </c>
      <c r="P51" s="3398">
        <f t="shared" si="2"/>
        <v>0</v>
      </c>
      <c r="Q51" s="3442">
        <f t="shared" si="2"/>
        <v>0</v>
      </c>
      <c r="R51" s="3397">
        <f t="shared" si="2"/>
        <v>0</v>
      </c>
      <c r="S51" s="4284">
        <f t="shared" si="2"/>
        <v>0</v>
      </c>
      <c r="T51" s="2922"/>
      <c r="U51" s="2056"/>
      <c r="V51" s="92"/>
      <c r="W51" s="2922"/>
      <c r="X51" s="92"/>
      <c r="Y51" s="129"/>
      <c r="Z51" s="92"/>
      <c r="AA51" s="90"/>
      <c r="AB51" s="94"/>
      <c r="AC51" s="2922"/>
      <c r="AD51" s="2056"/>
      <c r="AE51" s="92"/>
      <c r="AF51" s="4285"/>
      <c r="AG51" s="4286"/>
      <c r="AH51" s="4287"/>
      <c r="AI51" s="4286"/>
      <c r="AJ51" s="4288"/>
      <c r="AK51" s="4286"/>
    </row>
    <row r="52" spans="1:37" s="102" customFormat="1" ht="15" customHeight="1" x14ac:dyDescent="0.15">
      <c r="A52" s="3470" t="s">
        <v>983</v>
      </c>
      <c r="B52" s="90"/>
      <c r="C52" s="92"/>
      <c r="D52" s="90"/>
      <c r="E52" s="92"/>
      <c r="F52" s="90"/>
      <c r="G52" s="92"/>
      <c r="H52" s="90"/>
      <c r="I52" s="92"/>
      <c r="J52" s="90"/>
      <c r="K52" s="92"/>
      <c r="L52" s="90"/>
      <c r="M52" s="92"/>
      <c r="N52" s="3398">
        <f t="shared" si="2"/>
        <v>0</v>
      </c>
      <c r="O52" s="3442">
        <f t="shared" si="2"/>
        <v>0</v>
      </c>
      <c r="P52" s="3398">
        <f t="shared" si="2"/>
        <v>0</v>
      </c>
      <c r="Q52" s="3442">
        <f t="shared" si="2"/>
        <v>0</v>
      </c>
      <c r="R52" s="3397">
        <f t="shared" si="2"/>
        <v>0</v>
      </c>
      <c r="S52" s="4284">
        <f t="shared" si="2"/>
        <v>0</v>
      </c>
      <c r="T52" s="2922"/>
      <c r="U52" s="2056"/>
      <c r="V52" s="92"/>
      <c r="W52" s="2922"/>
      <c r="X52" s="92"/>
      <c r="Y52" s="129"/>
      <c r="Z52" s="92"/>
      <c r="AA52" s="90"/>
      <c r="AB52" s="94"/>
      <c r="AC52" s="2922"/>
      <c r="AD52" s="2056"/>
      <c r="AE52" s="92"/>
      <c r="AF52" s="4285"/>
      <c r="AG52" s="4286"/>
      <c r="AH52" s="4287"/>
      <c r="AI52" s="4286"/>
      <c r="AJ52" s="4288"/>
      <c r="AK52" s="4286"/>
    </row>
    <row r="53" spans="1:37" s="102" customFormat="1" ht="15" customHeight="1" x14ac:dyDescent="0.15">
      <c r="A53" s="3470" t="s">
        <v>3542</v>
      </c>
      <c r="B53" s="90"/>
      <c r="C53" s="92"/>
      <c r="D53" s="90"/>
      <c r="E53" s="92"/>
      <c r="F53" s="90"/>
      <c r="G53" s="92"/>
      <c r="H53" s="90"/>
      <c r="I53" s="92"/>
      <c r="J53" s="90"/>
      <c r="K53" s="92"/>
      <c r="L53" s="90"/>
      <c r="M53" s="92"/>
      <c r="N53" s="3398">
        <f t="shared" si="2"/>
        <v>0</v>
      </c>
      <c r="O53" s="3442">
        <f t="shared" si="2"/>
        <v>0</v>
      </c>
      <c r="P53" s="3398">
        <f t="shared" si="2"/>
        <v>0</v>
      </c>
      <c r="Q53" s="3442">
        <f t="shared" si="2"/>
        <v>0</v>
      </c>
      <c r="R53" s="3397">
        <f t="shared" si="2"/>
        <v>0</v>
      </c>
      <c r="S53" s="4284">
        <f t="shared" si="2"/>
        <v>0</v>
      </c>
      <c r="T53" s="2922"/>
      <c r="U53" s="2056"/>
      <c r="V53" s="92"/>
      <c r="W53" s="2922"/>
      <c r="X53" s="92"/>
      <c r="Y53" s="129"/>
      <c r="Z53" s="92"/>
      <c r="AA53" s="90"/>
      <c r="AB53" s="94"/>
      <c r="AC53" s="2922"/>
      <c r="AD53" s="2056"/>
      <c r="AE53" s="92"/>
      <c r="AF53" s="4285"/>
      <c r="AG53" s="4286"/>
      <c r="AH53" s="4287"/>
      <c r="AI53" s="4286"/>
      <c r="AJ53" s="4288"/>
      <c r="AK53" s="4286"/>
    </row>
    <row r="54" spans="1:37" s="102" customFormat="1" ht="15" customHeight="1" x14ac:dyDescent="0.15">
      <c r="A54" s="3470" t="s">
        <v>234</v>
      </c>
      <c r="B54" s="90"/>
      <c r="C54" s="92"/>
      <c r="D54" s="90"/>
      <c r="E54" s="92"/>
      <c r="F54" s="90"/>
      <c r="G54" s="92"/>
      <c r="H54" s="90"/>
      <c r="I54" s="92"/>
      <c r="J54" s="90"/>
      <c r="K54" s="92"/>
      <c r="L54" s="90"/>
      <c r="M54" s="92"/>
      <c r="N54" s="3398">
        <f t="shared" si="2"/>
        <v>0</v>
      </c>
      <c r="O54" s="3442">
        <f t="shared" si="2"/>
        <v>0</v>
      </c>
      <c r="P54" s="3398">
        <f t="shared" si="2"/>
        <v>0</v>
      </c>
      <c r="Q54" s="3442">
        <f t="shared" si="2"/>
        <v>0</v>
      </c>
      <c r="R54" s="3397">
        <f t="shared" si="2"/>
        <v>0</v>
      </c>
      <c r="S54" s="4284">
        <f t="shared" si="2"/>
        <v>0</v>
      </c>
      <c r="T54" s="2922"/>
      <c r="U54" s="2056"/>
      <c r="V54" s="92"/>
      <c r="W54" s="2922"/>
      <c r="X54" s="92"/>
      <c r="Y54" s="129"/>
      <c r="Z54" s="92"/>
      <c r="AA54" s="90"/>
      <c r="AB54" s="94"/>
      <c r="AC54" s="2922"/>
      <c r="AD54" s="2056"/>
      <c r="AE54" s="92"/>
      <c r="AF54" s="4285"/>
      <c r="AG54" s="4286"/>
      <c r="AH54" s="4287"/>
      <c r="AI54" s="4286"/>
      <c r="AJ54" s="4288"/>
      <c r="AK54" s="4286"/>
    </row>
    <row r="55" spans="1:37" s="102" customFormat="1" ht="15" customHeight="1" x14ac:dyDescent="0.15">
      <c r="A55" s="3470" t="s">
        <v>984</v>
      </c>
      <c r="B55" s="90"/>
      <c r="C55" s="92"/>
      <c r="D55" s="90"/>
      <c r="E55" s="92"/>
      <c r="F55" s="90"/>
      <c r="G55" s="92"/>
      <c r="H55" s="90"/>
      <c r="I55" s="92"/>
      <c r="J55" s="90"/>
      <c r="K55" s="92"/>
      <c r="L55" s="90"/>
      <c r="M55" s="92"/>
      <c r="N55" s="3398">
        <f t="shared" si="2"/>
        <v>0</v>
      </c>
      <c r="O55" s="3442">
        <f t="shared" si="2"/>
        <v>0</v>
      </c>
      <c r="P55" s="3398">
        <f t="shared" si="2"/>
        <v>0</v>
      </c>
      <c r="Q55" s="3442">
        <f t="shared" si="2"/>
        <v>0</v>
      </c>
      <c r="R55" s="3397">
        <f t="shared" si="2"/>
        <v>0</v>
      </c>
      <c r="S55" s="4284">
        <f t="shared" si="2"/>
        <v>0</v>
      </c>
      <c r="T55" s="2922"/>
      <c r="U55" s="2056"/>
      <c r="V55" s="92"/>
      <c r="W55" s="2922"/>
      <c r="X55" s="92"/>
      <c r="Y55" s="129"/>
      <c r="Z55" s="92"/>
      <c r="AA55" s="90"/>
      <c r="AB55" s="94"/>
      <c r="AC55" s="2922"/>
      <c r="AD55" s="2056"/>
      <c r="AE55" s="92"/>
      <c r="AF55" s="4285"/>
      <c r="AG55" s="4286"/>
      <c r="AH55" s="4287"/>
      <c r="AI55" s="4286"/>
      <c r="AJ55" s="4288"/>
      <c r="AK55" s="4286"/>
    </row>
    <row r="56" spans="1:37" s="102" customFormat="1" ht="15" customHeight="1" x14ac:dyDescent="0.15">
      <c r="A56" s="2028" t="s">
        <v>236</v>
      </c>
      <c r="B56" s="90"/>
      <c r="C56" s="92"/>
      <c r="D56" s="90"/>
      <c r="E56" s="92"/>
      <c r="F56" s="90"/>
      <c r="G56" s="92"/>
      <c r="H56" s="90"/>
      <c r="I56" s="92"/>
      <c r="J56" s="90"/>
      <c r="K56" s="92"/>
      <c r="L56" s="90"/>
      <c r="M56" s="92"/>
      <c r="N56" s="3398">
        <f t="shared" si="2"/>
        <v>0</v>
      </c>
      <c r="O56" s="3442">
        <f t="shared" si="2"/>
        <v>0</v>
      </c>
      <c r="P56" s="3398">
        <f t="shared" si="2"/>
        <v>0</v>
      </c>
      <c r="Q56" s="3442">
        <f t="shared" si="2"/>
        <v>0</v>
      </c>
      <c r="R56" s="3397">
        <f t="shared" si="2"/>
        <v>0</v>
      </c>
      <c r="S56" s="4284">
        <f t="shared" si="2"/>
        <v>0</v>
      </c>
      <c r="T56" s="2922"/>
      <c r="U56" s="2056"/>
      <c r="V56" s="92"/>
      <c r="W56" s="2922"/>
      <c r="X56" s="92"/>
      <c r="Y56" s="129"/>
      <c r="Z56" s="92"/>
      <c r="AA56" s="90"/>
      <c r="AB56" s="94"/>
      <c r="AC56" s="2922"/>
      <c r="AD56" s="2056"/>
      <c r="AE56" s="92"/>
      <c r="AF56" s="4285"/>
      <c r="AG56" s="4286"/>
      <c r="AH56" s="4287"/>
      <c r="AI56" s="4286"/>
      <c r="AJ56" s="4288"/>
      <c r="AK56" s="4286"/>
    </row>
    <row r="57" spans="1:37" s="102" customFormat="1" ht="15" customHeight="1" x14ac:dyDescent="0.15">
      <c r="A57" s="3713" t="s">
        <v>237</v>
      </c>
      <c r="B57" s="90"/>
      <c r="C57" s="92"/>
      <c r="D57" s="90"/>
      <c r="E57" s="92"/>
      <c r="F57" s="90"/>
      <c r="G57" s="92"/>
      <c r="H57" s="90"/>
      <c r="I57" s="92"/>
      <c r="J57" s="90"/>
      <c r="K57" s="92"/>
      <c r="L57" s="90"/>
      <c r="M57" s="92"/>
      <c r="N57" s="3398">
        <f t="shared" si="2"/>
        <v>0</v>
      </c>
      <c r="O57" s="3442">
        <f t="shared" si="2"/>
        <v>0</v>
      </c>
      <c r="P57" s="3398">
        <f t="shared" si="2"/>
        <v>0</v>
      </c>
      <c r="Q57" s="3442">
        <f t="shared" si="2"/>
        <v>0</v>
      </c>
      <c r="R57" s="3397">
        <f t="shared" si="2"/>
        <v>0</v>
      </c>
      <c r="S57" s="4284">
        <f t="shared" si="2"/>
        <v>0</v>
      </c>
      <c r="T57" s="2922"/>
      <c r="U57" s="2056"/>
      <c r="V57" s="92"/>
      <c r="W57" s="2922"/>
      <c r="X57" s="92"/>
      <c r="Y57" s="129"/>
      <c r="Z57" s="92"/>
      <c r="AA57" s="90"/>
      <c r="AB57" s="94"/>
      <c r="AC57" s="2922"/>
      <c r="AD57" s="2056"/>
      <c r="AE57" s="92"/>
      <c r="AF57" s="4285"/>
      <c r="AG57" s="4286"/>
      <c r="AH57" s="4287"/>
      <c r="AI57" s="4286"/>
      <c r="AJ57" s="4288"/>
      <c r="AK57" s="4286"/>
    </row>
    <row r="58" spans="1:37" s="102" customFormat="1" ht="15" customHeight="1" x14ac:dyDescent="0.15">
      <c r="A58" s="3713" t="s">
        <v>985</v>
      </c>
      <c r="B58" s="90"/>
      <c r="C58" s="92"/>
      <c r="D58" s="90"/>
      <c r="E58" s="92"/>
      <c r="F58" s="90"/>
      <c r="G58" s="92"/>
      <c r="H58" s="90"/>
      <c r="I58" s="92"/>
      <c r="J58" s="90"/>
      <c r="K58" s="92"/>
      <c r="L58" s="90"/>
      <c r="M58" s="92"/>
      <c r="N58" s="3398">
        <f t="shared" si="2"/>
        <v>0</v>
      </c>
      <c r="O58" s="3442">
        <f t="shared" si="2"/>
        <v>0</v>
      </c>
      <c r="P58" s="3398">
        <f t="shared" si="2"/>
        <v>0</v>
      </c>
      <c r="Q58" s="3442">
        <f t="shared" si="2"/>
        <v>0</v>
      </c>
      <c r="R58" s="3397">
        <f t="shared" si="2"/>
        <v>0</v>
      </c>
      <c r="S58" s="4284">
        <f t="shared" si="2"/>
        <v>0</v>
      </c>
      <c r="T58" s="2922"/>
      <c r="U58" s="2056"/>
      <c r="V58" s="92"/>
      <c r="W58" s="2922"/>
      <c r="X58" s="92"/>
      <c r="Y58" s="129"/>
      <c r="Z58" s="92"/>
      <c r="AA58" s="90"/>
      <c r="AB58" s="94"/>
      <c r="AC58" s="2922"/>
      <c r="AD58" s="2056"/>
      <c r="AE58" s="92"/>
      <c r="AF58" s="4285"/>
      <c r="AG58" s="4286"/>
      <c r="AH58" s="4287"/>
      <c r="AI58" s="4286"/>
      <c r="AJ58" s="4288"/>
      <c r="AK58" s="4286"/>
    </row>
    <row r="59" spans="1:37" s="102" customFormat="1" ht="15" customHeight="1" x14ac:dyDescent="0.15">
      <c r="A59" s="3713" t="s">
        <v>986</v>
      </c>
      <c r="B59" s="90"/>
      <c r="C59" s="92"/>
      <c r="D59" s="90"/>
      <c r="E59" s="92"/>
      <c r="F59" s="90"/>
      <c r="G59" s="92"/>
      <c r="H59" s="90"/>
      <c r="I59" s="92"/>
      <c r="J59" s="90"/>
      <c r="K59" s="92"/>
      <c r="L59" s="90"/>
      <c r="M59" s="92"/>
      <c r="N59" s="3398">
        <f t="shared" si="2"/>
        <v>0</v>
      </c>
      <c r="O59" s="3442">
        <f t="shared" si="2"/>
        <v>0</v>
      </c>
      <c r="P59" s="3398">
        <f t="shared" si="2"/>
        <v>0</v>
      </c>
      <c r="Q59" s="3442">
        <f t="shared" si="2"/>
        <v>0</v>
      </c>
      <c r="R59" s="3397">
        <f t="shared" si="2"/>
        <v>0</v>
      </c>
      <c r="S59" s="4284">
        <f t="shared" si="2"/>
        <v>0</v>
      </c>
      <c r="T59" s="2922"/>
      <c r="U59" s="2056"/>
      <c r="V59" s="92"/>
      <c r="W59" s="2922"/>
      <c r="X59" s="92"/>
      <c r="Y59" s="129"/>
      <c r="Z59" s="92"/>
      <c r="AA59" s="90"/>
      <c r="AB59" s="94"/>
      <c r="AC59" s="2922"/>
      <c r="AD59" s="2056"/>
      <c r="AE59" s="92"/>
      <c r="AF59" s="4285"/>
      <c r="AG59" s="4286"/>
      <c r="AH59" s="4287"/>
      <c r="AI59" s="4286"/>
      <c r="AJ59" s="4288"/>
      <c r="AK59" s="4286"/>
    </row>
    <row r="60" spans="1:37" s="102" customFormat="1" ht="15" customHeight="1" x14ac:dyDescent="0.15">
      <c r="A60" s="3470" t="s">
        <v>238</v>
      </c>
      <c r="B60" s="90"/>
      <c r="C60" s="92"/>
      <c r="D60" s="90"/>
      <c r="E60" s="92"/>
      <c r="F60" s="90"/>
      <c r="G60" s="92"/>
      <c r="H60" s="90"/>
      <c r="I60" s="92"/>
      <c r="J60" s="90"/>
      <c r="K60" s="92"/>
      <c r="L60" s="90"/>
      <c r="M60" s="92"/>
      <c r="N60" s="3398">
        <f t="shared" si="2"/>
        <v>0</v>
      </c>
      <c r="O60" s="3442">
        <f t="shared" si="2"/>
        <v>0</v>
      </c>
      <c r="P60" s="3398">
        <f t="shared" si="2"/>
        <v>0</v>
      </c>
      <c r="Q60" s="3442">
        <f t="shared" si="2"/>
        <v>0</v>
      </c>
      <c r="R60" s="3397">
        <f t="shared" si="2"/>
        <v>0</v>
      </c>
      <c r="S60" s="4284">
        <f t="shared" si="2"/>
        <v>0</v>
      </c>
      <c r="T60" s="2922"/>
      <c r="U60" s="2056"/>
      <c r="V60" s="92"/>
      <c r="W60" s="2922"/>
      <c r="X60" s="92"/>
      <c r="Y60" s="129"/>
      <c r="Z60" s="92"/>
      <c r="AA60" s="90"/>
      <c r="AB60" s="94"/>
      <c r="AC60" s="2922"/>
      <c r="AD60" s="2056"/>
      <c r="AE60" s="92"/>
      <c r="AF60" s="4285"/>
      <c r="AG60" s="4286"/>
      <c r="AH60" s="4287"/>
      <c r="AI60" s="4286"/>
      <c r="AJ60" s="4288"/>
      <c r="AK60" s="4286"/>
    </row>
    <row r="61" spans="1:37" s="102" customFormat="1" ht="15" customHeight="1" x14ac:dyDescent="0.15">
      <c r="A61" s="3470" t="s">
        <v>239</v>
      </c>
      <c r="B61" s="90"/>
      <c r="C61" s="92"/>
      <c r="D61" s="90"/>
      <c r="E61" s="92"/>
      <c r="F61" s="90"/>
      <c r="G61" s="92"/>
      <c r="H61" s="90"/>
      <c r="I61" s="92"/>
      <c r="J61" s="90"/>
      <c r="K61" s="92"/>
      <c r="L61" s="90"/>
      <c r="M61" s="92"/>
      <c r="N61" s="3398">
        <f t="shared" si="2"/>
        <v>0</v>
      </c>
      <c r="O61" s="3442">
        <f t="shared" si="2"/>
        <v>0</v>
      </c>
      <c r="P61" s="3398">
        <f t="shared" si="2"/>
        <v>0</v>
      </c>
      <c r="Q61" s="3442">
        <f t="shared" si="2"/>
        <v>0</v>
      </c>
      <c r="R61" s="3397">
        <f t="shared" si="2"/>
        <v>0</v>
      </c>
      <c r="S61" s="4284">
        <f t="shared" si="2"/>
        <v>0</v>
      </c>
      <c r="T61" s="2922"/>
      <c r="U61" s="2056"/>
      <c r="V61" s="92"/>
      <c r="W61" s="2922"/>
      <c r="X61" s="92"/>
      <c r="Y61" s="129"/>
      <c r="Z61" s="92"/>
      <c r="AA61" s="90"/>
      <c r="AB61" s="94"/>
      <c r="AC61" s="2922"/>
      <c r="AD61" s="2056"/>
      <c r="AE61" s="92"/>
      <c r="AF61" s="4285"/>
      <c r="AG61" s="4286"/>
      <c r="AH61" s="4287"/>
      <c r="AI61" s="4286"/>
      <c r="AJ61" s="4288"/>
      <c r="AK61" s="4286"/>
    </row>
    <row r="62" spans="1:37" s="102" customFormat="1" ht="15" customHeight="1" x14ac:dyDescent="0.15">
      <c r="A62" s="3470" t="s">
        <v>987</v>
      </c>
      <c r="B62" s="90"/>
      <c r="C62" s="92"/>
      <c r="D62" s="90"/>
      <c r="E62" s="92"/>
      <c r="F62" s="90"/>
      <c r="G62" s="92"/>
      <c r="H62" s="90"/>
      <c r="I62" s="92"/>
      <c r="J62" s="90"/>
      <c r="K62" s="92"/>
      <c r="L62" s="90"/>
      <c r="M62" s="92"/>
      <c r="N62" s="3398">
        <f t="shared" si="2"/>
        <v>0</v>
      </c>
      <c r="O62" s="3442">
        <f t="shared" si="2"/>
        <v>0</v>
      </c>
      <c r="P62" s="3398">
        <f t="shared" si="2"/>
        <v>0</v>
      </c>
      <c r="Q62" s="3442">
        <f t="shared" si="2"/>
        <v>0</v>
      </c>
      <c r="R62" s="3397">
        <f t="shared" si="2"/>
        <v>0</v>
      </c>
      <c r="S62" s="4284">
        <f t="shared" si="2"/>
        <v>0</v>
      </c>
      <c r="T62" s="2922"/>
      <c r="U62" s="2056"/>
      <c r="V62" s="92"/>
      <c r="W62" s="2922"/>
      <c r="X62" s="92"/>
      <c r="Y62" s="129"/>
      <c r="Z62" s="92"/>
      <c r="AA62" s="90"/>
      <c r="AB62" s="94"/>
      <c r="AC62" s="2922"/>
      <c r="AD62" s="2056"/>
      <c r="AE62" s="92"/>
      <c r="AF62" s="4285"/>
      <c r="AG62" s="4286"/>
      <c r="AH62" s="4287"/>
      <c r="AI62" s="4286"/>
      <c r="AJ62" s="4288"/>
      <c r="AK62" s="4286"/>
    </row>
    <row r="63" spans="1:37" s="102" customFormat="1" ht="15" customHeight="1" x14ac:dyDescent="0.15">
      <c r="A63" s="3470" t="s">
        <v>988</v>
      </c>
      <c r="B63" s="90"/>
      <c r="C63" s="92"/>
      <c r="D63" s="90"/>
      <c r="E63" s="92"/>
      <c r="F63" s="90"/>
      <c r="G63" s="92"/>
      <c r="H63" s="90"/>
      <c r="I63" s="92"/>
      <c r="J63" s="90"/>
      <c r="K63" s="92"/>
      <c r="L63" s="90"/>
      <c r="M63" s="92"/>
      <c r="N63" s="3398">
        <f t="shared" si="2"/>
        <v>0</v>
      </c>
      <c r="O63" s="3442">
        <f t="shared" si="2"/>
        <v>0</v>
      </c>
      <c r="P63" s="3398">
        <f t="shared" si="2"/>
        <v>0</v>
      </c>
      <c r="Q63" s="3442">
        <f t="shared" si="2"/>
        <v>0</v>
      </c>
      <c r="R63" s="3397">
        <f t="shared" si="2"/>
        <v>0</v>
      </c>
      <c r="S63" s="4284">
        <f t="shared" si="2"/>
        <v>0</v>
      </c>
      <c r="T63" s="2922"/>
      <c r="U63" s="2056"/>
      <c r="V63" s="92"/>
      <c r="W63" s="2922"/>
      <c r="X63" s="92"/>
      <c r="Y63" s="129"/>
      <c r="Z63" s="92"/>
      <c r="AA63" s="90"/>
      <c r="AB63" s="94"/>
      <c r="AC63" s="2922"/>
      <c r="AD63" s="2056"/>
      <c r="AE63" s="92"/>
      <c r="AF63" s="4285"/>
      <c r="AG63" s="4286"/>
      <c r="AH63" s="4287"/>
      <c r="AI63" s="4286"/>
      <c r="AJ63" s="4288"/>
      <c r="AK63" s="4286"/>
    </row>
    <row r="64" spans="1:37" s="102" customFormat="1" ht="15" customHeight="1" x14ac:dyDescent="0.15">
      <c r="A64" s="3470" t="s">
        <v>989</v>
      </c>
      <c r="B64" s="90"/>
      <c r="C64" s="92"/>
      <c r="D64" s="90"/>
      <c r="E64" s="92"/>
      <c r="F64" s="90"/>
      <c r="G64" s="92"/>
      <c r="H64" s="90"/>
      <c r="I64" s="92"/>
      <c r="J64" s="90"/>
      <c r="K64" s="92"/>
      <c r="L64" s="90"/>
      <c r="M64" s="92"/>
      <c r="N64" s="3398">
        <f t="shared" si="2"/>
        <v>0</v>
      </c>
      <c r="O64" s="3442">
        <f t="shared" si="2"/>
        <v>0</v>
      </c>
      <c r="P64" s="3398">
        <f t="shared" si="2"/>
        <v>0</v>
      </c>
      <c r="Q64" s="3442">
        <f t="shared" si="2"/>
        <v>0</v>
      </c>
      <c r="R64" s="3397">
        <f t="shared" si="2"/>
        <v>0</v>
      </c>
      <c r="S64" s="4284">
        <f t="shared" si="2"/>
        <v>0</v>
      </c>
      <c r="T64" s="2922"/>
      <c r="U64" s="2056"/>
      <c r="V64" s="92"/>
      <c r="W64" s="2922"/>
      <c r="X64" s="92"/>
      <c r="Y64" s="129"/>
      <c r="Z64" s="92"/>
      <c r="AA64" s="90"/>
      <c r="AB64" s="94"/>
      <c r="AC64" s="2922"/>
      <c r="AD64" s="2056"/>
      <c r="AE64" s="92"/>
      <c r="AF64" s="4285"/>
      <c r="AG64" s="4286"/>
      <c r="AH64" s="4287"/>
      <c r="AI64" s="4286"/>
      <c r="AJ64" s="4288"/>
      <c r="AK64" s="4286"/>
    </row>
    <row r="65" spans="1:37" s="102" customFormat="1" ht="15" customHeight="1" x14ac:dyDescent="0.15">
      <c r="A65" s="3470" t="s">
        <v>990</v>
      </c>
      <c r="B65" s="90"/>
      <c r="C65" s="92"/>
      <c r="D65" s="90"/>
      <c r="E65" s="92"/>
      <c r="F65" s="90"/>
      <c r="G65" s="92"/>
      <c r="H65" s="90"/>
      <c r="I65" s="92"/>
      <c r="J65" s="90"/>
      <c r="K65" s="92"/>
      <c r="L65" s="90"/>
      <c r="M65" s="92"/>
      <c r="N65" s="3398">
        <f t="shared" si="2"/>
        <v>0</v>
      </c>
      <c r="O65" s="3442">
        <f t="shared" si="2"/>
        <v>0</v>
      </c>
      <c r="P65" s="3398">
        <f t="shared" si="2"/>
        <v>0</v>
      </c>
      <c r="Q65" s="3442">
        <f t="shared" si="2"/>
        <v>0</v>
      </c>
      <c r="R65" s="3397">
        <f t="shared" si="2"/>
        <v>0</v>
      </c>
      <c r="S65" s="4284">
        <f t="shared" si="2"/>
        <v>0</v>
      </c>
      <c r="T65" s="2922"/>
      <c r="U65" s="2056"/>
      <c r="V65" s="92"/>
      <c r="W65" s="2922"/>
      <c r="X65" s="92"/>
      <c r="Y65" s="129"/>
      <c r="Z65" s="92"/>
      <c r="AA65" s="90"/>
      <c r="AB65" s="94"/>
      <c r="AC65" s="2922"/>
      <c r="AD65" s="2056"/>
      <c r="AE65" s="92"/>
      <c r="AF65" s="4285"/>
      <c r="AG65" s="4286"/>
      <c r="AH65" s="4287"/>
      <c r="AI65" s="4286"/>
      <c r="AJ65" s="4288"/>
      <c r="AK65" s="4286"/>
    </row>
    <row r="66" spans="1:37" s="102" customFormat="1" ht="15" customHeight="1" x14ac:dyDescent="0.15">
      <c r="A66" s="3470" t="s">
        <v>991</v>
      </c>
      <c r="B66" s="90"/>
      <c r="C66" s="92"/>
      <c r="D66" s="90"/>
      <c r="E66" s="92"/>
      <c r="F66" s="90"/>
      <c r="G66" s="92"/>
      <c r="H66" s="90"/>
      <c r="I66" s="92"/>
      <c r="J66" s="90"/>
      <c r="K66" s="92"/>
      <c r="L66" s="90"/>
      <c r="M66" s="92"/>
      <c r="N66" s="3398">
        <f t="shared" si="2"/>
        <v>0</v>
      </c>
      <c r="O66" s="3442">
        <f t="shared" si="2"/>
        <v>0</v>
      </c>
      <c r="P66" s="3398">
        <f t="shared" si="2"/>
        <v>0</v>
      </c>
      <c r="Q66" s="3442">
        <f t="shared" si="2"/>
        <v>0</v>
      </c>
      <c r="R66" s="3397">
        <f t="shared" si="2"/>
        <v>0</v>
      </c>
      <c r="S66" s="4284">
        <f t="shared" si="2"/>
        <v>0</v>
      </c>
      <c r="T66" s="2922"/>
      <c r="U66" s="2056"/>
      <c r="V66" s="92"/>
      <c r="W66" s="2922"/>
      <c r="X66" s="92"/>
      <c r="Y66" s="129"/>
      <c r="Z66" s="92"/>
      <c r="AA66" s="90"/>
      <c r="AB66" s="94"/>
      <c r="AC66" s="2922"/>
      <c r="AD66" s="2056"/>
      <c r="AE66" s="92"/>
      <c r="AF66" s="4285"/>
      <c r="AG66" s="4286"/>
      <c r="AH66" s="4287"/>
      <c r="AI66" s="4286"/>
      <c r="AJ66" s="4288"/>
      <c r="AK66" s="4286"/>
    </row>
    <row r="67" spans="1:37" s="102" customFormat="1" ht="15" customHeight="1" x14ac:dyDescent="0.15">
      <c r="A67" s="3470" t="s">
        <v>992</v>
      </c>
      <c r="B67" s="90"/>
      <c r="C67" s="92"/>
      <c r="D67" s="90"/>
      <c r="E67" s="92"/>
      <c r="F67" s="90"/>
      <c r="G67" s="92"/>
      <c r="H67" s="90"/>
      <c r="I67" s="92"/>
      <c r="J67" s="90"/>
      <c r="K67" s="92"/>
      <c r="L67" s="90"/>
      <c r="M67" s="92"/>
      <c r="N67" s="3398">
        <f t="shared" si="2"/>
        <v>0</v>
      </c>
      <c r="O67" s="3442">
        <f t="shared" si="2"/>
        <v>0</v>
      </c>
      <c r="P67" s="3398">
        <f t="shared" si="2"/>
        <v>0</v>
      </c>
      <c r="Q67" s="3442">
        <f t="shared" si="2"/>
        <v>0</v>
      </c>
      <c r="R67" s="3397">
        <f t="shared" si="2"/>
        <v>0</v>
      </c>
      <c r="S67" s="4284">
        <f t="shared" si="2"/>
        <v>0</v>
      </c>
      <c r="T67" s="2922"/>
      <c r="U67" s="2056"/>
      <c r="V67" s="92"/>
      <c r="W67" s="2922"/>
      <c r="X67" s="92"/>
      <c r="Y67" s="129"/>
      <c r="Z67" s="92"/>
      <c r="AA67" s="90"/>
      <c r="AB67" s="94"/>
      <c r="AC67" s="2922"/>
      <c r="AD67" s="2056"/>
      <c r="AE67" s="92"/>
      <c r="AF67" s="4285"/>
      <c r="AG67" s="4286"/>
      <c r="AH67" s="4287"/>
      <c r="AI67" s="4286"/>
      <c r="AJ67" s="4288"/>
      <c r="AK67" s="4286"/>
    </row>
    <row r="68" spans="1:37" s="102" customFormat="1" ht="15" customHeight="1" x14ac:dyDescent="0.15">
      <c r="A68" s="3470" t="s">
        <v>993</v>
      </c>
      <c r="B68" s="90"/>
      <c r="C68" s="92"/>
      <c r="D68" s="90"/>
      <c r="E68" s="92"/>
      <c r="F68" s="90"/>
      <c r="G68" s="92"/>
      <c r="H68" s="90"/>
      <c r="I68" s="92"/>
      <c r="J68" s="90"/>
      <c r="K68" s="92"/>
      <c r="L68" s="90"/>
      <c r="M68" s="92"/>
      <c r="N68" s="3398">
        <f t="shared" si="2"/>
        <v>0</v>
      </c>
      <c r="O68" s="3442">
        <f t="shared" si="2"/>
        <v>0</v>
      </c>
      <c r="P68" s="3398">
        <f t="shared" si="2"/>
        <v>0</v>
      </c>
      <c r="Q68" s="3442">
        <f t="shared" si="2"/>
        <v>0</v>
      </c>
      <c r="R68" s="3397">
        <f t="shared" si="2"/>
        <v>0</v>
      </c>
      <c r="S68" s="4284">
        <f t="shared" si="2"/>
        <v>0</v>
      </c>
      <c r="T68" s="2922"/>
      <c r="U68" s="2056"/>
      <c r="V68" s="92"/>
      <c r="W68" s="2922"/>
      <c r="X68" s="92"/>
      <c r="Y68" s="129"/>
      <c r="Z68" s="92"/>
      <c r="AA68" s="90"/>
      <c r="AB68" s="94"/>
      <c r="AC68" s="2922"/>
      <c r="AD68" s="2056"/>
      <c r="AE68" s="92"/>
      <c r="AF68" s="4285"/>
      <c r="AG68" s="4286"/>
      <c r="AH68" s="4287"/>
      <c r="AI68" s="4286"/>
      <c r="AJ68" s="4288"/>
      <c r="AK68" s="4286"/>
    </row>
    <row r="69" spans="1:37" s="102" customFormat="1" ht="15" customHeight="1" x14ac:dyDescent="0.15">
      <c r="A69" s="3470" t="s">
        <v>240</v>
      </c>
      <c r="B69" s="90"/>
      <c r="C69" s="92"/>
      <c r="D69" s="90"/>
      <c r="E69" s="92"/>
      <c r="F69" s="90"/>
      <c r="G69" s="92"/>
      <c r="H69" s="90"/>
      <c r="I69" s="92"/>
      <c r="J69" s="90"/>
      <c r="K69" s="92"/>
      <c r="L69" s="90"/>
      <c r="M69" s="92"/>
      <c r="N69" s="3398">
        <f t="shared" si="2"/>
        <v>0</v>
      </c>
      <c r="O69" s="3442">
        <f t="shared" si="2"/>
        <v>0</v>
      </c>
      <c r="P69" s="3398">
        <f t="shared" si="2"/>
        <v>0</v>
      </c>
      <c r="Q69" s="3442">
        <f t="shared" si="2"/>
        <v>0</v>
      </c>
      <c r="R69" s="3397">
        <f t="shared" si="2"/>
        <v>0</v>
      </c>
      <c r="S69" s="4284">
        <f t="shared" si="2"/>
        <v>0</v>
      </c>
      <c r="T69" s="2922"/>
      <c r="U69" s="2056"/>
      <c r="V69" s="92"/>
      <c r="W69" s="2922"/>
      <c r="X69" s="92"/>
      <c r="Y69" s="129"/>
      <c r="Z69" s="92"/>
      <c r="AA69" s="90"/>
      <c r="AB69" s="94"/>
      <c r="AC69" s="2922"/>
      <c r="AD69" s="2056"/>
      <c r="AE69" s="92"/>
      <c r="AF69" s="4285"/>
      <c r="AG69" s="4286"/>
      <c r="AH69" s="4287"/>
      <c r="AI69" s="4286"/>
      <c r="AJ69" s="4288"/>
      <c r="AK69" s="4286"/>
    </row>
    <row r="70" spans="1:37" s="102" customFormat="1" ht="15" customHeight="1" x14ac:dyDescent="0.15">
      <c r="A70" s="3135" t="s">
        <v>3543</v>
      </c>
      <c r="B70" s="620"/>
      <c r="C70" s="630"/>
      <c r="D70" s="620"/>
      <c r="E70" s="630"/>
      <c r="F70" s="620"/>
      <c r="G70" s="630"/>
      <c r="H70" s="620"/>
      <c r="I70" s="630"/>
      <c r="J70" s="620"/>
      <c r="K70" s="630"/>
      <c r="L70" s="620"/>
      <c r="M70" s="630"/>
      <c r="N70" s="4289">
        <f t="shared" si="2"/>
        <v>0</v>
      </c>
      <c r="O70" s="791">
        <f t="shared" si="2"/>
        <v>0</v>
      </c>
      <c r="P70" s="4289">
        <f t="shared" si="2"/>
        <v>0</v>
      </c>
      <c r="Q70" s="791">
        <f t="shared" si="2"/>
        <v>0</v>
      </c>
      <c r="R70" s="3279">
        <f t="shared" si="2"/>
        <v>0</v>
      </c>
      <c r="S70" s="3095">
        <f t="shared" si="2"/>
        <v>0</v>
      </c>
      <c r="T70" s="933"/>
      <c r="U70" s="3435"/>
      <c r="V70" s="630"/>
      <c r="W70" s="933"/>
      <c r="X70" s="630"/>
      <c r="Y70" s="3232"/>
      <c r="Z70" s="630"/>
      <c r="AA70" s="620"/>
      <c r="AB70" s="628"/>
      <c r="AC70" s="933"/>
      <c r="AD70" s="3435"/>
      <c r="AE70" s="630"/>
      <c r="AF70" s="4290"/>
      <c r="AG70" s="4291"/>
      <c r="AH70" s="4292"/>
      <c r="AI70" s="4291"/>
      <c r="AJ70" s="4293"/>
      <c r="AK70" s="4291"/>
    </row>
    <row r="71" spans="1:37" s="102" customFormat="1" ht="15" customHeight="1" x14ac:dyDescent="0.15">
      <c r="A71" s="2028" t="s">
        <v>241</v>
      </c>
      <c r="B71" s="620"/>
      <c r="C71" s="630"/>
      <c r="D71" s="620"/>
      <c r="E71" s="630"/>
      <c r="F71" s="620"/>
      <c r="G71" s="630"/>
      <c r="H71" s="620"/>
      <c r="I71" s="630"/>
      <c r="J71" s="620"/>
      <c r="K71" s="630"/>
      <c r="L71" s="620"/>
      <c r="M71" s="630"/>
      <c r="N71" s="4289">
        <f t="shared" si="2"/>
        <v>0</v>
      </c>
      <c r="O71" s="791">
        <f t="shared" si="2"/>
        <v>0</v>
      </c>
      <c r="P71" s="4289">
        <f t="shared" si="2"/>
        <v>0</v>
      </c>
      <c r="Q71" s="791">
        <f t="shared" si="2"/>
        <v>0</v>
      </c>
      <c r="R71" s="3279">
        <f t="shared" ref="R71:S72" si="3">SUM(F71+L71)</f>
        <v>0</v>
      </c>
      <c r="S71" s="3095">
        <f t="shared" si="3"/>
        <v>0</v>
      </c>
      <c r="T71" s="933"/>
      <c r="U71" s="3435"/>
      <c r="V71" s="630"/>
      <c r="W71" s="933"/>
      <c r="X71" s="630"/>
      <c r="Y71" s="3232"/>
      <c r="Z71" s="630"/>
      <c r="AA71" s="620"/>
      <c r="AB71" s="628"/>
      <c r="AC71" s="933"/>
      <c r="AD71" s="3435"/>
      <c r="AE71" s="630"/>
      <c r="AF71" s="4290"/>
      <c r="AG71" s="4291"/>
      <c r="AH71" s="4292"/>
      <c r="AI71" s="4291"/>
      <c r="AJ71" s="4293"/>
      <c r="AK71" s="4291"/>
    </row>
    <row r="72" spans="1:37" s="102" customFormat="1" ht="15" customHeight="1" x14ac:dyDescent="0.15">
      <c r="A72" s="150" t="s">
        <v>994</v>
      </c>
      <c r="B72" s="114"/>
      <c r="C72" s="3124"/>
      <c r="D72" s="114"/>
      <c r="E72" s="3124"/>
      <c r="F72" s="114"/>
      <c r="G72" s="3124"/>
      <c r="H72" s="114"/>
      <c r="I72" s="3124"/>
      <c r="J72" s="114"/>
      <c r="K72" s="3124"/>
      <c r="L72" s="114"/>
      <c r="M72" s="3124"/>
      <c r="N72" s="586">
        <f t="shared" ref="N72:Q72" si="4">SUM(B72+H72)</f>
        <v>0</v>
      </c>
      <c r="O72" s="3438">
        <f t="shared" si="4"/>
        <v>0</v>
      </c>
      <c r="P72" s="586">
        <f t="shared" si="4"/>
        <v>0</v>
      </c>
      <c r="Q72" s="3438">
        <f t="shared" si="4"/>
        <v>0</v>
      </c>
      <c r="R72" s="120">
        <f t="shared" si="3"/>
        <v>0</v>
      </c>
      <c r="S72" s="4294">
        <f t="shared" si="3"/>
        <v>0</v>
      </c>
      <c r="T72" s="3869"/>
      <c r="U72" s="138"/>
      <c r="V72" s="3124"/>
      <c r="W72" s="3869"/>
      <c r="X72" s="3124"/>
      <c r="Y72" s="121"/>
      <c r="Z72" s="3124"/>
      <c r="AA72" s="114"/>
      <c r="AB72" s="3169"/>
      <c r="AC72" s="3869"/>
      <c r="AD72" s="138"/>
      <c r="AE72" s="3124"/>
      <c r="AF72" s="4295"/>
      <c r="AG72" s="4296"/>
      <c r="AH72" s="4297"/>
      <c r="AI72" s="4296"/>
      <c r="AJ72" s="4298"/>
      <c r="AK72" s="4296"/>
    </row>
    <row r="73" spans="1:37" s="101" customFormat="1" ht="18" customHeight="1" x14ac:dyDescent="0.15">
      <c r="A73" s="564" t="s">
        <v>3544</v>
      </c>
      <c r="B73" s="564"/>
      <c r="C73" s="564"/>
      <c r="D73" s="564"/>
      <c r="E73" s="564"/>
      <c r="F73" s="564"/>
      <c r="G73" s="564"/>
    </row>
    <row r="74" spans="1:37" s="103" customFormat="1" ht="24.75" customHeight="1" x14ac:dyDescent="0.2">
      <c r="A74" s="8511" t="s">
        <v>3545</v>
      </c>
      <c r="B74" s="6680" t="s">
        <v>3546</v>
      </c>
      <c r="C74" s="6768"/>
      <c r="D74" s="6768"/>
      <c r="E74" s="6768"/>
      <c r="F74" s="6768"/>
      <c r="G74" s="8474"/>
      <c r="H74" s="8475" t="s">
        <v>3383</v>
      </c>
      <c r="I74" s="8477"/>
      <c r="J74" s="8486"/>
      <c r="K74" s="8493" t="s">
        <v>3538</v>
      </c>
      <c r="L74" s="6768"/>
      <c r="M74" s="6768"/>
      <c r="N74" s="6768"/>
      <c r="O74" s="6768"/>
      <c r="P74" s="8494"/>
    </row>
    <row r="75" spans="1:37" s="103" customFormat="1" ht="15" customHeight="1" x14ac:dyDescent="0.2">
      <c r="A75" s="7166"/>
      <c r="B75" s="8477" t="s">
        <v>3734</v>
      </c>
      <c r="C75" s="8476"/>
      <c r="D75" s="8485" t="s">
        <v>4</v>
      </c>
      <c r="E75" s="8476"/>
      <c r="F75" s="8485" t="s">
        <v>3539</v>
      </c>
      <c r="G75" s="8486"/>
      <c r="H75" s="4255" t="s">
        <v>3547</v>
      </c>
      <c r="I75" s="6680" t="s">
        <v>702</v>
      </c>
      <c r="J75" s="8474"/>
      <c r="K75" s="8477" t="s">
        <v>3734</v>
      </c>
      <c r="L75" s="8476"/>
      <c r="M75" s="8485" t="s">
        <v>4</v>
      </c>
      <c r="N75" s="8476"/>
      <c r="O75" s="8485" t="s">
        <v>3539</v>
      </c>
      <c r="P75" s="8476"/>
    </row>
    <row r="76" spans="1:37" s="103" customFormat="1" ht="23.25" customHeight="1" x14ac:dyDescent="0.2">
      <c r="A76" s="6449"/>
      <c r="B76" s="4260" t="s">
        <v>51</v>
      </c>
      <c r="C76" s="4261" t="s">
        <v>27</v>
      </c>
      <c r="D76" s="4262" t="s">
        <v>22</v>
      </c>
      <c r="E76" s="4261" t="s">
        <v>27</v>
      </c>
      <c r="F76" s="4260" t="s">
        <v>22</v>
      </c>
      <c r="G76" s="4263" t="s">
        <v>27</v>
      </c>
      <c r="H76" s="4255" t="s">
        <v>995</v>
      </c>
      <c r="I76" s="4299" t="s">
        <v>949</v>
      </c>
      <c r="J76" s="4255" t="s">
        <v>950</v>
      </c>
      <c r="K76" s="4266" t="s">
        <v>22</v>
      </c>
      <c r="L76" s="4261" t="s">
        <v>27</v>
      </c>
      <c r="M76" s="4260" t="s">
        <v>22</v>
      </c>
      <c r="N76" s="4261" t="s">
        <v>27</v>
      </c>
      <c r="O76" s="4262" t="s">
        <v>22</v>
      </c>
      <c r="P76" s="4261" t="s">
        <v>27</v>
      </c>
    </row>
    <row r="77" spans="1:37" s="103" customFormat="1" ht="14.25" x14ac:dyDescent="0.2">
      <c r="A77" s="4300" t="s">
        <v>3548</v>
      </c>
      <c r="B77" s="4272"/>
      <c r="C77" s="3905"/>
      <c r="D77" s="4272"/>
      <c r="E77" s="3905"/>
      <c r="F77" s="4279"/>
      <c r="G77" s="3906"/>
      <c r="H77" s="4301"/>
      <c r="I77" s="4272"/>
      <c r="J77" s="3905"/>
      <c r="K77" s="4277"/>
      <c r="L77" s="3905"/>
      <c r="M77" s="4279"/>
      <c r="N77" s="3905"/>
      <c r="O77" s="4272"/>
      <c r="P77" s="3905"/>
    </row>
    <row r="78" spans="1:37" s="103" customFormat="1" ht="14.25" x14ac:dyDescent="0.2">
      <c r="A78" s="3273" t="s">
        <v>3549</v>
      </c>
      <c r="B78" s="620"/>
      <c r="C78" s="630"/>
      <c r="D78" s="620"/>
      <c r="E78" s="630"/>
      <c r="F78" s="3232"/>
      <c r="G78" s="628"/>
      <c r="H78" s="630"/>
      <c r="I78" s="620"/>
      <c r="J78" s="630"/>
      <c r="K78" s="933"/>
      <c r="L78" s="630"/>
      <c r="M78" s="3232"/>
      <c r="N78" s="630"/>
      <c r="O78" s="620"/>
      <c r="P78" s="630"/>
    </row>
    <row r="79" spans="1:37" s="103" customFormat="1" ht="18" customHeight="1" x14ac:dyDescent="0.2">
      <c r="A79" s="3083" t="s">
        <v>3212</v>
      </c>
      <c r="B79" s="4302"/>
      <c r="C79" s="3013"/>
      <c r="D79" s="3972"/>
      <c r="E79" s="3013"/>
      <c r="F79" s="4302"/>
      <c r="G79" s="3012"/>
      <c r="H79" s="3013"/>
      <c r="I79" s="3972"/>
      <c r="J79" s="3013"/>
      <c r="K79" s="3011"/>
      <c r="L79" s="3013"/>
      <c r="M79" s="4302"/>
      <c r="N79" s="3013"/>
      <c r="O79" s="3972"/>
      <c r="P79" s="3013"/>
    </row>
    <row r="80" spans="1:37" s="101" customFormat="1" ht="18" customHeight="1" x14ac:dyDescent="0.15">
      <c r="A80" s="564" t="s">
        <v>3550</v>
      </c>
      <c r="B80" s="564"/>
      <c r="C80" s="564"/>
      <c r="D80" s="564"/>
      <c r="E80" s="564"/>
      <c r="F80" s="564"/>
      <c r="G80" s="564"/>
    </row>
    <row r="81" spans="1:37" s="103" customFormat="1" ht="15" customHeight="1" x14ac:dyDescent="0.2">
      <c r="A81" s="8505" t="s">
        <v>3551</v>
      </c>
      <c r="B81" s="6680" t="s">
        <v>3552</v>
      </c>
      <c r="C81" s="6768"/>
      <c r="D81" s="6768"/>
      <c r="E81" s="6768"/>
      <c r="F81" s="6768"/>
      <c r="G81" s="6768"/>
      <c r="H81" s="6768"/>
      <c r="I81" s="6768"/>
      <c r="J81" s="8474"/>
      <c r="K81" s="8493" t="s">
        <v>3553</v>
      </c>
      <c r="L81" s="6768"/>
      <c r="M81" s="6768"/>
      <c r="N81" s="6768"/>
      <c r="O81" s="6768"/>
      <c r="P81" s="6768"/>
      <c r="Q81" s="6768"/>
      <c r="R81" s="6768"/>
      <c r="S81" s="8474"/>
      <c r="T81" s="8089" t="s">
        <v>3554</v>
      </c>
      <c r="U81" s="8508"/>
      <c r="V81" s="4303"/>
      <c r="W81" s="4303"/>
      <c r="X81" s="4303"/>
      <c r="Y81" s="4303"/>
      <c r="Z81" s="4303"/>
      <c r="AA81" s="4303"/>
      <c r="AB81" s="4303"/>
      <c r="AC81" s="4303"/>
      <c r="AD81" s="4303"/>
      <c r="AE81" s="4303"/>
      <c r="AF81" s="4303"/>
      <c r="AG81" s="4303"/>
      <c r="AH81" s="4303"/>
      <c r="AI81" s="4303"/>
      <c r="AJ81" s="4303"/>
      <c r="AK81" s="4303"/>
    </row>
    <row r="82" spans="1:37" s="103" customFormat="1" ht="15" customHeight="1" x14ac:dyDescent="0.2">
      <c r="A82" s="8506"/>
      <c r="B82" s="8485" t="s">
        <v>3734</v>
      </c>
      <c r="C82" s="8476"/>
      <c r="D82" s="8485" t="s">
        <v>4</v>
      </c>
      <c r="E82" s="8476"/>
      <c r="F82" s="8477" t="s">
        <v>3539</v>
      </c>
      <c r="G82" s="8486"/>
      <c r="H82" s="8475" t="s">
        <v>3383</v>
      </c>
      <c r="I82" s="8477"/>
      <c r="J82" s="8486"/>
      <c r="K82" s="8475" t="s">
        <v>3734</v>
      </c>
      <c r="L82" s="8476"/>
      <c r="M82" s="8485" t="s">
        <v>4</v>
      </c>
      <c r="N82" s="8476"/>
      <c r="O82" s="8485" t="s">
        <v>3539</v>
      </c>
      <c r="P82" s="8486"/>
      <c r="Q82" s="8475" t="s">
        <v>3383</v>
      </c>
      <c r="R82" s="8477"/>
      <c r="S82" s="8486"/>
      <c r="T82" s="8089"/>
      <c r="U82" s="8508"/>
      <c r="V82" s="4303"/>
      <c r="W82" s="4303"/>
      <c r="X82" s="4303"/>
      <c r="Y82" s="4303"/>
      <c r="Z82" s="4303"/>
      <c r="AA82" s="4303"/>
      <c r="AB82" s="4303"/>
      <c r="AC82" s="4303"/>
      <c r="AD82" s="4303"/>
      <c r="AE82" s="4303"/>
      <c r="AF82" s="4303"/>
      <c r="AG82" s="4303"/>
      <c r="AH82" s="4303"/>
      <c r="AI82" s="4303"/>
      <c r="AJ82" s="4303"/>
      <c r="AK82" s="4303"/>
    </row>
    <row r="83" spans="1:37" s="103" customFormat="1" ht="15" customHeight="1" x14ac:dyDescent="0.2">
      <c r="A83" s="8506"/>
      <c r="B83" s="8495" t="s">
        <v>22</v>
      </c>
      <c r="C83" s="8497" t="s">
        <v>27</v>
      </c>
      <c r="D83" s="8495" t="s">
        <v>22</v>
      </c>
      <c r="E83" s="8497" t="s">
        <v>27</v>
      </c>
      <c r="F83" s="8499" t="s">
        <v>22</v>
      </c>
      <c r="G83" s="8491" t="s">
        <v>27</v>
      </c>
      <c r="H83" s="8501" t="s">
        <v>947</v>
      </c>
      <c r="I83" s="8502" t="s">
        <v>702</v>
      </c>
      <c r="J83" s="8474"/>
      <c r="K83" s="8503" t="s">
        <v>22</v>
      </c>
      <c r="L83" s="8497" t="s">
        <v>27</v>
      </c>
      <c r="M83" s="8499" t="s">
        <v>22</v>
      </c>
      <c r="N83" s="8497" t="s">
        <v>27</v>
      </c>
      <c r="O83" s="8495" t="s">
        <v>22</v>
      </c>
      <c r="P83" s="8491" t="s">
        <v>27</v>
      </c>
      <c r="Q83" s="8501" t="s">
        <v>947</v>
      </c>
      <c r="R83" s="8502" t="s">
        <v>702</v>
      </c>
      <c r="S83" s="8474"/>
      <c r="T83" s="8509" t="s">
        <v>3555</v>
      </c>
      <c r="U83" s="8510" t="s">
        <v>3556</v>
      </c>
      <c r="V83" s="4303"/>
      <c r="W83" s="4303"/>
      <c r="X83" s="4303"/>
      <c r="Y83" s="4303"/>
      <c r="Z83" s="4303"/>
      <c r="AA83" s="4303"/>
      <c r="AB83" s="4303"/>
      <c r="AC83" s="4303"/>
      <c r="AD83" s="4303"/>
      <c r="AE83" s="4303"/>
      <c r="AF83" s="4303"/>
      <c r="AG83" s="4303"/>
      <c r="AH83" s="4303"/>
      <c r="AI83" s="4303"/>
      <c r="AJ83" s="4303"/>
      <c r="AK83" s="4303"/>
    </row>
    <row r="84" spans="1:37" s="103" customFormat="1" ht="30" customHeight="1" x14ac:dyDescent="0.2">
      <c r="A84" s="8507"/>
      <c r="B84" s="8496"/>
      <c r="C84" s="8498"/>
      <c r="D84" s="8496"/>
      <c r="E84" s="8498"/>
      <c r="F84" s="8500"/>
      <c r="G84" s="8492"/>
      <c r="H84" s="6564"/>
      <c r="I84" s="4306" t="s">
        <v>949</v>
      </c>
      <c r="J84" s="4307" t="s">
        <v>950</v>
      </c>
      <c r="K84" s="8504"/>
      <c r="L84" s="8498"/>
      <c r="M84" s="8500"/>
      <c r="N84" s="8498"/>
      <c r="O84" s="8496"/>
      <c r="P84" s="8492"/>
      <c r="Q84" s="6564"/>
      <c r="R84" s="4306" t="s">
        <v>949</v>
      </c>
      <c r="S84" s="4307" t="s">
        <v>950</v>
      </c>
      <c r="T84" s="8509"/>
      <c r="U84" s="8510"/>
      <c r="V84" s="4303"/>
      <c r="W84" s="4303"/>
      <c r="X84" s="4303"/>
      <c r="Y84" s="4303"/>
      <c r="Z84" s="4303"/>
      <c r="AA84" s="4303"/>
      <c r="AB84" s="4303"/>
      <c r="AC84" s="4303"/>
      <c r="AD84" s="4303"/>
      <c r="AE84" s="4303"/>
      <c r="AF84" s="4303"/>
      <c r="AG84" s="4303"/>
      <c r="AH84" s="4303"/>
      <c r="AI84" s="4303"/>
      <c r="AJ84" s="4303"/>
      <c r="AK84" s="4303"/>
    </row>
    <row r="85" spans="1:37" s="103" customFormat="1" ht="15" customHeight="1" x14ac:dyDescent="0.2">
      <c r="A85" s="4978" t="s">
        <v>3557</v>
      </c>
      <c r="B85" s="4308">
        <f>SUM(B86:B98)</f>
        <v>0</v>
      </c>
      <c r="C85" s="4309">
        <f t="shared" ref="C85:S85" si="5">SUM(C86:C98)</f>
        <v>0</v>
      </c>
      <c r="D85" s="4308">
        <f t="shared" si="5"/>
        <v>0</v>
      </c>
      <c r="E85" s="4309">
        <f t="shared" si="5"/>
        <v>0</v>
      </c>
      <c r="F85" s="4269">
        <f>SUM(F86:F98)</f>
        <v>0</v>
      </c>
      <c r="G85" s="4310">
        <f>SUM(G86:G98)</f>
        <v>0</v>
      </c>
      <c r="H85" s="4311">
        <f t="shared" si="5"/>
        <v>0</v>
      </c>
      <c r="I85" s="4312">
        <f t="shared" si="5"/>
        <v>0</v>
      </c>
      <c r="J85" s="4313">
        <f t="shared" si="5"/>
        <v>0</v>
      </c>
      <c r="K85" s="4311">
        <f>SUM(K86:K98)</f>
        <v>0</v>
      </c>
      <c r="L85" s="4314">
        <f>SUM(L86:L98)</f>
        <v>0</v>
      </c>
      <c r="M85" s="4315">
        <f t="shared" si="5"/>
        <v>0</v>
      </c>
      <c r="N85" s="4314">
        <f t="shared" si="5"/>
        <v>0</v>
      </c>
      <c r="O85" s="4269">
        <f t="shared" si="5"/>
        <v>0</v>
      </c>
      <c r="P85" s="4310">
        <f t="shared" si="5"/>
        <v>0</v>
      </c>
      <c r="Q85" s="4269">
        <f t="shared" si="5"/>
        <v>0</v>
      </c>
      <c r="R85" s="4269">
        <f t="shared" si="5"/>
        <v>0</v>
      </c>
      <c r="S85" s="4310">
        <f t="shared" si="5"/>
        <v>0</v>
      </c>
      <c r="T85" s="4316">
        <f>SUM(T86:T98)</f>
        <v>0</v>
      </c>
      <c r="U85" s="4316">
        <f>SUM(U86:U98)</f>
        <v>0</v>
      </c>
      <c r="V85" s="4303"/>
      <c r="W85" s="4303"/>
      <c r="X85" s="102"/>
      <c r="Y85" s="4303"/>
      <c r="Z85" s="4303"/>
      <c r="AA85" s="4303"/>
      <c r="AB85" s="4303"/>
      <c r="AC85" s="4303"/>
      <c r="AD85" s="4303"/>
      <c r="AE85" s="4303"/>
      <c r="AF85" s="4303"/>
      <c r="AG85" s="4303"/>
      <c r="AH85" s="4303"/>
      <c r="AI85" s="4303"/>
      <c r="AJ85" s="4303"/>
      <c r="AK85" s="4303"/>
    </row>
    <row r="86" spans="1:37" s="103" customFormat="1" ht="15" customHeight="1" x14ac:dyDescent="0.2">
      <c r="A86" s="3603" t="s">
        <v>3558</v>
      </c>
      <c r="B86" s="131"/>
      <c r="C86" s="1429"/>
      <c r="D86" s="131"/>
      <c r="E86" s="1429"/>
      <c r="F86" s="125"/>
      <c r="G86" s="3175"/>
      <c r="H86" s="131"/>
      <c r="I86" s="2487"/>
      <c r="J86" s="3175"/>
      <c r="K86" s="3868"/>
      <c r="L86" s="1429"/>
      <c r="M86" s="125"/>
      <c r="N86" s="1429"/>
      <c r="O86" s="131"/>
      <c r="P86" s="3175"/>
      <c r="Q86" s="3868"/>
      <c r="R86" s="4317"/>
      <c r="S86" s="3119"/>
      <c r="T86" s="4301"/>
      <c r="U86" s="4318"/>
      <c r="V86" s="4303"/>
      <c r="W86" s="4303"/>
      <c r="X86" s="102"/>
      <c r="Y86" s="4303"/>
      <c r="Z86" s="4303"/>
      <c r="AA86" s="4303"/>
      <c r="AB86" s="4303"/>
      <c r="AC86" s="4303"/>
      <c r="AD86" s="4303"/>
      <c r="AE86" s="4303"/>
      <c r="AF86" s="4303"/>
      <c r="AG86" s="4303"/>
      <c r="AH86" s="4303"/>
      <c r="AI86" s="4303"/>
      <c r="AJ86" s="4303"/>
      <c r="AK86" s="4303"/>
    </row>
    <row r="87" spans="1:37" s="103" customFormat="1" ht="15" customHeight="1" x14ac:dyDescent="0.2">
      <c r="A87" s="3603" t="s">
        <v>3559</v>
      </c>
      <c r="B87" s="90"/>
      <c r="C87" s="92"/>
      <c r="D87" s="90"/>
      <c r="E87" s="92"/>
      <c r="F87" s="129"/>
      <c r="G87" s="94"/>
      <c r="H87" s="90"/>
      <c r="I87" s="2056"/>
      <c r="J87" s="94"/>
      <c r="K87" s="2922"/>
      <c r="L87" s="92"/>
      <c r="M87" s="129"/>
      <c r="N87" s="92"/>
      <c r="O87" s="90"/>
      <c r="P87" s="94"/>
      <c r="Q87" s="2922"/>
      <c r="R87" s="127"/>
      <c r="S87" s="1096"/>
      <c r="T87" s="3166"/>
      <c r="U87" s="3234"/>
      <c r="V87" s="4303"/>
      <c r="W87" s="4303"/>
      <c r="X87" s="102"/>
      <c r="Y87" s="4303"/>
      <c r="Z87" s="4303"/>
      <c r="AA87" s="4303"/>
      <c r="AB87" s="4303"/>
      <c r="AC87" s="4303"/>
      <c r="AD87" s="4303"/>
      <c r="AE87" s="4303"/>
      <c r="AF87" s="4303"/>
      <c r="AG87" s="4303"/>
      <c r="AH87" s="4303"/>
      <c r="AI87" s="4303"/>
      <c r="AJ87" s="4303"/>
      <c r="AK87" s="4303"/>
    </row>
    <row r="88" spans="1:37" s="103" customFormat="1" ht="15" customHeight="1" x14ac:dyDescent="0.2">
      <c r="A88" s="3603" t="s">
        <v>3560</v>
      </c>
      <c r="B88" s="90"/>
      <c r="C88" s="92"/>
      <c r="D88" s="90"/>
      <c r="E88" s="92"/>
      <c r="F88" s="129"/>
      <c r="G88" s="94"/>
      <c r="H88" s="90"/>
      <c r="I88" s="2056"/>
      <c r="J88" s="94"/>
      <c r="K88" s="2922"/>
      <c r="L88" s="92"/>
      <c r="M88" s="129"/>
      <c r="N88" s="92"/>
      <c r="O88" s="90"/>
      <c r="P88" s="94"/>
      <c r="Q88" s="2922"/>
      <c r="R88" s="127"/>
      <c r="S88" s="1096"/>
      <c r="T88" s="3166"/>
      <c r="U88" s="3234"/>
      <c r="V88" s="4303"/>
      <c r="W88" s="4303"/>
      <c r="X88" s="102"/>
      <c r="Y88" s="4303"/>
      <c r="Z88" s="4303"/>
      <c r="AA88" s="4303"/>
      <c r="AB88" s="4303"/>
      <c r="AC88" s="4303"/>
      <c r="AD88" s="4303"/>
      <c r="AE88" s="4303"/>
      <c r="AF88" s="4303"/>
      <c r="AG88" s="4303"/>
      <c r="AH88" s="4303"/>
      <c r="AI88" s="4303"/>
      <c r="AJ88" s="4303"/>
      <c r="AK88" s="4303"/>
    </row>
    <row r="89" spans="1:37" s="103" customFormat="1" ht="15" customHeight="1" x14ac:dyDescent="0.2">
      <c r="A89" s="3603" t="s">
        <v>3561</v>
      </c>
      <c r="B89" s="90"/>
      <c r="C89" s="92"/>
      <c r="D89" s="90"/>
      <c r="E89" s="92"/>
      <c r="F89" s="129"/>
      <c r="G89" s="94"/>
      <c r="H89" s="90"/>
      <c r="I89" s="2056"/>
      <c r="J89" s="94"/>
      <c r="K89" s="2922"/>
      <c r="L89" s="92"/>
      <c r="M89" s="129"/>
      <c r="N89" s="92"/>
      <c r="O89" s="90"/>
      <c r="P89" s="94"/>
      <c r="Q89" s="2922"/>
      <c r="R89" s="127"/>
      <c r="S89" s="1096"/>
      <c r="T89" s="3166"/>
      <c r="U89" s="3234"/>
      <c r="V89" s="4303"/>
      <c r="W89" s="4303"/>
      <c r="X89" s="102"/>
      <c r="Y89" s="4303"/>
      <c r="Z89" s="4303"/>
      <c r="AA89" s="4303"/>
      <c r="AB89" s="4303"/>
      <c r="AC89" s="4303"/>
      <c r="AD89" s="4303"/>
      <c r="AE89" s="4303"/>
      <c r="AF89" s="4303"/>
      <c r="AG89" s="4303"/>
      <c r="AH89" s="4303"/>
      <c r="AI89" s="4303"/>
      <c r="AJ89" s="4303"/>
      <c r="AK89" s="4303"/>
    </row>
    <row r="90" spans="1:37" s="103" customFormat="1" ht="15" customHeight="1" x14ac:dyDescent="0.2">
      <c r="A90" s="3603" t="s">
        <v>3562</v>
      </c>
      <c r="B90" s="90"/>
      <c r="C90" s="92"/>
      <c r="D90" s="90"/>
      <c r="E90" s="92"/>
      <c r="F90" s="129"/>
      <c r="G90" s="94"/>
      <c r="H90" s="90"/>
      <c r="I90" s="2056"/>
      <c r="J90" s="94"/>
      <c r="K90" s="2922"/>
      <c r="L90" s="92"/>
      <c r="M90" s="129"/>
      <c r="N90" s="92"/>
      <c r="O90" s="90"/>
      <c r="P90" s="94"/>
      <c r="Q90" s="2922"/>
      <c r="R90" s="127"/>
      <c r="S90" s="1096"/>
      <c r="T90" s="3166"/>
      <c r="U90" s="3234"/>
      <c r="V90" s="4303"/>
      <c r="W90" s="4303"/>
      <c r="X90" s="102"/>
      <c r="Y90" s="4303"/>
      <c r="Z90" s="4303"/>
      <c r="AA90" s="4303"/>
      <c r="AB90" s="4303"/>
      <c r="AC90" s="4303"/>
      <c r="AD90" s="4303"/>
      <c r="AE90" s="4303"/>
      <c r="AF90" s="4303"/>
      <c r="AG90" s="4303"/>
      <c r="AH90" s="4303"/>
      <c r="AI90" s="4303"/>
      <c r="AJ90" s="4303"/>
      <c r="AK90" s="4303"/>
    </row>
    <row r="91" spans="1:37" s="103" customFormat="1" ht="15" customHeight="1" x14ac:dyDescent="0.2">
      <c r="A91" s="3603" t="s">
        <v>3563</v>
      </c>
      <c r="B91" s="90"/>
      <c r="C91" s="92"/>
      <c r="D91" s="90"/>
      <c r="E91" s="92"/>
      <c r="F91" s="129"/>
      <c r="G91" s="94"/>
      <c r="H91" s="90"/>
      <c r="I91" s="2056"/>
      <c r="J91" s="94"/>
      <c r="K91" s="2922"/>
      <c r="L91" s="92"/>
      <c r="M91" s="129"/>
      <c r="N91" s="92"/>
      <c r="O91" s="90"/>
      <c r="P91" s="94"/>
      <c r="Q91" s="2922"/>
      <c r="R91" s="127"/>
      <c r="S91" s="1096"/>
      <c r="T91" s="3166"/>
      <c r="U91" s="3234"/>
      <c r="V91" s="4303"/>
      <c r="W91" s="4303"/>
      <c r="X91" s="102"/>
      <c r="Y91" s="4303"/>
      <c r="Z91" s="4303"/>
      <c r="AA91" s="4303"/>
      <c r="AB91" s="4303"/>
      <c r="AC91" s="4303"/>
      <c r="AD91" s="4303"/>
      <c r="AE91" s="4303"/>
      <c r="AF91" s="4303"/>
      <c r="AG91" s="4303"/>
      <c r="AH91" s="4303"/>
      <c r="AI91" s="4303"/>
      <c r="AJ91" s="4303"/>
      <c r="AK91" s="4303"/>
    </row>
    <row r="92" spans="1:37" s="103" customFormat="1" ht="15" customHeight="1" x14ac:dyDescent="0.2">
      <c r="A92" s="3603" t="s">
        <v>3564</v>
      </c>
      <c r="B92" s="90"/>
      <c r="C92" s="92"/>
      <c r="D92" s="90"/>
      <c r="E92" s="92"/>
      <c r="F92" s="129"/>
      <c r="G92" s="94"/>
      <c r="H92" s="90"/>
      <c r="I92" s="2056"/>
      <c r="J92" s="94"/>
      <c r="K92" s="2922"/>
      <c r="L92" s="92"/>
      <c r="M92" s="129"/>
      <c r="N92" s="92"/>
      <c r="O92" s="90"/>
      <c r="P92" s="94"/>
      <c r="Q92" s="2922"/>
      <c r="R92" s="127"/>
      <c r="S92" s="1096"/>
      <c r="T92" s="3166"/>
      <c r="U92" s="3234"/>
      <c r="V92" s="4303"/>
      <c r="W92" s="4303"/>
      <c r="X92" s="102"/>
      <c r="Y92" s="4303"/>
      <c r="Z92" s="4303"/>
      <c r="AA92" s="4303"/>
      <c r="AB92" s="4303"/>
      <c r="AC92" s="4303"/>
      <c r="AD92" s="4303"/>
      <c r="AE92" s="4303"/>
      <c r="AF92" s="4303"/>
      <c r="AG92" s="4303"/>
      <c r="AH92" s="4303"/>
      <c r="AI92" s="4303"/>
      <c r="AJ92" s="4303"/>
      <c r="AK92" s="4303"/>
    </row>
    <row r="93" spans="1:37" s="103" customFormat="1" ht="15" customHeight="1" x14ac:dyDescent="0.2">
      <c r="A93" s="3603" t="s">
        <v>3565</v>
      </c>
      <c r="B93" s="90"/>
      <c r="C93" s="92"/>
      <c r="D93" s="90"/>
      <c r="E93" s="92"/>
      <c r="F93" s="129"/>
      <c r="G93" s="94"/>
      <c r="H93" s="90"/>
      <c r="I93" s="2056"/>
      <c r="J93" s="94"/>
      <c r="K93" s="2922"/>
      <c r="L93" s="92"/>
      <c r="M93" s="129"/>
      <c r="N93" s="92"/>
      <c r="O93" s="90"/>
      <c r="P93" s="94"/>
      <c r="Q93" s="2922"/>
      <c r="R93" s="127"/>
      <c r="S93" s="1096"/>
      <c r="T93" s="3166"/>
      <c r="U93" s="3234"/>
      <c r="V93" s="4303"/>
      <c r="W93" s="4303"/>
      <c r="X93" s="102"/>
      <c r="Y93" s="4303"/>
      <c r="Z93" s="4303"/>
      <c r="AA93" s="4303"/>
      <c r="AB93" s="4303"/>
      <c r="AC93" s="4303"/>
      <c r="AD93" s="4303"/>
      <c r="AE93" s="4303"/>
      <c r="AF93" s="4303"/>
      <c r="AG93" s="4303"/>
      <c r="AH93" s="4303"/>
      <c r="AI93" s="4303"/>
      <c r="AJ93" s="4303"/>
      <c r="AK93" s="4303"/>
    </row>
    <row r="94" spans="1:37" s="103" customFormat="1" ht="15" customHeight="1" x14ac:dyDescent="0.2">
      <c r="A94" s="3603" t="s">
        <v>3566</v>
      </c>
      <c r="B94" s="90"/>
      <c r="C94" s="92"/>
      <c r="D94" s="90"/>
      <c r="E94" s="92"/>
      <c r="F94" s="129"/>
      <c r="G94" s="94"/>
      <c r="H94" s="620"/>
      <c r="I94" s="3435"/>
      <c r="J94" s="628"/>
      <c r="K94" s="2922"/>
      <c r="L94" s="92"/>
      <c r="M94" s="129"/>
      <c r="N94" s="92"/>
      <c r="O94" s="90"/>
      <c r="P94" s="94"/>
      <c r="Q94" s="2922"/>
      <c r="R94" s="127"/>
      <c r="S94" s="1096"/>
      <c r="T94" s="3166"/>
      <c r="U94" s="3234"/>
      <c r="V94" s="4303"/>
      <c r="W94" s="4303"/>
      <c r="X94" s="102"/>
      <c r="Y94" s="4303"/>
      <c r="Z94" s="4303"/>
      <c r="AA94" s="4303"/>
      <c r="AB94" s="4303"/>
      <c r="AC94" s="4303"/>
      <c r="AD94" s="4303"/>
      <c r="AE94" s="4303"/>
      <c r="AF94" s="4303"/>
      <c r="AG94" s="4303"/>
      <c r="AH94" s="4303"/>
      <c r="AI94" s="4303"/>
      <c r="AJ94" s="4303"/>
      <c r="AK94" s="4303"/>
    </row>
    <row r="95" spans="1:37" s="103" customFormat="1" ht="15" customHeight="1" x14ac:dyDescent="0.2">
      <c r="A95" s="3603" t="s">
        <v>3567</v>
      </c>
      <c r="B95" s="794"/>
      <c r="C95" s="3142"/>
      <c r="D95" s="794"/>
      <c r="E95" s="795"/>
      <c r="F95" s="4319"/>
      <c r="G95" s="806"/>
      <c r="H95" s="4320"/>
      <c r="I95" s="4321"/>
      <c r="J95" s="4322"/>
      <c r="K95" s="2922"/>
      <c r="L95" s="92"/>
      <c r="M95" s="129"/>
      <c r="N95" s="92"/>
      <c r="O95" s="90"/>
      <c r="P95" s="94"/>
      <c r="Q95" s="2922"/>
      <c r="R95" s="127"/>
      <c r="S95" s="1096"/>
      <c r="T95" s="3166"/>
      <c r="U95" s="3234"/>
      <c r="V95" s="4303"/>
      <c r="W95" s="4303"/>
      <c r="X95" s="102"/>
      <c r="Y95" s="4303"/>
      <c r="Z95" s="4303"/>
      <c r="AA95" s="4303"/>
      <c r="AB95" s="4303"/>
      <c r="AC95" s="4303"/>
      <c r="AD95" s="4303"/>
      <c r="AE95" s="4303"/>
      <c r="AF95" s="4303"/>
      <c r="AG95" s="4303"/>
      <c r="AH95" s="4303"/>
      <c r="AI95" s="4303"/>
      <c r="AJ95" s="4303"/>
      <c r="AK95" s="4303"/>
    </row>
    <row r="96" spans="1:37" s="103" customFormat="1" ht="15" customHeight="1" x14ac:dyDescent="0.2">
      <c r="A96" s="4323" t="s">
        <v>3568</v>
      </c>
      <c r="B96" s="151"/>
      <c r="C96" s="4324"/>
      <c r="D96" s="151"/>
      <c r="E96" s="3111"/>
      <c r="F96" s="197"/>
      <c r="G96" s="3230"/>
      <c r="H96" s="4325"/>
      <c r="I96" s="4326"/>
      <c r="J96" s="2504"/>
      <c r="K96" s="2922"/>
      <c r="L96" s="92"/>
      <c r="M96" s="129"/>
      <c r="N96" s="92"/>
      <c r="O96" s="90"/>
      <c r="P96" s="94"/>
      <c r="Q96" s="2922"/>
      <c r="R96" s="127"/>
      <c r="S96" s="1096"/>
      <c r="T96" s="3166"/>
      <c r="U96" s="3234"/>
      <c r="V96" s="4303"/>
      <c r="W96" s="4303"/>
      <c r="X96" s="102"/>
      <c r="Y96" s="4303"/>
      <c r="Z96" s="4303"/>
      <c r="AA96" s="4303"/>
      <c r="AB96" s="4303"/>
      <c r="AC96" s="4303"/>
      <c r="AD96" s="4303"/>
      <c r="AE96" s="4303"/>
      <c r="AF96" s="4303"/>
      <c r="AG96" s="4303"/>
      <c r="AH96" s="4303"/>
      <c r="AI96" s="4303"/>
      <c r="AJ96" s="4303"/>
      <c r="AK96" s="4303"/>
    </row>
    <row r="97" spans="1:39" s="103" customFormat="1" ht="15" customHeight="1" x14ac:dyDescent="0.2">
      <c r="A97" s="4323" t="s">
        <v>3569</v>
      </c>
      <c r="B97" s="90"/>
      <c r="C97" s="92"/>
      <c r="D97" s="90"/>
      <c r="E97" s="92"/>
      <c r="F97" s="129"/>
      <c r="G97" s="94"/>
      <c r="H97" s="90"/>
      <c r="I97" s="2056"/>
      <c r="J97" s="94"/>
      <c r="K97" s="2922"/>
      <c r="L97" s="92"/>
      <c r="M97" s="129"/>
      <c r="N97" s="92"/>
      <c r="O97" s="90"/>
      <c r="P97" s="94"/>
      <c r="Q97" s="2922"/>
      <c r="R97" s="127"/>
      <c r="S97" s="1096"/>
      <c r="T97" s="3166"/>
      <c r="U97" s="3234"/>
      <c r="V97" s="4303"/>
      <c r="W97" s="4303"/>
      <c r="X97" s="4303"/>
      <c r="Y97" s="4303"/>
      <c r="Z97" s="4303"/>
      <c r="AA97" s="4303"/>
      <c r="AB97" s="4303"/>
      <c r="AC97" s="4303"/>
      <c r="AD97" s="4303"/>
      <c r="AE97" s="4303"/>
      <c r="AF97" s="4303"/>
      <c r="AG97" s="4303"/>
      <c r="AH97" s="4303"/>
      <c r="AI97" s="4303"/>
    </row>
    <row r="98" spans="1:39" s="103" customFormat="1" ht="15" customHeight="1" x14ac:dyDescent="0.2">
      <c r="A98" s="587" t="s">
        <v>3570</v>
      </c>
      <c r="B98" s="114"/>
      <c r="C98" s="3124"/>
      <c r="D98" s="114"/>
      <c r="E98" s="3124"/>
      <c r="F98" s="121"/>
      <c r="G98" s="3169"/>
      <c r="H98" s="114"/>
      <c r="I98" s="138"/>
      <c r="J98" s="3169"/>
      <c r="K98" s="3869"/>
      <c r="L98" s="3124"/>
      <c r="M98" s="121"/>
      <c r="N98" s="3124"/>
      <c r="O98" s="114"/>
      <c r="P98" s="3169"/>
      <c r="Q98" s="3869"/>
      <c r="R98" s="3109"/>
      <c r="S98" s="774"/>
      <c r="T98" s="2889"/>
      <c r="U98" s="153"/>
      <c r="V98" s="4303"/>
      <c r="W98" s="4303"/>
      <c r="X98" s="4303"/>
      <c r="Y98" s="4303"/>
      <c r="Z98" s="4303"/>
      <c r="AA98" s="4303"/>
      <c r="AB98" s="4303"/>
      <c r="AC98" s="4303"/>
      <c r="AD98" s="4303"/>
      <c r="AE98" s="4303"/>
      <c r="AF98" s="4303"/>
      <c r="AG98" s="4303"/>
      <c r="AH98" s="4303"/>
      <c r="AI98" s="4303"/>
    </row>
    <row r="99" spans="1:39" s="101" customFormat="1" ht="18" customHeight="1" x14ac:dyDescent="0.2">
      <c r="A99" s="564" t="s">
        <v>3571</v>
      </c>
      <c r="B99" s="564"/>
      <c r="C99" s="564"/>
      <c r="D99" s="564"/>
      <c r="E99" s="564"/>
      <c r="F99" s="564"/>
      <c r="G99" s="564"/>
    </row>
    <row r="100" spans="1:39" s="102" customFormat="1" ht="15" customHeight="1" x14ac:dyDescent="0.15">
      <c r="A100" s="8478" t="s">
        <v>3572</v>
      </c>
      <c r="B100" s="6680" t="s">
        <v>3573</v>
      </c>
      <c r="C100" s="6768"/>
      <c r="D100" s="6768"/>
      <c r="E100" s="6768"/>
      <c r="F100" s="6768"/>
      <c r="G100" s="8494"/>
      <c r="H100" s="6680" t="s">
        <v>3574</v>
      </c>
      <c r="I100" s="6768"/>
      <c r="J100" s="6768"/>
      <c r="K100" s="6768"/>
      <c r="L100" s="6768"/>
      <c r="M100" s="8474"/>
      <c r="N100" s="8493" t="s">
        <v>3575</v>
      </c>
      <c r="O100" s="6768"/>
      <c r="P100" s="6768"/>
      <c r="Q100" s="6768"/>
      <c r="R100" s="6768"/>
      <c r="S100" s="8474"/>
      <c r="T100" s="8477" t="s">
        <v>3383</v>
      </c>
      <c r="U100" s="8477"/>
      <c r="V100" s="8486"/>
      <c r="W100" s="8493" t="s">
        <v>3576</v>
      </c>
      <c r="X100" s="6768"/>
      <c r="Y100" s="6768"/>
      <c r="Z100" s="6768"/>
      <c r="AA100" s="6768"/>
      <c r="AB100" s="8494"/>
      <c r="AC100" s="4303"/>
      <c r="AD100" s="4303"/>
      <c r="AE100" s="4303"/>
      <c r="AF100" s="4303"/>
      <c r="AG100" s="4303"/>
      <c r="AH100" s="4303"/>
      <c r="AI100" s="4303"/>
      <c r="AJ100" s="4303"/>
      <c r="AK100" s="4303"/>
      <c r="AL100" s="4303"/>
      <c r="AM100" s="4303"/>
    </row>
    <row r="101" spans="1:39" s="102" customFormat="1" ht="15" customHeight="1" x14ac:dyDescent="0.15">
      <c r="A101" s="8479"/>
      <c r="B101" s="8477" t="s">
        <v>3734</v>
      </c>
      <c r="C101" s="8476"/>
      <c r="D101" s="8485" t="s">
        <v>4</v>
      </c>
      <c r="E101" s="8476"/>
      <c r="F101" s="8485" t="s">
        <v>3539</v>
      </c>
      <c r="G101" s="8476"/>
      <c r="H101" s="8477" t="s">
        <v>3734</v>
      </c>
      <c r="I101" s="8476"/>
      <c r="J101" s="8485" t="s">
        <v>4</v>
      </c>
      <c r="K101" s="8476"/>
      <c r="L101" s="8485" t="s">
        <v>3539</v>
      </c>
      <c r="M101" s="8486"/>
      <c r="N101" s="8477" t="s">
        <v>3734</v>
      </c>
      <c r="O101" s="8476"/>
      <c r="P101" s="8485" t="s">
        <v>4</v>
      </c>
      <c r="Q101" s="8476"/>
      <c r="R101" s="8485" t="s">
        <v>3539</v>
      </c>
      <c r="S101" s="8486"/>
      <c r="T101" s="4299" t="s">
        <v>947</v>
      </c>
      <c r="U101" s="6768" t="s">
        <v>702</v>
      </c>
      <c r="V101" s="8474"/>
      <c r="W101" s="8477" t="s">
        <v>3734</v>
      </c>
      <c r="X101" s="8476"/>
      <c r="Y101" s="8485" t="s">
        <v>4</v>
      </c>
      <c r="Z101" s="8476"/>
      <c r="AA101" s="8485" t="s">
        <v>3539</v>
      </c>
      <c r="AB101" s="8476"/>
      <c r="AC101" s="4303"/>
      <c r="AD101" s="4303"/>
      <c r="AE101" s="4303"/>
      <c r="AF101" s="4303"/>
      <c r="AG101" s="4303"/>
      <c r="AH101" s="4303"/>
      <c r="AI101" s="4303"/>
      <c r="AJ101" s="4303"/>
      <c r="AK101" s="4303"/>
      <c r="AL101" s="4303"/>
      <c r="AM101" s="4303"/>
    </row>
    <row r="102" spans="1:39" s="102" customFormat="1" ht="21" customHeight="1" x14ac:dyDescent="0.15">
      <c r="A102" s="8480"/>
      <c r="B102" s="4260" t="s">
        <v>22</v>
      </c>
      <c r="C102" s="4261" t="s">
        <v>27</v>
      </c>
      <c r="D102" s="4262" t="s">
        <v>22</v>
      </c>
      <c r="E102" s="4261" t="s">
        <v>27</v>
      </c>
      <c r="F102" s="4262" t="s">
        <v>22</v>
      </c>
      <c r="G102" s="4261" t="s">
        <v>27</v>
      </c>
      <c r="H102" s="4262" t="s">
        <v>22</v>
      </c>
      <c r="I102" s="4261" t="s">
        <v>27</v>
      </c>
      <c r="J102" s="4262" t="s">
        <v>22</v>
      </c>
      <c r="K102" s="4261" t="s">
        <v>27</v>
      </c>
      <c r="L102" s="4262" t="s">
        <v>22</v>
      </c>
      <c r="M102" s="4263" t="s">
        <v>27</v>
      </c>
      <c r="N102" s="4266" t="s">
        <v>22</v>
      </c>
      <c r="O102" s="4261" t="s">
        <v>27</v>
      </c>
      <c r="P102" s="4260" t="s">
        <v>22</v>
      </c>
      <c r="Q102" s="4261" t="s">
        <v>27</v>
      </c>
      <c r="R102" s="4262" t="s">
        <v>22</v>
      </c>
      <c r="S102" s="4263" t="s">
        <v>27</v>
      </c>
      <c r="T102" s="3089" t="s">
        <v>995</v>
      </c>
      <c r="U102" s="4264" t="s">
        <v>949</v>
      </c>
      <c r="V102" s="4265" t="s">
        <v>950</v>
      </c>
      <c r="W102" s="4266" t="s">
        <v>22</v>
      </c>
      <c r="X102" s="4261" t="s">
        <v>27</v>
      </c>
      <c r="Y102" s="4260" t="s">
        <v>22</v>
      </c>
      <c r="Z102" s="4261" t="s">
        <v>27</v>
      </c>
      <c r="AA102" s="4262" t="s">
        <v>22</v>
      </c>
      <c r="AB102" s="4261" t="s">
        <v>27</v>
      </c>
      <c r="AC102" s="4303"/>
      <c r="AD102" s="4303"/>
      <c r="AE102" s="4303"/>
      <c r="AF102" s="4303"/>
      <c r="AG102" s="4303"/>
      <c r="AH102" s="4303"/>
      <c r="AI102" s="4303"/>
      <c r="AJ102" s="4303"/>
      <c r="AK102" s="4303"/>
      <c r="AL102" s="4303"/>
      <c r="AM102" s="4303"/>
    </row>
    <row r="103" spans="1:39" s="102" customFormat="1" ht="15" customHeight="1" x14ac:dyDescent="0.15">
      <c r="A103" s="4267" t="s">
        <v>24</v>
      </c>
      <c r="B103" s="586">
        <f>SUM(B104:B114)</f>
        <v>0</v>
      </c>
      <c r="C103" s="4309">
        <f t="shared" ref="C103:AB103" si="6">SUM(C104:C114)</f>
        <v>0</v>
      </c>
      <c r="D103" s="586">
        <f t="shared" si="6"/>
        <v>0</v>
      </c>
      <c r="E103" s="4309">
        <f t="shared" si="6"/>
        <v>0</v>
      </c>
      <c r="F103" s="586">
        <f t="shared" si="6"/>
        <v>0</v>
      </c>
      <c r="G103" s="4309">
        <f t="shared" si="6"/>
        <v>0</v>
      </c>
      <c r="H103" s="586">
        <f t="shared" si="6"/>
        <v>0</v>
      </c>
      <c r="I103" s="4309">
        <f t="shared" si="6"/>
        <v>0</v>
      </c>
      <c r="J103" s="586">
        <f t="shared" si="6"/>
        <v>0</v>
      </c>
      <c r="K103" s="4309">
        <f t="shared" si="6"/>
        <v>0</v>
      </c>
      <c r="L103" s="586">
        <f t="shared" si="6"/>
        <v>0</v>
      </c>
      <c r="M103" s="586">
        <f t="shared" si="6"/>
        <v>0</v>
      </c>
      <c r="N103" s="4271">
        <f t="shared" si="6"/>
        <v>0</v>
      </c>
      <c r="O103" s="6046">
        <f t="shared" si="6"/>
        <v>0</v>
      </c>
      <c r="P103" s="5811">
        <f t="shared" si="6"/>
        <v>0</v>
      </c>
      <c r="Q103" s="6046">
        <f t="shared" si="6"/>
        <v>0</v>
      </c>
      <c r="R103" s="5811">
        <f t="shared" si="6"/>
        <v>0</v>
      </c>
      <c r="S103" s="4310">
        <f t="shared" si="6"/>
        <v>0</v>
      </c>
      <c r="T103" s="4271">
        <f t="shared" si="6"/>
        <v>0</v>
      </c>
      <c r="U103" s="4327">
        <f t="shared" si="6"/>
        <v>0</v>
      </c>
      <c r="V103" s="4328">
        <f t="shared" si="6"/>
        <v>0</v>
      </c>
      <c r="W103" s="4270">
        <f t="shared" si="6"/>
        <v>0</v>
      </c>
      <c r="X103" s="3438">
        <f t="shared" si="6"/>
        <v>0</v>
      </c>
      <c r="Y103" s="586">
        <f t="shared" si="6"/>
        <v>0</v>
      </c>
      <c r="Z103" s="3438">
        <f t="shared" si="6"/>
        <v>0</v>
      </c>
      <c r="AA103" s="120">
        <f>SUM(AA104:AA114)</f>
        <v>0</v>
      </c>
      <c r="AB103" s="3438">
        <f t="shared" si="6"/>
        <v>0</v>
      </c>
      <c r="AC103" s="4303"/>
      <c r="AD103" s="4303"/>
      <c r="AE103" s="4303"/>
      <c r="AF103" s="4303"/>
      <c r="AG103" s="4303"/>
      <c r="AH103" s="4303"/>
      <c r="AI103" s="4303"/>
      <c r="AJ103" s="4303"/>
      <c r="AK103" s="4303"/>
      <c r="AL103" s="4303"/>
      <c r="AM103" s="4303"/>
    </row>
    <row r="104" spans="1:39" s="102" customFormat="1" ht="15" customHeight="1" x14ac:dyDescent="0.15">
      <c r="A104" s="3603" t="s">
        <v>3577</v>
      </c>
      <c r="B104" s="129"/>
      <c r="C104" s="92"/>
      <c r="D104" s="90"/>
      <c r="E104" s="92"/>
      <c r="F104" s="90"/>
      <c r="G104" s="92"/>
      <c r="H104" s="90"/>
      <c r="I104" s="92"/>
      <c r="J104" s="90"/>
      <c r="K104" s="92"/>
      <c r="L104" s="90"/>
      <c r="M104" s="94"/>
      <c r="N104" s="4329">
        <f t="shared" ref="N104:S114" si="7">+B104+H104</f>
        <v>0</v>
      </c>
      <c r="O104" s="3442">
        <f t="shared" si="7"/>
        <v>0</v>
      </c>
      <c r="P104" s="3398">
        <f t="shared" si="7"/>
        <v>0</v>
      </c>
      <c r="Q104" s="3442">
        <f t="shared" si="7"/>
        <v>0</v>
      </c>
      <c r="R104" s="3397">
        <f t="shared" si="7"/>
        <v>0</v>
      </c>
      <c r="S104" s="4330">
        <f t="shared" si="7"/>
        <v>0</v>
      </c>
      <c r="T104" s="129"/>
      <c r="U104" s="2056"/>
      <c r="V104" s="94"/>
      <c r="W104" s="4331"/>
      <c r="X104" s="4332"/>
      <c r="Y104" s="4333"/>
      <c r="Z104" s="4332"/>
      <c r="AA104" s="4334"/>
      <c r="AB104" s="4332"/>
      <c r="AC104" s="4303"/>
      <c r="AD104" s="4303"/>
      <c r="AE104" s="4303"/>
      <c r="AF104" s="4303"/>
      <c r="AG104" s="4303"/>
      <c r="AH104" s="4303"/>
      <c r="AI104" s="4303"/>
      <c r="AJ104" s="4303"/>
      <c r="AK104" s="4303"/>
      <c r="AL104" s="4303"/>
      <c r="AM104" s="4303"/>
    </row>
    <row r="105" spans="1:39" s="102" customFormat="1" ht="15" customHeight="1" x14ac:dyDescent="0.15">
      <c r="A105" s="3603" t="s">
        <v>3578</v>
      </c>
      <c r="B105" s="129"/>
      <c r="C105" s="92"/>
      <c r="D105" s="90"/>
      <c r="E105" s="92"/>
      <c r="F105" s="90"/>
      <c r="G105" s="92"/>
      <c r="H105" s="90"/>
      <c r="I105" s="92"/>
      <c r="J105" s="90"/>
      <c r="K105" s="92"/>
      <c r="L105" s="90"/>
      <c r="M105" s="94"/>
      <c r="N105" s="4329">
        <f t="shared" si="7"/>
        <v>0</v>
      </c>
      <c r="O105" s="3442">
        <f t="shared" si="7"/>
        <v>0</v>
      </c>
      <c r="P105" s="3398">
        <f t="shared" si="7"/>
        <v>0</v>
      </c>
      <c r="Q105" s="3442">
        <f t="shared" si="7"/>
        <v>0</v>
      </c>
      <c r="R105" s="3397">
        <f t="shared" si="7"/>
        <v>0</v>
      </c>
      <c r="S105" s="4330">
        <f t="shared" si="7"/>
        <v>0</v>
      </c>
      <c r="T105" s="129"/>
      <c r="U105" s="2056"/>
      <c r="V105" s="94"/>
      <c r="W105" s="4285"/>
      <c r="X105" s="4286"/>
      <c r="Y105" s="4287"/>
      <c r="Z105" s="4286"/>
      <c r="AA105" s="4288"/>
      <c r="AB105" s="4286"/>
      <c r="AC105" s="4303"/>
      <c r="AD105" s="4303"/>
      <c r="AE105" s="4303"/>
      <c r="AF105" s="4303"/>
      <c r="AG105" s="4303"/>
      <c r="AH105" s="4303"/>
      <c r="AI105" s="4303"/>
      <c r="AJ105" s="4303"/>
      <c r="AK105" s="4303"/>
      <c r="AL105" s="4303"/>
      <c r="AM105" s="4303"/>
    </row>
    <row r="106" spans="1:39" s="102" customFormat="1" ht="15" customHeight="1" x14ac:dyDescent="0.15">
      <c r="A106" s="3603" t="s">
        <v>3579</v>
      </c>
      <c r="B106" s="129"/>
      <c r="C106" s="92"/>
      <c r="D106" s="90"/>
      <c r="E106" s="92"/>
      <c r="F106" s="90"/>
      <c r="G106" s="92"/>
      <c r="H106" s="90"/>
      <c r="I106" s="92"/>
      <c r="J106" s="90"/>
      <c r="K106" s="92"/>
      <c r="L106" s="90"/>
      <c r="M106" s="94"/>
      <c r="N106" s="4329">
        <f t="shared" si="7"/>
        <v>0</v>
      </c>
      <c r="O106" s="3442">
        <f t="shared" si="7"/>
        <v>0</v>
      </c>
      <c r="P106" s="3398">
        <f t="shared" si="7"/>
        <v>0</v>
      </c>
      <c r="Q106" s="3442">
        <f t="shared" si="7"/>
        <v>0</v>
      </c>
      <c r="R106" s="3397">
        <f t="shared" si="7"/>
        <v>0</v>
      </c>
      <c r="S106" s="4330">
        <f t="shared" si="7"/>
        <v>0</v>
      </c>
      <c r="T106" s="129"/>
      <c r="U106" s="2056"/>
      <c r="V106" s="94"/>
      <c r="W106" s="4285"/>
      <c r="X106" s="4286"/>
      <c r="Y106" s="4287"/>
      <c r="Z106" s="4286"/>
      <c r="AA106" s="4288"/>
      <c r="AB106" s="4286"/>
      <c r="AC106" s="4303"/>
      <c r="AD106" s="4303"/>
      <c r="AE106" s="4303"/>
      <c r="AF106" s="4303"/>
      <c r="AG106" s="4303"/>
      <c r="AH106" s="4303"/>
      <c r="AI106" s="4303"/>
      <c r="AJ106" s="4303"/>
      <c r="AK106" s="4303"/>
      <c r="AL106" s="4303"/>
      <c r="AM106" s="4303"/>
    </row>
    <row r="107" spans="1:39" s="102" customFormat="1" ht="15" customHeight="1" x14ac:dyDescent="0.15">
      <c r="A107" s="3603" t="s">
        <v>3580</v>
      </c>
      <c r="B107" s="129"/>
      <c r="C107" s="92"/>
      <c r="D107" s="90"/>
      <c r="E107" s="92"/>
      <c r="F107" s="90"/>
      <c r="G107" s="92"/>
      <c r="H107" s="90"/>
      <c r="I107" s="92"/>
      <c r="J107" s="90"/>
      <c r="K107" s="92"/>
      <c r="L107" s="90"/>
      <c r="M107" s="94"/>
      <c r="N107" s="4329">
        <f t="shared" si="7"/>
        <v>0</v>
      </c>
      <c r="O107" s="3442">
        <f t="shared" si="7"/>
        <v>0</v>
      </c>
      <c r="P107" s="3398">
        <f t="shared" si="7"/>
        <v>0</v>
      </c>
      <c r="Q107" s="3442">
        <f t="shared" si="7"/>
        <v>0</v>
      </c>
      <c r="R107" s="3397">
        <f t="shared" si="7"/>
        <v>0</v>
      </c>
      <c r="S107" s="4330">
        <f t="shared" si="7"/>
        <v>0</v>
      </c>
      <c r="T107" s="129"/>
      <c r="U107" s="2056"/>
      <c r="V107" s="94"/>
      <c r="W107" s="4285"/>
      <c r="X107" s="4286"/>
      <c r="Y107" s="4287"/>
      <c r="Z107" s="4286"/>
      <c r="AA107" s="4288"/>
      <c r="AB107" s="4286"/>
      <c r="AC107" s="4303"/>
      <c r="AD107" s="4303"/>
      <c r="AE107" s="4303"/>
      <c r="AF107" s="4303"/>
      <c r="AG107" s="4303"/>
      <c r="AH107" s="4303"/>
      <c r="AI107" s="4303"/>
      <c r="AJ107" s="4303"/>
      <c r="AK107" s="4303"/>
      <c r="AL107" s="4303"/>
      <c r="AM107" s="4303"/>
    </row>
    <row r="108" spans="1:39" s="102" customFormat="1" ht="15" customHeight="1" x14ac:dyDescent="0.15">
      <c r="A108" s="3603" t="s">
        <v>3581</v>
      </c>
      <c r="B108" s="129"/>
      <c r="C108" s="92"/>
      <c r="D108" s="90"/>
      <c r="E108" s="92"/>
      <c r="F108" s="90"/>
      <c r="G108" s="92"/>
      <c r="H108" s="90"/>
      <c r="I108" s="92"/>
      <c r="J108" s="90"/>
      <c r="K108" s="92"/>
      <c r="L108" s="90"/>
      <c r="M108" s="94"/>
      <c r="N108" s="4329">
        <f t="shared" si="7"/>
        <v>0</v>
      </c>
      <c r="O108" s="3442">
        <f t="shared" si="7"/>
        <v>0</v>
      </c>
      <c r="P108" s="3398">
        <f t="shared" si="7"/>
        <v>0</v>
      </c>
      <c r="Q108" s="3442">
        <f t="shared" si="7"/>
        <v>0</v>
      </c>
      <c r="R108" s="3397">
        <f t="shared" si="7"/>
        <v>0</v>
      </c>
      <c r="S108" s="4330">
        <f t="shared" si="7"/>
        <v>0</v>
      </c>
      <c r="T108" s="129"/>
      <c r="U108" s="2056"/>
      <c r="V108" s="94"/>
      <c r="W108" s="4285"/>
      <c r="X108" s="4286"/>
      <c r="Y108" s="4287"/>
      <c r="Z108" s="4286"/>
      <c r="AA108" s="4288"/>
      <c r="AB108" s="4286"/>
      <c r="AC108" s="4303"/>
      <c r="AD108" s="4303"/>
      <c r="AE108" s="4303"/>
      <c r="AF108" s="4303"/>
      <c r="AG108" s="4303"/>
      <c r="AH108" s="4303"/>
      <c r="AI108" s="4303"/>
      <c r="AJ108" s="4303"/>
      <c r="AK108" s="4303"/>
      <c r="AL108" s="4303"/>
      <c r="AM108" s="4303"/>
    </row>
    <row r="109" spans="1:39" s="102" customFormat="1" ht="15" customHeight="1" x14ac:dyDescent="0.15">
      <c r="A109" s="3603" t="s">
        <v>3582</v>
      </c>
      <c r="B109" s="129"/>
      <c r="C109" s="92"/>
      <c r="D109" s="90"/>
      <c r="E109" s="92"/>
      <c r="F109" s="90"/>
      <c r="G109" s="92"/>
      <c r="H109" s="90"/>
      <c r="I109" s="92"/>
      <c r="J109" s="90"/>
      <c r="K109" s="92"/>
      <c r="L109" s="90"/>
      <c r="M109" s="94"/>
      <c r="N109" s="4329">
        <f t="shared" si="7"/>
        <v>0</v>
      </c>
      <c r="O109" s="3442">
        <f t="shared" si="7"/>
        <v>0</v>
      </c>
      <c r="P109" s="3398">
        <f t="shared" si="7"/>
        <v>0</v>
      </c>
      <c r="Q109" s="3442">
        <f t="shared" si="7"/>
        <v>0</v>
      </c>
      <c r="R109" s="3397">
        <f t="shared" si="7"/>
        <v>0</v>
      </c>
      <c r="S109" s="4330">
        <f t="shared" si="7"/>
        <v>0</v>
      </c>
      <c r="T109" s="129"/>
      <c r="U109" s="2056"/>
      <c r="V109" s="94"/>
      <c r="W109" s="4285"/>
      <c r="X109" s="4286"/>
      <c r="Y109" s="4287"/>
      <c r="Z109" s="4286"/>
      <c r="AA109" s="4288"/>
      <c r="AB109" s="4286"/>
      <c r="AC109" s="4303"/>
      <c r="AD109" s="4303"/>
      <c r="AE109" s="4303"/>
      <c r="AF109" s="4303"/>
      <c r="AG109" s="4303"/>
      <c r="AH109" s="4303"/>
      <c r="AI109" s="4303"/>
      <c r="AJ109" s="4303"/>
      <c r="AK109" s="4303"/>
      <c r="AL109" s="4303"/>
      <c r="AM109" s="4303"/>
    </row>
    <row r="110" spans="1:39" s="102" customFormat="1" ht="15" customHeight="1" x14ac:dyDescent="0.15">
      <c r="A110" s="3603" t="s">
        <v>3583</v>
      </c>
      <c r="B110" s="129"/>
      <c r="C110" s="92"/>
      <c r="D110" s="90"/>
      <c r="E110" s="92"/>
      <c r="F110" s="90"/>
      <c r="G110" s="92"/>
      <c r="H110" s="90"/>
      <c r="I110" s="92"/>
      <c r="J110" s="90"/>
      <c r="K110" s="92"/>
      <c r="L110" s="90"/>
      <c r="M110" s="94"/>
      <c r="N110" s="4329">
        <f t="shared" si="7"/>
        <v>0</v>
      </c>
      <c r="O110" s="3442">
        <f t="shared" si="7"/>
        <v>0</v>
      </c>
      <c r="P110" s="3398">
        <f t="shared" si="7"/>
        <v>0</v>
      </c>
      <c r="Q110" s="3442">
        <f t="shared" si="7"/>
        <v>0</v>
      </c>
      <c r="R110" s="3397">
        <f t="shared" si="7"/>
        <v>0</v>
      </c>
      <c r="S110" s="4330">
        <f t="shared" si="7"/>
        <v>0</v>
      </c>
      <c r="T110" s="129"/>
      <c r="U110" s="2056"/>
      <c r="V110" s="94"/>
      <c r="W110" s="4285"/>
      <c r="X110" s="4286"/>
      <c r="Y110" s="4287"/>
      <c r="Z110" s="4286"/>
      <c r="AA110" s="4288"/>
      <c r="AB110" s="4286"/>
      <c r="AC110" s="4303"/>
      <c r="AD110" s="4303"/>
      <c r="AE110" s="4303"/>
      <c r="AF110" s="4303"/>
      <c r="AG110" s="4303"/>
      <c r="AH110" s="4303"/>
      <c r="AI110" s="4303"/>
      <c r="AJ110" s="4303"/>
      <c r="AK110" s="4303"/>
      <c r="AL110" s="4303"/>
      <c r="AM110" s="4303"/>
    </row>
    <row r="111" spans="1:39" s="102" customFormat="1" ht="15" customHeight="1" x14ac:dyDescent="0.15">
      <c r="A111" s="3603" t="s">
        <v>3584</v>
      </c>
      <c r="B111" s="129"/>
      <c r="C111" s="92"/>
      <c r="D111" s="90"/>
      <c r="E111" s="92"/>
      <c r="F111" s="90"/>
      <c r="G111" s="92"/>
      <c r="H111" s="90"/>
      <c r="I111" s="92"/>
      <c r="J111" s="90"/>
      <c r="K111" s="92"/>
      <c r="L111" s="90"/>
      <c r="M111" s="94"/>
      <c r="N111" s="4329">
        <f t="shared" si="7"/>
        <v>0</v>
      </c>
      <c r="O111" s="3442">
        <f t="shared" si="7"/>
        <v>0</v>
      </c>
      <c r="P111" s="3398">
        <f t="shared" si="7"/>
        <v>0</v>
      </c>
      <c r="Q111" s="3442">
        <f t="shared" si="7"/>
        <v>0</v>
      </c>
      <c r="R111" s="3397">
        <f t="shared" si="7"/>
        <v>0</v>
      </c>
      <c r="S111" s="4330">
        <f t="shared" si="7"/>
        <v>0</v>
      </c>
      <c r="T111" s="129"/>
      <c r="U111" s="2056"/>
      <c r="V111" s="94"/>
      <c r="W111" s="4285"/>
      <c r="X111" s="4286"/>
      <c r="Y111" s="4287"/>
      <c r="Z111" s="4286"/>
      <c r="AA111" s="4288"/>
      <c r="AB111" s="4286"/>
      <c r="AC111" s="4303"/>
      <c r="AD111" s="4303"/>
      <c r="AE111" s="4303"/>
      <c r="AF111" s="4303"/>
      <c r="AG111" s="4303"/>
      <c r="AH111" s="4303"/>
      <c r="AI111" s="4303"/>
      <c r="AJ111" s="4303"/>
      <c r="AK111" s="4303"/>
      <c r="AL111" s="4303"/>
      <c r="AM111" s="4303"/>
    </row>
    <row r="112" spans="1:39" s="102" customFormat="1" ht="15" customHeight="1" x14ac:dyDescent="0.15">
      <c r="A112" s="3603" t="s">
        <v>3585</v>
      </c>
      <c r="B112" s="129"/>
      <c r="C112" s="92"/>
      <c r="D112" s="90"/>
      <c r="E112" s="92"/>
      <c r="F112" s="90"/>
      <c r="G112" s="92"/>
      <c r="H112" s="90"/>
      <c r="I112" s="92"/>
      <c r="J112" s="90"/>
      <c r="K112" s="92"/>
      <c r="L112" s="90"/>
      <c r="M112" s="94"/>
      <c r="N112" s="4329">
        <f t="shared" si="7"/>
        <v>0</v>
      </c>
      <c r="O112" s="3442">
        <f t="shared" si="7"/>
        <v>0</v>
      </c>
      <c r="P112" s="3398">
        <f t="shared" si="7"/>
        <v>0</v>
      </c>
      <c r="Q112" s="3442">
        <f t="shared" si="7"/>
        <v>0</v>
      </c>
      <c r="R112" s="3397">
        <f t="shared" si="7"/>
        <v>0</v>
      </c>
      <c r="S112" s="4330">
        <f t="shared" si="7"/>
        <v>0</v>
      </c>
      <c r="T112" s="129"/>
      <c r="U112" s="2056"/>
      <c r="V112" s="94"/>
      <c r="W112" s="4285"/>
      <c r="X112" s="4286"/>
      <c r="Y112" s="4287"/>
      <c r="Z112" s="4286"/>
      <c r="AA112" s="4288"/>
      <c r="AB112" s="4286"/>
      <c r="AC112" s="4303"/>
      <c r="AD112" s="4303"/>
      <c r="AE112" s="4303"/>
      <c r="AF112" s="4303"/>
      <c r="AG112" s="4303"/>
      <c r="AH112" s="4303"/>
      <c r="AI112" s="4303"/>
      <c r="AJ112" s="4303"/>
      <c r="AK112" s="4303"/>
      <c r="AL112" s="4303"/>
      <c r="AM112" s="4303"/>
    </row>
    <row r="113" spans="1:39" s="102" customFormat="1" ht="15" customHeight="1" x14ac:dyDescent="0.15">
      <c r="A113" s="3603" t="s">
        <v>3586</v>
      </c>
      <c r="B113" s="129"/>
      <c r="C113" s="92"/>
      <c r="D113" s="90"/>
      <c r="E113" s="92"/>
      <c r="F113" s="90"/>
      <c r="G113" s="92"/>
      <c r="H113" s="90"/>
      <c r="I113" s="92"/>
      <c r="J113" s="90"/>
      <c r="K113" s="92"/>
      <c r="L113" s="90"/>
      <c r="M113" s="94"/>
      <c r="N113" s="4329">
        <f t="shared" si="7"/>
        <v>0</v>
      </c>
      <c r="O113" s="3442">
        <f t="shared" si="7"/>
        <v>0</v>
      </c>
      <c r="P113" s="3398">
        <f>+D113+J113</f>
        <v>0</v>
      </c>
      <c r="Q113" s="3442">
        <f>+E113+K113</f>
        <v>0</v>
      </c>
      <c r="R113" s="3397">
        <f t="shared" si="7"/>
        <v>0</v>
      </c>
      <c r="S113" s="4330">
        <f t="shared" si="7"/>
        <v>0</v>
      </c>
      <c r="T113" s="129"/>
      <c r="U113" s="2056"/>
      <c r="V113" s="94"/>
      <c r="W113" s="4285"/>
      <c r="X113" s="4286"/>
      <c r="Y113" s="4287"/>
      <c r="Z113" s="4286"/>
      <c r="AA113" s="4288"/>
      <c r="AB113" s="4286"/>
      <c r="AC113" s="4303"/>
      <c r="AD113" s="4303"/>
      <c r="AE113" s="4303"/>
      <c r="AF113" s="4303"/>
      <c r="AG113" s="4303"/>
      <c r="AH113" s="4303"/>
      <c r="AI113" s="4303"/>
      <c r="AJ113" s="4303"/>
      <c r="AK113" s="4303"/>
      <c r="AL113" s="4303"/>
      <c r="AM113" s="4303"/>
    </row>
    <row r="114" spans="1:39" s="102" customFormat="1" ht="15" customHeight="1" x14ac:dyDescent="0.15">
      <c r="A114" s="587" t="s">
        <v>3587</v>
      </c>
      <c r="B114" s="121"/>
      <c r="C114" s="3124"/>
      <c r="D114" s="114"/>
      <c r="E114" s="3124"/>
      <c r="F114" s="114"/>
      <c r="G114" s="3124"/>
      <c r="H114" s="114"/>
      <c r="I114" s="3124"/>
      <c r="J114" s="114"/>
      <c r="K114" s="3124"/>
      <c r="L114" s="114"/>
      <c r="M114" s="3169"/>
      <c r="N114" s="4270">
        <f t="shared" si="7"/>
        <v>0</v>
      </c>
      <c r="O114" s="3438">
        <f t="shared" si="7"/>
        <v>0</v>
      </c>
      <c r="P114" s="586">
        <f t="shared" si="7"/>
        <v>0</v>
      </c>
      <c r="Q114" s="3438">
        <f t="shared" si="7"/>
        <v>0</v>
      </c>
      <c r="R114" s="120">
        <f t="shared" si="7"/>
        <v>0</v>
      </c>
      <c r="S114" s="4268">
        <f t="shared" si="7"/>
        <v>0</v>
      </c>
      <c r="T114" s="121"/>
      <c r="U114" s="138"/>
      <c r="V114" s="3169"/>
      <c r="W114" s="4295"/>
      <c r="X114" s="4296"/>
      <c r="Y114" s="4297"/>
      <c r="Z114" s="4296"/>
      <c r="AA114" s="4298"/>
      <c r="AB114" s="4296"/>
      <c r="AC114" s="4303"/>
      <c r="AD114" s="4303"/>
      <c r="AE114" s="4303"/>
      <c r="AF114" s="4303"/>
      <c r="AG114" s="4303"/>
      <c r="AH114" s="4303"/>
      <c r="AI114" s="4303"/>
      <c r="AJ114" s="4303"/>
      <c r="AK114" s="4303"/>
      <c r="AL114" s="4303"/>
      <c r="AM114" s="4303"/>
    </row>
    <row r="115" spans="1:39" s="101" customFormat="1" ht="18" customHeight="1" x14ac:dyDescent="0.15">
      <c r="A115" s="564" t="s">
        <v>3588</v>
      </c>
      <c r="B115" s="564"/>
      <c r="C115" s="564"/>
      <c r="D115" s="564"/>
      <c r="E115" s="564"/>
      <c r="F115" s="564"/>
      <c r="G115" s="564"/>
    </row>
    <row r="116" spans="1:39" s="102" customFormat="1" ht="15" customHeight="1" x14ac:dyDescent="0.15">
      <c r="A116" s="8478" t="s">
        <v>3589</v>
      </c>
      <c r="B116" s="6680" t="s">
        <v>3553</v>
      </c>
      <c r="C116" s="6768"/>
      <c r="D116" s="6768"/>
      <c r="E116" s="6768"/>
      <c r="F116" s="6768"/>
      <c r="G116" s="6768"/>
      <c r="H116" s="6768"/>
      <c r="I116" s="6768"/>
      <c r="J116" s="8474"/>
      <c r="K116" s="8481" t="s">
        <v>3590</v>
      </c>
      <c r="L116" s="6468"/>
      <c r="M116" s="6468"/>
      <c r="N116" s="6468"/>
      <c r="O116" s="6468"/>
      <c r="P116" s="8482"/>
    </row>
    <row r="117" spans="1:39" s="102" customFormat="1" ht="15" customHeight="1" x14ac:dyDescent="0.15">
      <c r="A117" s="8479"/>
      <c r="B117" s="8477" t="s">
        <v>3734</v>
      </c>
      <c r="C117" s="8476"/>
      <c r="D117" s="8485" t="s">
        <v>4</v>
      </c>
      <c r="E117" s="8476"/>
      <c r="F117" s="8477" t="s">
        <v>3539</v>
      </c>
      <c r="G117" s="8476"/>
      <c r="H117" s="8475" t="s">
        <v>3383</v>
      </c>
      <c r="I117" s="8477"/>
      <c r="J117" s="8486"/>
      <c r="K117" s="8483"/>
      <c r="L117" s="6857"/>
      <c r="M117" s="6857"/>
      <c r="N117" s="6857"/>
      <c r="O117" s="6857"/>
      <c r="P117" s="8484"/>
    </row>
    <row r="118" spans="1:39" s="102" customFormat="1" ht="15" customHeight="1" x14ac:dyDescent="0.15">
      <c r="A118" s="8479"/>
      <c r="B118" s="8495" t="s">
        <v>22</v>
      </c>
      <c r="C118" s="8497" t="s">
        <v>27</v>
      </c>
      <c r="D118" s="8495" t="s">
        <v>22</v>
      </c>
      <c r="E118" s="8497" t="s">
        <v>27</v>
      </c>
      <c r="F118" s="8495" t="s">
        <v>22</v>
      </c>
      <c r="G118" s="8491" t="s">
        <v>27</v>
      </c>
      <c r="H118" s="4255" t="s">
        <v>947</v>
      </c>
      <c r="I118" s="6680" t="s">
        <v>702</v>
      </c>
      <c r="J118" s="8474"/>
      <c r="K118" s="8475" t="s">
        <v>3734</v>
      </c>
      <c r="L118" s="8476"/>
      <c r="M118" s="8477" t="s">
        <v>4</v>
      </c>
      <c r="N118" s="8476"/>
      <c r="O118" s="8485" t="s">
        <v>3539</v>
      </c>
      <c r="P118" s="8476"/>
    </row>
    <row r="119" spans="1:39" s="102" customFormat="1" ht="20.100000000000001" customHeight="1" x14ac:dyDescent="0.15">
      <c r="A119" s="8480"/>
      <c r="B119" s="8496"/>
      <c r="C119" s="8498"/>
      <c r="D119" s="8496"/>
      <c r="E119" s="8498"/>
      <c r="F119" s="8496"/>
      <c r="G119" s="8492"/>
      <c r="H119" s="4255" t="s">
        <v>995</v>
      </c>
      <c r="I119" s="4259" t="s">
        <v>949</v>
      </c>
      <c r="J119" s="4337" t="s">
        <v>950</v>
      </c>
      <c r="K119" s="4266" t="s">
        <v>22</v>
      </c>
      <c r="L119" s="4261" t="s">
        <v>27</v>
      </c>
      <c r="M119" s="4260" t="s">
        <v>22</v>
      </c>
      <c r="N119" s="4261" t="s">
        <v>27</v>
      </c>
      <c r="O119" s="4262" t="s">
        <v>22</v>
      </c>
      <c r="P119" s="4261" t="s">
        <v>27</v>
      </c>
    </row>
    <row r="120" spans="1:39" s="102" customFormat="1" ht="15" customHeight="1" x14ac:dyDescent="0.15">
      <c r="A120" s="4267" t="s">
        <v>24</v>
      </c>
      <c r="B120" s="4269">
        <f>SUM(B121:B124)</f>
        <v>0</v>
      </c>
      <c r="C120" s="4309">
        <f>SUM(C121:C124)</f>
        <v>0</v>
      </c>
      <c r="D120" s="4308">
        <f>SUM(D121:D124)</f>
        <v>0</v>
      </c>
      <c r="E120" s="4309">
        <f>SUM(E121:E124)</f>
        <v>0</v>
      </c>
      <c r="F120" s="4269">
        <f t="shared" ref="F120:P120" si="8">SUM(F121:F124)</f>
        <v>0</v>
      </c>
      <c r="G120" s="4310">
        <f t="shared" si="8"/>
        <v>0</v>
      </c>
      <c r="H120" s="4314">
        <f t="shared" si="8"/>
        <v>0</v>
      </c>
      <c r="I120" s="4338">
        <f t="shared" si="8"/>
        <v>0</v>
      </c>
      <c r="J120" s="4313">
        <f t="shared" si="8"/>
        <v>0</v>
      </c>
      <c r="K120" s="4311">
        <f t="shared" si="8"/>
        <v>0</v>
      </c>
      <c r="L120" s="4339">
        <f t="shared" si="8"/>
        <v>0</v>
      </c>
      <c r="M120" s="4338">
        <f t="shared" si="8"/>
        <v>0</v>
      </c>
      <c r="N120" s="4312">
        <f t="shared" si="8"/>
        <v>0</v>
      </c>
      <c r="O120" s="4315">
        <f t="shared" si="8"/>
        <v>0</v>
      </c>
      <c r="P120" s="4339">
        <f t="shared" si="8"/>
        <v>0</v>
      </c>
    </row>
    <row r="121" spans="1:39" s="102" customFormat="1" ht="15" customHeight="1" x14ac:dyDescent="0.15">
      <c r="A121" s="3603" t="s">
        <v>3591</v>
      </c>
      <c r="B121" s="125"/>
      <c r="C121" s="1429"/>
      <c r="D121" s="131"/>
      <c r="E121" s="1429"/>
      <c r="F121" s="125"/>
      <c r="G121" s="3175"/>
      <c r="H121" s="878"/>
      <c r="I121" s="125"/>
      <c r="J121" s="3119"/>
      <c r="K121" s="4331"/>
      <c r="L121" s="4332"/>
      <c r="M121" s="4333"/>
      <c r="N121" s="4332"/>
      <c r="O121" s="4334"/>
      <c r="P121" s="4286"/>
    </row>
    <row r="122" spans="1:39" s="102" customFormat="1" ht="15" customHeight="1" x14ac:dyDescent="0.15">
      <c r="A122" s="3603" t="s">
        <v>3592</v>
      </c>
      <c r="B122" s="129"/>
      <c r="C122" s="92"/>
      <c r="D122" s="90"/>
      <c r="E122" s="92"/>
      <c r="F122" s="129"/>
      <c r="G122" s="94"/>
      <c r="H122" s="91"/>
      <c r="I122" s="129"/>
      <c r="J122" s="1096"/>
      <c r="K122" s="4285"/>
      <c r="L122" s="4286"/>
      <c r="M122" s="4287"/>
      <c r="N122" s="4286"/>
      <c r="O122" s="4288"/>
      <c r="P122" s="4286"/>
    </row>
    <row r="123" spans="1:39" s="102" customFormat="1" ht="15" customHeight="1" x14ac:dyDescent="0.15">
      <c r="A123" s="3603" t="s">
        <v>3593</v>
      </c>
      <c r="B123" s="129"/>
      <c r="C123" s="92"/>
      <c r="D123" s="90"/>
      <c r="E123" s="92"/>
      <c r="F123" s="129"/>
      <c r="G123" s="94"/>
      <c r="H123" s="91"/>
      <c r="I123" s="129"/>
      <c r="J123" s="1096"/>
      <c r="K123" s="4285"/>
      <c r="L123" s="4286"/>
      <c r="M123" s="4287"/>
      <c r="N123" s="4286"/>
      <c r="O123" s="4288"/>
      <c r="P123" s="4286"/>
    </row>
    <row r="124" spans="1:39" s="102" customFormat="1" ht="15" customHeight="1" x14ac:dyDescent="0.15">
      <c r="A124" s="587" t="s">
        <v>3594</v>
      </c>
      <c r="B124" s="121"/>
      <c r="C124" s="3124"/>
      <c r="D124" s="114"/>
      <c r="E124" s="3124"/>
      <c r="F124" s="121"/>
      <c r="G124" s="3169"/>
      <c r="H124" s="2889"/>
      <c r="I124" s="121"/>
      <c r="J124" s="774"/>
      <c r="K124" s="4295"/>
      <c r="L124" s="4296"/>
      <c r="M124" s="4297"/>
      <c r="N124" s="4296"/>
      <c r="O124" s="4298"/>
      <c r="P124" s="4296"/>
    </row>
    <row r="125" spans="1:39" s="101" customFormat="1" ht="18" customHeight="1" x14ac:dyDescent="0.15">
      <c r="A125" s="564" t="s">
        <v>3595</v>
      </c>
      <c r="B125" s="564"/>
      <c r="C125" s="564"/>
      <c r="D125" s="564"/>
      <c r="E125" s="564"/>
      <c r="F125" s="564"/>
      <c r="G125" s="564"/>
    </row>
    <row r="126" spans="1:39" s="103" customFormat="1" ht="20.100000000000001" customHeight="1" x14ac:dyDescent="0.2">
      <c r="A126" s="8487" t="s">
        <v>2649</v>
      </c>
      <c r="B126" s="8040" t="s">
        <v>47</v>
      </c>
      <c r="C126" s="8488" t="s">
        <v>3596</v>
      </c>
      <c r="D126" s="6468"/>
      <c r="E126" s="8482"/>
      <c r="F126" s="8490" t="s">
        <v>3597</v>
      </c>
      <c r="G126" s="6603"/>
      <c r="H126" s="8491"/>
      <c r="I126" s="8493" t="s">
        <v>3598</v>
      </c>
      <c r="J126" s="6768"/>
      <c r="K126" s="6768"/>
      <c r="L126" s="6768"/>
      <c r="M126" s="6768"/>
      <c r="N126" s="8494"/>
    </row>
    <row r="127" spans="1:39" s="103" customFormat="1" ht="20.100000000000001" customHeight="1" x14ac:dyDescent="0.2">
      <c r="A127" s="8487"/>
      <c r="B127" s="7151"/>
      <c r="C127" s="8489"/>
      <c r="D127" s="6857"/>
      <c r="E127" s="8484"/>
      <c r="F127" s="8086"/>
      <c r="G127" s="6829"/>
      <c r="H127" s="8492"/>
      <c r="I127" s="8475" t="s">
        <v>3734</v>
      </c>
      <c r="J127" s="8476"/>
      <c r="K127" s="8477" t="s">
        <v>4</v>
      </c>
      <c r="L127" s="8476"/>
      <c r="M127" s="8485" t="s">
        <v>3539</v>
      </c>
      <c r="N127" s="8476"/>
    </row>
    <row r="128" spans="1:39" s="103" customFormat="1" ht="20.100000000000001" customHeight="1" x14ac:dyDescent="0.2">
      <c r="A128" s="8487" t="s">
        <v>3599</v>
      </c>
      <c r="B128" s="6451"/>
      <c r="C128" s="4299" t="s">
        <v>3734</v>
      </c>
      <c r="D128" s="4341" t="s">
        <v>4</v>
      </c>
      <c r="E128" s="4255" t="s">
        <v>3539</v>
      </c>
      <c r="F128" s="4262" t="s">
        <v>26</v>
      </c>
      <c r="G128" s="4260" t="s">
        <v>22</v>
      </c>
      <c r="H128" s="4257" t="s">
        <v>27</v>
      </c>
      <c r="I128" s="4266" t="s">
        <v>22</v>
      </c>
      <c r="J128" s="4258" t="s">
        <v>27</v>
      </c>
      <c r="K128" s="4260" t="s">
        <v>22</v>
      </c>
      <c r="L128" s="4258" t="s">
        <v>27</v>
      </c>
      <c r="M128" s="4260" t="s">
        <v>22</v>
      </c>
      <c r="N128" s="4261" t="s">
        <v>27</v>
      </c>
    </row>
    <row r="129" spans="1:14" s="103" customFormat="1" ht="15" customHeight="1" x14ac:dyDescent="0.2">
      <c r="A129" s="8040"/>
      <c r="B129" s="4342">
        <f>SUM(B130:B135)</f>
        <v>0</v>
      </c>
      <c r="C129" s="4308">
        <f t="shared" ref="C129:N129" si="9">SUM(C130:C135)</f>
        <v>0</v>
      </c>
      <c r="D129" s="4269">
        <f t="shared" si="9"/>
        <v>0</v>
      </c>
      <c r="E129" s="4343">
        <f t="shared" si="9"/>
        <v>0</v>
      </c>
      <c r="F129" s="4308">
        <f>SUM(F130:F135)</f>
        <v>0</v>
      </c>
      <c r="G129" s="4269">
        <f t="shared" si="9"/>
        <v>0</v>
      </c>
      <c r="H129" s="4344">
        <f t="shared" si="9"/>
        <v>0</v>
      </c>
      <c r="I129" s="4311">
        <f t="shared" si="9"/>
        <v>0</v>
      </c>
      <c r="J129" s="4314">
        <f t="shared" si="9"/>
        <v>0</v>
      </c>
      <c r="K129" s="4338">
        <f t="shared" si="9"/>
        <v>0</v>
      </c>
      <c r="L129" s="4314">
        <f t="shared" si="9"/>
        <v>0</v>
      </c>
      <c r="M129" s="4315">
        <f t="shared" si="9"/>
        <v>0</v>
      </c>
      <c r="N129" s="4314">
        <f t="shared" si="9"/>
        <v>0</v>
      </c>
    </row>
    <row r="130" spans="1:14" s="103" customFormat="1" ht="15" customHeight="1" x14ac:dyDescent="0.2">
      <c r="A130" s="4345" t="s">
        <v>1963</v>
      </c>
      <c r="B130" s="4346">
        <f>SUM(C130:E130)</f>
        <v>0</v>
      </c>
      <c r="C130" s="90"/>
      <c r="D130" s="129"/>
      <c r="E130" s="91"/>
      <c r="F130" s="4346">
        <f>SUM(G130:H130)</f>
        <v>0</v>
      </c>
      <c r="G130" s="129"/>
      <c r="H130" s="1096"/>
      <c r="I130" s="4285"/>
      <c r="J130" s="4347"/>
      <c r="K130" s="4287"/>
      <c r="L130" s="4347"/>
      <c r="M130" s="4288"/>
      <c r="N130" s="4347"/>
    </row>
    <row r="131" spans="1:14" s="103" customFormat="1" ht="15" customHeight="1" x14ac:dyDescent="0.2">
      <c r="A131" s="4348" t="s">
        <v>3600</v>
      </c>
      <c r="B131" s="3135">
        <f t="shared" ref="B131:B135" si="10">SUM(C131:E131)</f>
        <v>0</v>
      </c>
      <c r="C131" s="90"/>
      <c r="D131" s="129"/>
      <c r="E131" s="91"/>
      <c r="F131" s="3135">
        <f t="shared" ref="F131:F135" si="11">SUM(G131:H131)</f>
        <v>0</v>
      </c>
      <c r="G131" s="129"/>
      <c r="H131" s="1096"/>
      <c r="I131" s="4285"/>
      <c r="J131" s="4347"/>
      <c r="K131" s="4287"/>
      <c r="L131" s="4347"/>
      <c r="M131" s="4288"/>
      <c r="N131" s="4347"/>
    </row>
    <row r="132" spans="1:14" s="103" customFormat="1" ht="15" customHeight="1" x14ac:dyDescent="0.2">
      <c r="A132" s="4348" t="s">
        <v>3601</v>
      </c>
      <c r="B132" s="3135">
        <f t="shared" si="10"/>
        <v>0</v>
      </c>
      <c r="C132" s="90"/>
      <c r="D132" s="129"/>
      <c r="E132" s="91"/>
      <c r="F132" s="3135">
        <f t="shared" si="11"/>
        <v>0</v>
      </c>
      <c r="G132" s="129"/>
      <c r="H132" s="1096"/>
      <c r="I132" s="4285"/>
      <c r="J132" s="4347"/>
      <c r="K132" s="4287"/>
      <c r="L132" s="4347"/>
      <c r="M132" s="4288"/>
      <c r="N132" s="4347"/>
    </row>
    <row r="133" spans="1:14" s="103" customFormat="1" ht="15" customHeight="1" x14ac:dyDescent="0.2">
      <c r="A133" s="4348" t="s">
        <v>1893</v>
      </c>
      <c r="B133" s="3135">
        <f t="shared" si="10"/>
        <v>0</v>
      </c>
      <c r="C133" s="90"/>
      <c r="D133" s="129"/>
      <c r="E133" s="91"/>
      <c r="F133" s="3135">
        <f t="shared" si="11"/>
        <v>0</v>
      </c>
      <c r="G133" s="129"/>
      <c r="H133" s="1096"/>
      <c r="I133" s="4285"/>
      <c r="J133" s="4347"/>
      <c r="K133" s="4287"/>
      <c r="L133" s="4347"/>
      <c r="M133" s="4288"/>
      <c r="N133" s="4347"/>
    </row>
    <row r="134" spans="1:14" s="103" customFormat="1" ht="15" customHeight="1" x14ac:dyDescent="0.2">
      <c r="A134" s="4348" t="s">
        <v>3602</v>
      </c>
      <c r="B134" s="3135">
        <f t="shared" si="10"/>
        <v>0</v>
      </c>
      <c r="C134" s="90"/>
      <c r="D134" s="129"/>
      <c r="E134" s="91"/>
      <c r="F134" s="3135">
        <f t="shared" si="11"/>
        <v>0</v>
      </c>
      <c r="G134" s="129"/>
      <c r="H134" s="1096"/>
      <c r="I134" s="4285"/>
      <c r="J134" s="4347"/>
      <c r="K134" s="4287"/>
      <c r="L134" s="4347"/>
      <c r="M134" s="4288"/>
      <c r="N134" s="4347"/>
    </row>
    <row r="135" spans="1:14" s="103" customFormat="1" ht="15" customHeight="1" x14ac:dyDescent="0.2">
      <c r="A135" s="4349" t="s">
        <v>28</v>
      </c>
      <c r="B135" s="150">
        <f t="shared" si="10"/>
        <v>0</v>
      </c>
      <c r="C135" s="114"/>
      <c r="D135" s="121"/>
      <c r="E135" s="2889"/>
      <c r="F135" s="150">
        <f t="shared" si="11"/>
        <v>0</v>
      </c>
      <c r="G135" s="121"/>
      <c r="H135" s="774"/>
      <c r="I135" s="4295"/>
      <c r="J135" s="4350"/>
      <c r="K135" s="4297"/>
      <c r="L135" s="4350"/>
      <c r="M135" s="4298"/>
      <c r="N135" s="4350"/>
    </row>
    <row r="136" spans="1:14" s="101" customFormat="1" ht="18" customHeight="1" x14ac:dyDescent="0.15">
      <c r="A136" s="564" t="s">
        <v>3603</v>
      </c>
      <c r="B136" s="564"/>
      <c r="C136" s="564"/>
      <c r="D136" s="564"/>
      <c r="E136" s="564"/>
      <c r="F136" s="564"/>
      <c r="G136" s="564"/>
    </row>
    <row r="137" spans="1:14" s="103" customFormat="1" ht="15" customHeight="1" x14ac:dyDescent="0.2">
      <c r="A137" s="8423" t="s">
        <v>3604</v>
      </c>
      <c r="B137" s="8435" t="s">
        <v>3383</v>
      </c>
      <c r="C137" s="8473"/>
      <c r="D137" s="8436"/>
    </row>
    <row r="138" spans="1:14" s="103" customFormat="1" ht="15" customHeight="1" x14ac:dyDescent="0.2">
      <c r="A138" s="7178"/>
      <c r="B138" s="4351" t="s">
        <v>947</v>
      </c>
      <c r="C138" s="6996" t="s">
        <v>702</v>
      </c>
      <c r="D138" s="6997"/>
    </row>
    <row r="139" spans="1:14" s="103" customFormat="1" ht="20.25" customHeight="1" x14ac:dyDescent="0.2">
      <c r="A139" s="6938"/>
      <c r="B139" s="4226" t="s">
        <v>995</v>
      </c>
      <c r="C139" s="4352" t="s">
        <v>949</v>
      </c>
      <c r="D139" s="4353" t="s">
        <v>950</v>
      </c>
    </row>
    <row r="140" spans="1:14" s="103" customFormat="1" ht="15" customHeight="1" x14ac:dyDescent="0.2">
      <c r="A140" s="4354" t="s">
        <v>996</v>
      </c>
      <c r="B140" s="4355"/>
      <c r="C140" s="4356"/>
      <c r="D140" s="4357"/>
    </row>
    <row r="180" spans="1:2" hidden="1" x14ac:dyDescent="0.25">
      <c r="A180" s="4617">
        <f>SUM(B12:M12,N12:S72,T12:AK12,B77:P79,B85:U85,B103:M103,N103:S114,T103:AB103,B120:P120,B129:B135,C129:E129,F129:F135,G129:N129,B140:D140)</f>
        <v>0</v>
      </c>
      <c r="B180" s="4616"/>
    </row>
  </sheetData>
  <sheetProtection algorithmName="SHA-512" hashValue="pMUnp/mSkdAkEOnTJcQrFaoA9vKTFW/X3mnUsPvu1+XVocP/jVWt+KkbW/b5XRupeh/j+TFtlDHmc/Akh3XwXQ==" saltValue="KgLKsQ8clJMK2H3msTS56w==" spinCount="100000" sheet="1" objects="1" scenarios="1"/>
  <mergeCells count="117">
    <mergeCell ref="A6:AE6"/>
    <mergeCell ref="A9:A11"/>
    <mergeCell ref="B9:G9"/>
    <mergeCell ref="H9:M9"/>
    <mergeCell ref="N9:S9"/>
    <mergeCell ref="T9:V9"/>
    <mergeCell ref="W9:AB9"/>
    <mergeCell ref="AC9:AE9"/>
    <mergeCell ref="T10:T11"/>
    <mergeCell ref="U10:V10"/>
    <mergeCell ref="AF9:AK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H10:AI10"/>
    <mergeCell ref="AJ10:AK10"/>
    <mergeCell ref="Y10:Z10"/>
    <mergeCell ref="AA10:AB10"/>
    <mergeCell ref="AC10:AC11"/>
    <mergeCell ref="AD10:AE10"/>
    <mergeCell ref="AF10:AG10"/>
    <mergeCell ref="A74:A76"/>
    <mergeCell ref="B74:G74"/>
    <mergeCell ref="H74:J74"/>
    <mergeCell ref="K74:P74"/>
    <mergeCell ref="B75:C75"/>
    <mergeCell ref="D75:E75"/>
    <mergeCell ref="F75:G75"/>
    <mergeCell ref="I75:J75"/>
    <mergeCell ref="W10:X10"/>
    <mergeCell ref="K75:L75"/>
    <mergeCell ref="M75:N75"/>
    <mergeCell ref="O75:P75"/>
    <mergeCell ref="A81:A84"/>
    <mergeCell ref="B81:J81"/>
    <mergeCell ref="K81:S81"/>
    <mergeCell ref="B83:B84"/>
    <mergeCell ref="C83:C84"/>
    <mergeCell ref="D83:D84"/>
    <mergeCell ref="E83:E84"/>
    <mergeCell ref="T81:U82"/>
    <mergeCell ref="B82:C82"/>
    <mergeCell ref="D82:E82"/>
    <mergeCell ref="F82:G82"/>
    <mergeCell ref="H82:J82"/>
    <mergeCell ref="K82:L82"/>
    <mergeCell ref="M82:N82"/>
    <mergeCell ref="O82:P82"/>
    <mergeCell ref="Q82:S82"/>
    <mergeCell ref="T83:T84"/>
    <mergeCell ref="U83:U84"/>
    <mergeCell ref="M83:M84"/>
    <mergeCell ref="N83:N84"/>
    <mergeCell ref="O83:O84"/>
    <mergeCell ref="P83:P84"/>
    <mergeCell ref="Q83:Q84"/>
    <mergeCell ref="R83:S83"/>
    <mergeCell ref="F83:F84"/>
    <mergeCell ref="G83:G84"/>
    <mergeCell ref="H83:H84"/>
    <mergeCell ref="I83:J83"/>
    <mergeCell ref="K83:K84"/>
    <mergeCell ref="L83:L84"/>
    <mergeCell ref="F118:F119"/>
    <mergeCell ref="G118:G119"/>
    <mergeCell ref="K127:L127"/>
    <mergeCell ref="M127:N127"/>
    <mergeCell ref="A128:A129"/>
    <mergeCell ref="W100:AB100"/>
    <mergeCell ref="B101:C101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W101:X101"/>
    <mergeCell ref="Y101:Z101"/>
    <mergeCell ref="AA101:AB101"/>
    <mergeCell ref="A100:A102"/>
    <mergeCell ref="B100:G100"/>
    <mergeCell ref="H100:M100"/>
    <mergeCell ref="N100:S100"/>
    <mergeCell ref="T100:V100"/>
    <mergeCell ref="U101:V101"/>
    <mergeCell ref="A137:A139"/>
    <mergeCell ref="B137:D137"/>
    <mergeCell ref="C138:D138"/>
    <mergeCell ref="I118:J118"/>
    <mergeCell ref="K118:L118"/>
    <mergeCell ref="M118:N118"/>
    <mergeCell ref="A116:A119"/>
    <mergeCell ref="B116:J116"/>
    <mergeCell ref="K116:P117"/>
    <mergeCell ref="B117:C117"/>
    <mergeCell ref="D117:E117"/>
    <mergeCell ref="F117:G117"/>
    <mergeCell ref="H117:J117"/>
    <mergeCell ref="O118:P118"/>
    <mergeCell ref="A126:A127"/>
    <mergeCell ref="B126:B128"/>
    <mergeCell ref="C126:E127"/>
    <mergeCell ref="F126:H127"/>
    <mergeCell ref="I126:N126"/>
    <mergeCell ref="I127:J127"/>
    <mergeCell ref="B118:B119"/>
    <mergeCell ref="C118:C119"/>
    <mergeCell ref="D118:D119"/>
    <mergeCell ref="E118:E119"/>
  </mergeCells>
  <dataValidations count="1">
    <dataValidation type="whole" operator="greaterThanOrEqual" allowBlank="1" showInputMessage="1" showErrorMessage="1" sqref="B130:N135 B140:D140 B77:P79 B86:U98 B104:M114 T104:AB114 B121:P124 T13:AK72 B13:M72" xr:uid="{00000000-0002-0000-1600-000000000000}">
      <formula1>0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Y150"/>
  <sheetViews>
    <sheetView showGridLines="0" zoomScaleNormal="100" workbookViewId="0"/>
  </sheetViews>
  <sheetFormatPr baseColWidth="10" defaultColWidth="11.42578125" defaultRowHeight="15" x14ac:dyDescent="0.25"/>
  <cols>
    <col min="1" max="1" width="57.42578125" customWidth="1"/>
    <col min="2" max="2" width="11.28515625" customWidth="1"/>
    <col min="3" max="3" width="12.85546875" customWidth="1"/>
    <col min="4" max="4" width="14.28515625" customWidth="1"/>
    <col min="5" max="5" width="14.7109375" customWidth="1"/>
    <col min="6" max="6" width="12.28515625" customWidth="1"/>
    <col min="7" max="7" width="13.28515625" customWidth="1"/>
    <col min="8" max="8" width="12" customWidth="1"/>
    <col min="9" max="9" width="11.7109375" customWidth="1"/>
    <col min="10" max="10" width="12" customWidth="1"/>
    <col min="11" max="11" width="11.7109375" customWidth="1"/>
    <col min="13" max="13" width="12.42578125" customWidth="1"/>
    <col min="15" max="15" width="12.28515625" customWidth="1"/>
    <col min="17" max="17" width="11.28515625" customWidth="1"/>
    <col min="18" max="18" width="12" customWidth="1"/>
    <col min="19" max="19" width="11.7109375" customWidth="1"/>
    <col min="21" max="21" width="12.42578125" customWidth="1"/>
    <col min="23" max="23" width="12.28515625" customWidth="1"/>
    <col min="25" max="25" width="11.28515625" customWidth="1"/>
    <col min="28" max="28" width="12.7109375" customWidth="1"/>
    <col min="73" max="96" width="11.7109375" customWidth="1"/>
  </cols>
  <sheetData>
    <row r="1" spans="1:17" x14ac:dyDescent="0.25">
      <c r="A1" s="779" t="s">
        <v>3878</v>
      </c>
    </row>
    <row r="2" spans="1:17" x14ac:dyDescent="0.25">
      <c r="A2" s="779" t="str">
        <f>CONCATENATE("COMUNA: ",NOMBRE!B2," - ","( ",NOMBRE!C2,NOMBRE!D2,NOMBRE!E2,NOMBRE!F2,NOMBRE!G2," )")</f>
        <v>COMUNA:  - (  )</v>
      </c>
    </row>
    <row r="3" spans="1:17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17" x14ac:dyDescent="0.25">
      <c r="A4" s="779" t="str">
        <f>CONCATENATE("MES: ",NOMBRE!B6," - ","( ",NOMBRE!C6,NOMBRE!D6," )")</f>
        <v>MES:  - (  )</v>
      </c>
    </row>
    <row r="5" spans="1:17" x14ac:dyDescent="0.25">
      <c r="A5" s="779" t="str">
        <f>CONCATENATE("AÑO: ",NOMBRE!B7)</f>
        <v>AÑO: 2024</v>
      </c>
    </row>
    <row r="6" spans="1:17" s="4359" customFormat="1" ht="18" customHeight="1" x14ac:dyDescent="0.25">
      <c r="A6" s="7314" t="s">
        <v>3912</v>
      </c>
      <c r="B6" s="7314"/>
      <c r="C6" s="7314"/>
      <c r="D6" s="7314"/>
      <c r="E6" s="7314"/>
      <c r="F6" s="7314"/>
      <c r="G6" s="7314"/>
      <c r="H6" s="7314"/>
      <c r="I6" s="7314"/>
      <c r="J6" s="7314"/>
      <c r="K6" s="7314"/>
      <c r="L6" s="7314"/>
      <c r="M6" s="7314"/>
      <c r="N6" s="7314"/>
      <c r="O6" s="7314"/>
      <c r="P6" s="7314"/>
      <c r="Q6" s="7314"/>
    </row>
    <row r="7" spans="1:17" s="4359" customFormat="1" ht="18" customHeight="1" x14ac:dyDescent="0.25">
      <c r="A7" s="8522" t="s">
        <v>3605</v>
      </c>
      <c r="B7" s="8522"/>
      <c r="C7" s="8522"/>
      <c r="D7" s="8522"/>
      <c r="E7" s="8522"/>
      <c r="F7" s="8522"/>
      <c r="G7" s="8522"/>
      <c r="H7" s="8522"/>
      <c r="I7" s="8522"/>
      <c r="J7" s="8522"/>
      <c r="K7" s="8522"/>
      <c r="L7" s="8522"/>
      <c r="M7" s="8522"/>
      <c r="N7" s="8522"/>
      <c r="O7" s="8522"/>
      <c r="P7" s="8522"/>
      <c r="Q7" s="8522"/>
    </row>
    <row r="10" spans="1:17" s="101" customFormat="1" ht="18" customHeight="1" x14ac:dyDescent="0.15">
      <c r="A10" s="7" t="s">
        <v>3606</v>
      </c>
    </row>
    <row r="11" spans="1:17" s="101" customFormat="1" ht="18" customHeight="1" x14ac:dyDescent="0.15">
      <c r="A11" s="123" t="s">
        <v>3607</v>
      </c>
      <c r="B11" s="123"/>
      <c r="C11" s="123"/>
      <c r="D11" s="123"/>
      <c r="E11" s="123"/>
    </row>
    <row r="12" spans="1:17" ht="36" customHeight="1" x14ac:dyDescent="0.25">
      <c r="A12" s="8481" t="s">
        <v>3608</v>
      </c>
      <c r="B12" s="6680" t="s">
        <v>3609</v>
      </c>
      <c r="C12" s="6768"/>
      <c r="D12" s="6768"/>
      <c r="E12" s="8494"/>
      <c r="F12" s="8487" t="s">
        <v>3610</v>
      </c>
      <c r="G12" s="8487"/>
      <c r="H12" s="8487"/>
      <c r="I12" s="6680"/>
      <c r="J12" s="6680" t="s">
        <v>3611</v>
      </c>
      <c r="K12" s="6768"/>
      <c r="L12" s="6768"/>
      <c r="M12" s="8494"/>
      <c r="N12" s="6680" t="s">
        <v>3612</v>
      </c>
      <c r="O12" s="6768"/>
      <c r="P12" s="6768"/>
      <c r="Q12" s="8494"/>
    </row>
    <row r="13" spans="1:17" x14ac:dyDescent="0.25">
      <c r="A13" s="8523"/>
      <c r="B13" s="8485" t="s">
        <v>443</v>
      </c>
      <c r="C13" s="8476"/>
      <c r="D13" s="8485" t="s">
        <v>242</v>
      </c>
      <c r="E13" s="8476"/>
      <c r="F13" s="8485" t="s">
        <v>443</v>
      </c>
      <c r="G13" s="8476"/>
      <c r="H13" s="8485" t="s">
        <v>242</v>
      </c>
      <c r="I13" s="8476"/>
      <c r="J13" s="8485" t="s">
        <v>443</v>
      </c>
      <c r="K13" s="8476"/>
      <c r="L13" s="8485" t="s">
        <v>242</v>
      </c>
      <c r="M13" s="8476"/>
      <c r="N13" s="8485" t="s">
        <v>443</v>
      </c>
      <c r="O13" s="8476"/>
      <c r="P13" s="8485" t="s">
        <v>242</v>
      </c>
      <c r="Q13" s="8476"/>
    </row>
    <row r="14" spans="1:17" x14ac:dyDescent="0.25">
      <c r="A14" s="8483"/>
      <c r="B14" s="4262" t="s">
        <v>22</v>
      </c>
      <c r="C14" s="4258" t="s">
        <v>27</v>
      </c>
      <c r="D14" s="4262" t="s">
        <v>22</v>
      </c>
      <c r="E14" s="4258" t="s">
        <v>27</v>
      </c>
      <c r="F14" s="4262" t="s">
        <v>22</v>
      </c>
      <c r="G14" s="4258" t="s">
        <v>27</v>
      </c>
      <c r="H14" s="4262" t="s">
        <v>22</v>
      </c>
      <c r="I14" s="4256" t="s">
        <v>27</v>
      </c>
      <c r="J14" s="4262" t="s">
        <v>22</v>
      </c>
      <c r="K14" s="4261" t="s">
        <v>27</v>
      </c>
      <c r="L14" s="4360" t="s">
        <v>22</v>
      </c>
      <c r="M14" s="4305" t="s">
        <v>27</v>
      </c>
      <c r="N14" s="4262" t="s">
        <v>22</v>
      </c>
      <c r="O14" s="4258" t="s">
        <v>27</v>
      </c>
      <c r="P14" s="4262" t="s">
        <v>22</v>
      </c>
      <c r="Q14" s="4258" t="s">
        <v>27</v>
      </c>
    </row>
    <row r="15" spans="1:17" x14ac:dyDescent="0.25">
      <c r="A15" s="4361" t="s">
        <v>24</v>
      </c>
      <c r="B15" s="4362">
        <f>SUM(B16:B24)</f>
        <v>0</v>
      </c>
      <c r="C15" s="4363">
        <f>SUM(C16:C24)</f>
        <v>0</v>
      </c>
      <c r="D15" s="4362">
        <f>SUM(D16:D24)</f>
        <v>0</v>
      </c>
      <c r="E15" s="4363">
        <f>SUM(E16:E24)</f>
        <v>0</v>
      </c>
      <c r="F15" s="4362">
        <f>SUM(F16:F24)</f>
        <v>0</v>
      </c>
      <c r="G15" s="4363">
        <f t="shared" ref="G15:Q15" si="0">SUM(G16:G24)</f>
        <v>0</v>
      </c>
      <c r="H15" s="4362">
        <f t="shared" si="0"/>
        <v>0</v>
      </c>
      <c r="I15" s="4363">
        <f t="shared" si="0"/>
        <v>0</v>
      </c>
      <c r="J15" s="4362">
        <f t="shared" si="0"/>
        <v>0</v>
      </c>
      <c r="K15" s="4363">
        <f t="shared" si="0"/>
        <v>0</v>
      </c>
      <c r="L15" s="4364">
        <f t="shared" si="0"/>
        <v>0</v>
      </c>
      <c r="M15" s="4365">
        <f t="shared" si="0"/>
        <v>0</v>
      </c>
      <c r="N15" s="4362">
        <f>SUM(N16:N24)</f>
        <v>0</v>
      </c>
      <c r="O15" s="4363">
        <f>SUM(O16:O24)</f>
        <v>0</v>
      </c>
      <c r="P15" s="4362">
        <f t="shared" si="0"/>
        <v>0</v>
      </c>
      <c r="Q15" s="4363">
        <f t="shared" si="0"/>
        <v>0</v>
      </c>
    </row>
    <row r="16" spans="1:17" x14ac:dyDescent="0.25">
      <c r="A16" s="3996" t="s">
        <v>2134</v>
      </c>
      <c r="B16" s="4366"/>
      <c r="C16" s="4367"/>
      <c r="D16" s="4368">
        <f t="shared" ref="D16:E24" si="1">SUM(H16+L16)</f>
        <v>0</v>
      </c>
      <c r="E16" s="791">
        <f t="shared" si="1"/>
        <v>0</v>
      </c>
      <c r="F16" s="845"/>
      <c r="G16" s="846"/>
      <c r="H16" s="620"/>
      <c r="I16" s="796"/>
      <c r="J16" s="845"/>
      <c r="K16" s="846"/>
      <c r="L16" s="4278"/>
      <c r="M16" s="3905"/>
      <c r="N16" s="845"/>
      <c r="O16" s="846"/>
      <c r="P16" s="4293"/>
      <c r="Q16" s="4291"/>
    </row>
    <row r="17" spans="1:17" x14ac:dyDescent="0.25">
      <c r="A17" s="3996" t="s">
        <v>227</v>
      </c>
      <c r="B17" s="3279">
        <f>SUM(F17+J17)</f>
        <v>0</v>
      </c>
      <c r="C17" s="791">
        <f>SUM(G17+K17)</f>
        <v>0</v>
      </c>
      <c r="D17" s="3397">
        <f t="shared" si="1"/>
        <v>0</v>
      </c>
      <c r="E17" s="791">
        <f t="shared" si="1"/>
        <v>0</v>
      </c>
      <c r="F17" s="620"/>
      <c r="G17" s="630"/>
      <c r="H17" s="620"/>
      <c r="I17" s="796"/>
      <c r="J17" s="620"/>
      <c r="K17" s="630"/>
      <c r="L17" s="3232"/>
      <c r="M17" s="3166"/>
      <c r="N17" s="4293"/>
      <c r="O17" s="4291"/>
      <c r="P17" s="4293"/>
      <c r="Q17" s="4291"/>
    </row>
    <row r="18" spans="1:17" x14ac:dyDescent="0.25">
      <c r="A18" s="3996" t="s">
        <v>229</v>
      </c>
      <c r="B18" s="845"/>
      <c r="C18" s="846"/>
      <c r="D18" s="3397">
        <f t="shared" si="1"/>
        <v>0</v>
      </c>
      <c r="E18" s="791">
        <f t="shared" si="1"/>
        <v>0</v>
      </c>
      <c r="F18" s="845"/>
      <c r="G18" s="846"/>
      <c r="H18" s="620"/>
      <c r="I18" s="796"/>
      <c r="J18" s="845"/>
      <c r="K18" s="846"/>
      <c r="L18" s="3232"/>
      <c r="M18" s="630"/>
      <c r="N18" s="845"/>
      <c r="O18" s="846"/>
      <c r="P18" s="4293"/>
      <c r="Q18" s="4291"/>
    </row>
    <row r="19" spans="1:17" x14ac:dyDescent="0.25">
      <c r="A19" s="3996" t="s">
        <v>240</v>
      </c>
      <c r="B19" s="845"/>
      <c r="C19" s="846"/>
      <c r="D19" s="3397">
        <f t="shared" si="1"/>
        <v>0</v>
      </c>
      <c r="E19" s="791">
        <f t="shared" si="1"/>
        <v>0</v>
      </c>
      <c r="F19" s="565"/>
      <c r="G19" s="4369"/>
      <c r="H19" s="620"/>
      <c r="I19" s="796"/>
      <c r="J19" s="565"/>
      <c r="K19" s="4369"/>
      <c r="L19" s="3232"/>
      <c r="M19" s="630"/>
      <c r="N19" s="566"/>
      <c r="O19" s="567"/>
      <c r="P19" s="4288"/>
      <c r="Q19" s="4286"/>
    </row>
    <row r="20" spans="1:17" x14ac:dyDescent="0.25">
      <c r="A20" s="3996" t="s">
        <v>526</v>
      </c>
      <c r="B20" s="3279">
        <f>SUM(F20+J20)</f>
        <v>0</v>
      </c>
      <c r="C20" s="791">
        <f>SUM(G20+K20)</f>
        <v>0</v>
      </c>
      <c r="D20" s="3397">
        <f t="shared" si="1"/>
        <v>0</v>
      </c>
      <c r="E20" s="791">
        <f t="shared" si="1"/>
        <v>0</v>
      </c>
      <c r="F20" s="131"/>
      <c r="G20" s="1429"/>
      <c r="H20" s="620"/>
      <c r="I20" s="796"/>
      <c r="J20" s="131"/>
      <c r="K20" s="1429"/>
      <c r="L20" s="3435"/>
      <c r="M20" s="630"/>
      <c r="N20" s="4293"/>
      <c r="O20" s="4291"/>
      <c r="P20" s="4288"/>
      <c r="Q20" s="4286"/>
    </row>
    <row r="21" spans="1:17" x14ac:dyDescent="0.25">
      <c r="A21" s="3996" t="s">
        <v>3613</v>
      </c>
      <c r="B21" s="845"/>
      <c r="C21" s="846"/>
      <c r="D21" s="3397">
        <f t="shared" si="1"/>
        <v>0</v>
      </c>
      <c r="E21" s="791">
        <f t="shared" si="1"/>
        <v>0</v>
      </c>
      <c r="F21" s="565"/>
      <c r="G21" s="4369"/>
      <c r="H21" s="620"/>
      <c r="I21" s="796"/>
      <c r="J21" s="565"/>
      <c r="K21" s="4369"/>
      <c r="L21" s="3232"/>
      <c r="M21" s="630"/>
      <c r="N21" s="566"/>
      <c r="O21" s="567"/>
      <c r="P21" s="4288"/>
      <c r="Q21" s="4286"/>
    </row>
    <row r="22" spans="1:17" x14ac:dyDescent="0.25">
      <c r="A22" s="2037" t="s">
        <v>3614</v>
      </c>
      <c r="B22" s="845"/>
      <c r="C22" s="846"/>
      <c r="D22" s="3397">
        <f t="shared" si="1"/>
        <v>0</v>
      </c>
      <c r="E22" s="791">
        <f t="shared" si="1"/>
        <v>0</v>
      </c>
      <c r="F22" s="565"/>
      <c r="G22" s="4369"/>
      <c r="H22" s="620"/>
      <c r="I22" s="796"/>
      <c r="J22" s="565"/>
      <c r="K22" s="4369"/>
      <c r="L22" s="3232"/>
      <c r="M22" s="3166"/>
      <c r="N22" s="566"/>
      <c r="O22" s="567"/>
      <c r="P22" s="4288"/>
      <c r="Q22" s="4286"/>
    </row>
    <row r="23" spans="1:17" x14ac:dyDescent="0.25">
      <c r="A23" s="2037" t="s">
        <v>3615</v>
      </c>
      <c r="B23" s="3279">
        <f>SUM(F23+J23)</f>
        <v>0</v>
      </c>
      <c r="C23" s="791">
        <f>SUM(G23+K23)</f>
        <v>0</v>
      </c>
      <c r="D23" s="3397">
        <f t="shared" si="1"/>
        <v>0</v>
      </c>
      <c r="E23" s="791">
        <f t="shared" si="1"/>
        <v>0</v>
      </c>
      <c r="F23" s="90"/>
      <c r="G23" s="92"/>
      <c r="H23" s="90"/>
      <c r="I23" s="128"/>
      <c r="J23" s="90"/>
      <c r="K23" s="92"/>
      <c r="L23" s="3435"/>
      <c r="M23" s="630"/>
      <c r="N23" s="4288"/>
      <c r="O23" s="4286"/>
      <c r="P23" s="4288"/>
      <c r="Q23" s="4286"/>
    </row>
    <row r="24" spans="1:17" x14ac:dyDescent="0.25">
      <c r="A24" s="562" t="s">
        <v>3616</v>
      </c>
      <c r="B24" s="120">
        <f>SUM(F24+J24)</f>
        <v>0</v>
      </c>
      <c r="C24" s="3438">
        <f>SUM(G24+K24)</f>
        <v>0</v>
      </c>
      <c r="D24" s="120">
        <f t="shared" si="1"/>
        <v>0</v>
      </c>
      <c r="E24" s="3438">
        <f t="shared" si="1"/>
        <v>0</v>
      </c>
      <c r="F24" s="114"/>
      <c r="G24" s="3124"/>
      <c r="H24" s="114"/>
      <c r="I24" s="3333"/>
      <c r="J24" s="114"/>
      <c r="K24" s="3124"/>
      <c r="L24" s="121"/>
      <c r="M24" s="2889"/>
      <c r="N24" s="4298"/>
      <c r="O24" s="4296"/>
      <c r="P24" s="4298"/>
      <c r="Q24" s="4296"/>
    </row>
    <row r="25" spans="1:17" s="17" customFormat="1" ht="18" customHeight="1" x14ac:dyDescent="0.2">
      <c r="A25" s="8161" t="s">
        <v>3617</v>
      </c>
      <c r="B25" s="8161"/>
      <c r="C25" s="8161"/>
      <c r="D25" s="8161"/>
      <c r="E25" s="8161"/>
      <c r="F25" s="8161"/>
      <c r="G25" s="4370"/>
      <c r="H25" s="101"/>
      <c r="I25" s="101"/>
      <c r="J25" s="101"/>
      <c r="K25" s="101"/>
      <c r="L25" s="101"/>
      <c r="M25" s="101"/>
      <c r="N25" s="101"/>
      <c r="O25" s="101"/>
      <c r="P25" s="101"/>
      <c r="Q25" s="101"/>
    </row>
    <row r="26" spans="1:17" ht="20.25" customHeight="1" x14ac:dyDescent="0.25">
      <c r="A26" s="8040" t="s">
        <v>3608</v>
      </c>
      <c r="B26" s="8487" t="s">
        <v>3618</v>
      </c>
      <c r="C26" s="8487"/>
      <c r="D26" s="8487"/>
      <c r="E26" s="8487"/>
      <c r="F26" s="8487" t="s">
        <v>3619</v>
      </c>
      <c r="G26" s="8487"/>
      <c r="H26" s="8487"/>
      <c r="I26" s="8487"/>
      <c r="J26" s="8487" t="s">
        <v>3620</v>
      </c>
      <c r="K26" s="8487"/>
      <c r="L26" s="8487"/>
      <c r="M26" s="8487"/>
      <c r="N26" s="6680" t="s">
        <v>3621</v>
      </c>
      <c r="O26" s="6768"/>
      <c r="P26" s="6768"/>
      <c r="Q26" s="8494"/>
    </row>
    <row r="27" spans="1:17" x14ac:dyDescent="0.25">
      <c r="A27" s="7151"/>
      <c r="B27" s="8485" t="s">
        <v>443</v>
      </c>
      <c r="C27" s="8476"/>
      <c r="D27" s="8485" t="s">
        <v>242</v>
      </c>
      <c r="E27" s="8476"/>
      <c r="F27" s="8485" t="s">
        <v>443</v>
      </c>
      <c r="G27" s="8476"/>
      <c r="H27" s="8485" t="s">
        <v>242</v>
      </c>
      <c r="I27" s="8476"/>
      <c r="J27" s="8485" t="s">
        <v>443</v>
      </c>
      <c r="K27" s="8476"/>
      <c r="L27" s="8485" t="s">
        <v>242</v>
      </c>
      <c r="M27" s="8476"/>
      <c r="N27" s="8485" t="s">
        <v>443</v>
      </c>
      <c r="O27" s="8476"/>
      <c r="P27" s="8485" t="s">
        <v>242</v>
      </c>
      <c r="Q27" s="8476"/>
    </row>
    <row r="28" spans="1:17" x14ac:dyDescent="0.25">
      <c r="A28" s="6451"/>
      <c r="B28" s="4262" t="s">
        <v>22</v>
      </c>
      <c r="C28" s="4258" t="s">
        <v>27</v>
      </c>
      <c r="D28" s="4262" t="s">
        <v>22</v>
      </c>
      <c r="E28" s="4258" t="s">
        <v>27</v>
      </c>
      <c r="F28" s="4262" t="s">
        <v>22</v>
      </c>
      <c r="G28" s="4258" t="s">
        <v>27</v>
      </c>
      <c r="H28" s="4262" t="s">
        <v>22</v>
      </c>
      <c r="I28" s="4258" t="s">
        <v>27</v>
      </c>
      <c r="J28" s="4262" t="s">
        <v>22</v>
      </c>
      <c r="K28" s="4258" t="s">
        <v>27</v>
      </c>
      <c r="L28" s="4262" t="s">
        <v>22</v>
      </c>
      <c r="M28" s="4258" t="s">
        <v>27</v>
      </c>
      <c r="N28" s="4262" t="s">
        <v>22</v>
      </c>
      <c r="O28" s="4258" t="s">
        <v>27</v>
      </c>
      <c r="P28" s="4262" t="s">
        <v>22</v>
      </c>
      <c r="Q28" s="4258" t="s">
        <v>27</v>
      </c>
    </row>
    <row r="29" spans="1:17" x14ac:dyDescent="0.25">
      <c r="A29" s="4267" t="s">
        <v>24</v>
      </c>
      <c r="B29" s="4364">
        <f>SUM(B30+B33+B35+B36+B37)</f>
        <v>0</v>
      </c>
      <c r="C29" s="4371">
        <f>SUM(C30+C33+C35+C36+C37)</f>
        <v>0</v>
      </c>
      <c r="D29" s="4364">
        <f>SUM(D30:D37)</f>
        <v>0</v>
      </c>
      <c r="E29" s="4371">
        <f>SUM(E30:E37)</f>
        <v>0</v>
      </c>
      <c r="F29" s="4364">
        <f>SUM(F30+F33+F35+F36+F37)</f>
        <v>0</v>
      </c>
      <c r="G29" s="4364">
        <f>SUM(G30+G33+G35+G36+G37)</f>
        <v>0</v>
      </c>
      <c r="H29" s="4364">
        <f>SUM(H30:H37)</f>
        <v>0</v>
      </c>
      <c r="I29" s="4364">
        <f>SUM(I30:I37)</f>
        <v>0</v>
      </c>
      <c r="J29" s="4364">
        <f>SUM(J30+J33+J35+J36+J37)</f>
        <v>0</v>
      </c>
      <c r="K29" s="4364">
        <f>SUM(K30+K33+K35+K36+K37)</f>
        <v>0</v>
      </c>
      <c r="L29" s="4364">
        <f>SUM(L30:L37)</f>
        <v>0</v>
      </c>
      <c r="M29" s="4364">
        <f>SUM(M30:M37)</f>
        <v>0</v>
      </c>
      <c r="N29" s="4364">
        <f>SUM(N30+N33+N35+N36+N37)</f>
        <v>0</v>
      </c>
      <c r="O29" s="4364">
        <f>SUM(O30+O33+O35+O36+O37)</f>
        <v>0</v>
      </c>
      <c r="P29" s="4364">
        <f>SUM(P30:P37)</f>
        <v>0</v>
      </c>
      <c r="Q29" s="4372">
        <f>SUM(Q30:Q37)</f>
        <v>0</v>
      </c>
    </row>
    <row r="30" spans="1:17" x14ac:dyDescent="0.25">
      <c r="A30" s="4003" t="s">
        <v>227</v>
      </c>
      <c r="B30" s="4373">
        <f>SUM(F30+J30)</f>
        <v>0</v>
      </c>
      <c r="C30" s="4374">
        <f>SUM(G30+K30)</f>
        <v>0</v>
      </c>
      <c r="D30" s="4373">
        <f>SUM(H30+L30)</f>
        <v>0</v>
      </c>
      <c r="E30" s="4374">
        <f>SUM(I30+M30)</f>
        <v>0</v>
      </c>
      <c r="F30" s="4272"/>
      <c r="G30" s="3905"/>
      <c r="H30" s="4272"/>
      <c r="I30" s="3905"/>
      <c r="J30" s="4272"/>
      <c r="K30" s="3905"/>
      <c r="L30" s="4272"/>
      <c r="M30" s="3905"/>
      <c r="N30" s="4283"/>
      <c r="O30" s="4281"/>
      <c r="P30" s="4283"/>
      <c r="Q30" s="4281"/>
    </row>
    <row r="31" spans="1:17" x14ac:dyDescent="0.25">
      <c r="A31" s="3996" t="s">
        <v>297</v>
      </c>
      <c r="B31" s="845"/>
      <c r="C31" s="846"/>
      <c r="D31" s="4375">
        <f t="shared" ref="D31:E37" si="2">SUM(H31+L31)</f>
        <v>0</v>
      </c>
      <c r="E31" s="4376">
        <f t="shared" si="2"/>
        <v>0</v>
      </c>
      <c r="F31" s="845"/>
      <c r="G31" s="846"/>
      <c r="H31" s="620"/>
      <c r="I31" s="630"/>
      <c r="J31" s="845"/>
      <c r="K31" s="846"/>
      <c r="L31" s="620"/>
      <c r="M31" s="630"/>
      <c r="N31" s="845"/>
      <c r="O31" s="846"/>
      <c r="P31" s="4293"/>
      <c r="Q31" s="4291"/>
    </row>
    <row r="32" spans="1:17" x14ac:dyDescent="0.25">
      <c r="A32" s="3996" t="s">
        <v>526</v>
      </c>
      <c r="B32" s="845"/>
      <c r="C32" s="846"/>
      <c r="D32" s="4375">
        <f t="shared" si="2"/>
        <v>0</v>
      </c>
      <c r="E32" s="4376">
        <f t="shared" si="2"/>
        <v>0</v>
      </c>
      <c r="F32" s="845"/>
      <c r="G32" s="846"/>
      <c r="H32" s="620"/>
      <c r="I32" s="630"/>
      <c r="J32" s="845"/>
      <c r="K32" s="846"/>
      <c r="L32" s="620"/>
      <c r="M32" s="630"/>
      <c r="N32" s="845"/>
      <c r="O32" s="846"/>
      <c r="P32" s="4293"/>
      <c r="Q32" s="4291"/>
    </row>
    <row r="33" spans="1:25" x14ac:dyDescent="0.25">
      <c r="A33" s="3996" t="s">
        <v>239</v>
      </c>
      <c r="B33" s="4375">
        <f>SUM(F33+J33)</f>
        <v>0</v>
      </c>
      <c r="C33" s="4376">
        <f>SUM(G33+K33)</f>
        <v>0</v>
      </c>
      <c r="D33" s="4375">
        <f t="shared" si="2"/>
        <v>0</v>
      </c>
      <c r="E33" s="4376">
        <f t="shared" si="2"/>
        <v>0</v>
      </c>
      <c r="F33" s="620"/>
      <c r="G33" s="630"/>
      <c r="H33" s="620"/>
      <c r="I33" s="630"/>
      <c r="J33" s="620"/>
      <c r="K33" s="630"/>
      <c r="L33" s="620"/>
      <c r="M33" s="630"/>
      <c r="N33" s="4293"/>
      <c r="O33" s="4291"/>
      <c r="P33" s="4293"/>
      <c r="Q33" s="4291"/>
    </row>
    <row r="34" spans="1:25" x14ac:dyDescent="0.25">
      <c r="A34" s="3996" t="s">
        <v>225</v>
      </c>
      <c r="B34" s="845"/>
      <c r="C34" s="846"/>
      <c r="D34" s="4375">
        <f t="shared" si="2"/>
        <v>0</v>
      </c>
      <c r="E34" s="4376">
        <f t="shared" si="2"/>
        <v>0</v>
      </c>
      <c r="F34" s="845"/>
      <c r="G34" s="846"/>
      <c r="H34" s="620"/>
      <c r="I34" s="630"/>
      <c r="J34" s="845"/>
      <c r="K34" s="846"/>
      <c r="L34" s="620"/>
      <c r="M34" s="630"/>
      <c r="N34" s="845"/>
      <c r="O34" s="846"/>
      <c r="P34" s="4293"/>
      <c r="Q34" s="4291"/>
    </row>
    <row r="35" spans="1:25" x14ac:dyDescent="0.25">
      <c r="A35" s="3996" t="s">
        <v>3622</v>
      </c>
      <c r="B35" s="4375">
        <f t="shared" ref="B35:C37" si="3">SUM(F35+J35)</f>
        <v>0</v>
      </c>
      <c r="C35" s="4376">
        <f t="shared" si="3"/>
        <v>0</v>
      </c>
      <c r="D35" s="4375">
        <f t="shared" si="2"/>
        <v>0</v>
      </c>
      <c r="E35" s="4376">
        <f t="shared" si="2"/>
        <v>0</v>
      </c>
      <c r="F35" s="131"/>
      <c r="G35" s="1429"/>
      <c r="H35" s="131"/>
      <c r="I35" s="1429"/>
      <c r="J35" s="131"/>
      <c r="K35" s="1429"/>
      <c r="L35" s="131"/>
      <c r="M35" s="1429"/>
      <c r="N35" s="4288"/>
      <c r="O35" s="4291"/>
      <c r="P35" s="4293"/>
      <c r="Q35" s="4286"/>
    </row>
    <row r="36" spans="1:25" x14ac:dyDescent="0.25">
      <c r="A36" s="3996" t="s">
        <v>3616</v>
      </c>
      <c r="B36" s="4375">
        <f t="shared" si="3"/>
        <v>0</v>
      </c>
      <c r="C36" s="4376">
        <f t="shared" si="3"/>
        <v>0</v>
      </c>
      <c r="D36" s="4375">
        <f t="shared" si="2"/>
        <v>0</v>
      </c>
      <c r="E36" s="4376">
        <f t="shared" si="2"/>
        <v>0</v>
      </c>
      <c r="F36" s="90"/>
      <c r="G36" s="92"/>
      <c r="H36" s="90"/>
      <c r="I36" s="92"/>
      <c r="J36" s="90"/>
      <c r="K36" s="92"/>
      <c r="L36" s="90"/>
      <c r="M36" s="92"/>
      <c r="N36" s="4288"/>
      <c r="O36" s="4291"/>
      <c r="P36" s="4377"/>
      <c r="Q36" s="4291"/>
    </row>
    <row r="37" spans="1:25" x14ac:dyDescent="0.25">
      <c r="A37" s="562" t="s">
        <v>509</v>
      </c>
      <c r="B37" s="4378">
        <f t="shared" si="3"/>
        <v>0</v>
      </c>
      <c r="C37" s="4379">
        <f t="shared" si="3"/>
        <v>0</v>
      </c>
      <c r="D37" s="4378">
        <f t="shared" si="2"/>
        <v>0</v>
      </c>
      <c r="E37" s="4379">
        <f t="shared" si="2"/>
        <v>0</v>
      </c>
      <c r="F37" s="114"/>
      <c r="G37" s="3124"/>
      <c r="H37" s="114"/>
      <c r="I37" s="3124"/>
      <c r="J37" s="114"/>
      <c r="K37" s="3124"/>
      <c r="L37" s="114"/>
      <c r="M37" s="3124"/>
      <c r="N37" s="4298"/>
      <c r="O37" s="4380"/>
      <c r="P37" s="4298"/>
      <c r="Q37" s="4380"/>
    </row>
    <row r="38" spans="1:25" s="17" customFormat="1" ht="18" customHeight="1" x14ac:dyDescent="0.2">
      <c r="A38" s="564" t="s">
        <v>3623</v>
      </c>
      <c r="B38" s="163"/>
      <c r="C38" s="163"/>
      <c r="D38" s="163"/>
      <c r="E38" s="163"/>
      <c r="F38" s="101"/>
      <c r="G38" s="101"/>
      <c r="H38" s="101"/>
      <c r="I38" s="101"/>
      <c r="J38" s="4381"/>
      <c r="K38" s="4381"/>
      <c r="L38" s="4381"/>
      <c r="M38" s="4381"/>
      <c r="N38" s="4381"/>
      <c r="O38" s="4381"/>
      <c r="P38" s="4381"/>
      <c r="Q38" s="4381"/>
      <c r="R38" s="4381"/>
      <c r="S38" s="4381"/>
      <c r="T38" s="4381"/>
      <c r="U38" s="4381"/>
      <c r="V38" s="4381"/>
      <c r="W38" s="4381"/>
      <c r="X38" s="4381"/>
      <c r="Y38" s="4381"/>
    </row>
    <row r="39" spans="1:25" ht="22.5" customHeight="1" x14ac:dyDescent="0.25">
      <c r="A39" s="8521" t="s">
        <v>3624</v>
      </c>
      <c r="B39" s="8487" t="s">
        <v>3625</v>
      </c>
      <c r="C39" s="8487"/>
      <c r="D39" s="8487"/>
      <c r="E39" s="8487"/>
      <c r="F39" s="8487" t="s">
        <v>3626</v>
      </c>
      <c r="G39" s="8487"/>
      <c r="H39" s="8487"/>
      <c r="I39" s="8487"/>
      <c r="J39" s="8487" t="s">
        <v>3627</v>
      </c>
      <c r="K39" s="8487"/>
      <c r="L39" s="8487"/>
      <c r="M39" s="6680"/>
      <c r="N39" s="8487" t="s">
        <v>3628</v>
      </c>
      <c r="O39" s="8487"/>
      <c r="P39" s="8487"/>
      <c r="Q39" s="8487"/>
      <c r="R39" s="8494" t="s">
        <v>3629</v>
      </c>
      <c r="S39" s="8487"/>
      <c r="T39" s="8487"/>
      <c r="U39" s="8487"/>
      <c r="V39" s="8494" t="s">
        <v>3630</v>
      </c>
      <c r="W39" s="8487"/>
      <c r="X39" s="8487"/>
      <c r="Y39" s="8487"/>
    </row>
    <row r="40" spans="1:25" x14ac:dyDescent="0.25">
      <c r="A40" s="8521"/>
      <c r="B40" s="8485" t="s">
        <v>443</v>
      </c>
      <c r="C40" s="8476"/>
      <c r="D40" s="8485" t="s">
        <v>242</v>
      </c>
      <c r="E40" s="8476"/>
      <c r="F40" s="8485" t="s">
        <v>443</v>
      </c>
      <c r="G40" s="8476"/>
      <c r="H40" s="8485" t="s">
        <v>242</v>
      </c>
      <c r="I40" s="8476"/>
      <c r="J40" s="8485" t="s">
        <v>443</v>
      </c>
      <c r="K40" s="8476"/>
      <c r="L40" s="8485" t="s">
        <v>242</v>
      </c>
      <c r="M40" s="8476"/>
      <c r="N40" s="8485" t="s">
        <v>443</v>
      </c>
      <c r="O40" s="8476"/>
      <c r="P40" s="8485" t="s">
        <v>242</v>
      </c>
      <c r="Q40" s="8476"/>
      <c r="R40" s="8485" t="s">
        <v>443</v>
      </c>
      <c r="S40" s="8476"/>
      <c r="T40" s="8485" t="s">
        <v>242</v>
      </c>
      <c r="U40" s="8476"/>
      <c r="V40" s="8485" t="s">
        <v>443</v>
      </c>
      <c r="W40" s="8476"/>
      <c r="X40" s="8485" t="s">
        <v>242</v>
      </c>
      <c r="Y40" s="8476"/>
    </row>
    <row r="41" spans="1:25" x14ac:dyDescent="0.25">
      <c r="A41" s="8521"/>
      <c r="B41" s="4267" t="s">
        <v>22</v>
      </c>
      <c r="C41" s="4267" t="s">
        <v>27</v>
      </c>
      <c r="D41" s="4267" t="s">
        <v>22</v>
      </c>
      <c r="E41" s="4267" t="s">
        <v>27</v>
      </c>
      <c r="F41" s="4267" t="s">
        <v>22</v>
      </c>
      <c r="G41" s="4267" t="s">
        <v>27</v>
      </c>
      <c r="H41" s="4267" t="s">
        <v>22</v>
      </c>
      <c r="I41" s="4267" t="s">
        <v>27</v>
      </c>
      <c r="J41" s="4262" t="s">
        <v>22</v>
      </c>
      <c r="K41" s="4258" t="s">
        <v>27</v>
      </c>
      <c r="L41" s="4262" t="s">
        <v>22</v>
      </c>
      <c r="M41" s="4256" t="s">
        <v>27</v>
      </c>
      <c r="N41" s="4262" t="s">
        <v>22</v>
      </c>
      <c r="O41" s="4258" t="s">
        <v>27</v>
      </c>
      <c r="P41" s="4262" t="s">
        <v>22</v>
      </c>
      <c r="Q41" s="4258" t="s">
        <v>27</v>
      </c>
      <c r="R41" s="4260" t="s">
        <v>22</v>
      </c>
      <c r="S41" s="4258" t="s">
        <v>27</v>
      </c>
      <c r="T41" s="4262" t="s">
        <v>22</v>
      </c>
      <c r="U41" s="4258" t="s">
        <v>27</v>
      </c>
      <c r="V41" s="4382" t="s">
        <v>22</v>
      </c>
      <c r="W41" s="4383" t="s">
        <v>27</v>
      </c>
      <c r="X41" s="4336" t="s">
        <v>22</v>
      </c>
      <c r="Y41" s="4304" t="s">
        <v>27</v>
      </c>
    </row>
    <row r="42" spans="1:25" x14ac:dyDescent="0.25">
      <c r="A42" s="4384" t="s">
        <v>24</v>
      </c>
      <c r="B42" s="4308">
        <f>SUM(B43:B46)</f>
        <v>0</v>
      </c>
      <c r="C42" s="4343">
        <f>SUM(C43:C46)</f>
        <v>0</v>
      </c>
      <c r="D42" s="4269">
        <f>SUM(D43:D46)</f>
        <v>0</v>
      </c>
      <c r="E42" s="4343">
        <f>SUM(E43:E46)</f>
        <v>0</v>
      </c>
      <c r="F42" s="4269">
        <f>SUM(F43:F46)</f>
        <v>0</v>
      </c>
      <c r="G42" s="4308">
        <f t="shared" ref="G42:M42" si="4">SUM(G43:G46)</f>
        <v>0</v>
      </c>
      <c r="H42" s="4308">
        <f t="shared" si="4"/>
        <v>0</v>
      </c>
      <c r="I42" s="4308">
        <f t="shared" si="4"/>
        <v>0</v>
      </c>
      <c r="J42" s="4308">
        <f t="shared" si="4"/>
        <v>0</v>
      </c>
      <c r="K42" s="4308">
        <f t="shared" si="4"/>
        <v>0</v>
      </c>
      <c r="L42" s="4308">
        <f t="shared" si="4"/>
        <v>0</v>
      </c>
      <c r="M42" s="4385">
        <f t="shared" si="4"/>
        <v>0</v>
      </c>
      <c r="N42" s="4308">
        <f>SUM(N43)</f>
        <v>0</v>
      </c>
      <c r="O42" s="4343">
        <f>SUM(O43)</f>
        <v>0</v>
      </c>
      <c r="P42" s="4269">
        <f>SUM(P43)</f>
        <v>0</v>
      </c>
      <c r="Q42" s="4309">
        <f>SUM(Q43)</f>
        <v>0</v>
      </c>
      <c r="R42" s="4269">
        <f t="shared" ref="R42:Y42" si="5">SUM(R43:R46)</f>
        <v>0</v>
      </c>
      <c r="S42" s="4343">
        <f t="shared" si="5"/>
        <v>0</v>
      </c>
      <c r="T42" s="4308">
        <f t="shared" si="5"/>
        <v>0</v>
      </c>
      <c r="U42" s="4343">
        <f t="shared" si="5"/>
        <v>0</v>
      </c>
      <c r="V42" s="4269">
        <f t="shared" si="5"/>
        <v>0</v>
      </c>
      <c r="W42" s="4343">
        <f t="shared" si="5"/>
        <v>0</v>
      </c>
      <c r="X42" s="4308">
        <f t="shared" si="5"/>
        <v>0</v>
      </c>
      <c r="Y42" s="4343">
        <f t="shared" si="5"/>
        <v>0</v>
      </c>
    </row>
    <row r="43" spans="1:25" x14ac:dyDescent="0.25">
      <c r="A43" s="4386" t="s">
        <v>3631</v>
      </c>
      <c r="B43" s="4275">
        <f>SUM(F43+J43)</f>
        <v>0</v>
      </c>
      <c r="C43" s="4387">
        <f>SUM(G43+K43)</f>
        <v>0</v>
      </c>
      <c r="D43" s="4275">
        <f>SUM(H43+L43)</f>
        <v>0</v>
      </c>
      <c r="E43" s="4387">
        <f>SUM(I43+M43)</f>
        <v>0</v>
      </c>
      <c r="F43" s="4279"/>
      <c r="G43" s="3905"/>
      <c r="H43" s="4272"/>
      <c r="I43" s="3905"/>
      <c r="J43" s="4272"/>
      <c r="K43" s="3905"/>
      <c r="L43" s="4272"/>
      <c r="M43" s="4388"/>
      <c r="N43" s="4272"/>
      <c r="O43" s="3905"/>
      <c r="P43" s="4272"/>
      <c r="Q43" s="3905"/>
      <c r="R43" s="4279"/>
      <c r="S43" s="3905"/>
      <c r="T43" s="4272"/>
      <c r="U43" s="3905"/>
      <c r="V43" s="4282"/>
      <c r="W43" s="4281"/>
      <c r="X43" s="4283"/>
      <c r="Y43" s="4281"/>
    </row>
    <row r="44" spans="1:25" x14ac:dyDescent="0.25">
      <c r="A44" s="3603" t="s">
        <v>3632</v>
      </c>
      <c r="B44" s="2190">
        <f t="shared" ref="B44:E46" si="6">SUM(F44+J44)</f>
        <v>0</v>
      </c>
      <c r="C44" s="143">
        <f t="shared" si="6"/>
        <v>0</v>
      </c>
      <c r="D44" s="2190">
        <f t="shared" si="6"/>
        <v>0</v>
      </c>
      <c r="E44" s="143">
        <f t="shared" si="6"/>
        <v>0</v>
      </c>
      <c r="F44" s="3232"/>
      <c r="G44" s="630"/>
      <c r="H44" s="620"/>
      <c r="I44" s="630"/>
      <c r="J44" s="620"/>
      <c r="K44" s="630"/>
      <c r="L44" s="620"/>
      <c r="M44" s="796"/>
      <c r="N44" s="845"/>
      <c r="O44" s="4389"/>
      <c r="P44" s="845"/>
      <c r="Q44" s="4389"/>
      <c r="R44" s="3232"/>
      <c r="S44" s="630"/>
      <c r="T44" s="620"/>
      <c r="U44" s="630"/>
      <c r="V44" s="4292"/>
      <c r="W44" s="4291"/>
      <c r="X44" s="4293"/>
      <c r="Y44" s="4291"/>
    </row>
    <row r="45" spans="1:25" x14ac:dyDescent="0.25">
      <c r="A45" s="3603" t="s">
        <v>3633</v>
      </c>
      <c r="B45" s="2190">
        <f t="shared" si="6"/>
        <v>0</v>
      </c>
      <c r="C45" s="143">
        <f t="shared" si="6"/>
        <v>0</v>
      </c>
      <c r="D45" s="2190">
        <f t="shared" si="6"/>
        <v>0</v>
      </c>
      <c r="E45" s="143">
        <f t="shared" si="6"/>
        <v>0</v>
      </c>
      <c r="F45" s="3232"/>
      <c r="G45" s="630"/>
      <c r="H45" s="620"/>
      <c r="I45" s="630"/>
      <c r="J45" s="620"/>
      <c r="K45" s="630"/>
      <c r="L45" s="620"/>
      <c r="M45" s="796"/>
      <c r="N45" s="3407"/>
      <c r="O45" s="846"/>
      <c r="P45" s="3405"/>
      <c r="Q45" s="846"/>
      <c r="R45" s="3232"/>
      <c r="S45" s="630"/>
      <c r="T45" s="620"/>
      <c r="U45" s="630"/>
      <c r="V45" s="4292"/>
      <c r="W45" s="4291"/>
      <c r="X45" s="4293"/>
      <c r="Y45" s="4291"/>
    </row>
    <row r="46" spans="1:25" x14ac:dyDescent="0.25">
      <c r="A46" s="3002" t="s">
        <v>3634</v>
      </c>
      <c r="B46" s="4390">
        <f t="shared" si="6"/>
        <v>0</v>
      </c>
      <c r="C46" s="4391">
        <f t="shared" si="6"/>
        <v>0</v>
      </c>
      <c r="D46" s="4390">
        <f t="shared" si="6"/>
        <v>0</v>
      </c>
      <c r="E46" s="4391">
        <f t="shared" si="6"/>
        <v>0</v>
      </c>
      <c r="F46" s="4302"/>
      <c r="G46" s="3013"/>
      <c r="H46" s="3972"/>
      <c r="I46" s="3013"/>
      <c r="J46" s="3972"/>
      <c r="K46" s="3013"/>
      <c r="L46" s="3972"/>
      <c r="M46" s="2934"/>
      <c r="N46" s="4392"/>
      <c r="O46" s="3910"/>
      <c r="P46" s="585"/>
      <c r="Q46" s="4393"/>
      <c r="R46" s="4302"/>
      <c r="S46" s="3013"/>
      <c r="T46" s="3972"/>
      <c r="U46" s="3013"/>
      <c r="V46" s="4297"/>
      <c r="W46" s="4296"/>
      <c r="X46" s="4298"/>
      <c r="Y46" s="4296"/>
    </row>
    <row r="47" spans="1:25" s="17" customFormat="1" ht="18" customHeight="1" x14ac:dyDescent="0.2">
      <c r="A47" s="3097" t="s">
        <v>3635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</row>
    <row r="48" spans="1:25" ht="22.5" customHeight="1" x14ac:dyDescent="0.25">
      <c r="A48" s="8521" t="s">
        <v>3636</v>
      </c>
      <c r="B48" s="6680" t="s">
        <v>3637</v>
      </c>
      <c r="C48" s="6768"/>
      <c r="D48" s="6768"/>
      <c r="E48" s="8494"/>
      <c r="F48" s="6680" t="s">
        <v>3638</v>
      </c>
      <c r="G48" s="6768"/>
      <c r="H48" s="6768"/>
      <c r="I48" s="8494"/>
      <c r="J48" s="6680" t="s">
        <v>3639</v>
      </c>
      <c r="K48" s="6768"/>
      <c r="L48" s="6768"/>
      <c r="M48" s="8494"/>
      <c r="N48" s="8494" t="s">
        <v>3640</v>
      </c>
      <c r="O48" s="8487"/>
      <c r="P48" s="8487"/>
      <c r="Q48" s="8487"/>
    </row>
    <row r="49" spans="1:17" x14ac:dyDescent="0.25">
      <c r="A49" s="8521"/>
      <c r="B49" s="8485" t="s">
        <v>443</v>
      </c>
      <c r="C49" s="8476"/>
      <c r="D49" s="8485" t="s">
        <v>242</v>
      </c>
      <c r="E49" s="8476"/>
      <c r="F49" s="8485" t="s">
        <v>443</v>
      </c>
      <c r="G49" s="8476"/>
      <c r="H49" s="8485" t="s">
        <v>242</v>
      </c>
      <c r="I49" s="8476"/>
      <c r="J49" s="8485" t="s">
        <v>443</v>
      </c>
      <c r="K49" s="8476"/>
      <c r="L49" s="8485" t="s">
        <v>242</v>
      </c>
      <c r="M49" s="8476"/>
      <c r="N49" s="8485" t="s">
        <v>443</v>
      </c>
      <c r="O49" s="8476"/>
      <c r="P49" s="8485" t="s">
        <v>242</v>
      </c>
      <c r="Q49" s="8476"/>
    </row>
    <row r="50" spans="1:17" x14ac:dyDescent="0.25">
      <c r="A50" s="8521"/>
      <c r="B50" s="4336" t="s">
        <v>22</v>
      </c>
      <c r="C50" s="4304" t="s">
        <v>27</v>
      </c>
      <c r="D50" s="4382" t="s">
        <v>22</v>
      </c>
      <c r="E50" s="4304" t="s">
        <v>27</v>
      </c>
      <c r="F50" s="4336" t="s">
        <v>22</v>
      </c>
      <c r="G50" s="4304" t="s">
        <v>27</v>
      </c>
      <c r="H50" s="4382" t="s">
        <v>22</v>
      </c>
      <c r="I50" s="4304" t="s">
        <v>27</v>
      </c>
      <c r="J50" s="4262" t="s">
        <v>22</v>
      </c>
      <c r="K50" s="4258" t="s">
        <v>27</v>
      </c>
      <c r="L50" s="4262" t="s">
        <v>22</v>
      </c>
      <c r="M50" s="4258" t="s">
        <v>27</v>
      </c>
      <c r="N50" s="4382" t="s">
        <v>22</v>
      </c>
      <c r="O50" s="4304" t="s">
        <v>27</v>
      </c>
      <c r="P50" s="4336" t="s">
        <v>22</v>
      </c>
      <c r="Q50" s="4304" t="s">
        <v>27</v>
      </c>
    </row>
    <row r="51" spans="1:17" x14ac:dyDescent="0.25">
      <c r="A51" s="4384" t="s">
        <v>24</v>
      </c>
      <c r="B51" s="4394">
        <f>SUM(B52:B56)</f>
        <v>0</v>
      </c>
      <c r="C51" s="4395">
        <f>SUM(C52:C56)</f>
        <v>0</v>
      </c>
      <c r="D51" s="4396">
        <f>SUM(D52:D56)</f>
        <v>0</v>
      </c>
      <c r="E51" s="4395">
        <f>SUM(E52:E56)</f>
        <v>0</v>
      </c>
      <c r="F51" s="4394">
        <f>SUM(F52:F56)</f>
        <v>0</v>
      </c>
      <c r="G51" s="4395">
        <f t="shared" ref="G51:Q51" si="7">SUM(G52:G56)</f>
        <v>0</v>
      </c>
      <c r="H51" s="4396">
        <f t="shared" si="7"/>
        <v>0</v>
      </c>
      <c r="I51" s="4395">
        <f t="shared" si="7"/>
        <v>0</v>
      </c>
      <c r="J51" s="4397">
        <f t="shared" si="7"/>
        <v>0</v>
      </c>
      <c r="K51" s="4398">
        <f t="shared" si="7"/>
        <v>0</v>
      </c>
      <c r="L51" s="4399">
        <f t="shared" si="7"/>
        <v>0</v>
      </c>
      <c r="M51" s="4400">
        <f t="shared" si="7"/>
        <v>0</v>
      </c>
      <c r="N51" s="4401">
        <f t="shared" si="7"/>
        <v>0</v>
      </c>
      <c r="O51" s="4400">
        <f t="shared" si="7"/>
        <v>0</v>
      </c>
      <c r="P51" s="4396">
        <f t="shared" si="7"/>
        <v>0</v>
      </c>
      <c r="Q51" s="4402">
        <f t="shared" si="7"/>
        <v>0</v>
      </c>
    </row>
    <row r="52" spans="1:17" x14ac:dyDescent="0.25">
      <c r="A52" s="4403" t="s">
        <v>527</v>
      </c>
      <c r="B52" s="4275">
        <f>SUM(F52+J52)</f>
        <v>0</v>
      </c>
      <c r="C52" s="4274">
        <f>SUM(G52+K52)</f>
        <v>0</v>
      </c>
      <c r="D52" s="4273">
        <f>SUM(H52+L52)</f>
        <v>0</v>
      </c>
      <c r="E52" s="4274">
        <f>SUM(I52+M52)</f>
        <v>0</v>
      </c>
      <c r="F52" s="4272"/>
      <c r="G52" s="4301"/>
      <c r="H52" s="4279"/>
      <c r="I52" s="4301"/>
      <c r="J52" s="4279"/>
      <c r="K52" s="4301"/>
      <c r="L52" s="4272"/>
      <c r="M52" s="4301"/>
      <c r="N52" s="4283"/>
      <c r="O52" s="4281"/>
      <c r="P52" s="4283"/>
      <c r="Q52" s="4281"/>
    </row>
    <row r="53" spans="1:17" x14ac:dyDescent="0.25">
      <c r="A53" s="3603" t="s">
        <v>3579</v>
      </c>
      <c r="B53" s="3279">
        <f t="shared" ref="B53:E56" si="8">SUM(F53+J53)</f>
        <v>0</v>
      </c>
      <c r="C53" s="791">
        <f t="shared" si="8"/>
        <v>0</v>
      </c>
      <c r="D53" s="4289">
        <f t="shared" si="8"/>
        <v>0</v>
      </c>
      <c r="E53" s="791">
        <f t="shared" si="8"/>
        <v>0</v>
      </c>
      <c r="F53" s="620"/>
      <c r="G53" s="630"/>
      <c r="H53" s="3232"/>
      <c r="I53" s="630"/>
      <c r="J53" s="3232"/>
      <c r="K53" s="630"/>
      <c r="L53" s="620"/>
      <c r="M53" s="630"/>
      <c r="N53" s="4293"/>
      <c r="O53" s="4291"/>
      <c r="P53" s="4293"/>
      <c r="Q53" s="4291"/>
    </row>
    <row r="54" spans="1:17" x14ac:dyDescent="0.25">
      <c r="A54" s="4404" t="s">
        <v>3641</v>
      </c>
      <c r="B54" s="3279">
        <f t="shared" si="8"/>
        <v>0</v>
      </c>
      <c r="C54" s="791">
        <f t="shared" si="8"/>
        <v>0</v>
      </c>
      <c r="D54" s="4289">
        <f t="shared" si="8"/>
        <v>0</v>
      </c>
      <c r="E54" s="791">
        <f t="shared" si="8"/>
        <v>0</v>
      </c>
      <c r="F54" s="620"/>
      <c r="G54" s="3166"/>
      <c r="H54" s="3232"/>
      <c r="I54" s="3166"/>
      <c r="J54" s="3232"/>
      <c r="K54" s="3166"/>
      <c r="L54" s="620"/>
      <c r="M54" s="3166"/>
      <c r="N54" s="4293"/>
      <c r="O54" s="4291"/>
      <c r="P54" s="4293"/>
      <c r="Q54" s="4291"/>
    </row>
    <row r="55" spans="1:17" x14ac:dyDescent="0.25">
      <c r="A55" s="4404" t="s">
        <v>3642</v>
      </c>
      <c r="B55" s="3279">
        <f t="shared" si="8"/>
        <v>0</v>
      </c>
      <c r="C55" s="791">
        <f t="shared" si="8"/>
        <v>0</v>
      </c>
      <c r="D55" s="4289">
        <f t="shared" si="8"/>
        <v>0</v>
      </c>
      <c r="E55" s="791">
        <f t="shared" si="8"/>
        <v>0</v>
      </c>
      <c r="F55" s="620"/>
      <c r="G55" s="3166"/>
      <c r="H55" s="3232"/>
      <c r="I55" s="3166"/>
      <c r="J55" s="3232"/>
      <c r="K55" s="3166"/>
      <c r="L55" s="620"/>
      <c r="M55" s="3166"/>
      <c r="N55" s="4293"/>
      <c r="O55" s="4291"/>
      <c r="P55" s="4293"/>
      <c r="Q55" s="4291"/>
    </row>
    <row r="56" spans="1:17" x14ac:dyDescent="0.25">
      <c r="A56" s="587" t="s">
        <v>3643</v>
      </c>
      <c r="B56" s="120">
        <f t="shared" si="8"/>
        <v>0</v>
      </c>
      <c r="C56" s="3438">
        <f t="shared" si="8"/>
        <v>0</v>
      </c>
      <c r="D56" s="586">
        <f t="shared" si="8"/>
        <v>0</v>
      </c>
      <c r="E56" s="3438">
        <f t="shared" si="8"/>
        <v>0</v>
      </c>
      <c r="F56" s="114"/>
      <c r="G56" s="2889"/>
      <c r="H56" s="121"/>
      <c r="I56" s="2889"/>
      <c r="J56" s="121"/>
      <c r="K56" s="2889"/>
      <c r="L56" s="114"/>
      <c r="M56" s="2889"/>
      <c r="N56" s="4298"/>
      <c r="O56" s="4296"/>
      <c r="P56" s="4298"/>
      <c r="Q56" s="4296"/>
    </row>
    <row r="57" spans="1:17" s="17" customFormat="1" ht="18" customHeight="1" x14ac:dyDescent="0.2">
      <c r="A57" s="122" t="s">
        <v>3644</v>
      </c>
      <c r="B57" s="3979"/>
      <c r="C57" s="3979"/>
      <c r="D57" s="3979"/>
      <c r="E57" s="3979"/>
    </row>
    <row r="58" spans="1:17" s="17" customFormat="1" ht="18" customHeight="1" x14ac:dyDescent="0.2">
      <c r="A58" s="3097" t="s">
        <v>3645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</row>
    <row r="59" spans="1:17" ht="32.25" customHeight="1" x14ac:dyDescent="0.25">
      <c r="A59" s="8517" t="s">
        <v>3646</v>
      </c>
      <c r="B59" s="8487" t="s">
        <v>3647</v>
      </c>
      <c r="C59" s="8487"/>
      <c r="D59" s="8487"/>
      <c r="E59" s="8487"/>
      <c r="F59" s="8487" t="s">
        <v>3648</v>
      </c>
      <c r="G59" s="8487"/>
      <c r="H59" s="8487"/>
      <c r="I59" s="8487"/>
      <c r="J59" s="8487" t="s">
        <v>3649</v>
      </c>
      <c r="K59" s="8487"/>
      <c r="L59" s="8487"/>
      <c r="M59" s="8487"/>
      <c r="N59" s="8487" t="s">
        <v>3650</v>
      </c>
      <c r="O59" s="8487"/>
      <c r="P59" s="8487"/>
      <c r="Q59" s="8487"/>
    </row>
    <row r="60" spans="1:17" x14ac:dyDescent="0.25">
      <c r="A60" s="8517"/>
      <c r="B60" s="8485" t="s">
        <v>443</v>
      </c>
      <c r="C60" s="8476"/>
      <c r="D60" s="8485" t="s">
        <v>242</v>
      </c>
      <c r="E60" s="8476"/>
      <c r="F60" s="8485" t="s">
        <v>443</v>
      </c>
      <c r="G60" s="8476"/>
      <c r="H60" s="8485" t="s">
        <v>242</v>
      </c>
      <c r="I60" s="8476"/>
      <c r="J60" s="8485" t="s">
        <v>443</v>
      </c>
      <c r="K60" s="8476"/>
      <c r="L60" s="8485" t="s">
        <v>242</v>
      </c>
      <c r="M60" s="8476"/>
      <c r="N60" s="8485" t="s">
        <v>443</v>
      </c>
      <c r="O60" s="8476"/>
      <c r="P60" s="8485" t="s">
        <v>242</v>
      </c>
      <c r="Q60" s="8476"/>
    </row>
    <row r="61" spans="1:17" x14ac:dyDescent="0.25">
      <c r="A61" s="8517"/>
      <c r="B61" s="4262" t="s">
        <v>22</v>
      </c>
      <c r="C61" s="4258" t="s">
        <v>27</v>
      </c>
      <c r="D61" s="4262" t="s">
        <v>22</v>
      </c>
      <c r="E61" s="4258" t="s">
        <v>27</v>
      </c>
      <c r="F61" s="4262" t="s">
        <v>22</v>
      </c>
      <c r="G61" s="4258" t="s">
        <v>27</v>
      </c>
      <c r="H61" s="4262" t="s">
        <v>22</v>
      </c>
      <c r="I61" s="4258" t="s">
        <v>27</v>
      </c>
      <c r="J61" s="4262" t="s">
        <v>22</v>
      </c>
      <c r="K61" s="4258" t="s">
        <v>27</v>
      </c>
      <c r="L61" s="4262" t="s">
        <v>22</v>
      </c>
      <c r="M61" s="4258" t="s">
        <v>27</v>
      </c>
      <c r="N61" s="4262" t="s">
        <v>22</v>
      </c>
      <c r="O61" s="4258" t="s">
        <v>27</v>
      </c>
      <c r="P61" s="4260" t="s">
        <v>22</v>
      </c>
      <c r="Q61" s="4258" t="s">
        <v>27</v>
      </c>
    </row>
    <row r="62" spans="1:17" x14ac:dyDescent="0.25">
      <c r="A62" s="4384" t="s">
        <v>24</v>
      </c>
      <c r="B62" s="4308">
        <f>SUM(B63:B66)</f>
        <v>0</v>
      </c>
      <c r="C62" s="4308">
        <f t="shared" ref="C62:Q62" si="9">SUM(C63:C66)</f>
        <v>0</v>
      </c>
      <c r="D62" s="4308">
        <f t="shared" si="9"/>
        <v>0</v>
      </c>
      <c r="E62" s="4308">
        <f t="shared" si="9"/>
        <v>0</v>
      </c>
      <c r="F62" s="4308">
        <f t="shared" si="9"/>
        <v>0</v>
      </c>
      <c r="G62" s="4308">
        <f t="shared" si="9"/>
        <v>0</v>
      </c>
      <c r="H62" s="4308">
        <f t="shared" si="9"/>
        <v>0</v>
      </c>
      <c r="I62" s="4308">
        <f t="shared" si="9"/>
        <v>0</v>
      </c>
      <c r="J62" s="4308">
        <f t="shared" si="9"/>
        <v>0</v>
      </c>
      <c r="K62" s="4308">
        <f t="shared" si="9"/>
        <v>0</v>
      </c>
      <c r="L62" s="4308">
        <f t="shared" si="9"/>
        <v>0</v>
      </c>
      <c r="M62" s="4308">
        <f t="shared" si="9"/>
        <v>0</v>
      </c>
      <c r="N62" s="4308">
        <f t="shared" si="9"/>
        <v>0</v>
      </c>
      <c r="O62" s="4308">
        <f t="shared" si="9"/>
        <v>0</v>
      </c>
      <c r="P62" s="4308">
        <f t="shared" si="9"/>
        <v>0</v>
      </c>
      <c r="Q62" s="4342">
        <f t="shared" si="9"/>
        <v>0</v>
      </c>
    </row>
    <row r="63" spans="1:17" x14ac:dyDescent="0.25">
      <c r="A63" s="4386" t="s">
        <v>76</v>
      </c>
      <c r="B63" s="4275">
        <f>SUM(F63+J63)</f>
        <v>0</v>
      </c>
      <c r="C63" s="4274">
        <f>SUM(G63+K63)</f>
        <v>0</v>
      </c>
      <c r="D63" s="4273">
        <f>SUM(H63+L63)</f>
        <v>0</v>
      </c>
      <c r="E63" s="4274">
        <f>SUM(I63+M63)</f>
        <v>0</v>
      </c>
      <c r="F63" s="106"/>
      <c r="G63" s="590"/>
      <c r="H63" s="591"/>
      <c r="I63" s="590"/>
      <c r="J63" s="106"/>
      <c r="K63" s="590"/>
      <c r="L63" s="591"/>
      <c r="M63" s="590"/>
      <c r="N63" s="4293"/>
      <c r="O63" s="4291"/>
      <c r="P63" s="4293"/>
      <c r="Q63" s="4291"/>
    </row>
    <row r="64" spans="1:17" x14ac:dyDescent="0.25">
      <c r="A64" s="3135" t="s">
        <v>3651</v>
      </c>
      <c r="B64" s="3279">
        <f t="shared" ref="B64:E66" si="10">SUM(F64+J64)</f>
        <v>0</v>
      </c>
      <c r="C64" s="791">
        <f t="shared" si="10"/>
        <v>0</v>
      </c>
      <c r="D64" s="4289">
        <f t="shared" si="10"/>
        <v>0</v>
      </c>
      <c r="E64" s="791">
        <f t="shared" si="10"/>
        <v>0</v>
      </c>
      <c r="F64" s="620"/>
      <c r="G64" s="630"/>
      <c r="H64" s="3232"/>
      <c r="I64" s="630"/>
      <c r="J64" s="620"/>
      <c r="K64" s="630"/>
      <c r="L64" s="3232"/>
      <c r="M64" s="630"/>
      <c r="N64" s="4293"/>
      <c r="O64" s="4291"/>
      <c r="P64" s="4293"/>
      <c r="Q64" s="4291"/>
    </row>
    <row r="65" spans="1:17" x14ac:dyDescent="0.25">
      <c r="A65" s="3135" t="s">
        <v>3652</v>
      </c>
      <c r="B65" s="3279">
        <f t="shared" si="10"/>
        <v>0</v>
      </c>
      <c r="C65" s="791">
        <f t="shared" si="10"/>
        <v>0</v>
      </c>
      <c r="D65" s="4289">
        <f t="shared" si="10"/>
        <v>0</v>
      </c>
      <c r="E65" s="791">
        <f t="shared" si="10"/>
        <v>0</v>
      </c>
      <c r="F65" s="620"/>
      <c r="G65" s="630"/>
      <c r="H65" s="3232"/>
      <c r="I65" s="630"/>
      <c r="J65" s="620"/>
      <c r="K65" s="630"/>
      <c r="L65" s="3232"/>
      <c r="M65" s="630"/>
      <c r="N65" s="4293"/>
      <c r="O65" s="4291"/>
      <c r="P65" s="4293"/>
      <c r="Q65" s="4291"/>
    </row>
    <row r="66" spans="1:17" x14ac:dyDescent="0.25">
      <c r="A66" s="150" t="s">
        <v>3653</v>
      </c>
      <c r="B66" s="120">
        <f t="shared" si="10"/>
        <v>0</v>
      </c>
      <c r="C66" s="3438">
        <f t="shared" si="10"/>
        <v>0</v>
      </c>
      <c r="D66" s="586">
        <f t="shared" si="10"/>
        <v>0</v>
      </c>
      <c r="E66" s="3438">
        <f t="shared" si="10"/>
        <v>0</v>
      </c>
      <c r="F66" s="114"/>
      <c r="G66" s="3124"/>
      <c r="H66" s="121"/>
      <c r="I66" s="3124"/>
      <c r="J66" s="114"/>
      <c r="K66" s="3124"/>
      <c r="L66" s="121"/>
      <c r="M66" s="3124"/>
      <c r="N66" s="4405"/>
      <c r="O66" s="4380"/>
      <c r="P66" s="4406"/>
      <c r="Q66" s="4407"/>
    </row>
    <row r="67" spans="1:17" s="17" customFormat="1" ht="18" customHeight="1" x14ac:dyDescent="0.2">
      <c r="A67" s="3097" t="s">
        <v>3654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</row>
    <row r="68" spans="1:17" ht="30.75" customHeight="1" x14ac:dyDescent="0.25">
      <c r="A68" s="8517" t="s">
        <v>3655</v>
      </c>
      <c r="B68" s="8487" t="s">
        <v>3656</v>
      </c>
      <c r="C68" s="8487"/>
      <c r="D68" s="8487"/>
      <c r="E68" s="8487"/>
      <c r="F68" s="8487" t="s">
        <v>3657</v>
      </c>
      <c r="G68" s="8487"/>
      <c r="H68" s="8487"/>
      <c r="I68" s="8487"/>
      <c r="J68" s="8487" t="s">
        <v>3658</v>
      </c>
      <c r="K68" s="8487"/>
      <c r="L68" s="8487"/>
      <c r="M68" s="8487"/>
      <c r="N68" s="8487" t="s">
        <v>3659</v>
      </c>
      <c r="O68" s="8487"/>
      <c r="P68" s="8487"/>
      <c r="Q68" s="8487"/>
    </row>
    <row r="69" spans="1:17" x14ac:dyDescent="0.25">
      <c r="A69" s="8517"/>
      <c r="B69" s="8485" t="s">
        <v>443</v>
      </c>
      <c r="C69" s="8476"/>
      <c r="D69" s="8485" t="s">
        <v>242</v>
      </c>
      <c r="E69" s="8476"/>
      <c r="F69" s="8485" t="s">
        <v>443</v>
      </c>
      <c r="G69" s="8476"/>
      <c r="H69" s="8485" t="s">
        <v>242</v>
      </c>
      <c r="I69" s="8476"/>
      <c r="J69" s="8485" t="s">
        <v>443</v>
      </c>
      <c r="K69" s="8476"/>
      <c r="L69" s="8485" t="s">
        <v>242</v>
      </c>
      <c r="M69" s="8476"/>
      <c r="N69" s="8485" t="s">
        <v>443</v>
      </c>
      <c r="O69" s="8476"/>
      <c r="P69" s="8485" t="s">
        <v>242</v>
      </c>
      <c r="Q69" s="8476"/>
    </row>
    <row r="70" spans="1:17" x14ac:dyDescent="0.25">
      <c r="A70" s="8517"/>
      <c r="B70" s="4262" t="s">
        <v>22</v>
      </c>
      <c r="C70" s="4258" t="s">
        <v>27</v>
      </c>
      <c r="D70" s="4262" t="s">
        <v>22</v>
      </c>
      <c r="E70" s="4258" t="s">
        <v>27</v>
      </c>
      <c r="F70" s="4262" t="s">
        <v>22</v>
      </c>
      <c r="G70" s="4258" t="s">
        <v>27</v>
      </c>
      <c r="H70" s="4262" t="s">
        <v>22</v>
      </c>
      <c r="I70" s="4258" t="s">
        <v>27</v>
      </c>
      <c r="J70" s="4262" t="s">
        <v>22</v>
      </c>
      <c r="K70" s="4258" t="s">
        <v>27</v>
      </c>
      <c r="L70" s="4262" t="s">
        <v>22</v>
      </c>
      <c r="M70" s="4258" t="s">
        <v>27</v>
      </c>
      <c r="N70" s="4262" t="s">
        <v>22</v>
      </c>
      <c r="O70" s="4258" t="s">
        <v>27</v>
      </c>
      <c r="P70" s="4260" t="s">
        <v>22</v>
      </c>
      <c r="Q70" s="4258" t="s">
        <v>27</v>
      </c>
    </row>
    <row r="71" spans="1:17" x14ac:dyDescent="0.25">
      <c r="A71" s="4384" t="s">
        <v>24</v>
      </c>
      <c r="B71" s="4308">
        <f>SUM(B72:B75)</f>
        <v>0</v>
      </c>
      <c r="C71" s="4309">
        <f>SUM(C72:C75)</f>
        <v>0</v>
      </c>
      <c r="D71" s="4269">
        <f>SUM(D72:D75)</f>
        <v>0</v>
      </c>
      <c r="E71" s="4309">
        <f>SUM(E72:E75)</f>
        <v>0</v>
      </c>
      <c r="F71" s="4308">
        <f t="shared" ref="F71:Q71" si="11">SUM(F72:F75)</f>
        <v>0</v>
      </c>
      <c r="G71" s="4343">
        <f t="shared" si="11"/>
        <v>0</v>
      </c>
      <c r="H71" s="4308">
        <f t="shared" si="11"/>
        <v>0</v>
      </c>
      <c r="I71" s="4343">
        <f t="shared" si="11"/>
        <v>0</v>
      </c>
      <c r="J71" s="4308">
        <f t="shared" si="11"/>
        <v>0</v>
      </c>
      <c r="K71" s="4343">
        <f t="shared" si="11"/>
        <v>0</v>
      </c>
      <c r="L71" s="4308">
        <f t="shared" si="11"/>
        <v>0</v>
      </c>
      <c r="M71" s="4343">
        <f t="shared" si="11"/>
        <v>0</v>
      </c>
      <c r="N71" s="4308">
        <f t="shared" si="11"/>
        <v>0</v>
      </c>
      <c r="O71" s="4343">
        <f t="shared" si="11"/>
        <v>0</v>
      </c>
      <c r="P71" s="4269">
        <f t="shared" si="11"/>
        <v>0</v>
      </c>
      <c r="Q71" s="4343">
        <f t="shared" si="11"/>
        <v>0</v>
      </c>
    </row>
    <row r="72" spans="1:17" x14ac:dyDescent="0.25">
      <c r="A72" s="4386" t="s">
        <v>76</v>
      </c>
      <c r="B72" s="4275">
        <f>SUM(F72+J72)</f>
        <v>0</v>
      </c>
      <c r="C72" s="4274">
        <f>SUM(G72+K72)</f>
        <v>0</v>
      </c>
      <c r="D72" s="4273">
        <f>SUM(H72+L72)</f>
        <v>0</v>
      </c>
      <c r="E72" s="4274">
        <f>SUM(I72+M72)</f>
        <v>0</v>
      </c>
      <c r="F72" s="106"/>
      <c r="G72" s="590"/>
      <c r="H72" s="591"/>
      <c r="I72" s="590"/>
      <c r="J72" s="106"/>
      <c r="K72" s="590"/>
      <c r="L72" s="591"/>
      <c r="M72" s="590"/>
      <c r="N72" s="4293"/>
      <c r="O72" s="4291"/>
      <c r="P72" s="4293"/>
      <c r="Q72" s="4291"/>
    </row>
    <row r="73" spans="1:17" x14ac:dyDescent="0.25">
      <c r="A73" s="3135" t="s">
        <v>3651</v>
      </c>
      <c r="B73" s="3279">
        <f t="shared" ref="B73:E75" si="12">SUM(F73+J73)</f>
        <v>0</v>
      </c>
      <c r="C73" s="791">
        <f t="shared" si="12"/>
        <v>0</v>
      </c>
      <c r="D73" s="4289">
        <f t="shared" si="12"/>
        <v>0</v>
      </c>
      <c r="E73" s="791">
        <f t="shared" si="12"/>
        <v>0</v>
      </c>
      <c r="F73" s="620"/>
      <c r="G73" s="630"/>
      <c r="H73" s="3232"/>
      <c r="I73" s="630"/>
      <c r="J73" s="620"/>
      <c r="K73" s="630"/>
      <c r="L73" s="3232"/>
      <c r="M73" s="630"/>
      <c r="N73" s="4293"/>
      <c r="O73" s="4291"/>
      <c r="P73" s="4293"/>
      <c r="Q73" s="4291"/>
    </row>
    <row r="74" spans="1:17" x14ac:dyDescent="0.25">
      <c r="A74" s="3135" t="s">
        <v>3652</v>
      </c>
      <c r="B74" s="3279">
        <f t="shared" si="12"/>
        <v>0</v>
      </c>
      <c r="C74" s="791">
        <f t="shared" si="12"/>
        <v>0</v>
      </c>
      <c r="D74" s="4289">
        <f t="shared" si="12"/>
        <v>0</v>
      </c>
      <c r="E74" s="791">
        <f t="shared" si="12"/>
        <v>0</v>
      </c>
      <c r="F74" s="620"/>
      <c r="G74" s="630"/>
      <c r="H74" s="3232"/>
      <c r="I74" s="630"/>
      <c r="J74" s="620"/>
      <c r="K74" s="630"/>
      <c r="L74" s="3232"/>
      <c r="M74" s="630"/>
      <c r="N74" s="4293"/>
      <c r="O74" s="4291"/>
      <c r="P74" s="4293"/>
      <c r="Q74" s="4291"/>
    </row>
    <row r="75" spans="1:17" x14ac:dyDescent="0.25">
      <c r="A75" s="150" t="s">
        <v>3653</v>
      </c>
      <c r="B75" s="120">
        <f t="shared" si="12"/>
        <v>0</v>
      </c>
      <c r="C75" s="3438">
        <f t="shared" si="12"/>
        <v>0</v>
      </c>
      <c r="D75" s="586">
        <f t="shared" si="12"/>
        <v>0</v>
      </c>
      <c r="E75" s="3438">
        <f t="shared" si="12"/>
        <v>0</v>
      </c>
      <c r="F75" s="114"/>
      <c r="G75" s="3124"/>
      <c r="H75" s="121"/>
      <c r="I75" s="3124"/>
      <c r="J75" s="114"/>
      <c r="K75" s="3124"/>
      <c r="L75" s="121"/>
      <c r="M75" s="3124"/>
      <c r="N75" s="4405"/>
      <c r="O75" s="4380"/>
      <c r="P75" s="4406"/>
      <c r="Q75" s="4407"/>
    </row>
    <row r="76" spans="1:17" s="17" customFormat="1" ht="18" customHeight="1" x14ac:dyDescent="0.2">
      <c r="A76" s="3097" t="s">
        <v>3660</v>
      </c>
      <c r="B76" s="123"/>
      <c r="C76" s="123"/>
      <c r="D76" s="123"/>
      <c r="E76" s="123"/>
      <c r="F76" s="123"/>
      <c r="G76" s="123"/>
      <c r="H76" s="123"/>
      <c r="I76" s="123"/>
    </row>
    <row r="77" spans="1:17" ht="22.5" customHeight="1" x14ac:dyDescent="0.25">
      <c r="A77" s="8518" t="s">
        <v>3655</v>
      </c>
      <c r="B77" s="8487" t="s">
        <v>3661</v>
      </c>
      <c r="C77" s="8487"/>
      <c r="D77" s="8487"/>
      <c r="E77" s="8487"/>
      <c r="F77" s="8487" t="s">
        <v>3662</v>
      </c>
      <c r="G77" s="8487"/>
      <c r="H77" s="8487"/>
      <c r="I77" s="8487"/>
    </row>
    <row r="78" spans="1:17" x14ac:dyDescent="0.25">
      <c r="A78" s="8519"/>
      <c r="B78" s="8485" t="s">
        <v>443</v>
      </c>
      <c r="C78" s="8476"/>
      <c r="D78" s="8485" t="s">
        <v>242</v>
      </c>
      <c r="E78" s="8476"/>
      <c r="F78" s="8485" t="s">
        <v>443</v>
      </c>
      <c r="G78" s="8476"/>
      <c r="H78" s="8485" t="s">
        <v>242</v>
      </c>
      <c r="I78" s="8476"/>
    </row>
    <row r="79" spans="1:17" x14ac:dyDescent="0.25">
      <c r="A79" s="8520"/>
      <c r="B79" s="4262" t="s">
        <v>22</v>
      </c>
      <c r="C79" s="4261" t="s">
        <v>27</v>
      </c>
      <c r="D79" s="4260" t="s">
        <v>22</v>
      </c>
      <c r="E79" s="4258" t="s">
        <v>27</v>
      </c>
      <c r="F79" s="4262" t="s">
        <v>22</v>
      </c>
      <c r="G79" s="4258" t="s">
        <v>27</v>
      </c>
      <c r="H79" s="4262" t="s">
        <v>22</v>
      </c>
      <c r="I79" s="4261" t="s">
        <v>27</v>
      </c>
    </row>
    <row r="80" spans="1:17" x14ac:dyDescent="0.25">
      <c r="A80" s="4384" t="s">
        <v>24</v>
      </c>
      <c r="B80" s="4399">
        <f>SUM(B81:B82)</f>
        <v>0</v>
      </c>
      <c r="C80" s="4401">
        <f t="shared" ref="C80:I80" si="13">SUM(C81:C82)</f>
        <v>0</v>
      </c>
      <c r="D80" s="4399">
        <f t="shared" si="13"/>
        <v>0</v>
      </c>
      <c r="E80" s="4401">
        <f t="shared" si="13"/>
        <v>0</v>
      </c>
      <c r="F80" s="4408">
        <f t="shared" si="13"/>
        <v>0</v>
      </c>
      <c r="G80" s="4402">
        <f t="shared" si="13"/>
        <v>0</v>
      </c>
      <c r="H80" s="4408">
        <f t="shared" si="13"/>
        <v>0</v>
      </c>
      <c r="I80" s="4402">
        <f t="shared" si="13"/>
        <v>0</v>
      </c>
    </row>
    <row r="81" spans="1:10" x14ac:dyDescent="0.25">
      <c r="A81" s="4386" t="s">
        <v>3663</v>
      </c>
      <c r="B81" s="4272"/>
      <c r="C81" s="3905"/>
      <c r="D81" s="4279"/>
      <c r="E81" s="4301"/>
      <c r="F81" s="4283"/>
      <c r="G81" s="4281"/>
      <c r="H81" s="4283"/>
      <c r="I81" s="4281"/>
    </row>
    <row r="82" spans="1:10" x14ac:dyDescent="0.25">
      <c r="A82" s="587" t="s">
        <v>3664</v>
      </c>
      <c r="B82" s="3972"/>
      <c r="C82" s="3013"/>
      <c r="D82" s="4302"/>
      <c r="E82" s="3013"/>
      <c r="F82" s="4405"/>
      <c r="G82" s="4380"/>
      <c r="H82" s="4405"/>
      <c r="I82" s="4380"/>
    </row>
    <row r="83" spans="1:10" s="17" customFormat="1" ht="18" customHeight="1" x14ac:dyDescent="0.2">
      <c r="A83" s="564" t="s">
        <v>3665</v>
      </c>
    </row>
    <row r="84" spans="1:10" s="17" customFormat="1" ht="18" customHeight="1" x14ac:dyDescent="0.2">
      <c r="A84" s="123" t="s">
        <v>3666</v>
      </c>
      <c r="B84" s="564"/>
      <c r="C84" s="4409"/>
      <c r="D84" s="4409"/>
      <c r="E84" s="4409"/>
      <c r="F84" s="4409"/>
      <c r="G84" s="101"/>
      <c r="H84" s="507"/>
      <c r="I84" s="507"/>
      <c r="J84" s="507"/>
    </row>
    <row r="85" spans="1:10" x14ac:dyDescent="0.25">
      <c r="A85" s="8505" t="s">
        <v>3667</v>
      </c>
      <c r="B85" s="8494" t="s">
        <v>24</v>
      </c>
      <c r="C85" s="6768" t="s">
        <v>3668</v>
      </c>
      <c r="D85" s="6768"/>
      <c r="E85" s="6768"/>
      <c r="F85" s="6768"/>
      <c r="G85" s="6768"/>
      <c r="H85" s="8494"/>
      <c r="I85" s="8488" t="s">
        <v>3669</v>
      </c>
      <c r="J85" s="8482"/>
    </row>
    <row r="86" spans="1:10" ht="24" customHeight="1" x14ac:dyDescent="0.25">
      <c r="A86" s="8506"/>
      <c r="B86" s="8494"/>
      <c r="C86" s="8485" t="s">
        <v>443</v>
      </c>
      <c r="D86" s="8476"/>
      <c r="E86" s="8485" t="s">
        <v>242</v>
      </c>
      <c r="F86" s="8476"/>
      <c r="G86" s="6680" t="s">
        <v>3670</v>
      </c>
      <c r="H86" s="8494"/>
      <c r="I86" s="8489"/>
      <c r="J86" s="8484"/>
    </row>
    <row r="87" spans="1:10" ht="31.5" x14ac:dyDescent="0.25">
      <c r="A87" s="8507"/>
      <c r="B87" s="8482"/>
      <c r="C87" s="4260" t="s">
        <v>22</v>
      </c>
      <c r="D87" s="4258" t="s">
        <v>27</v>
      </c>
      <c r="E87" s="4260" t="s">
        <v>22</v>
      </c>
      <c r="F87" s="4258" t="s">
        <v>27</v>
      </c>
      <c r="G87" s="4254" t="s">
        <v>3671</v>
      </c>
      <c r="H87" s="4254" t="s">
        <v>3672</v>
      </c>
      <c r="I87" s="4254" t="s">
        <v>3673</v>
      </c>
      <c r="J87" s="4340" t="s">
        <v>3674</v>
      </c>
    </row>
    <row r="88" spans="1:10" x14ac:dyDescent="0.25">
      <c r="A88" s="4386" t="s">
        <v>216</v>
      </c>
      <c r="B88" s="4346">
        <f>SUM(C88:H88)</f>
        <v>0</v>
      </c>
      <c r="C88" s="591"/>
      <c r="D88" s="590"/>
      <c r="E88" s="3232"/>
      <c r="F88" s="630"/>
      <c r="G88" s="4318"/>
      <c r="H88" s="4318"/>
      <c r="I88" s="4318"/>
      <c r="J88" s="3166"/>
    </row>
    <row r="89" spans="1:10" x14ac:dyDescent="0.25">
      <c r="A89" s="587" t="s">
        <v>3675</v>
      </c>
      <c r="B89" s="2813">
        <f>SUM(C89:H89)</f>
        <v>0</v>
      </c>
      <c r="C89" s="4302"/>
      <c r="D89" s="3013"/>
      <c r="E89" s="4302"/>
      <c r="F89" s="3013"/>
      <c r="G89" s="4410"/>
      <c r="H89" s="4410"/>
      <c r="I89" s="3005"/>
      <c r="J89" s="4411"/>
    </row>
    <row r="90" spans="1:10" s="17" customFormat="1" ht="18" customHeight="1" x14ac:dyDescent="0.2">
      <c r="A90" s="4412" t="s">
        <v>3676</v>
      </c>
      <c r="B90" s="3765"/>
      <c r="C90" s="4413"/>
      <c r="D90" s="4413"/>
      <c r="E90" s="4413"/>
      <c r="F90" s="4414"/>
    </row>
    <row r="91" spans="1:10" ht="24.75" customHeight="1" x14ac:dyDescent="0.25">
      <c r="A91" s="8505" t="s">
        <v>3677</v>
      </c>
      <c r="B91" s="8514" t="s">
        <v>24</v>
      </c>
      <c r="C91" s="6680" t="s">
        <v>3678</v>
      </c>
      <c r="D91" s="8494"/>
      <c r="E91" s="8488" t="s">
        <v>3679</v>
      </c>
      <c r="F91" s="8482"/>
    </row>
    <row r="92" spans="1:10" x14ac:dyDescent="0.25">
      <c r="A92" s="8506"/>
      <c r="B92" s="8515"/>
      <c r="C92" s="8485" t="s">
        <v>242</v>
      </c>
      <c r="D92" s="8476"/>
      <c r="E92" s="8489"/>
      <c r="F92" s="8484"/>
    </row>
    <row r="93" spans="1:10" ht="31.5" x14ac:dyDescent="0.25">
      <c r="A93" s="8507"/>
      <c r="B93" s="8516"/>
      <c r="C93" s="4340" t="s">
        <v>22</v>
      </c>
      <c r="D93" s="4340" t="s">
        <v>27</v>
      </c>
      <c r="E93" s="4335" t="s">
        <v>3673</v>
      </c>
      <c r="F93" s="4254" t="s">
        <v>3674</v>
      </c>
    </row>
    <row r="94" spans="1:10" x14ac:dyDescent="0.25">
      <c r="A94" s="4386" t="s">
        <v>216</v>
      </c>
      <c r="B94" s="4346">
        <f>SUM(C94:D94)</f>
        <v>0</v>
      </c>
      <c r="C94" s="591"/>
      <c r="D94" s="590"/>
      <c r="E94" s="4272"/>
      <c r="F94" s="3905"/>
    </row>
    <row r="95" spans="1:10" x14ac:dyDescent="0.25">
      <c r="A95" s="587" t="s">
        <v>3675</v>
      </c>
      <c r="B95" s="2813">
        <f>SUM(C95:D95)</f>
        <v>0</v>
      </c>
      <c r="C95" s="4302"/>
      <c r="D95" s="3013"/>
      <c r="E95" s="4302"/>
      <c r="F95" s="3013"/>
    </row>
    <row r="96" spans="1:10" s="17" customFormat="1" ht="18" customHeight="1" x14ac:dyDescent="0.2">
      <c r="A96" s="564" t="s">
        <v>3680</v>
      </c>
      <c r="B96" s="564"/>
      <c r="C96" s="4409"/>
      <c r="D96" s="4409"/>
      <c r="E96" s="4409"/>
      <c r="F96" s="4409"/>
      <c r="G96" s="101"/>
      <c r="H96" s="507"/>
      <c r="I96" s="507"/>
    </row>
    <row r="97" spans="1:9" x14ac:dyDescent="0.25">
      <c r="A97" s="8505" t="s">
        <v>3681</v>
      </c>
      <c r="B97" s="8487" t="s">
        <v>24</v>
      </c>
      <c r="C97" s="6768" t="s">
        <v>3682</v>
      </c>
      <c r="D97" s="6768"/>
      <c r="E97" s="6768"/>
      <c r="F97" s="8494"/>
    </row>
    <row r="98" spans="1:9" x14ac:dyDescent="0.25">
      <c r="A98" s="8506"/>
      <c r="B98" s="8487"/>
      <c r="C98" s="8485" t="s">
        <v>443</v>
      </c>
      <c r="D98" s="8476"/>
      <c r="E98" s="8485" t="s">
        <v>242</v>
      </c>
      <c r="F98" s="8476"/>
    </row>
    <row r="99" spans="1:9" x14ac:dyDescent="0.25">
      <c r="A99" s="8507"/>
      <c r="B99" s="8487"/>
      <c r="C99" s="4260" t="s">
        <v>22</v>
      </c>
      <c r="D99" s="4258" t="s">
        <v>27</v>
      </c>
      <c r="E99" s="4260" t="s">
        <v>22</v>
      </c>
      <c r="F99" s="4258" t="s">
        <v>27</v>
      </c>
    </row>
    <row r="100" spans="1:9" x14ac:dyDescent="0.25">
      <c r="A100" s="4415" t="s">
        <v>3683</v>
      </c>
      <c r="B100" s="4416">
        <f>SUM(C100:F100)</f>
        <v>0</v>
      </c>
      <c r="C100" s="4302"/>
      <c r="D100" s="3013"/>
      <c r="E100" s="121"/>
      <c r="F100" s="3124"/>
    </row>
    <row r="101" spans="1:9" s="17" customFormat="1" ht="18" customHeight="1" x14ac:dyDescent="0.2">
      <c r="A101" s="564" t="s">
        <v>3684</v>
      </c>
      <c r="B101" s="564"/>
      <c r="C101" s="4409"/>
      <c r="D101" s="4409"/>
      <c r="E101" s="4409"/>
      <c r="F101" s="4409"/>
      <c r="G101" s="101"/>
      <c r="H101" s="507"/>
    </row>
    <row r="102" spans="1:9" x14ac:dyDescent="0.25">
      <c r="A102" s="8505" t="s">
        <v>3681</v>
      </c>
      <c r="B102" s="8040" t="s">
        <v>24</v>
      </c>
      <c r="C102" s="6768" t="s">
        <v>3685</v>
      </c>
      <c r="D102" s="6768"/>
      <c r="E102" s="6768"/>
      <c r="F102" s="8494"/>
    </row>
    <row r="103" spans="1:9" x14ac:dyDescent="0.25">
      <c r="A103" s="8506"/>
      <c r="B103" s="7151"/>
      <c r="C103" s="8485" t="s">
        <v>443</v>
      </c>
      <c r="D103" s="8476"/>
      <c r="E103" s="8485" t="s">
        <v>242</v>
      </c>
      <c r="F103" s="8476"/>
    </row>
    <row r="104" spans="1:9" x14ac:dyDescent="0.25">
      <c r="A104" s="8507"/>
      <c r="B104" s="6451"/>
      <c r="C104" s="4260" t="s">
        <v>22</v>
      </c>
      <c r="D104" s="4258" t="s">
        <v>27</v>
      </c>
      <c r="E104" s="4260" t="s">
        <v>22</v>
      </c>
      <c r="F104" s="4258" t="s">
        <v>27</v>
      </c>
    </row>
    <row r="105" spans="1:9" x14ac:dyDescent="0.25">
      <c r="A105" s="4415" t="s">
        <v>3683</v>
      </c>
      <c r="B105" s="4416">
        <f>SUM(C105:F105)</f>
        <v>0</v>
      </c>
      <c r="C105" s="4417"/>
      <c r="D105" s="4418"/>
      <c r="E105" s="4417"/>
      <c r="F105" s="4418"/>
    </row>
    <row r="106" spans="1:9" s="17" customFormat="1" ht="18" customHeight="1" x14ac:dyDescent="0.2">
      <c r="A106" s="3097" t="s">
        <v>3686</v>
      </c>
      <c r="B106" s="4409"/>
      <c r="C106" s="4409"/>
      <c r="D106" s="4409"/>
      <c r="E106" s="4409"/>
      <c r="F106" s="101"/>
      <c r="G106" s="101"/>
      <c r="H106" s="101"/>
      <c r="I106" s="101"/>
    </row>
    <row r="107" spans="1:9" ht="21.75" customHeight="1" x14ac:dyDescent="0.25">
      <c r="A107" s="8505" t="s">
        <v>3687</v>
      </c>
      <c r="B107" s="8487" t="s">
        <v>3688</v>
      </c>
      <c r="C107" s="8487"/>
      <c r="D107" s="8487"/>
      <c r="E107" s="8487"/>
      <c r="F107" s="8487" t="s">
        <v>3689</v>
      </c>
      <c r="G107" s="8487"/>
      <c r="H107" s="8487"/>
      <c r="I107" s="8487"/>
    </row>
    <row r="108" spans="1:9" x14ac:dyDescent="0.25">
      <c r="A108" s="8506"/>
      <c r="B108" s="8485" t="s">
        <v>443</v>
      </c>
      <c r="C108" s="8476"/>
      <c r="D108" s="8485" t="s">
        <v>242</v>
      </c>
      <c r="E108" s="8476"/>
      <c r="F108" s="8485" t="s">
        <v>443</v>
      </c>
      <c r="G108" s="8476"/>
      <c r="H108" s="8485" t="s">
        <v>242</v>
      </c>
      <c r="I108" s="8476"/>
    </row>
    <row r="109" spans="1:9" x14ac:dyDescent="0.25">
      <c r="A109" s="8507"/>
      <c r="B109" s="4267" t="s">
        <v>22</v>
      </c>
      <c r="C109" s="4267" t="s">
        <v>27</v>
      </c>
      <c r="D109" s="4267" t="s">
        <v>22</v>
      </c>
      <c r="E109" s="4267" t="s">
        <v>27</v>
      </c>
      <c r="F109" s="4267" t="s">
        <v>22</v>
      </c>
      <c r="G109" s="4267" t="s">
        <v>27</v>
      </c>
      <c r="H109" s="4267" t="s">
        <v>22</v>
      </c>
      <c r="I109" s="4267" t="s">
        <v>27</v>
      </c>
    </row>
    <row r="110" spans="1:9" x14ac:dyDescent="0.25">
      <c r="A110" s="4384" t="s">
        <v>24</v>
      </c>
      <c r="B110" s="4372">
        <f>SUM(B111:B115)</f>
        <v>0</v>
      </c>
      <c r="C110" s="4372">
        <f>SUM(C111:C115)</f>
        <v>0</v>
      </c>
      <c r="D110" s="4372">
        <f t="shared" ref="D110:I110" si="14">SUM(D111:D115)</f>
        <v>0</v>
      </c>
      <c r="E110" s="4372">
        <f t="shared" si="14"/>
        <v>0</v>
      </c>
      <c r="F110" s="4372">
        <f t="shared" si="14"/>
        <v>0</v>
      </c>
      <c r="G110" s="4372">
        <f t="shared" si="14"/>
        <v>0</v>
      </c>
      <c r="H110" s="4372">
        <f t="shared" si="14"/>
        <v>0</v>
      </c>
      <c r="I110" s="4372">
        <f t="shared" si="14"/>
        <v>0</v>
      </c>
    </row>
    <row r="111" spans="1:9" x14ac:dyDescent="0.25">
      <c r="A111" s="4386" t="s">
        <v>3690</v>
      </c>
      <c r="B111" s="4318"/>
      <c r="C111" s="4318"/>
      <c r="D111" s="4318"/>
      <c r="E111" s="4318"/>
      <c r="F111" s="4419"/>
      <c r="G111" s="4419"/>
      <c r="H111" s="4419"/>
      <c r="I111" s="4419"/>
    </row>
    <row r="112" spans="1:9" x14ac:dyDescent="0.25">
      <c r="A112" s="3603" t="s">
        <v>3691</v>
      </c>
      <c r="B112" s="3234"/>
      <c r="C112" s="3234"/>
      <c r="D112" s="3234"/>
      <c r="E112" s="3234"/>
      <c r="F112" s="4420"/>
      <c r="G112" s="4420"/>
      <c r="H112" s="4420"/>
      <c r="I112" s="4420"/>
    </row>
    <row r="113" spans="1:9" x14ac:dyDescent="0.25">
      <c r="A113" s="3603" t="s">
        <v>3692</v>
      </c>
      <c r="B113" s="3234"/>
      <c r="C113" s="3234"/>
      <c r="D113" s="3234"/>
      <c r="E113" s="3234"/>
      <c r="F113" s="4420"/>
      <c r="G113" s="4420"/>
      <c r="H113" s="4420"/>
      <c r="I113" s="4420"/>
    </row>
    <row r="114" spans="1:9" x14ac:dyDescent="0.25">
      <c r="A114" s="3603" t="s">
        <v>3693</v>
      </c>
      <c r="B114" s="3234"/>
      <c r="C114" s="3234"/>
      <c r="D114" s="3234"/>
      <c r="E114" s="3234"/>
      <c r="F114" s="4420"/>
      <c r="G114" s="4420"/>
      <c r="H114" s="4420"/>
      <c r="I114" s="4420"/>
    </row>
    <row r="115" spans="1:9" x14ac:dyDescent="0.25">
      <c r="A115" s="587" t="s">
        <v>28</v>
      </c>
      <c r="B115" s="153"/>
      <c r="C115" s="153"/>
      <c r="D115" s="153"/>
      <c r="E115" s="153"/>
      <c r="F115" s="4421"/>
      <c r="G115" s="4421"/>
      <c r="H115" s="4421"/>
      <c r="I115" s="4421"/>
    </row>
    <row r="116" spans="1:9" s="17" customFormat="1" ht="18" customHeight="1" x14ac:dyDescent="0.2">
      <c r="A116" s="3097" t="s">
        <v>3694</v>
      </c>
      <c r="B116" s="4409"/>
      <c r="C116" s="4409"/>
      <c r="D116" s="4409"/>
      <c r="E116" s="4409"/>
      <c r="F116" s="101"/>
      <c r="G116" s="101"/>
    </row>
    <row r="117" spans="1:9" x14ac:dyDescent="0.25">
      <c r="A117" s="8505" t="s">
        <v>3695</v>
      </c>
      <c r="B117" s="8511" t="s">
        <v>47</v>
      </c>
      <c r="C117" s="8494" t="s">
        <v>3696</v>
      </c>
      <c r="D117" s="8487"/>
      <c r="E117" s="8487"/>
      <c r="F117" s="8487"/>
      <c r="G117" s="8487"/>
    </row>
    <row r="118" spans="1:9" x14ac:dyDescent="0.25">
      <c r="A118" s="8506"/>
      <c r="B118" s="7166"/>
      <c r="C118" s="8485" t="s">
        <v>443</v>
      </c>
      <c r="D118" s="8476"/>
      <c r="E118" s="8485" t="s">
        <v>242</v>
      </c>
      <c r="F118" s="8476"/>
      <c r="G118" s="8040" t="s">
        <v>3697</v>
      </c>
    </row>
    <row r="119" spans="1:9" x14ac:dyDescent="0.25">
      <c r="A119" s="8507"/>
      <c r="B119" s="6449"/>
      <c r="C119" s="4260" t="s">
        <v>22</v>
      </c>
      <c r="D119" s="4258" t="s">
        <v>27</v>
      </c>
      <c r="E119" s="4260" t="s">
        <v>22</v>
      </c>
      <c r="F119" s="4258" t="s">
        <v>27</v>
      </c>
      <c r="G119" s="6451"/>
    </row>
    <row r="120" spans="1:9" x14ac:dyDescent="0.25">
      <c r="A120" s="4386" t="s">
        <v>3698</v>
      </c>
      <c r="B120" s="4422">
        <f>SUM(C120:G120)</f>
        <v>0</v>
      </c>
      <c r="C120" s="4272"/>
      <c r="D120" s="3905"/>
      <c r="E120" s="4272"/>
      <c r="F120" s="3905"/>
      <c r="G120" s="4318"/>
    </row>
    <row r="121" spans="1:9" x14ac:dyDescent="0.25">
      <c r="A121" s="3603" t="s">
        <v>3699</v>
      </c>
      <c r="B121" s="3243">
        <f>SUM(C121:G121)</f>
        <v>0</v>
      </c>
      <c r="C121" s="620"/>
      <c r="D121" s="630"/>
      <c r="E121" s="620"/>
      <c r="F121" s="630"/>
      <c r="G121" s="3234"/>
    </row>
    <row r="122" spans="1:9" x14ac:dyDescent="0.25">
      <c r="A122" s="587" t="s">
        <v>3700</v>
      </c>
      <c r="B122" s="593">
        <f>SUM(C122:G122)</f>
        <v>0</v>
      </c>
      <c r="C122" s="114"/>
      <c r="D122" s="3124"/>
      <c r="E122" s="114"/>
      <c r="F122" s="3124"/>
      <c r="G122" s="153"/>
    </row>
    <row r="150" spans="1:2" hidden="1" x14ac:dyDescent="0.25">
      <c r="A150" s="4600">
        <f>SUM(B15:E24,N15:Q24,B29:E37,N29:Q37,B42:E46,N42:Y46,B51:E56,N51:Q56,B62:E66,N62:Q66,B71:E75,N71:Q75,B80:I80,B88:B89,B94:B95,B100,B110:I110,B120:B122)</f>
        <v>0</v>
      </c>
      <c r="B150" s="4574"/>
    </row>
  </sheetData>
  <sheetProtection algorithmName="SHA-512" hashValue="PI3zSzPMbfsfnW+U9CiVZTLTxY2CeLGlIvNuB0tz/HjR0sQIXazT4V8DmOkMsNRTxYRBIWMSiCFcF1FwZ6wHfA==" saltValue="HGa++26rxpOFFBticwRFwA==" spinCount="100000" sheet="1" objects="1" scenarios="1"/>
  <mergeCells count="129">
    <mergeCell ref="A7:Q7"/>
    <mergeCell ref="A6:Q6"/>
    <mergeCell ref="L13:M13"/>
    <mergeCell ref="N13:O13"/>
    <mergeCell ref="P13:Q13"/>
    <mergeCell ref="A25:F25"/>
    <mergeCell ref="A26:A28"/>
    <mergeCell ref="B26:E26"/>
    <mergeCell ref="F26:I26"/>
    <mergeCell ref="J26:M26"/>
    <mergeCell ref="N26:Q26"/>
    <mergeCell ref="B27:C27"/>
    <mergeCell ref="A12:A14"/>
    <mergeCell ref="B12:E12"/>
    <mergeCell ref="F12:I12"/>
    <mergeCell ref="J12:M12"/>
    <mergeCell ref="N12:Q12"/>
    <mergeCell ref="B13:C13"/>
    <mergeCell ref="D13:E13"/>
    <mergeCell ref="F13:G13"/>
    <mergeCell ref="H13:I13"/>
    <mergeCell ref="J13:K13"/>
    <mergeCell ref="P27:Q27"/>
    <mergeCell ref="A39:A41"/>
    <mergeCell ref="B39:E39"/>
    <mergeCell ref="F39:I39"/>
    <mergeCell ref="J39:M39"/>
    <mergeCell ref="N39:Q39"/>
    <mergeCell ref="D27:E27"/>
    <mergeCell ref="F27:G27"/>
    <mergeCell ref="H27:I27"/>
    <mergeCell ref="J27:K27"/>
    <mergeCell ref="L27:M27"/>
    <mergeCell ref="N27:O27"/>
    <mergeCell ref="R39:U39"/>
    <mergeCell ref="V39:Y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A48:A50"/>
    <mergeCell ref="B48:E48"/>
    <mergeCell ref="F48:I48"/>
    <mergeCell ref="J48:M48"/>
    <mergeCell ref="N48:Q48"/>
    <mergeCell ref="B49:C49"/>
    <mergeCell ref="P49:Q49"/>
    <mergeCell ref="A59:A61"/>
    <mergeCell ref="B59:E59"/>
    <mergeCell ref="F59:I59"/>
    <mergeCell ref="J59:M59"/>
    <mergeCell ref="N59:Q59"/>
    <mergeCell ref="B60:C60"/>
    <mergeCell ref="D60:E60"/>
    <mergeCell ref="F60:G60"/>
    <mergeCell ref="H60:I60"/>
    <mergeCell ref="D49:E49"/>
    <mergeCell ref="F49:G49"/>
    <mergeCell ref="H49:I49"/>
    <mergeCell ref="J49:K49"/>
    <mergeCell ref="L49:M49"/>
    <mergeCell ref="N49:O49"/>
    <mergeCell ref="J60:K60"/>
    <mergeCell ref="L60:M60"/>
    <mergeCell ref="N60:O60"/>
    <mergeCell ref="P60:Q60"/>
    <mergeCell ref="A68:A70"/>
    <mergeCell ref="B68:E68"/>
    <mergeCell ref="F68:I68"/>
    <mergeCell ref="J68:M68"/>
    <mergeCell ref="N68:Q68"/>
    <mergeCell ref="B69:C69"/>
    <mergeCell ref="A85:A87"/>
    <mergeCell ref="B85:B87"/>
    <mergeCell ref="C85:H85"/>
    <mergeCell ref="I85:J86"/>
    <mergeCell ref="C86:D86"/>
    <mergeCell ref="E86:F86"/>
    <mergeCell ref="G86:H86"/>
    <mergeCell ref="P69:Q69"/>
    <mergeCell ref="A77:A79"/>
    <mergeCell ref="B77:E77"/>
    <mergeCell ref="F77:I77"/>
    <mergeCell ref="B78:C78"/>
    <mergeCell ref="D78:E78"/>
    <mergeCell ref="F78:G78"/>
    <mergeCell ref="H78:I78"/>
    <mergeCell ref="D69:E69"/>
    <mergeCell ref="F69:G69"/>
    <mergeCell ref="H69:I69"/>
    <mergeCell ref="J69:K69"/>
    <mergeCell ref="L69:M69"/>
    <mergeCell ref="N69:O69"/>
    <mergeCell ref="A91:A93"/>
    <mergeCell ref="B91:B93"/>
    <mergeCell ref="C91:D91"/>
    <mergeCell ref="E91:F92"/>
    <mergeCell ref="C92:D92"/>
    <mergeCell ref="A97:A99"/>
    <mergeCell ref="B97:B99"/>
    <mergeCell ref="C97:F97"/>
    <mergeCell ref="C98:D98"/>
    <mergeCell ref="E98:F98"/>
    <mergeCell ref="F108:G108"/>
    <mergeCell ref="H108:I108"/>
    <mergeCell ref="A117:A119"/>
    <mergeCell ref="B117:B119"/>
    <mergeCell ref="C117:G117"/>
    <mergeCell ref="C118:D118"/>
    <mergeCell ref="E118:F118"/>
    <mergeCell ref="G118:G119"/>
    <mergeCell ref="A102:A104"/>
    <mergeCell ref="B102:B104"/>
    <mergeCell ref="C102:F102"/>
    <mergeCell ref="C103:D103"/>
    <mergeCell ref="E103:F103"/>
    <mergeCell ref="A107:A109"/>
    <mergeCell ref="B107:E107"/>
    <mergeCell ref="F107:I107"/>
    <mergeCell ref="B108:C108"/>
    <mergeCell ref="D108:E108"/>
  </mergeCells>
  <dataValidations count="2">
    <dataValidation type="whole" allowBlank="1" showInputMessage="1" showErrorMessage="1" errorTitle="Error de ingreso" error="Debe ingresar sólo números." sqref="D16:E24 B30:E37 B43:E46 B52:E57 B63:E66 B72:E75" xr:uid="{00000000-0002-0000-1700-000000000000}">
      <formula1>0</formula1>
      <formula2>99999</formula2>
    </dataValidation>
    <dataValidation type="whole" operator="greaterThanOrEqual" allowBlank="1" showInputMessage="1" showErrorMessage="1" errorTitle="Error de ingreso" error="Debe ingresar sólo números." sqref="F16:Q24 F30:Q37 F43:Y46 F52:Q56 F63:Q66 F72:Q75 B81:I82 C88:J89 C94:F95 C100:F100 C105:F105 B111:I115 C120:G122" xr:uid="{00000000-0002-0000-1700-000001000000}">
      <formula1>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CM130"/>
  <sheetViews>
    <sheetView showGridLines="0" zoomScaleNormal="100" workbookViewId="0"/>
  </sheetViews>
  <sheetFormatPr baseColWidth="10" defaultRowHeight="15" x14ac:dyDescent="0.25"/>
  <cols>
    <col min="1" max="1" width="41.85546875" customWidth="1"/>
    <col min="2" max="2" width="17.42578125" customWidth="1"/>
    <col min="3" max="3" width="14.140625" customWidth="1"/>
    <col min="6" max="11" width="11.140625" customWidth="1"/>
    <col min="12" max="12" width="12.42578125" customWidth="1"/>
    <col min="13" max="13" width="12.28515625" customWidth="1"/>
    <col min="14" max="14" width="12.85546875" customWidth="1"/>
    <col min="15" max="15" width="12.140625" customWidth="1"/>
    <col min="16" max="16" width="12" customWidth="1"/>
    <col min="17" max="17" width="13.7109375" customWidth="1"/>
    <col min="18" max="18" width="12.42578125" customWidth="1"/>
    <col min="19" max="19" width="11.140625" customWidth="1"/>
    <col min="20" max="21" width="12.42578125" customWidth="1"/>
    <col min="22" max="22" width="11" customWidth="1"/>
    <col min="23" max="23" width="10.7109375" customWidth="1"/>
    <col min="25" max="25" width="12.28515625" customWidth="1"/>
    <col min="26" max="26" width="13.140625" customWidth="1"/>
    <col min="27" max="27" width="10.28515625" customWidth="1"/>
    <col min="28" max="28" width="12.140625" customWidth="1"/>
    <col min="29" max="29" width="12.42578125" customWidth="1"/>
    <col min="30" max="30" width="12" customWidth="1"/>
    <col min="31" max="31" width="12.7109375" customWidth="1"/>
    <col min="32" max="32" width="11" customWidth="1"/>
    <col min="33" max="34" width="11.7109375" customWidth="1"/>
    <col min="35" max="35" width="10.42578125" customWidth="1"/>
    <col min="36" max="36" width="11.85546875" customWidth="1"/>
    <col min="38" max="38" width="10.85546875" customWidth="1"/>
    <col min="40" max="40" width="11.7109375" customWidth="1"/>
    <col min="44" max="44" width="13.5703125" customWidth="1"/>
    <col min="45" max="45" width="14.42578125" customWidth="1"/>
    <col min="79" max="79" width="11.42578125" customWidth="1"/>
    <col min="80" max="85" width="11.42578125" style="1791" hidden="1" customWidth="1"/>
    <col min="86" max="86" width="11.42578125" hidden="1" customWidth="1"/>
    <col min="87" max="89" width="11.42578125" style="1793" hidden="1" customWidth="1"/>
    <col min="90" max="91" width="11.42578125" hidden="1" customWidth="1"/>
  </cols>
  <sheetData>
    <row r="1" spans="1:91" x14ac:dyDescent="0.25">
      <c r="A1" s="779" t="s">
        <v>3878</v>
      </c>
      <c r="CB1"/>
      <c r="CC1"/>
      <c r="CD1"/>
      <c r="CE1"/>
      <c r="CF1"/>
      <c r="CG1"/>
      <c r="CI1"/>
      <c r="CJ1"/>
      <c r="CK1"/>
    </row>
    <row r="2" spans="1:91" x14ac:dyDescent="0.25">
      <c r="A2" s="779" t="str">
        <f>CONCATENATE("COMUNA: ",NOMBRE!B2," - ","( ",NOMBRE!C2,NOMBRE!D2,NOMBRE!E2,NOMBRE!F2,NOMBRE!G2," )")</f>
        <v>COMUNA:  - (  )</v>
      </c>
      <c r="CB2"/>
      <c r="CC2"/>
      <c r="CD2"/>
      <c r="CE2"/>
      <c r="CF2"/>
      <c r="CG2"/>
      <c r="CI2"/>
      <c r="CJ2"/>
      <c r="CK2"/>
    </row>
    <row r="3" spans="1:91" x14ac:dyDescent="0.25">
      <c r="A3" s="779" t="str">
        <f>CONCATENATE("ESTABLECIMIENTO/ESTRATEGIA: ",NOMBRE!B3," - ","( ",NOMBRE!C3,NOMBRE!D3,NOMBRE!E3,NOMBRE!F3,NOMBRE!G3,NOMBRE!H3," )")</f>
        <v>ESTABLECIMIENTO/ESTRATEGIA:  - (  )</v>
      </c>
      <c r="CB3"/>
      <c r="CC3"/>
      <c r="CD3"/>
      <c r="CE3"/>
      <c r="CF3"/>
      <c r="CG3"/>
      <c r="CI3"/>
      <c r="CJ3"/>
      <c r="CK3"/>
    </row>
    <row r="4" spans="1:91" x14ac:dyDescent="0.25">
      <c r="A4" s="779" t="str">
        <f>CONCATENATE("MES: ",NOMBRE!B6," - ","( ",NOMBRE!C6,NOMBRE!D6," )")</f>
        <v>MES:  - (  )</v>
      </c>
      <c r="CB4"/>
      <c r="CC4"/>
      <c r="CD4"/>
      <c r="CE4"/>
      <c r="CF4"/>
      <c r="CG4"/>
      <c r="CI4"/>
      <c r="CJ4"/>
      <c r="CK4"/>
    </row>
    <row r="5" spans="1:91" x14ac:dyDescent="0.25">
      <c r="A5" s="779" t="str">
        <f>CONCATENATE("AÑO: ",NOMBRE!B7)</f>
        <v>AÑO: 2024</v>
      </c>
      <c r="CB5"/>
      <c r="CC5"/>
      <c r="CD5"/>
      <c r="CE5"/>
      <c r="CF5"/>
      <c r="CG5"/>
      <c r="CI5"/>
      <c r="CJ5"/>
      <c r="CK5"/>
    </row>
    <row r="6" spans="1:91" ht="18" customHeight="1" x14ac:dyDescent="0.25">
      <c r="A6" s="6447" t="s">
        <v>1225</v>
      </c>
      <c r="B6" s="6447"/>
      <c r="C6" s="6447"/>
      <c r="D6" s="6447"/>
      <c r="E6" s="6447"/>
      <c r="F6" s="6447"/>
      <c r="G6" s="6447"/>
      <c r="H6" s="6447"/>
      <c r="I6" s="6447"/>
      <c r="J6" s="6447"/>
      <c r="K6" s="6447"/>
      <c r="L6" s="6447"/>
      <c r="M6" s="6447"/>
      <c r="N6" s="6447"/>
      <c r="O6" s="6447"/>
      <c r="P6" s="6447"/>
      <c r="Q6" s="6447"/>
      <c r="R6" s="6447"/>
      <c r="S6" s="6447"/>
      <c r="T6" s="6447"/>
      <c r="CB6"/>
      <c r="CC6"/>
      <c r="CD6"/>
      <c r="CE6"/>
      <c r="CF6"/>
      <c r="CG6"/>
      <c r="CI6"/>
      <c r="CJ6"/>
      <c r="CK6"/>
    </row>
    <row r="7" spans="1:91" x14ac:dyDescent="0.25">
      <c r="CB7"/>
      <c r="CC7"/>
      <c r="CD7"/>
      <c r="CE7"/>
      <c r="CF7"/>
      <c r="CG7"/>
      <c r="CI7"/>
      <c r="CJ7"/>
      <c r="CK7"/>
    </row>
    <row r="8" spans="1:91" s="1134" customFormat="1" ht="18" customHeight="1" x14ac:dyDescent="0.15">
      <c r="A8" s="8527" t="s">
        <v>1226</v>
      </c>
      <c r="B8" s="8527"/>
      <c r="C8" s="8527"/>
      <c r="D8" s="8527"/>
      <c r="E8" s="8527"/>
      <c r="F8" s="8527"/>
      <c r="G8" s="8527"/>
      <c r="H8" s="8527"/>
      <c r="I8" s="8527"/>
      <c r="J8" s="8527"/>
      <c r="K8" s="1509"/>
    </row>
    <row r="9" spans="1:91" ht="20.100000000000001" customHeight="1" x14ac:dyDescent="0.25">
      <c r="A9" s="7990" t="s">
        <v>1227</v>
      </c>
      <c r="B9" s="8528"/>
      <c r="C9" s="7990" t="s">
        <v>24</v>
      </c>
      <c r="D9" s="7990"/>
      <c r="E9" s="8528"/>
      <c r="F9" s="8531" t="s">
        <v>30</v>
      </c>
      <c r="G9" s="8532"/>
      <c r="H9" s="8532"/>
      <c r="I9" s="8532"/>
      <c r="J9" s="8532"/>
      <c r="K9" s="8532"/>
      <c r="L9" s="8532"/>
      <c r="M9" s="8532"/>
      <c r="N9" s="8532"/>
      <c r="O9" s="8532"/>
      <c r="P9" s="8532"/>
      <c r="Q9" s="8532"/>
      <c r="R9" s="8532"/>
      <c r="S9" s="8532"/>
      <c r="T9" s="8532"/>
      <c r="U9" s="8532"/>
      <c r="V9" s="8532"/>
      <c r="W9" s="8532"/>
      <c r="X9" s="8532"/>
      <c r="Y9" s="8532"/>
      <c r="Z9" s="8532"/>
      <c r="AA9" s="8532"/>
      <c r="AB9" s="8532"/>
      <c r="AC9" s="8532"/>
      <c r="AD9" s="8532"/>
      <c r="AE9" s="8532"/>
      <c r="AF9" s="8532"/>
      <c r="AG9" s="8532"/>
      <c r="AH9" s="8532"/>
      <c r="AI9" s="8532"/>
      <c r="AJ9" s="8532"/>
      <c r="AK9" s="8532"/>
      <c r="AL9" s="8532"/>
      <c r="AM9" s="8532"/>
      <c r="AN9" s="8533" t="s">
        <v>2229</v>
      </c>
      <c r="AO9" s="8542" t="s">
        <v>67</v>
      </c>
      <c r="AP9" s="8542" t="s">
        <v>2</v>
      </c>
      <c r="AQ9" s="8542" t="s">
        <v>3</v>
      </c>
      <c r="AR9" s="8524" t="s">
        <v>3926</v>
      </c>
      <c r="AS9" s="8533" t="s">
        <v>2230</v>
      </c>
      <c r="AT9" s="8524" t="s">
        <v>243</v>
      </c>
      <c r="AU9" s="8533" t="s">
        <v>1121</v>
      </c>
      <c r="AV9" s="8538" t="s">
        <v>2231</v>
      </c>
      <c r="AW9" s="8538" t="s">
        <v>1300</v>
      </c>
      <c r="CB9"/>
      <c r="CC9"/>
      <c r="CD9"/>
      <c r="CE9"/>
      <c r="CF9"/>
      <c r="CG9"/>
      <c r="CI9"/>
      <c r="CJ9"/>
      <c r="CK9"/>
    </row>
    <row r="10" spans="1:91" ht="18" customHeight="1" x14ac:dyDescent="0.25">
      <c r="A10" s="7659"/>
      <c r="B10" s="7646"/>
      <c r="C10" s="8529"/>
      <c r="D10" s="8529"/>
      <c r="E10" s="8530"/>
      <c r="F10" s="8531" t="s">
        <v>1228</v>
      </c>
      <c r="G10" s="8541"/>
      <c r="H10" s="8532" t="s">
        <v>1229</v>
      </c>
      <c r="I10" s="8541"/>
      <c r="J10" s="8532" t="s">
        <v>1230</v>
      </c>
      <c r="K10" s="8541"/>
      <c r="L10" s="8531" t="s">
        <v>4</v>
      </c>
      <c r="M10" s="8541"/>
      <c r="N10" s="8536" t="s">
        <v>5</v>
      </c>
      <c r="O10" s="8100"/>
      <c r="P10" s="8536" t="s">
        <v>6</v>
      </c>
      <c r="Q10" s="8100"/>
      <c r="R10" s="8536" t="s">
        <v>7</v>
      </c>
      <c r="S10" s="8100"/>
      <c r="T10" s="8536" t="s">
        <v>8</v>
      </c>
      <c r="U10" s="8100"/>
      <c r="V10" s="8536" t="s">
        <v>9</v>
      </c>
      <c r="W10" s="8100"/>
      <c r="X10" s="8536" t="s">
        <v>10</v>
      </c>
      <c r="Y10" s="8100"/>
      <c r="Z10" s="8536" t="s">
        <v>11</v>
      </c>
      <c r="AA10" s="8100"/>
      <c r="AB10" s="8536" t="s">
        <v>18</v>
      </c>
      <c r="AC10" s="8100"/>
      <c r="AD10" s="8536" t="s">
        <v>19</v>
      </c>
      <c r="AE10" s="8100"/>
      <c r="AF10" s="8536" t="s">
        <v>20</v>
      </c>
      <c r="AG10" s="8100"/>
      <c r="AH10" s="8536" t="s">
        <v>70</v>
      </c>
      <c r="AI10" s="8100"/>
      <c r="AJ10" s="8536" t="s">
        <v>71</v>
      </c>
      <c r="AK10" s="8100"/>
      <c r="AL10" s="8536" t="s">
        <v>72</v>
      </c>
      <c r="AM10" s="8537"/>
      <c r="AN10" s="8534"/>
      <c r="AO10" s="8543"/>
      <c r="AP10" s="8543"/>
      <c r="AQ10" s="8543"/>
      <c r="AR10" s="8525"/>
      <c r="AS10" s="8534"/>
      <c r="AT10" s="8525"/>
      <c r="AU10" s="8534"/>
      <c r="AV10" s="8539"/>
      <c r="AW10" s="8539"/>
      <c r="CB10"/>
      <c r="CC10"/>
      <c r="CD10"/>
      <c r="CE10"/>
      <c r="CF10"/>
      <c r="CG10"/>
      <c r="CI10"/>
      <c r="CJ10"/>
      <c r="CK10"/>
    </row>
    <row r="11" spans="1:91" ht="18" customHeight="1" x14ac:dyDescent="0.25">
      <c r="A11" s="8529"/>
      <c r="B11" s="8530"/>
      <c r="C11" s="1510" t="s">
        <v>26</v>
      </c>
      <c r="D11" s="1511" t="s">
        <v>22</v>
      </c>
      <c r="E11" s="1512" t="s">
        <v>27</v>
      </c>
      <c r="F11" s="1513" t="s">
        <v>22</v>
      </c>
      <c r="G11" s="1514" t="s">
        <v>27</v>
      </c>
      <c r="H11" s="1515" t="s">
        <v>22</v>
      </c>
      <c r="I11" s="1514" t="s">
        <v>27</v>
      </c>
      <c r="J11" s="1515" t="s">
        <v>22</v>
      </c>
      <c r="K11" s="1514" t="s">
        <v>27</v>
      </c>
      <c r="L11" s="1513" t="s">
        <v>22</v>
      </c>
      <c r="M11" s="1514" t="s">
        <v>27</v>
      </c>
      <c r="N11" s="1513" t="s">
        <v>22</v>
      </c>
      <c r="O11" s="1514" t="s">
        <v>27</v>
      </c>
      <c r="P11" s="1513" t="s">
        <v>22</v>
      </c>
      <c r="Q11" s="1514" t="s">
        <v>27</v>
      </c>
      <c r="R11" s="1513" t="s">
        <v>22</v>
      </c>
      <c r="S11" s="1514" t="s">
        <v>27</v>
      </c>
      <c r="T11" s="1513" t="s">
        <v>22</v>
      </c>
      <c r="U11" s="1514" t="s">
        <v>27</v>
      </c>
      <c r="V11" s="1513" t="s">
        <v>22</v>
      </c>
      <c r="W11" s="1514" t="s">
        <v>27</v>
      </c>
      <c r="X11" s="1513" t="s">
        <v>22</v>
      </c>
      <c r="Y11" s="1514" t="s">
        <v>27</v>
      </c>
      <c r="Z11" s="1513" t="s">
        <v>22</v>
      </c>
      <c r="AA11" s="1514" t="s">
        <v>27</v>
      </c>
      <c r="AB11" s="1513" t="s">
        <v>22</v>
      </c>
      <c r="AC11" s="1514" t="s">
        <v>27</v>
      </c>
      <c r="AD11" s="1513" t="s">
        <v>22</v>
      </c>
      <c r="AE11" s="1514" t="s">
        <v>27</v>
      </c>
      <c r="AF11" s="1513" t="s">
        <v>22</v>
      </c>
      <c r="AG11" s="1514" t="s">
        <v>27</v>
      </c>
      <c r="AH11" s="1513" t="s">
        <v>22</v>
      </c>
      <c r="AI11" s="1514" t="s">
        <v>27</v>
      </c>
      <c r="AJ11" s="1513" t="s">
        <v>22</v>
      </c>
      <c r="AK11" s="1514" t="s">
        <v>27</v>
      </c>
      <c r="AL11" s="1513" t="s">
        <v>22</v>
      </c>
      <c r="AM11" s="1516" t="s">
        <v>27</v>
      </c>
      <c r="AN11" s="8535"/>
      <c r="AO11" s="8544"/>
      <c r="AP11" s="8544"/>
      <c r="AQ11" s="8544"/>
      <c r="AR11" s="8526"/>
      <c r="AS11" s="8535"/>
      <c r="AT11" s="8526"/>
      <c r="AU11" s="8535"/>
      <c r="AV11" s="8540"/>
      <c r="AW11" s="8540"/>
      <c r="CB11"/>
      <c r="CC11"/>
      <c r="CD11"/>
      <c r="CE11"/>
      <c r="CF11"/>
      <c r="CG11"/>
      <c r="CI11"/>
      <c r="CJ11"/>
      <c r="CK11"/>
    </row>
    <row r="12" spans="1:91" s="170" customFormat="1" ht="15" customHeight="1" x14ac:dyDescent="0.15">
      <c r="A12" s="8545" t="s">
        <v>1231</v>
      </c>
      <c r="B12" s="1517" t="s">
        <v>1232</v>
      </c>
      <c r="C12" s="1431">
        <f>+D12+E12</f>
        <v>0</v>
      </c>
      <c r="D12" s="1518">
        <f>+F12+H12+J12+L12+N12+P12+R12+T12+V12+X12+Z12+AB12+AD12+AF12+AH12+AJ12+AL12</f>
        <v>0</v>
      </c>
      <c r="E12" s="1519">
        <f>+G12+I12+K12+M12+O12+Q12+S12+U12+W12+Y12+AA12+AC12+AE12+AG12+AI12+AK12+AM12</f>
        <v>0</v>
      </c>
      <c r="F12" s="131"/>
      <c r="G12" s="1429"/>
      <c r="H12" s="125"/>
      <c r="I12" s="1429"/>
      <c r="J12" s="125"/>
      <c r="K12" s="1429"/>
      <c r="L12" s="125"/>
      <c r="M12" s="1429"/>
      <c r="N12" s="125"/>
      <c r="O12" s="1429"/>
      <c r="P12" s="125"/>
      <c r="Q12" s="1429"/>
      <c r="R12" s="125"/>
      <c r="S12" s="1429"/>
      <c r="T12" s="125"/>
      <c r="U12" s="1429"/>
      <c r="V12" s="125"/>
      <c r="W12" s="1429"/>
      <c r="X12" s="125"/>
      <c r="Y12" s="1429"/>
      <c r="Z12" s="125"/>
      <c r="AA12" s="1429"/>
      <c r="AB12" s="125"/>
      <c r="AC12" s="1429"/>
      <c r="AD12" s="125"/>
      <c r="AE12" s="1429"/>
      <c r="AF12" s="125"/>
      <c r="AG12" s="1429"/>
      <c r="AH12" s="125"/>
      <c r="AI12" s="1429"/>
      <c r="AJ12" s="125"/>
      <c r="AK12" s="1429"/>
      <c r="AL12" s="125"/>
      <c r="AM12" s="1520"/>
      <c r="AN12" s="1521"/>
      <c r="AO12" s="1430"/>
      <c r="AP12" s="878"/>
      <c r="AQ12" s="1092"/>
      <c r="AR12" s="1522"/>
      <c r="AS12" s="877"/>
      <c r="AT12" s="1522"/>
      <c r="AU12" s="877"/>
      <c r="AV12" s="1092"/>
      <c r="AW12" s="1092"/>
      <c r="AX12" s="170" t="str">
        <f>CB12&amp;CC12&amp;CD12&amp;CE12&amp;CF12&amp;CG12</f>
        <v/>
      </c>
      <c r="CB12" s="2553" t="str">
        <f>IF(AND(C12&gt;0,AO12="")," * No olvide digitar la variable Beneficiarios. Digite Cero si no tiene.",IF(AO12&gt;C12,"  * La variable Beneficiarios No puede ser mayor al Total.",""))</f>
        <v/>
      </c>
      <c r="CC12" s="2553" t="str">
        <f>IF(AND(C12&gt;0,AP12="")," * No olvide digitar la variable Pueblos originarios. Digite Cero si no tiene.",IF(AP12&gt;C12,"  * La variable pueblos originarios No puede ser mayor al Total.",""))</f>
        <v/>
      </c>
      <c r="CD12" s="2553" t="str">
        <f>IF(AND(C12&gt;0,AQ12="")," * No olvide digitar la variable Migrantes. Digite Cero si no tiene.",IF(AQ12&gt;C12,"  * La variable Migrantes No puede ser mayor al Total.",""))</f>
        <v/>
      </c>
      <c r="CE12" s="2553" t="str">
        <f>IF(AND(C12&gt;0,AR12="")," * No olvide digitar la variable Niños, niñas, adolescentes y Jóvenes SENAME. Digite Cero si no tiene.",IF(AR12&gt;C12,"  * La variable Niños, niñas, adolescentes y Jóvenes SENAME No puede ser mayor al Total.",""))</f>
        <v/>
      </c>
      <c r="CF12" s="2553"/>
      <c r="CG12" s="2553"/>
      <c r="CI12" s="2554">
        <f>IF(AND(C12&gt;0,AO12=""),1,IF(AO12&gt;C12,1,0))</f>
        <v>0</v>
      </c>
      <c r="CJ12" s="2554">
        <f>IF(AND(C12&gt;0,AP12=""),1,IF(AP12&gt;C12,1,0))</f>
        <v>0</v>
      </c>
      <c r="CK12" s="2554">
        <f>IF(AND(C12&gt;0,AQ12=""),1,IF(AQ12&gt;C12,1,0))</f>
        <v>0</v>
      </c>
      <c r="CL12" s="2554">
        <f>IF(AND(C12&gt;0,AR12=""),1,IF(AR12&gt;C12,1,0))</f>
        <v>0</v>
      </c>
      <c r="CM12" s="2554"/>
    </row>
    <row r="13" spans="1:91" s="170" customFormat="1" ht="15" customHeight="1" x14ac:dyDescent="0.15">
      <c r="A13" s="8546"/>
      <c r="B13" s="1523" t="s">
        <v>1233</v>
      </c>
      <c r="C13" s="1075">
        <f t="shared" ref="C13:C28" si="0">+D13+E13</f>
        <v>0</v>
      </c>
      <c r="D13" s="1131">
        <f t="shared" ref="D13:E27" si="1">+F13+H13+J13+L13+N13+P13+R13+T13+V13+X13+Z13+AB13+AD13+AF13+AH13+AJ13+AL13</f>
        <v>0</v>
      </c>
      <c r="E13" s="142">
        <f t="shared" si="1"/>
        <v>0</v>
      </c>
      <c r="F13" s="90"/>
      <c r="G13" s="92"/>
      <c r="H13" s="129"/>
      <c r="I13" s="92"/>
      <c r="J13" s="129"/>
      <c r="K13" s="92"/>
      <c r="L13" s="129"/>
      <c r="M13" s="92"/>
      <c r="N13" s="129"/>
      <c r="O13" s="92"/>
      <c r="P13" s="129"/>
      <c r="Q13" s="92"/>
      <c r="R13" s="129"/>
      <c r="S13" s="92"/>
      <c r="T13" s="129"/>
      <c r="U13" s="92"/>
      <c r="V13" s="129"/>
      <c r="W13" s="92"/>
      <c r="X13" s="129"/>
      <c r="Y13" s="92"/>
      <c r="Z13" s="129"/>
      <c r="AA13" s="92"/>
      <c r="AB13" s="129"/>
      <c r="AC13" s="92"/>
      <c r="AD13" s="129"/>
      <c r="AE13" s="92"/>
      <c r="AF13" s="129"/>
      <c r="AG13" s="92"/>
      <c r="AH13" s="129"/>
      <c r="AI13" s="92"/>
      <c r="AJ13" s="129"/>
      <c r="AK13" s="92"/>
      <c r="AL13" s="129"/>
      <c r="AM13" s="128"/>
      <c r="AN13" s="1524"/>
      <c r="AO13" s="158"/>
      <c r="AP13" s="91"/>
      <c r="AQ13" s="158"/>
      <c r="AR13" s="93"/>
      <c r="AS13" s="884"/>
      <c r="AT13" s="93"/>
      <c r="AU13" s="884"/>
      <c r="AV13" s="158"/>
      <c r="AW13" s="158"/>
      <c r="AX13" s="170" t="str">
        <f t="shared" ref="AX13:AX27" si="2">CB13&amp;CC13&amp;CD13&amp;CE13&amp;CF13&amp;CG13</f>
        <v/>
      </c>
      <c r="CB13" s="2553" t="str">
        <f t="shared" ref="CB13:CB27" si="3">IF(AND(C13&gt;0,AO13="")," * No olvide digitar la variable Beneficiarios. Digite Cero si no tiene.",IF(AO13&gt;C13,"  * La variable Beneficiarios No puede ser mayor al Total.",""))</f>
        <v/>
      </c>
      <c r="CC13" s="2553" t="str">
        <f t="shared" ref="CC13:CC27" si="4">IF(AND(C13&gt;0,AP13="")," * No olvide digitar la variable Pueblos originarios. Digite Cero si no tiene.",IF(AP13&gt;C13,"  * La variable pueblos originarios No puede ser mayor al Total.",""))</f>
        <v/>
      </c>
      <c r="CD13" s="2553" t="str">
        <f t="shared" ref="CD13:CD27" si="5">IF(AND(C13&gt;0,AQ13="")," * No olvide digitar la variable Migrantes. Digite Cero si no tiene.",IF(AQ13&gt;C13,"  * La variable Migrantes No puede ser mayor al Total.",""))</f>
        <v/>
      </c>
      <c r="CE13" s="2553" t="str">
        <f t="shared" ref="CE13:CE27" si="6">IF(AND(C13&gt;0,AR13="")," * No olvide digitar la variable Niños, niñas, adolescentes y Jóvenes SENAME. Digite Cero si no tiene.",IF(AR13&gt;C13,"  * La variable Niños, niñas, adolescentes y Jóvenes SENAME No puede ser mayor al Total.",""))</f>
        <v/>
      </c>
      <c r="CF13" s="2553"/>
      <c r="CG13" s="2553"/>
      <c r="CI13" s="2554">
        <f t="shared" ref="CI13:CI27" si="7">IF(AND(C13&gt;0,AO13=""),1,IF(AO13&gt;C13,1,0))</f>
        <v>0</v>
      </c>
      <c r="CJ13" s="2554">
        <f t="shared" ref="CJ13:CJ27" si="8">IF(AND(C13&gt;0,AP13=""),1,IF(AP13&gt;C13,1,0))</f>
        <v>0</v>
      </c>
      <c r="CK13" s="2554">
        <f t="shared" ref="CK13:CK27" si="9">IF(AND(C13&gt;0,AQ13=""),1,IF(AQ13&gt;C13,1,0))</f>
        <v>0</v>
      </c>
      <c r="CL13" s="2554">
        <f t="shared" ref="CL13:CL27" si="10">IF(AND(C13&gt;0,AR13=""),1,IF(AR13&gt;C13,1,0))</f>
        <v>0</v>
      </c>
      <c r="CM13" s="2554"/>
    </row>
    <row r="14" spans="1:91" s="170" customFormat="1" ht="15" customHeight="1" x14ac:dyDescent="0.15">
      <c r="A14" s="8547"/>
      <c r="B14" s="1525" t="s">
        <v>1234</v>
      </c>
      <c r="C14" s="150">
        <f t="shared" si="0"/>
        <v>0</v>
      </c>
      <c r="D14" s="120">
        <f t="shared" si="1"/>
        <v>0</v>
      </c>
      <c r="E14" s="777">
        <f t="shared" si="1"/>
        <v>0</v>
      </c>
      <c r="F14" s="114"/>
      <c r="G14" s="116"/>
      <c r="H14" s="121"/>
      <c r="I14" s="116"/>
      <c r="J14" s="121"/>
      <c r="K14" s="116"/>
      <c r="L14" s="121"/>
      <c r="M14" s="116"/>
      <c r="N14" s="121"/>
      <c r="O14" s="116"/>
      <c r="P14" s="121"/>
      <c r="Q14" s="116"/>
      <c r="R14" s="121"/>
      <c r="S14" s="116"/>
      <c r="T14" s="121"/>
      <c r="U14" s="116"/>
      <c r="V14" s="121"/>
      <c r="W14" s="116"/>
      <c r="X14" s="121"/>
      <c r="Y14" s="116"/>
      <c r="Z14" s="121"/>
      <c r="AA14" s="116"/>
      <c r="AB14" s="121"/>
      <c r="AC14" s="116"/>
      <c r="AD14" s="121"/>
      <c r="AE14" s="116"/>
      <c r="AF14" s="121"/>
      <c r="AG14" s="116"/>
      <c r="AH14" s="121"/>
      <c r="AI14" s="116"/>
      <c r="AJ14" s="121"/>
      <c r="AK14" s="116"/>
      <c r="AL14" s="121"/>
      <c r="AM14" s="137"/>
      <c r="AN14" s="1526"/>
      <c r="AO14" s="153"/>
      <c r="AP14" s="117"/>
      <c r="AQ14" s="153"/>
      <c r="AR14" s="118"/>
      <c r="AS14" s="775"/>
      <c r="AT14" s="118"/>
      <c r="AU14" s="775"/>
      <c r="AV14" s="153"/>
      <c r="AW14" s="153"/>
      <c r="AX14" s="170" t="str">
        <f t="shared" si="2"/>
        <v/>
      </c>
      <c r="CB14" s="2553" t="str">
        <f t="shared" si="3"/>
        <v/>
      </c>
      <c r="CC14" s="2553" t="str">
        <f t="shared" si="4"/>
        <v/>
      </c>
      <c r="CD14" s="2553" t="str">
        <f t="shared" si="5"/>
        <v/>
      </c>
      <c r="CE14" s="2553" t="str">
        <f t="shared" si="6"/>
        <v/>
      </c>
      <c r="CF14" s="2553"/>
      <c r="CG14" s="2553"/>
      <c r="CI14" s="2554">
        <f t="shared" si="7"/>
        <v>0</v>
      </c>
      <c r="CJ14" s="2554">
        <f t="shared" si="8"/>
        <v>0</v>
      </c>
      <c r="CK14" s="2554">
        <f t="shared" si="9"/>
        <v>0</v>
      </c>
      <c r="CL14" s="2554">
        <f t="shared" si="10"/>
        <v>0</v>
      </c>
      <c r="CM14" s="2554"/>
    </row>
    <row r="15" spans="1:91" s="170" customFormat="1" ht="15" customHeight="1" x14ac:dyDescent="0.15">
      <c r="A15" s="8548" t="s">
        <v>1235</v>
      </c>
      <c r="B15" s="1527" t="s">
        <v>1236</v>
      </c>
      <c r="C15" s="1528">
        <f t="shared" si="0"/>
        <v>0</v>
      </c>
      <c r="D15" s="1529">
        <f t="shared" si="1"/>
        <v>0</v>
      </c>
      <c r="E15" s="1530">
        <f t="shared" si="1"/>
        <v>0</v>
      </c>
      <c r="F15" s="589"/>
      <c r="G15" s="590"/>
      <c r="H15" s="591"/>
      <c r="I15" s="590"/>
      <c r="J15" s="591"/>
      <c r="K15" s="105"/>
      <c r="L15" s="591"/>
      <c r="M15" s="105"/>
      <c r="N15" s="591"/>
      <c r="O15" s="105"/>
      <c r="P15" s="591"/>
      <c r="Q15" s="105"/>
      <c r="R15" s="591"/>
      <c r="S15" s="105"/>
      <c r="T15" s="591"/>
      <c r="U15" s="105"/>
      <c r="V15" s="591"/>
      <c r="W15" s="105"/>
      <c r="X15" s="591"/>
      <c r="Y15" s="105"/>
      <c r="Z15" s="591"/>
      <c r="AA15" s="105"/>
      <c r="AB15" s="591"/>
      <c r="AC15" s="105"/>
      <c r="AD15" s="591"/>
      <c r="AE15" s="105"/>
      <c r="AF15" s="591"/>
      <c r="AG15" s="105"/>
      <c r="AH15" s="591"/>
      <c r="AI15" s="105"/>
      <c r="AJ15" s="591"/>
      <c r="AK15" s="105"/>
      <c r="AL15" s="591"/>
      <c r="AM15" s="135"/>
      <c r="AN15" s="1531"/>
      <c r="AO15" s="789"/>
      <c r="AP15" s="105"/>
      <c r="AQ15" s="789"/>
      <c r="AR15" s="113"/>
      <c r="AS15" s="772"/>
      <c r="AT15" s="113"/>
      <c r="AU15" s="772"/>
      <c r="AV15" s="789"/>
      <c r="AW15" s="789"/>
      <c r="AX15" s="170" t="str">
        <f t="shared" si="2"/>
        <v/>
      </c>
      <c r="CB15" s="2553" t="str">
        <f t="shared" si="3"/>
        <v/>
      </c>
      <c r="CC15" s="2553" t="str">
        <f t="shared" si="4"/>
        <v/>
      </c>
      <c r="CD15" s="2553" t="str">
        <f t="shared" si="5"/>
        <v/>
      </c>
      <c r="CE15" s="2553" t="str">
        <f t="shared" si="6"/>
        <v/>
      </c>
      <c r="CF15" s="2553"/>
      <c r="CG15" s="2553"/>
      <c r="CI15" s="2554">
        <f t="shared" si="7"/>
        <v>0</v>
      </c>
      <c r="CJ15" s="2554">
        <f t="shared" si="8"/>
        <v>0</v>
      </c>
      <c r="CK15" s="2554">
        <f t="shared" si="9"/>
        <v>0</v>
      </c>
      <c r="CL15" s="2554">
        <f t="shared" si="10"/>
        <v>0</v>
      </c>
      <c r="CM15" s="2554"/>
    </row>
    <row r="16" spans="1:91" s="170" customFormat="1" ht="15" customHeight="1" x14ac:dyDescent="0.15">
      <c r="A16" s="8548"/>
      <c r="B16" s="1532" t="s">
        <v>1237</v>
      </c>
      <c r="C16" s="1528">
        <f t="shared" si="0"/>
        <v>0</v>
      </c>
      <c r="D16" s="1529">
        <f t="shared" si="1"/>
        <v>0</v>
      </c>
      <c r="E16" s="1533">
        <f t="shared" si="1"/>
        <v>0</v>
      </c>
      <c r="F16" s="589"/>
      <c r="G16" s="590"/>
      <c r="H16" s="591"/>
      <c r="I16" s="590"/>
      <c r="J16" s="591"/>
      <c r="K16" s="105"/>
      <c r="L16" s="591"/>
      <c r="M16" s="105"/>
      <c r="N16" s="591"/>
      <c r="O16" s="105"/>
      <c r="P16" s="591"/>
      <c r="Q16" s="105"/>
      <c r="R16" s="591"/>
      <c r="S16" s="105"/>
      <c r="T16" s="591"/>
      <c r="U16" s="105"/>
      <c r="V16" s="591"/>
      <c r="W16" s="105"/>
      <c r="X16" s="591"/>
      <c r="Y16" s="105"/>
      <c r="Z16" s="591"/>
      <c r="AA16" s="105"/>
      <c r="AB16" s="591"/>
      <c r="AC16" s="105"/>
      <c r="AD16" s="591"/>
      <c r="AE16" s="105"/>
      <c r="AF16" s="591"/>
      <c r="AG16" s="105"/>
      <c r="AH16" s="591"/>
      <c r="AI16" s="105"/>
      <c r="AJ16" s="591"/>
      <c r="AK16" s="105"/>
      <c r="AL16" s="591"/>
      <c r="AM16" s="135"/>
      <c r="AN16" s="1531"/>
      <c r="AO16" s="789"/>
      <c r="AP16" s="105"/>
      <c r="AQ16" s="789"/>
      <c r="AR16" s="113"/>
      <c r="AS16" s="772"/>
      <c r="AT16" s="113"/>
      <c r="AU16" s="772"/>
      <c r="AV16" s="789"/>
      <c r="AW16" s="789"/>
      <c r="AX16" s="170" t="str">
        <f t="shared" si="2"/>
        <v/>
      </c>
      <c r="CB16" s="2553" t="str">
        <f t="shared" si="3"/>
        <v/>
      </c>
      <c r="CC16" s="2553" t="str">
        <f t="shared" si="4"/>
        <v/>
      </c>
      <c r="CD16" s="2553" t="str">
        <f t="shared" si="5"/>
        <v/>
      </c>
      <c r="CE16" s="2553" t="str">
        <f t="shared" si="6"/>
        <v/>
      </c>
      <c r="CF16" s="2553"/>
      <c r="CG16" s="2553"/>
      <c r="CI16" s="2554">
        <f t="shared" si="7"/>
        <v>0</v>
      </c>
      <c r="CJ16" s="2554">
        <f t="shared" si="8"/>
        <v>0</v>
      </c>
      <c r="CK16" s="2554">
        <f t="shared" si="9"/>
        <v>0</v>
      </c>
      <c r="CL16" s="2554">
        <f t="shared" si="10"/>
        <v>0</v>
      </c>
      <c r="CM16" s="2554"/>
    </row>
    <row r="17" spans="1:91" s="170" customFormat="1" ht="15" customHeight="1" x14ac:dyDescent="0.15">
      <c r="A17" s="8548"/>
      <c r="B17" s="1532" t="s">
        <v>1238</v>
      </c>
      <c r="C17" s="1528">
        <f t="shared" si="0"/>
        <v>0</v>
      </c>
      <c r="D17" s="802">
        <f>+F17+H17+J17+L17+N17+P17+R17+T17+V17+X17+Z17+AB17+AD17+AF17+AH17+AJ17+AL17</f>
        <v>0</v>
      </c>
      <c r="E17" s="1533">
        <f t="shared" si="1"/>
        <v>0</v>
      </c>
      <c r="F17" s="589"/>
      <c r="G17" s="590"/>
      <c r="H17" s="591"/>
      <c r="I17" s="590"/>
      <c r="J17" s="591"/>
      <c r="K17" s="105"/>
      <c r="L17" s="591"/>
      <c r="M17" s="105"/>
      <c r="N17" s="591"/>
      <c r="O17" s="105"/>
      <c r="P17" s="591"/>
      <c r="Q17" s="105"/>
      <c r="R17" s="591"/>
      <c r="S17" s="105"/>
      <c r="T17" s="591"/>
      <c r="U17" s="105"/>
      <c r="V17" s="591"/>
      <c r="W17" s="105"/>
      <c r="X17" s="591"/>
      <c r="Y17" s="105"/>
      <c r="Z17" s="591"/>
      <c r="AA17" s="105"/>
      <c r="AB17" s="591"/>
      <c r="AC17" s="105"/>
      <c r="AD17" s="591"/>
      <c r="AE17" s="105"/>
      <c r="AF17" s="591"/>
      <c r="AG17" s="105"/>
      <c r="AH17" s="591"/>
      <c r="AI17" s="105"/>
      <c r="AJ17" s="591"/>
      <c r="AK17" s="105"/>
      <c r="AL17" s="591"/>
      <c r="AM17" s="135"/>
      <c r="AN17" s="1531"/>
      <c r="AO17" s="789"/>
      <c r="AP17" s="105"/>
      <c r="AQ17" s="789"/>
      <c r="AR17" s="113"/>
      <c r="AS17" s="772"/>
      <c r="AT17" s="113"/>
      <c r="AU17" s="772"/>
      <c r="AV17" s="789"/>
      <c r="AW17" s="789"/>
      <c r="AX17" s="170" t="str">
        <f t="shared" si="2"/>
        <v/>
      </c>
      <c r="CB17" s="2553" t="str">
        <f t="shared" si="3"/>
        <v/>
      </c>
      <c r="CC17" s="2553" t="str">
        <f t="shared" si="4"/>
        <v/>
      </c>
      <c r="CD17" s="2553" t="str">
        <f t="shared" si="5"/>
        <v/>
      </c>
      <c r="CE17" s="2553" t="str">
        <f t="shared" si="6"/>
        <v/>
      </c>
      <c r="CF17" s="2553"/>
      <c r="CG17" s="2553"/>
      <c r="CI17" s="2554">
        <f t="shared" si="7"/>
        <v>0</v>
      </c>
      <c r="CJ17" s="2554">
        <f t="shared" si="8"/>
        <v>0</v>
      </c>
      <c r="CK17" s="2554">
        <f t="shared" si="9"/>
        <v>0</v>
      </c>
      <c r="CL17" s="2554">
        <f t="shared" si="10"/>
        <v>0</v>
      </c>
      <c r="CM17" s="2554"/>
    </row>
    <row r="18" spans="1:91" s="170" customFormat="1" ht="15" customHeight="1" x14ac:dyDescent="0.15">
      <c r="A18" s="8548"/>
      <c r="B18" s="1532" t="s">
        <v>1239</v>
      </c>
      <c r="C18" s="1528">
        <f t="shared" si="0"/>
        <v>0</v>
      </c>
      <c r="D18" s="1529">
        <f t="shared" si="1"/>
        <v>0</v>
      </c>
      <c r="E18" s="1533">
        <f t="shared" si="1"/>
        <v>0</v>
      </c>
      <c r="F18" s="589"/>
      <c r="G18" s="590"/>
      <c r="H18" s="591"/>
      <c r="I18" s="590"/>
      <c r="J18" s="591"/>
      <c r="K18" s="105"/>
      <c r="L18" s="591"/>
      <c r="M18" s="105"/>
      <c r="N18" s="591"/>
      <c r="O18" s="105"/>
      <c r="P18" s="591"/>
      <c r="Q18" s="105"/>
      <c r="R18" s="591"/>
      <c r="S18" s="105"/>
      <c r="T18" s="591"/>
      <c r="U18" s="105"/>
      <c r="V18" s="591"/>
      <c r="W18" s="105"/>
      <c r="X18" s="591"/>
      <c r="Y18" s="105"/>
      <c r="Z18" s="591"/>
      <c r="AA18" s="105"/>
      <c r="AB18" s="591"/>
      <c r="AC18" s="105"/>
      <c r="AD18" s="591"/>
      <c r="AE18" s="105"/>
      <c r="AF18" s="591"/>
      <c r="AG18" s="105"/>
      <c r="AH18" s="591"/>
      <c r="AI18" s="105"/>
      <c r="AJ18" s="591"/>
      <c r="AK18" s="105"/>
      <c r="AL18" s="591"/>
      <c r="AM18" s="135"/>
      <c r="AN18" s="1531"/>
      <c r="AO18" s="789"/>
      <c r="AP18" s="105"/>
      <c r="AQ18" s="789"/>
      <c r="AR18" s="113"/>
      <c r="AS18" s="772"/>
      <c r="AT18" s="113"/>
      <c r="AU18" s="772"/>
      <c r="AV18" s="789"/>
      <c r="AW18" s="789"/>
      <c r="AX18" s="170" t="str">
        <f t="shared" si="2"/>
        <v/>
      </c>
      <c r="CB18" s="2553" t="str">
        <f t="shared" si="3"/>
        <v/>
      </c>
      <c r="CC18" s="2553" t="str">
        <f t="shared" si="4"/>
        <v/>
      </c>
      <c r="CD18" s="2553" t="str">
        <f t="shared" si="5"/>
        <v/>
      </c>
      <c r="CE18" s="2553" t="str">
        <f t="shared" si="6"/>
        <v/>
      </c>
      <c r="CF18" s="2553"/>
      <c r="CG18" s="2553"/>
      <c r="CI18" s="2554">
        <f t="shared" si="7"/>
        <v>0</v>
      </c>
      <c r="CJ18" s="2554">
        <f t="shared" si="8"/>
        <v>0</v>
      </c>
      <c r="CK18" s="2554">
        <f t="shared" si="9"/>
        <v>0</v>
      </c>
      <c r="CL18" s="2554">
        <f t="shared" si="10"/>
        <v>0</v>
      </c>
      <c r="CM18" s="2554"/>
    </row>
    <row r="19" spans="1:91" s="170" customFormat="1" ht="15" customHeight="1" x14ac:dyDescent="0.15">
      <c r="A19" s="8548"/>
      <c r="B19" s="1532" t="s">
        <v>1240</v>
      </c>
      <c r="C19" s="1528">
        <f t="shared" si="0"/>
        <v>0</v>
      </c>
      <c r="D19" s="1529">
        <f t="shared" si="1"/>
        <v>0</v>
      </c>
      <c r="E19" s="1533">
        <f t="shared" si="1"/>
        <v>0</v>
      </c>
      <c r="F19" s="589"/>
      <c r="G19" s="590"/>
      <c r="H19" s="591"/>
      <c r="I19" s="590"/>
      <c r="J19" s="591"/>
      <c r="K19" s="105"/>
      <c r="L19" s="591"/>
      <c r="M19" s="105"/>
      <c r="N19" s="591"/>
      <c r="O19" s="105"/>
      <c r="P19" s="591"/>
      <c r="Q19" s="105"/>
      <c r="R19" s="591"/>
      <c r="S19" s="105"/>
      <c r="T19" s="591"/>
      <c r="U19" s="105"/>
      <c r="V19" s="591"/>
      <c r="W19" s="105"/>
      <c r="X19" s="591"/>
      <c r="Y19" s="105"/>
      <c r="Z19" s="591"/>
      <c r="AA19" s="105"/>
      <c r="AB19" s="591"/>
      <c r="AC19" s="105"/>
      <c r="AD19" s="591"/>
      <c r="AE19" s="105"/>
      <c r="AF19" s="591"/>
      <c r="AG19" s="105"/>
      <c r="AH19" s="591"/>
      <c r="AI19" s="105"/>
      <c r="AJ19" s="591"/>
      <c r="AK19" s="105"/>
      <c r="AL19" s="591"/>
      <c r="AM19" s="135"/>
      <c r="AN19" s="1531"/>
      <c r="AO19" s="789"/>
      <c r="AP19" s="105"/>
      <c r="AQ19" s="789"/>
      <c r="AR19" s="113"/>
      <c r="AS19" s="772"/>
      <c r="AT19" s="113"/>
      <c r="AU19" s="772"/>
      <c r="AV19" s="789"/>
      <c r="AW19" s="789"/>
      <c r="AX19" s="170" t="str">
        <f t="shared" si="2"/>
        <v/>
      </c>
      <c r="CB19" s="2553" t="str">
        <f t="shared" si="3"/>
        <v/>
      </c>
      <c r="CC19" s="2553" t="str">
        <f t="shared" si="4"/>
        <v/>
      </c>
      <c r="CD19" s="2553" t="str">
        <f t="shared" si="5"/>
        <v/>
      </c>
      <c r="CE19" s="2553" t="str">
        <f t="shared" si="6"/>
        <v/>
      </c>
      <c r="CF19" s="2553"/>
      <c r="CG19" s="2553"/>
      <c r="CI19" s="2554">
        <f t="shared" si="7"/>
        <v>0</v>
      </c>
      <c r="CJ19" s="2554">
        <f t="shared" si="8"/>
        <v>0</v>
      </c>
      <c r="CK19" s="2554">
        <f t="shared" si="9"/>
        <v>0</v>
      </c>
      <c r="CL19" s="2554">
        <f t="shared" si="10"/>
        <v>0</v>
      </c>
      <c r="CM19" s="2554"/>
    </row>
    <row r="20" spans="1:91" s="170" customFormat="1" ht="21" x14ac:dyDescent="0.15">
      <c r="A20" s="8548"/>
      <c r="B20" s="1532" t="s">
        <v>1241</v>
      </c>
      <c r="C20" s="1528">
        <f t="shared" si="0"/>
        <v>0</v>
      </c>
      <c r="D20" s="1529">
        <f t="shared" si="1"/>
        <v>0</v>
      </c>
      <c r="E20" s="1533">
        <f t="shared" si="1"/>
        <v>0</v>
      </c>
      <c r="F20" s="589"/>
      <c r="G20" s="590"/>
      <c r="H20" s="591"/>
      <c r="I20" s="590"/>
      <c r="J20" s="591"/>
      <c r="K20" s="105"/>
      <c r="L20" s="591"/>
      <c r="M20" s="105"/>
      <c r="N20" s="591"/>
      <c r="O20" s="105"/>
      <c r="P20" s="591"/>
      <c r="Q20" s="105"/>
      <c r="R20" s="591"/>
      <c r="S20" s="105"/>
      <c r="T20" s="591"/>
      <c r="U20" s="105"/>
      <c r="V20" s="591"/>
      <c r="W20" s="105"/>
      <c r="X20" s="591"/>
      <c r="Y20" s="105"/>
      <c r="Z20" s="591"/>
      <c r="AA20" s="105"/>
      <c r="AB20" s="591"/>
      <c r="AC20" s="105"/>
      <c r="AD20" s="591"/>
      <c r="AE20" s="105"/>
      <c r="AF20" s="591"/>
      <c r="AG20" s="105"/>
      <c r="AH20" s="591"/>
      <c r="AI20" s="105"/>
      <c r="AJ20" s="591"/>
      <c r="AK20" s="105"/>
      <c r="AL20" s="591"/>
      <c r="AM20" s="135"/>
      <c r="AN20" s="1531"/>
      <c r="AO20" s="789"/>
      <c r="AP20" s="105"/>
      <c r="AQ20" s="789"/>
      <c r="AR20" s="113"/>
      <c r="AS20" s="772"/>
      <c r="AT20" s="113"/>
      <c r="AU20" s="772"/>
      <c r="AV20" s="789"/>
      <c r="AW20" s="789"/>
      <c r="AX20" s="170" t="str">
        <f t="shared" si="2"/>
        <v/>
      </c>
      <c r="CB20" s="2553" t="str">
        <f t="shared" si="3"/>
        <v/>
      </c>
      <c r="CC20" s="2553" t="str">
        <f t="shared" si="4"/>
        <v/>
      </c>
      <c r="CD20" s="2553" t="str">
        <f t="shared" si="5"/>
        <v/>
      </c>
      <c r="CE20" s="2553" t="str">
        <f t="shared" si="6"/>
        <v/>
      </c>
      <c r="CF20" s="2553"/>
      <c r="CG20" s="2553"/>
      <c r="CI20" s="2554">
        <f t="shared" si="7"/>
        <v>0</v>
      </c>
      <c r="CJ20" s="2554">
        <f t="shared" si="8"/>
        <v>0</v>
      </c>
      <c r="CK20" s="2554">
        <f t="shared" si="9"/>
        <v>0</v>
      </c>
      <c r="CL20" s="2554">
        <f t="shared" si="10"/>
        <v>0</v>
      </c>
      <c r="CM20" s="2554"/>
    </row>
    <row r="21" spans="1:91" s="170" customFormat="1" ht="15" customHeight="1" x14ac:dyDescent="0.15">
      <c r="A21" s="8548"/>
      <c r="B21" s="1532" t="s">
        <v>1242</v>
      </c>
      <c r="C21" s="1528">
        <f t="shared" si="0"/>
        <v>0</v>
      </c>
      <c r="D21" s="1529">
        <f t="shared" si="1"/>
        <v>0</v>
      </c>
      <c r="E21" s="1533">
        <f t="shared" si="1"/>
        <v>0</v>
      </c>
      <c r="F21" s="589"/>
      <c r="G21" s="590"/>
      <c r="H21" s="591"/>
      <c r="I21" s="590"/>
      <c r="J21" s="591"/>
      <c r="K21" s="105"/>
      <c r="L21" s="591"/>
      <c r="M21" s="105"/>
      <c r="N21" s="591"/>
      <c r="O21" s="105"/>
      <c r="P21" s="591"/>
      <c r="Q21" s="105"/>
      <c r="R21" s="591"/>
      <c r="S21" s="105"/>
      <c r="T21" s="591"/>
      <c r="U21" s="105"/>
      <c r="V21" s="591"/>
      <c r="W21" s="105"/>
      <c r="X21" s="591"/>
      <c r="Y21" s="105"/>
      <c r="Z21" s="591"/>
      <c r="AA21" s="105"/>
      <c r="AB21" s="591"/>
      <c r="AC21" s="105"/>
      <c r="AD21" s="591"/>
      <c r="AE21" s="105"/>
      <c r="AF21" s="591"/>
      <c r="AG21" s="105"/>
      <c r="AH21" s="591"/>
      <c r="AI21" s="105"/>
      <c r="AJ21" s="591"/>
      <c r="AK21" s="105"/>
      <c r="AL21" s="591"/>
      <c r="AM21" s="135"/>
      <c r="AN21" s="1531"/>
      <c r="AO21" s="789"/>
      <c r="AP21" s="105"/>
      <c r="AQ21" s="789"/>
      <c r="AR21" s="113"/>
      <c r="AS21" s="772"/>
      <c r="AT21" s="113"/>
      <c r="AU21" s="772"/>
      <c r="AV21" s="789"/>
      <c r="AW21" s="789"/>
      <c r="AX21" s="170" t="str">
        <f t="shared" si="2"/>
        <v/>
      </c>
      <c r="CB21" s="2553" t="str">
        <f t="shared" si="3"/>
        <v/>
      </c>
      <c r="CC21" s="2553" t="str">
        <f t="shared" si="4"/>
        <v/>
      </c>
      <c r="CD21" s="2553" t="str">
        <f t="shared" si="5"/>
        <v/>
      </c>
      <c r="CE21" s="2553" t="str">
        <f t="shared" si="6"/>
        <v/>
      </c>
      <c r="CF21" s="2553"/>
      <c r="CG21" s="2553"/>
      <c r="CI21" s="2554">
        <f t="shared" si="7"/>
        <v>0</v>
      </c>
      <c r="CJ21" s="2554">
        <f t="shared" si="8"/>
        <v>0</v>
      </c>
      <c r="CK21" s="2554">
        <f t="shared" si="9"/>
        <v>0</v>
      </c>
      <c r="CL21" s="2554">
        <f t="shared" si="10"/>
        <v>0</v>
      </c>
      <c r="CM21" s="2554"/>
    </row>
    <row r="22" spans="1:91" s="170" customFormat="1" ht="15" customHeight="1" x14ac:dyDescent="0.15">
      <c r="A22" s="8548"/>
      <c r="B22" s="1532" t="s">
        <v>1243</v>
      </c>
      <c r="C22" s="1528">
        <f t="shared" si="0"/>
        <v>0</v>
      </c>
      <c r="D22" s="1529">
        <f t="shared" si="1"/>
        <v>0</v>
      </c>
      <c r="E22" s="1533">
        <f t="shared" si="1"/>
        <v>0</v>
      </c>
      <c r="F22" s="589"/>
      <c r="G22" s="590"/>
      <c r="H22" s="591"/>
      <c r="I22" s="590"/>
      <c r="J22" s="591"/>
      <c r="K22" s="105"/>
      <c r="L22" s="591"/>
      <c r="M22" s="105"/>
      <c r="N22" s="591"/>
      <c r="O22" s="105"/>
      <c r="P22" s="591"/>
      <c r="Q22" s="105"/>
      <c r="R22" s="591"/>
      <c r="S22" s="105"/>
      <c r="T22" s="591"/>
      <c r="U22" s="105"/>
      <c r="V22" s="591"/>
      <c r="W22" s="105"/>
      <c r="X22" s="591"/>
      <c r="Y22" s="105"/>
      <c r="Z22" s="591"/>
      <c r="AA22" s="105"/>
      <c r="AB22" s="591"/>
      <c r="AC22" s="105"/>
      <c r="AD22" s="591"/>
      <c r="AE22" s="105"/>
      <c r="AF22" s="591"/>
      <c r="AG22" s="105"/>
      <c r="AH22" s="591"/>
      <c r="AI22" s="105"/>
      <c r="AJ22" s="591"/>
      <c r="AK22" s="105"/>
      <c r="AL22" s="591"/>
      <c r="AM22" s="135"/>
      <c r="AN22" s="1531"/>
      <c r="AO22" s="789"/>
      <c r="AP22" s="105"/>
      <c r="AQ22" s="789"/>
      <c r="AR22" s="113"/>
      <c r="AS22" s="772"/>
      <c r="AT22" s="113"/>
      <c r="AU22" s="772"/>
      <c r="AV22" s="789"/>
      <c r="AW22" s="789"/>
      <c r="AX22" s="170" t="str">
        <f t="shared" si="2"/>
        <v/>
      </c>
      <c r="CB22" s="2553" t="str">
        <f t="shared" si="3"/>
        <v/>
      </c>
      <c r="CC22" s="2553" t="str">
        <f t="shared" si="4"/>
        <v/>
      </c>
      <c r="CD22" s="2553" t="str">
        <f t="shared" si="5"/>
        <v/>
      </c>
      <c r="CE22" s="2553" t="str">
        <f t="shared" si="6"/>
        <v/>
      </c>
      <c r="CF22" s="2553"/>
      <c r="CG22" s="2553"/>
      <c r="CI22" s="2554">
        <f t="shared" si="7"/>
        <v>0</v>
      </c>
      <c r="CJ22" s="2554">
        <f t="shared" si="8"/>
        <v>0</v>
      </c>
      <c r="CK22" s="2554">
        <f t="shared" si="9"/>
        <v>0</v>
      </c>
      <c r="CL22" s="2554">
        <f t="shared" si="10"/>
        <v>0</v>
      </c>
      <c r="CM22" s="2554"/>
    </row>
    <row r="23" spans="1:91" s="170" customFormat="1" ht="15" customHeight="1" x14ac:dyDescent="0.15">
      <c r="A23" s="8548"/>
      <c r="B23" s="1532" t="s">
        <v>1244</v>
      </c>
      <c r="C23" s="1528">
        <f t="shared" si="0"/>
        <v>0</v>
      </c>
      <c r="D23" s="1534">
        <f t="shared" si="1"/>
        <v>0</v>
      </c>
      <c r="E23" s="1535">
        <f t="shared" si="1"/>
        <v>0</v>
      </c>
      <c r="F23" s="1089"/>
      <c r="G23" s="1077"/>
      <c r="H23" s="1076"/>
      <c r="I23" s="1077"/>
      <c r="J23" s="1076"/>
      <c r="K23" s="83"/>
      <c r="L23" s="1076"/>
      <c r="M23" s="83"/>
      <c r="N23" s="1076"/>
      <c r="O23" s="83"/>
      <c r="P23" s="1076"/>
      <c r="Q23" s="83"/>
      <c r="R23" s="1076"/>
      <c r="S23" s="83"/>
      <c r="T23" s="1076"/>
      <c r="U23" s="83"/>
      <c r="V23" s="1076"/>
      <c r="W23" s="83"/>
      <c r="X23" s="1076"/>
      <c r="Y23" s="83"/>
      <c r="Z23" s="1076"/>
      <c r="AA23" s="83"/>
      <c r="AB23" s="1076"/>
      <c r="AC23" s="83"/>
      <c r="AD23" s="1076"/>
      <c r="AE23" s="83"/>
      <c r="AF23" s="1076"/>
      <c r="AG23" s="83"/>
      <c r="AH23" s="1076"/>
      <c r="AI23" s="83"/>
      <c r="AJ23" s="1076"/>
      <c r="AK23" s="83"/>
      <c r="AL23" s="1076"/>
      <c r="AM23" s="126"/>
      <c r="AN23" s="1536"/>
      <c r="AO23" s="1080"/>
      <c r="AP23" s="83"/>
      <c r="AQ23" s="1080"/>
      <c r="AR23" s="1440"/>
      <c r="AS23" s="1079"/>
      <c r="AT23" s="1440"/>
      <c r="AU23" s="1079"/>
      <c r="AV23" s="1080"/>
      <c r="AW23" s="1080"/>
      <c r="AX23" s="170" t="str">
        <f t="shared" si="2"/>
        <v/>
      </c>
      <c r="CB23" s="2553" t="str">
        <f t="shared" si="3"/>
        <v/>
      </c>
      <c r="CC23" s="2553" t="str">
        <f t="shared" si="4"/>
        <v/>
      </c>
      <c r="CD23" s="2553" t="str">
        <f t="shared" si="5"/>
        <v/>
      </c>
      <c r="CE23" s="2553" t="str">
        <f t="shared" si="6"/>
        <v/>
      </c>
      <c r="CF23" s="2553"/>
      <c r="CG23" s="2553"/>
      <c r="CI23" s="2554">
        <f t="shared" si="7"/>
        <v>0</v>
      </c>
      <c r="CJ23" s="2554">
        <f t="shared" si="8"/>
        <v>0</v>
      </c>
      <c r="CK23" s="2554">
        <f t="shared" si="9"/>
        <v>0</v>
      </c>
      <c r="CL23" s="2554">
        <f t="shared" si="10"/>
        <v>0</v>
      </c>
      <c r="CM23" s="2554"/>
    </row>
    <row r="24" spans="1:91" s="170" customFormat="1" ht="15" customHeight="1" x14ac:dyDescent="0.15">
      <c r="A24" s="8548"/>
      <c r="B24" s="1537" t="s">
        <v>1245</v>
      </c>
      <c r="C24" s="1528">
        <f t="shared" si="0"/>
        <v>0</v>
      </c>
      <c r="D24" s="1534">
        <f t="shared" si="1"/>
        <v>0</v>
      </c>
      <c r="E24" s="1535">
        <f t="shared" si="1"/>
        <v>0</v>
      </c>
      <c r="F24" s="1089"/>
      <c r="G24" s="1077"/>
      <c r="H24" s="1076"/>
      <c r="I24" s="1077"/>
      <c r="J24" s="1076"/>
      <c r="K24" s="83"/>
      <c r="L24" s="1076"/>
      <c r="M24" s="83"/>
      <c r="N24" s="1076"/>
      <c r="O24" s="83"/>
      <c r="P24" s="1076"/>
      <c r="Q24" s="83"/>
      <c r="R24" s="1076"/>
      <c r="S24" s="83"/>
      <c r="T24" s="1076"/>
      <c r="U24" s="83"/>
      <c r="V24" s="1076"/>
      <c r="W24" s="83"/>
      <c r="X24" s="1076"/>
      <c r="Y24" s="83"/>
      <c r="Z24" s="1076"/>
      <c r="AA24" s="83"/>
      <c r="AB24" s="1076"/>
      <c r="AC24" s="83"/>
      <c r="AD24" s="1076"/>
      <c r="AE24" s="83"/>
      <c r="AF24" s="1076"/>
      <c r="AG24" s="83"/>
      <c r="AH24" s="1076"/>
      <c r="AI24" s="83"/>
      <c r="AJ24" s="1076"/>
      <c r="AK24" s="83"/>
      <c r="AL24" s="1076"/>
      <c r="AM24" s="126"/>
      <c r="AN24" s="1536"/>
      <c r="AO24" s="1080"/>
      <c r="AP24" s="83"/>
      <c r="AQ24" s="1080"/>
      <c r="AR24" s="1440"/>
      <c r="AS24" s="1079"/>
      <c r="AT24" s="1440"/>
      <c r="AU24" s="1079"/>
      <c r="AV24" s="1080"/>
      <c r="AW24" s="1080"/>
      <c r="AX24" s="170" t="str">
        <f t="shared" si="2"/>
        <v/>
      </c>
      <c r="CB24" s="2553" t="str">
        <f t="shared" si="3"/>
        <v/>
      </c>
      <c r="CC24" s="2553" t="str">
        <f t="shared" si="4"/>
        <v/>
      </c>
      <c r="CD24" s="2553" t="str">
        <f t="shared" si="5"/>
        <v/>
      </c>
      <c r="CE24" s="2553" t="str">
        <f t="shared" si="6"/>
        <v/>
      </c>
      <c r="CF24" s="2553"/>
      <c r="CG24" s="2553"/>
      <c r="CI24" s="2554">
        <f t="shared" si="7"/>
        <v>0</v>
      </c>
      <c r="CJ24" s="2554">
        <f t="shared" si="8"/>
        <v>0</v>
      </c>
      <c r="CK24" s="2554">
        <f t="shared" si="9"/>
        <v>0</v>
      </c>
      <c r="CL24" s="2554">
        <f t="shared" si="10"/>
        <v>0</v>
      </c>
      <c r="CM24" s="2554"/>
    </row>
    <row r="25" spans="1:91" s="170" customFormat="1" ht="15" customHeight="1" x14ac:dyDescent="0.15">
      <c r="A25" s="8548"/>
      <c r="B25" s="1523" t="s">
        <v>1246</v>
      </c>
      <c r="C25" s="1528">
        <f t="shared" si="0"/>
        <v>0</v>
      </c>
      <c r="D25" s="1534">
        <f t="shared" si="1"/>
        <v>0</v>
      </c>
      <c r="E25" s="1535">
        <f t="shared" si="1"/>
        <v>0</v>
      </c>
      <c r="F25" s="1089"/>
      <c r="G25" s="1077"/>
      <c r="H25" s="1076"/>
      <c r="I25" s="1077"/>
      <c r="J25" s="1076"/>
      <c r="K25" s="83"/>
      <c r="L25" s="1076"/>
      <c r="M25" s="83"/>
      <c r="N25" s="1076"/>
      <c r="O25" s="83"/>
      <c r="P25" s="1076"/>
      <c r="Q25" s="83"/>
      <c r="R25" s="1076"/>
      <c r="S25" s="83"/>
      <c r="T25" s="1076"/>
      <c r="U25" s="83"/>
      <c r="V25" s="1076"/>
      <c r="W25" s="83"/>
      <c r="X25" s="1076"/>
      <c r="Y25" s="83"/>
      <c r="Z25" s="1076"/>
      <c r="AA25" s="83"/>
      <c r="AB25" s="1076"/>
      <c r="AC25" s="83"/>
      <c r="AD25" s="1076"/>
      <c r="AE25" s="83"/>
      <c r="AF25" s="1076"/>
      <c r="AG25" s="83"/>
      <c r="AH25" s="1076"/>
      <c r="AI25" s="83"/>
      <c r="AJ25" s="1076"/>
      <c r="AK25" s="83"/>
      <c r="AL25" s="1076"/>
      <c r="AM25" s="126"/>
      <c r="AN25" s="1536"/>
      <c r="AO25" s="1080"/>
      <c r="AP25" s="83"/>
      <c r="AQ25" s="1080"/>
      <c r="AR25" s="1440"/>
      <c r="AS25" s="1079"/>
      <c r="AT25" s="1440"/>
      <c r="AU25" s="1079"/>
      <c r="AV25" s="1080"/>
      <c r="AW25" s="1080"/>
      <c r="AX25" s="170" t="str">
        <f t="shared" si="2"/>
        <v/>
      </c>
      <c r="CB25" s="2553" t="str">
        <f t="shared" si="3"/>
        <v/>
      </c>
      <c r="CC25" s="2553" t="str">
        <f t="shared" si="4"/>
        <v/>
      </c>
      <c r="CD25" s="2553" t="str">
        <f t="shared" si="5"/>
        <v/>
      </c>
      <c r="CE25" s="2553" t="str">
        <f t="shared" si="6"/>
        <v/>
      </c>
      <c r="CF25" s="2553"/>
      <c r="CG25" s="2553"/>
      <c r="CI25" s="2554">
        <f t="shared" si="7"/>
        <v>0</v>
      </c>
      <c r="CJ25" s="2554">
        <f t="shared" si="8"/>
        <v>0</v>
      </c>
      <c r="CK25" s="2554">
        <f t="shared" si="9"/>
        <v>0</v>
      </c>
      <c r="CL25" s="2554">
        <f t="shared" si="10"/>
        <v>0</v>
      </c>
      <c r="CM25" s="2554"/>
    </row>
    <row r="26" spans="1:91" s="170" customFormat="1" ht="15" customHeight="1" x14ac:dyDescent="0.15">
      <c r="A26" s="8548"/>
      <c r="B26" s="1538" t="s">
        <v>1247</v>
      </c>
      <c r="C26" s="1528">
        <f t="shared" si="0"/>
        <v>0</v>
      </c>
      <c r="D26" s="1534">
        <f t="shared" si="1"/>
        <v>0</v>
      </c>
      <c r="E26" s="1535">
        <f t="shared" si="1"/>
        <v>0</v>
      </c>
      <c r="F26" s="1089"/>
      <c r="G26" s="1077"/>
      <c r="H26" s="1076"/>
      <c r="I26" s="1077"/>
      <c r="J26" s="1076"/>
      <c r="K26" s="83"/>
      <c r="L26" s="1076"/>
      <c r="M26" s="83"/>
      <c r="N26" s="1076"/>
      <c r="O26" s="83"/>
      <c r="P26" s="1076"/>
      <c r="Q26" s="83"/>
      <c r="R26" s="1076"/>
      <c r="S26" s="83"/>
      <c r="T26" s="1076"/>
      <c r="U26" s="83"/>
      <c r="V26" s="1076"/>
      <c r="W26" s="83"/>
      <c r="X26" s="1076"/>
      <c r="Y26" s="83"/>
      <c r="Z26" s="1076"/>
      <c r="AA26" s="83"/>
      <c r="AB26" s="1076"/>
      <c r="AC26" s="83"/>
      <c r="AD26" s="1076"/>
      <c r="AE26" s="83"/>
      <c r="AF26" s="1076"/>
      <c r="AG26" s="83"/>
      <c r="AH26" s="1076"/>
      <c r="AI26" s="83"/>
      <c r="AJ26" s="1076"/>
      <c r="AK26" s="83"/>
      <c r="AL26" s="1076"/>
      <c r="AM26" s="126"/>
      <c r="AN26" s="1536"/>
      <c r="AO26" s="1080"/>
      <c r="AP26" s="83"/>
      <c r="AQ26" s="1080"/>
      <c r="AR26" s="1440"/>
      <c r="AS26" s="1079"/>
      <c r="AT26" s="1440"/>
      <c r="AU26" s="1079"/>
      <c r="AV26" s="1080"/>
      <c r="AW26" s="1080"/>
      <c r="AX26" s="170" t="str">
        <f t="shared" si="2"/>
        <v/>
      </c>
      <c r="CB26" s="2553" t="str">
        <f t="shared" si="3"/>
        <v/>
      </c>
      <c r="CC26" s="2553" t="str">
        <f t="shared" si="4"/>
        <v/>
      </c>
      <c r="CD26" s="2553" t="str">
        <f t="shared" si="5"/>
        <v/>
      </c>
      <c r="CE26" s="2553" t="str">
        <f t="shared" si="6"/>
        <v/>
      </c>
      <c r="CF26" s="2553"/>
      <c r="CG26" s="2553"/>
      <c r="CI26" s="2554">
        <f t="shared" si="7"/>
        <v>0</v>
      </c>
      <c r="CJ26" s="2554">
        <f t="shared" si="8"/>
        <v>0</v>
      </c>
      <c r="CK26" s="2554">
        <f t="shared" si="9"/>
        <v>0</v>
      </c>
      <c r="CL26" s="2554">
        <f t="shared" si="10"/>
        <v>0</v>
      </c>
      <c r="CM26" s="2554"/>
    </row>
    <row r="27" spans="1:91" s="170" customFormat="1" ht="15" customHeight="1" x14ac:dyDescent="0.15">
      <c r="A27" s="8549"/>
      <c r="B27" s="1523" t="s">
        <v>44</v>
      </c>
      <c r="C27" s="1539">
        <f t="shared" si="0"/>
        <v>0</v>
      </c>
      <c r="D27" s="1534">
        <f t="shared" si="1"/>
        <v>0</v>
      </c>
      <c r="E27" s="1540">
        <f t="shared" si="1"/>
        <v>0</v>
      </c>
      <c r="F27" s="1089"/>
      <c r="G27" s="1077"/>
      <c r="H27" s="1076"/>
      <c r="I27" s="1077"/>
      <c r="J27" s="1076"/>
      <c r="K27" s="83"/>
      <c r="L27" s="1076"/>
      <c r="M27" s="83"/>
      <c r="N27" s="1076"/>
      <c r="O27" s="83"/>
      <c r="P27" s="1076"/>
      <c r="Q27" s="83"/>
      <c r="R27" s="1076"/>
      <c r="S27" s="83"/>
      <c r="T27" s="1076"/>
      <c r="U27" s="83"/>
      <c r="V27" s="1076"/>
      <c r="W27" s="83"/>
      <c r="X27" s="1076"/>
      <c r="Y27" s="83"/>
      <c r="Z27" s="1076"/>
      <c r="AA27" s="83"/>
      <c r="AB27" s="1076"/>
      <c r="AC27" s="83"/>
      <c r="AD27" s="1076"/>
      <c r="AE27" s="83"/>
      <c r="AF27" s="1076"/>
      <c r="AG27" s="83"/>
      <c r="AH27" s="1076"/>
      <c r="AI27" s="83"/>
      <c r="AJ27" s="1076"/>
      <c r="AK27" s="83"/>
      <c r="AL27" s="1076"/>
      <c r="AM27" s="138"/>
      <c r="AN27" s="1536"/>
      <c r="AO27" s="1080"/>
      <c r="AP27" s="83"/>
      <c r="AQ27" s="1080"/>
      <c r="AR27" s="1440"/>
      <c r="AS27" s="1079"/>
      <c r="AT27" s="1440"/>
      <c r="AU27" s="1079"/>
      <c r="AV27" s="1080"/>
      <c r="AW27" s="1080"/>
      <c r="AX27" s="170" t="str">
        <f t="shared" si="2"/>
        <v/>
      </c>
      <c r="CB27" s="2553" t="str">
        <f t="shared" si="3"/>
        <v/>
      </c>
      <c r="CC27" s="2553" t="str">
        <f t="shared" si="4"/>
        <v/>
      </c>
      <c r="CD27" s="2553" t="str">
        <f t="shared" si="5"/>
        <v/>
      </c>
      <c r="CE27" s="2553" t="str">
        <f t="shared" si="6"/>
        <v/>
      </c>
      <c r="CF27" s="2553"/>
      <c r="CG27" s="2553"/>
      <c r="CI27" s="2554">
        <f t="shared" si="7"/>
        <v>0</v>
      </c>
      <c r="CJ27" s="2554">
        <f t="shared" si="8"/>
        <v>0</v>
      </c>
      <c r="CK27" s="2554">
        <f t="shared" si="9"/>
        <v>0</v>
      </c>
      <c r="CL27" s="2554">
        <f t="shared" si="10"/>
        <v>0</v>
      </c>
      <c r="CM27" s="2554"/>
    </row>
    <row r="28" spans="1:91" s="170" customFormat="1" ht="15" customHeight="1" x14ac:dyDescent="0.15">
      <c r="A28" s="8531" t="s">
        <v>24</v>
      </c>
      <c r="B28" s="8541"/>
      <c r="C28" s="2578">
        <f t="shared" si="0"/>
        <v>0</v>
      </c>
      <c r="D28" s="1449">
        <f>+F28+H28+J28+L28+N28+P28+R28+T28+V28+X28+Z28+AB28+AD28+AF28+AH28+AJ28+AL28</f>
        <v>0</v>
      </c>
      <c r="E28" s="1452">
        <f>+G28+I28+K28+M28+O28+Q28+S28+U28+W28+Y28+AA28+AC28+AE28+AG28+AI28+AK28+AM28</f>
        <v>0</v>
      </c>
      <c r="F28" s="1449">
        <f>SUM(F12:F27)</f>
        <v>0</v>
      </c>
      <c r="G28" s="1451">
        <f>SUM(G12:G27)</f>
        <v>0</v>
      </c>
      <c r="H28" s="1449">
        <f t="shared" ref="H28:AW28" si="11">SUM(H12:H27)</f>
        <v>0</v>
      </c>
      <c r="I28" s="1451">
        <f t="shared" si="11"/>
        <v>0</v>
      </c>
      <c r="J28" s="1449">
        <f t="shared" si="11"/>
        <v>0</v>
      </c>
      <c r="K28" s="1451">
        <f t="shared" si="11"/>
        <v>0</v>
      </c>
      <c r="L28" s="1449">
        <f t="shared" si="11"/>
        <v>0</v>
      </c>
      <c r="M28" s="1451">
        <f t="shared" si="11"/>
        <v>0</v>
      </c>
      <c r="N28" s="1449">
        <f t="shared" si="11"/>
        <v>0</v>
      </c>
      <c r="O28" s="1451">
        <f t="shared" si="11"/>
        <v>0</v>
      </c>
      <c r="P28" s="1449">
        <f t="shared" si="11"/>
        <v>0</v>
      </c>
      <c r="Q28" s="1451">
        <f t="shared" si="11"/>
        <v>0</v>
      </c>
      <c r="R28" s="1449">
        <f t="shared" si="11"/>
        <v>0</v>
      </c>
      <c r="S28" s="1451">
        <f t="shared" si="11"/>
        <v>0</v>
      </c>
      <c r="T28" s="1449">
        <f t="shared" si="11"/>
        <v>0</v>
      </c>
      <c r="U28" s="1451">
        <f t="shared" si="11"/>
        <v>0</v>
      </c>
      <c r="V28" s="1449">
        <f t="shared" si="11"/>
        <v>0</v>
      </c>
      <c r="W28" s="1451">
        <f t="shared" si="11"/>
        <v>0</v>
      </c>
      <c r="X28" s="1449">
        <f t="shared" si="11"/>
        <v>0</v>
      </c>
      <c r="Y28" s="1451">
        <f t="shared" si="11"/>
        <v>0</v>
      </c>
      <c r="Z28" s="1449">
        <f t="shared" si="11"/>
        <v>0</v>
      </c>
      <c r="AA28" s="1451">
        <f t="shared" si="11"/>
        <v>0</v>
      </c>
      <c r="AB28" s="1449">
        <f t="shared" si="11"/>
        <v>0</v>
      </c>
      <c r="AC28" s="1451">
        <f t="shared" si="11"/>
        <v>0</v>
      </c>
      <c r="AD28" s="1449">
        <f t="shared" si="11"/>
        <v>0</v>
      </c>
      <c r="AE28" s="1451">
        <f t="shared" si="11"/>
        <v>0</v>
      </c>
      <c r="AF28" s="1449">
        <f t="shared" si="11"/>
        <v>0</v>
      </c>
      <c r="AG28" s="1451">
        <f t="shared" si="11"/>
        <v>0</v>
      </c>
      <c r="AH28" s="1449">
        <f t="shared" si="11"/>
        <v>0</v>
      </c>
      <c r="AI28" s="1451">
        <f t="shared" si="11"/>
        <v>0</v>
      </c>
      <c r="AJ28" s="1449">
        <f t="shared" si="11"/>
        <v>0</v>
      </c>
      <c r="AK28" s="1451">
        <f t="shared" si="11"/>
        <v>0</v>
      </c>
      <c r="AL28" s="1449">
        <f>SUM(AL12:AL27)</f>
        <v>0</v>
      </c>
      <c r="AM28" s="1099">
        <f t="shared" si="11"/>
        <v>0</v>
      </c>
      <c r="AN28" s="2579">
        <f t="shared" si="11"/>
        <v>0</v>
      </c>
      <c r="AO28" s="1433">
        <f t="shared" si="11"/>
        <v>0</v>
      </c>
      <c r="AP28" s="1452">
        <f t="shared" si="11"/>
        <v>0</v>
      </c>
      <c r="AQ28" s="1433">
        <f t="shared" si="11"/>
        <v>0</v>
      </c>
      <c r="AR28" s="1447">
        <f t="shared" si="11"/>
        <v>0</v>
      </c>
      <c r="AS28" s="2579">
        <f t="shared" si="11"/>
        <v>0</v>
      </c>
      <c r="AT28" s="1447">
        <f t="shared" si="11"/>
        <v>0</v>
      </c>
      <c r="AU28" s="2579">
        <f t="shared" si="11"/>
        <v>0</v>
      </c>
      <c r="AV28" s="1433">
        <f>SUM(AV12:AV27)</f>
        <v>0</v>
      </c>
      <c r="AW28" s="1433">
        <f t="shared" si="11"/>
        <v>0</v>
      </c>
    </row>
    <row r="29" spans="1:91" s="1134" customFormat="1" ht="18" customHeight="1" x14ac:dyDescent="0.15">
      <c r="A29" s="8103" t="s">
        <v>1248</v>
      </c>
      <c r="B29" s="8103"/>
      <c r="C29" s="8103"/>
      <c r="D29" s="8103"/>
      <c r="E29" s="8103"/>
      <c r="F29" s="8103"/>
      <c r="G29" s="8103"/>
      <c r="H29" s="8103"/>
      <c r="I29" s="8103"/>
      <c r="J29" s="8103"/>
      <c r="K29" s="8103"/>
      <c r="L29" s="8103"/>
    </row>
    <row r="30" spans="1:91" s="170" customFormat="1" ht="15" customHeight="1" x14ac:dyDescent="0.15">
      <c r="A30" s="7756" t="s">
        <v>1249</v>
      </c>
      <c r="B30" s="7756" t="s">
        <v>24</v>
      </c>
      <c r="C30" s="8551" t="s">
        <v>1232</v>
      </c>
      <c r="D30" s="8553" t="s">
        <v>1233</v>
      </c>
      <c r="E30" s="8555" t="s">
        <v>1234</v>
      </c>
      <c r="F30" s="8531" t="s">
        <v>1250</v>
      </c>
      <c r="G30" s="8532"/>
      <c r="H30" s="8532"/>
      <c r="I30" s="8532"/>
      <c r="J30" s="8532"/>
      <c r="K30" s="8532"/>
      <c r="L30" s="8532"/>
      <c r="M30" s="8532"/>
      <c r="N30" s="8532"/>
      <c r="O30" s="8532"/>
      <c r="P30" s="8532"/>
      <c r="Q30" s="8532"/>
      <c r="R30" s="8532"/>
      <c r="S30" s="8532"/>
      <c r="T30" s="8532"/>
      <c r="U30" s="8532"/>
      <c r="V30" s="8532"/>
      <c r="W30" s="8532"/>
      <c r="X30" s="8532"/>
      <c r="Y30" s="8532"/>
      <c r="Z30" s="8532"/>
      <c r="AA30" s="8532"/>
      <c r="AB30" s="8532"/>
      <c r="AC30" s="8532"/>
      <c r="AD30" s="8532"/>
      <c r="AE30" s="8532"/>
      <c r="AF30" s="8541"/>
    </row>
    <row r="31" spans="1:91" ht="42" x14ac:dyDescent="0.25">
      <c r="A31" s="8550"/>
      <c r="B31" s="8550"/>
      <c r="C31" s="8552"/>
      <c r="D31" s="8554"/>
      <c r="E31" s="8556"/>
      <c r="F31" s="2580" t="s">
        <v>1236</v>
      </c>
      <c r="G31" s="2581" t="s">
        <v>1251</v>
      </c>
      <c r="H31" s="2581" t="s">
        <v>1252</v>
      </c>
      <c r="I31" s="2581" t="s">
        <v>1253</v>
      </c>
      <c r="J31" s="2582" t="s">
        <v>1238</v>
      </c>
      <c r="K31" s="2581" t="s">
        <v>1254</v>
      </c>
      <c r="L31" s="2548" t="s">
        <v>1255</v>
      </c>
      <c r="M31" s="2581" t="s">
        <v>1256</v>
      </c>
      <c r="N31" s="2581" t="s">
        <v>1240</v>
      </c>
      <c r="O31" s="2581" t="s">
        <v>1241</v>
      </c>
      <c r="P31" s="2583" t="s">
        <v>1257</v>
      </c>
      <c r="Q31" s="2584" t="s">
        <v>1242</v>
      </c>
      <c r="R31" s="2581" t="s">
        <v>1243</v>
      </c>
      <c r="S31" s="2548" t="s">
        <v>1258</v>
      </c>
      <c r="T31" s="2583" t="s">
        <v>1245</v>
      </c>
      <c r="U31" s="1515" t="s">
        <v>1259</v>
      </c>
      <c r="V31" s="2583" t="s">
        <v>1260</v>
      </c>
      <c r="W31" s="2583" t="s">
        <v>1246</v>
      </c>
      <c r="X31" s="2548" t="s">
        <v>1247</v>
      </c>
      <c r="Y31" s="2583" t="s">
        <v>1261</v>
      </c>
      <c r="Z31" s="1515" t="s">
        <v>1262</v>
      </c>
      <c r="AA31" s="2583" t="s">
        <v>1263</v>
      </c>
      <c r="AB31" s="2581" t="s">
        <v>1264</v>
      </c>
      <c r="AC31" s="2583" t="s">
        <v>1265</v>
      </c>
      <c r="AD31" s="2583" t="s">
        <v>1266</v>
      </c>
      <c r="AE31" s="2583" t="s">
        <v>1267</v>
      </c>
      <c r="AF31" s="1514" t="s">
        <v>1268</v>
      </c>
      <c r="CB31"/>
      <c r="CC31"/>
      <c r="CD31"/>
      <c r="CE31"/>
      <c r="CF31"/>
      <c r="CG31"/>
      <c r="CI31"/>
      <c r="CJ31"/>
      <c r="CK31"/>
    </row>
    <row r="32" spans="1:91" s="170" customFormat="1" ht="15" customHeight="1" x14ac:dyDescent="0.15">
      <c r="A32" s="1527" t="s">
        <v>60</v>
      </c>
      <c r="B32" s="1431">
        <f>SUM(C32:AF32)</f>
        <v>0</v>
      </c>
      <c r="C32" s="125"/>
      <c r="D32" s="125"/>
      <c r="E32" s="1429"/>
      <c r="F32" s="589"/>
      <c r="G32" s="1086"/>
      <c r="H32" s="1086"/>
      <c r="I32" s="1086"/>
      <c r="J32" s="844"/>
      <c r="K32" s="320"/>
      <c r="L32" s="320"/>
      <c r="M32" s="320"/>
      <c r="N32" s="320"/>
      <c r="O32" s="320"/>
      <c r="P32" s="320"/>
      <c r="Q32" s="320"/>
      <c r="R32" s="320"/>
      <c r="S32" s="320"/>
      <c r="T32" s="1097"/>
      <c r="U32" s="320"/>
      <c r="V32" s="320"/>
      <c r="W32" s="320"/>
      <c r="X32" s="320"/>
      <c r="Y32" s="320"/>
      <c r="Z32" s="320"/>
      <c r="AA32" s="320"/>
      <c r="AB32" s="320"/>
      <c r="AC32" s="320"/>
      <c r="AD32" s="320"/>
      <c r="AE32" s="320"/>
      <c r="AF32" s="1437"/>
      <c r="CB32" s="2553"/>
      <c r="CC32" s="2553"/>
      <c r="CD32" s="2553"/>
      <c r="CE32" s="2553"/>
      <c r="CF32" s="2553"/>
      <c r="CG32" s="2553"/>
      <c r="CI32" s="2554"/>
      <c r="CJ32" s="2554"/>
      <c r="CK32" s="2554"/>
    </row>
    <row r="33" spans="1:89" s="170" customFormat="1" ht="15" customHeight="1" x14ac:dyDescent="0.15">
      <c r="A33" s="1532" t="s">
        <v>301</v>
      </c>
      <c r="B33" s="1075">
        <f>SUM(C33:AF33)</f>
        <v>0</v>
      </c>
      <c r="C33" s="129"/>
      <c r="D33" s="129"/>
      <c r="E33" s="92"/>
      <c r="F33" s="90"/>
      <c r="G33" s="127"/>
      <c r="H33" s="127"/>
      <c r="I33" s="127"/>
      <c r="J33" s="128"/>
      <c r="K33" s="1090"/>
      <c r="L33" s="1090"/>
      <c r="M33" s="1090"/>
      <c r="N33" s="1090"/>
      <c r="O33" s="1090"/>
      <c r="P33" s="1090"/>
      <c r="Q33" s="1090"/>
      <c r="R33" s="1090"/>
      <c r="S33" s="1090"/>
      <c r="T33" s="1076"/>
      <c r="U33" s="1090"/>
      <c r="V33" s="1090"/>
      <c r="W33" s="1090"/>
      <c r="X33" s="1090"/>
      <c r="Y33" s="1090"/>
      <c r="Z33" s="1090"/>
      <c r="AA33" s="1090"/>
      <c r="AB33" s="1090"/>
      <c r="AC33" s="1090"/>
      <c r="AD33" s="1090"/>
      <c r="AE33" s="1090"/>
      <c r="AF33" s="83"/>
      <c r="CB33" s="2553"/>
      <c r="CC33" s="2553"/>
      <c r="CD33" s="2553"/>
      <c r="CE33" s="2553"/>
      <c r="CF33" s="2553"/>
      <c r="CG33" s="2553"/>
      <c r="CI33" s="2554"/>
      <c r="CJ33" s="2554"/>
      <c r="CK33" s="2554"/>
    </row>
    <row r="34" spans="1:89" s="170" customFormat="1" ht="15" customHeight="1" x14ac:dyDescent="0.15">
      <c r="A34" s="1532" t="s">
        <v>1269</v>
      </c>
      <c r="B34" s="1075">
        <f t="shared" ref="B34:B45" si="12">SUM(C34:AF34)</f>
        <v>0</v>
      </c>
      <c r="C34" s="129"/>
      <c r="D34" s="129"/>
      <c r="E34" s="92"/>
      <c r="F34" s="90"/>
      <c r="G34" s="127"/>
      <c r="H34" s="127"/>
      <c r="I34" s="127"/>
      <c r="J34" s="128"/>
      <c r="K34" s="1090"/>
      <c r="L34" s="1090"/>
      <c r="M34" s="1090"/>
      <c r="N34" s="1090"/>
      <c r="O34" s="1090"/>
      <c r="P34" s="1090"/>
      <c r="Q34" s="1090"/>
      <c r="R34" s="1090"/>
      <c r="S34" s="1090"/>
      <c r="T34" s="1076"/>
      <c r="U34" s="1090"/>
      <c r="V34" s="1090"/>
      <c r="W34" s="1090"/>
      <c r="X34" s="1090"/>
      <c r="Y34" s="1090"/>
      <c r="Z34" s="1090"/>
      <c r="AA34" s="1090"/>
      <c r="AB34" s="1090"/>
      <c r="AC34" s="1090"/>
      <c r="AD34" s="1090"/>
      <c r="AE34" s="1090"/>
      <c r="AF34" s="83"/>
      <c r="CB34" s="2553"/>
      <c r="CC34" s="2553"/>
      <c r="CD34" s="2553"/>
      <c r="CE34" s="2553"/>
      <c r="CF34" s="2553"/>
      <c r="CG34" s="2553"/>
      <c r="CI34" s="2554"/>
      <c r="CJ34" s="2554"/>
      <c r="CK34" s="2554"/>
    </row>
    <row r="35" spans="1:89" s="170" customFormat="1" ht="15" customHeight="1" x14ac:dyDescent="0.15">
      <c r="A35" s="1532" t="s">
        <v>1270</v>
      </c>
      <c r="B35" s="1075">
        <f t="shared" si="12"/>
        <v>0</v>
      </c>
      <c r="C35" s="129"/>
      <c r="D35" s="129"/>
      <c r="E35" s="92"/>
      <c r="F35" s="90"/>
      <c r="G35" s="127"/>
      <c r="H35" s="127"/>
      <c r="I35" s="127"/>
      <c r="J35" s="128"/>
      <c r="K35" s="1090"/>
      <c r="L35" s="1090"/>
      <c r="M35" s="1090"/>
      <c r="N35" s="1090"/>
      <c r="O35" s="1090"/>
      <c r="P35" s="1090"/>
      <c r="Q35" s="1090"/>
      <c r="R35" s="1090"/>
      <c r="S35" s="1090"/>
      <c r="T35" s="1076"/>
      <c r="U35" s="1090"/>
      <c r="V35" s="1090"/>
      <c r="W35" s="1090"/>
      <c r="X35" s="1090"/>
      <c r="Y35" s="1090"/>
      <c r="Z35" s="1090"/>
      <c r="AA35" s="1090"/>
      <c r="AB35" s="1090"/>
      <c r="AC35" s="1090"/>
      <c r="AD35" s="1090"/>
      <c r="AE35" s="1090"/>
      <c r="AF35" s="83"/>
      <c r="CB35" s="2553"/>
      <c r="CC35" s="2553"/>
      <c r="CD35" s="2553"/>
      <c r="CE35" s="2553"/>
      <c r="CF35" s="2553"/>
      <c r="CG35" s="2553"/>
      <c r="CI35" s="2554"/>
      <c r="CJ35" s="2554"/>
      <c r="CK35" s="2554"/>
    </row>
    <row r="36" spans="1:89" s="170" customFormat="1" ht="15" customHeight="1" x14ac:dyDescent="0.15">
      <c r="A36" s="1532" t="s">
        <v>457</v>
      </c>
      <c r="B36" s="1075">
        <f t="shared" si="12"/>
        <v>0</v>
      </c>
      <c r="C36" s="129"/>
      <c r="D36" s="129"/>
      <c r="E36" s="92"/>
      <c r="F36" s="90"/>
      <c r="G36" s="127"/>
      <c r="H36" s="127"/>
      <c r="I36" s="127"/>
      <c r="J36" s="128"/>
      <c r="K36" s="1090"/>
      <c r="L36" s="1090"/>
      <c r="M36" s="1090"/>
      <c r="N36" s="1090"/>
      <c r="O36" s="1090"/>
      <c r="P36" s="1090"/>
      <c r="Q36" s="1090"/>
      <c r="R36" s="1090"/>
      <c r="S36" s="1090"/>
      <c r="T36" s="1076"/>
      <c r="U36" s="1090"/>
      <c r="V36" s="1090"/>
      <c r="W36" s="1090"/>
      <c r="X36" s="1090"/>
      <c r="Y36" s="1090"/>
      <c r="Z36" s="1090"/>
      <c r="AA36" s="1090"/>
      <c r="AB36" s="1090"/>
      <c r="AC36" s="1090"/>
      <c r="AD36" s="1090"/>
      <c r="AE36" s="1090"/>
      <c r="AF36" s="83"/>
      <c r="CB36" s="2553"/>
      <c r="CC36" s="2553"/>
      <c r="CD36" s="2553"/>
      <c r="CE36" s="2553"/>
      <c r="CF36" s="2553"/>
      <c r="CG36" s="2553"/>
      <c r="CI36" s="2554"/>
      <c r="CJ36" s="2554"/>
      <c r="CK36" s="2554"/>
    </row>
    <row r="37" spans="1:89" s="170" customFormat="1" ht="15" customHeight="1" x14ac:dyDescent="0.15">
      <c r="A37" s="1532" t="s">
        <v>1271</v>
      </c>
      <c r="B37" s="1075">
        <f t="shared" si="12"/>
        <v>0</v>
      </c>
      <c r="C37" s="129"/>
      <c r="D37" s="129"/>
      <c r="E37" s="92"/>
      <c r="F37" s="90"/>
      <c r="G37" s="127"/>
      <c r="H37" s="127"/>
      <c r="I37" s="127"/>
      <c r="J37" s="128"/>
      <c r="K37" s="1090"/>
      <c r="L37" s="1090"/>
      <c r="M37" s="1090"/>
      <c r="N37" s="1090"/>
      <c r="O37" s="1090"/>
      <c r="P37" s="1090"/>
      <c r="Q37" s="1090"/>
      <c r="R37" s="1090"/>
      <c r="S37" s="1090"/>
      <c r="T37" s="1076"/>
      <c r="U37" s="1090"/>
      <c r="V37" s="1090"/>
      <c r="W37" s="1090"/>
      <c r="X37" s="1090"/>
      <c r="Y37" s="1090"/>
      <c r="Z37" s="1090"/>
      <c r="AA37" s="1090"/>
      <c r="AB37" s="1090"/>
      <c r="AC37" s="1090"/>
      <c r="AD37" s="1090"/>
      <c r="AE37" s="1090"/>
      <c r="AF37" s="83"/>
      <c r="CB37" s="2553"/>
      <c r="CC37" s="2553"/>
      <c r="CD37" s="2553"/>
      <c r="CE37" s="2553"/>
      <c r="CF37" s="2553"/>
      <c r="CG37" s="2553"/>
      <c r="CI37" s="2554"/>
      <c r="CJ37" s="2554"/>
      <c r="CK37" s="2554"/>
    </row>
    <row r="38" spans="1:89" s="170" customFormat="1" ht="15" customHeight="1" x14ac:dyDescent="0.15">
      <c r="A38" s="1532" t="s">
        <v>456</v>
      </c>
      <c r="B38" s="1075">
        <f t="shared" si="12"/>
        <v>0</v>
      </c>
      <c r="C38" s="129"/>
      <c r="D38" s="129"/>
      <c r="E38" s="92"/>
      <c r="F38" s="90"/>
      <c r="G38" s="127"/>
      <c r="H38" s="127"/>
      <c r="I38" s="127"/>
      <c r="J38" s="128"/>
      <c r="K38" s="1090"/>
      <c r="L38" s="1090"/>
      <c r="M38" s="1090"/>
      <c r="N38" s="1090"/>
      <c r="O38" s="1090"/>
      <c r="P38" s="1090"/>
      <c r="Q38" s="1090"/>
      <c r="R38" s="1090"/>
      <c r="S38" s="1090"/>
      <c r="T38" s="1076"/>
      <c r="U38" s="1090"/>
      <c r="V38" s="1090"/>
      <c r="W38" s="1090"/>
      <c r="X38" s="1090"/>
      <c r="Y38" s="1090"/>
      <c r="Z38" s="1090"/>
      <c r="AA38" s="1090"/>
      <c r="AB38" s="1090"/>
      <c r="AC38" s="1090"/>
      <c r="AD38" s="1090"/>
      <c r="AE38" s="1090"/>
      <c r="AF38" s="83"/>
      <c r="CB38" s="2553"/>
      <c r="CC38" s="2553"/>
      <c r="CD38" s="2553"/>
      <c r="CE38" s="2553"/>
      <c r="CF38" s="2553"/>
      <c r="CG38" s="2553"/>
      <c r="CI38" s="2554"/>
      <c r="CJ38" s="2554"/>
      <c r="CK38" s="2554"/>
    </row>
    <row r="39" spans="1:89" s="170" customFormat="1" ht="15" customHeight="1" x14ac:dyDescent="0.15">
      <c r="A39" s="1532" t="s">
        <v>1272</v>
      </c>
      <c r="B39" s="1075">
        <f t="shared" si="12"/>
        <v>0</v>
      </c>
      <c r="C39" s="129"/>
      <c r="D39" s="129"/>
      <c r="E39" s="92"/>
      <c r="F39" s="90"/>
      <c r="G39" s="127"/>
      <c r="H39" s="127"/>
      <c r="I39" s="127"/>
      <c r="J39" s="128"/>
      <c r="K39" s="1090"/>
      <c r="L39" s="1090"/>
      <c r="M39" s="1090"/>
      <c r="N39" s="1090"/>
      <c r="O39" s="1090"/>
      <c r="P39" s="1090"/>
      <c r="Q39" s="1090"/>
      <c r="R39" s="1090"/>
      <c r="S39" s="1090"/>
      <c r="T39" s="1076"/>
      <c r="U39" s="1090"/>
      <c r="V39" s="1090"/>
      <c r="W39" s="1090"/>
      <c r="X39" s="1090"/>
      <c r="Y39" s="1090"/>
      <c r="Z39" s="1090"/>
      <c r="AA39" s="1090"/>
      <c r="AB39" s="1090"/>
      <c r="AC39" s="1090"/>
      <c r="AD39" s="1090"/>
      <c r="AE39" s="1090"/>
      <c r="AF39" s="83"/>
      <c r="CB39" s="2553"/>
      <c r="CC39" s="2553"/>
      <c r="CD39" s="2553"/>
      <c r="CE39" s="2553"/>
      <c r="CF39" s="2553"/>
      <c r="CG39" s="2553"/>
      <c r="CI39" s="2554"/>
      <c r="CJ39" s="2554"/>
      <c r="CK39" s="2554"/>
    </row>
    <row r="40" spans="1:89" s="170" customFormat="1" ht="15" customHeight="1" x14ac:dyDescent="0.15">
      <c r="A40" s="1532" t="s">
        <v>1273</v>
      </c>
      <c r="B40" s="1075">
        <f t="shared" si="12"/>
        <v>0</v>
      </c>
      <c r="C40" s="129"/>
      <c r="D40" s="129"/>
      <c r="E40" s="92"/>
      <c r="F40" s="90"/>
      <c r="G40" s="127"/>
      <c r="H40" s="127"/>
      <c r="I40" s="127"/>
      <c r="J40" s="128"/>
      <c r="K40" s="1090"/>
      <c r="L40" s="1090"/>
      <c r="M40" s="1090"/>
      <c r="N40" s="1090"/>
      <c r="O40" s="1090"/>
      <c r="P40" s="1090"/>
      <c r="Q40" s="1090"/>
      <c r="R40" s="1090"/>
      <c r="S40" s="1090"/>
      <c r="T40" s="1076"/>
      <c r="U40" s="1090"/>
      <c r="V40" s="1090"/>
      <c r="W40" s="1090"/>
      <c r="X40" s="1090"/>
      <c r="Y40" s="1090"/>
      <c r="Z40" s="1090"/>
      <c r="AA40" s="1090"/>
      <c r="AB40" s="1090"/>
      <c r="AC40" s="1090"/>
      <c r="AD40" s="1090"/>
      <c r="AE40" s="1090"/>
      <c r="AF40" s="83"/>
      <c r="CB40" s="2553"/>
      <c r="CC40" s="2553"/>
      <c r="CD40" s="2553"/>
      <c r="CE40" s="2553"/>
      <c r="CF40" s="2553"/>
      <c r="CG40" s="2553"/>
      <c r="CI40" s="2554"/>
      <c r="CJ40" s="2554"/>
      <c r="CK40" s="2554"/>
    </row>
    <row r="41" spans="1:89" s="170" customFormat="1" ht="15" customHeight="1" x14ac:dyDescent="0.15">
      <c r="A41" s="1532" t="s">
        <v>247</v>
      </c>
      <c r="B41" s="1075">
        <f t="shared" si="12"/>
        <v>0</v>
      </c>
      <c r="C41" s="129"/>
      <c r="D41" s="129"/>
      <c r="E41" s="92"/>
      <c r="F41" s="90"/>
      <c r="G41" s="127"/>
      <c r="H41" s="127"/>
      <c r="I41" s="127"/>
      <c r="J41" s="128"/>
      <c r="K41" s="1090"/>
      <c r="L41" s="1090"/>
      <c r="M41" s="1090"/>
      <c r="N41" s="1090"/>
      <c r="O41" s="1090"/>
      <c r="P41" s="1090"/>
      <c r="Q41" s="1090"/>
      <c r="R41" s="1090"/>
      <c r="S41" s="1090"/>
      <c r="T41" s="1076"/>
      <c r="U41" s="1090"/>
      <c r="V41" s="1090"/>
      <c r="W41" s="1090"/>
      <c r="X41" s="1090"/>
      <c r="Y41" s="1090"/>
      <c r="Z41" s="1090"/>
      <c r="AA41" s="1090"/>
      <c r="AB41" s="1090"/>
      <c r="AC41" s="1090"/>
      <c r="AD41" s="1090"/>
      <c r="AE41" s="1090"/>
      <c r="AF41" s="83"/>
      <c r="CB41" s="2553"/>
      <c r="CC41" s="2553"/>
      <c r="CD41" s="2553"/>
      <c r="CE41" s="2553"/>
      <c r="CF41" s="2553"/>
      <c r="CG41" s="2553"/>
      <c r="CI41" s="2554"/>
      <c r="CJ41" s="2554"/>
      <c r="CK41" s="2554"/>
    </row>
    <row r="42" spans="1:89" s="170" customFormat="1" ht="15" customHeight="1" x14ac:dyDescent="0.15">
      <c r="A42" s="1532" t="s">
        <v>1274</v>
      </c>
      <c r="B42" s="1075">
        <f t="shared" si="12"/>
        <v>0</v>
      </c>
      <c r="C42" s="129"/>
      <c r="D42" s="129"/>
      <c r="E42" s="92"/>
      <c r="F42" s="90"/>
      <c r="G42" s="127"/>
      <c r="H42" s="127"/>
      <c r="I42" s="127"/>
      <c r="J42" s="128"/>
      <c r="K42" s="1090"/>
      <c r="L42" s="1090"/>
      <c r="M42" s="1090"/>
      <c r="N42" s="1090"/>
      <c r="O42" s="1090"/>
      <c r="P42" s="1090"/>
      <c r="Q42" s="1090"/>
      <c r="R42" s="1090"/>
      <c r="S42" s="1090"/>
      <c r="T42" s="1076"/>
      <c r="U42" s="1090"/>
      <c r="V42" s="1090"/>
      <c r="W42" s="1090"/>
      <c r="X42" s="1090"/>
      <c r="Y42" s="1090"/>
      <c r="Z42" s="1090"/>
      <c r="AA42" s="1090"/>
      <c r="AB42" s="1090"/>
      <c r="AC42" s="1090"/>
      <c r="AD42" s="1090"/>
      <c r="AE42" s="1090"/>
      <c r="AF42" s="83"/>
      <c r="CB42" s="2553"/>
      <c r="CC42" s="2553"/>
      <c r="CD42" s="2553"/>
      <c r="CE42" s="2553"/>
      <c r="CF42" s="2553"/>
      <c r="CG42" s="2553"/>
      <c r="CI42" s="2554"/>
      <c r="CJ42" s="2554"/>
      <c r="CK42" s="2554"/>
    </row>
    <row r="43" spans="1:89" s="170" customFormat="1" ht="15" customHeight="1" x14ac:dyDescent="0.15">
      <c r="A43" s="1532" t="s">
        <v>62</v>
      </c>
      <c r="B43" s="1075">
        <f t="shared" si="12"/>
        <v>0</v>
      </c>
      <c r="C43" s="129"/>
      <c r="D43" s="129"/>
      <c r="E43" s="92"/>
      <c r="F43" s="90"/>
      <c r="G43" s="127"/>
      <c r="H43" s="127"/>
      <c r="I43" s="127"/>
      <c r="J43" s="128"/>
      <c r="K43" s="1090"/>
      <c r="L43" s="1090"/>
      <c r="M43" s="1090"/>
      <c r="N43" s="1090"/>
      <c r="O43" s="1090"/>
      <c r="P43" s="1090"/>
      <c r="Q43" s="1090"/>
      <c r="R43" s="1090"/>
      <c r="S43" s="1090"/>
      <c r="T43" s="1076"/>
      <c r="U43" s="1090"/>
      <c r="V43" s="1090"/>
      <c r="W43" s="1090"/>
      <c r="X43" s="1090"/>
      <c r="Y43" s="1090"/>
      <c r="Z43" s="1090"/>
      <c r="AA43" s="1090"/>
      <c r="AB43" s="1090"/>
      <c r="AC43" s="1090"/>
      <c r="AD43" s="1090"/>
      <c r="AE43" s="1090"/>
      <c r="AF43" s="83"/>
      <c r="CB43" s="2553"/>
      <c r="CC43" s="2553"/>
      <c r="CD43" s="2553"/>
      <c r="CE43" s="2553"/>
      <c r="CF43" s="2553"/>
      <c r="CG43" s="2553"/>
      <c r="CI43" s="2554"/>
      <c r="CJ43" s="2554"/>
      <c r="CK43" s="2554"/>
    </row>
    <row r="44" spans="1:89" s="170" customFormat="1" ht="15" customHeight="1" x14ac:dyDescent="0.15">
      <c r="A44" s="1541" t="s">
        <v>79</v>
      </c>
      <c r="B44" s="142">
        <f t="shared" si="12"/>
        <v>0</v>
      </c>
      <c r="C44" s="129"/>
      <c r="D44" s="129"/>
      <c r="E44" s="92"/>
      <c r="F44" s="90"/>
      <c r="G44" s="127"/>
      <c r="H44" s="127"/>
      <c r="I44" s="127"/>
      <c r="J44" s="128"/>
      <c r="K44" s="1090"/>
      <c r="L44" s="1090"/>
      <c r="M44" s="1090"/>
      <c r="N44" s="1090"/>
      <c r="O44" s="1090"/>
      <c r="P44" s="1090"/>
      <c r="Q44" s="1090"/>
      <c r="R44" s="1090"/>
      <c r="S44" s="1090"/>
      <c r="T44" s="1076"/>
      <c r="U44" s="1090"/>
      <c r="V44" s="1090"/>
      <c r="W44" s="1090"/>
      <c r="X44" s="1090"/>
      <c r="Y44" s="1090"/>
      <c r="Z44" s="1090"/>
      <c r="AA44" s="1090"/>
      <c r="AB44" s="1090"/>
      <c r="AC44" s="1090"/>
      <c r="AD44" s="1090"/>
      <c r="AE44" s="1090"/>
      <c r="AF44" s="83"/>
      <c r="CB44" s="2553"/>
      <c r="CC44" s="2553"/>
      <c r="CD44" s="2553"/>
      <c r="CE44" s="2553"/>
      <c r="CF44" s="2553"/>
      <c r="CG44" s="2553"/>
      <c r="CI44" s="2554"/>
      <c r="CJ44" s="2554"/>
      <c r="CK44" s="2554"/>
    </row>
    <row r="45" spans="1:89" s="170" customFormat="1" ht="15" customHeight="1" x14ac:dyDescent="0.15">
      <c r="A45" s="1542" t="s">
        <v>1275</v>
      </c>
      <c r="B45" s="777">
        <f t="shared" si="12"/>
        <v>0</v>
      </c>
      <c r="C45" s="121"/>
      <c r="D45" s="121"/>
      <c r="E45" s="116"/>
      <c r="F45" s="114"/>
      <c r="G45" s="115"/>
      <c r="H45" s="115"/>
      <c r="I45" s="115"/>
      <c r="J45" s="137"/>
      <c r="K45" s="115"/>
      <c r="L45" s="115"/>
      <c r="M45" s="115"/>
      <c r="N45" s="115"/>
      <c r="O45" s="115"/>
      <c r="P45" s="115"/>
      <c r="Q45" s="115"/>
      <c r="R45" s="115"/>
      <c r="S45" s="115"/>
      <c r="T45" s="121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7"/>
      <c r="CB45" s="2553"/>
      <c r="CC45" s="2553"/>
      <c r="CD45" s="2553"/>
      <c r="CE45" s="2553"/>
      <c r="CF45" s="2553"/>
      <c r="CG45" s="2553"/>
      <c r="CI45" s="2554"/>
      <c r="CJ45" s="2554"/>
      <c r="CK45" s="2554"/>
    </row>
    <row r="46" spans="1:89" s="170" customFormat="1" ht="15" customHeight="1" x14ac:dyDescent="0.15">
      <c r="A46" s="1455" t="s">
        <v>24</v>
      </c>
      <c r="B46" s="2587">
        <f>SUM(B32:B45)</f>
        <v>0</v>
      </c>
      <c r="C46" s="1451">
        <f>SUM(C32:C45)</f>
        <v>0</v>
      </c>
      <c r="D46" s="1451">
        <f t="shared" ref="D46:AE46" si="13">SUM(D32:D45)</f>
        <v>0</v>
      </c>
      <c r="E46" s="1543">
        <f t="shared" si="13"/>
        <v>0</v>
      </c>
      <c r="F46" s="1449">
        <f t="shared" si="13"/>
        <v>0</v>
      </c>
      <c r="G46" s="1451">
        <f t="shared" si="13"/>
        <v>0</v>
      </c>
      <c r="H46" s="1451">
        <f t="shared" si="13"/>
        <v>0</v>
      </c>
      <c r="I46" s="1451">
        <f>SUM(I32:I45)</f>
        <v>0</v>
      </c>
      <c r="J46" s="1450">
        <f t="shared" si="13"/>
        <v>0</v>
      </c>
      <c r="K46" s="1450">
        <f t="shared" si="13"/>
        <v>0</v>
      </c>
      <c r="L46" s="1450">
        <f t="shared" si="13"/>
        <v>0</v>
      </c>
      <c r="M46" s="1450">
        <f t="shared" si="13"/>
        <v>0</v>
      </c>
      <c r="N46" s="1450">
        <f t="shared" si="13"/>
        <v>0</v>
      </c>
      <c r="O46" s="1450">
        <f t="shared" si="13"/>
        <v>0</v>
      </c>
      <c r="P46" s="1450">
        <f t="shared" si="13"/>
        <v>0</v>
      </c>
      <c r="Q46" s="1450">
        <f t="shared" si="13"/>
        <v>0</v>
      </c>
      <c r="R46" s="1450">
        <f t="shared" si="13"/>
        <v>0</v>
      </c>
      <c r="S46" s="1450">
        <f t="shared" si="13"/>
        <v>0</v>
      </c>
      <c r="T46" s="1450">
        <f t="shared" si="13"/>
        <v>0</v>
      </c>
      <c r="U46" s="1450">
        <f t="shared" si="13"/>
        <v>0</v>
      </c>
      <c r="V46" s="1450">
        <f t="shared" si="13"/>
        <v>0</v>
      </c>
      <c r="W46" s="1450">
        <f t="shared" si="13"/>
        <v>0</v>
      </c>
      <c r="X46" s="1450">
        <f t="shared" si="13"/>
        <v>0</v>
      </c>
      <c r="Y46" s="1450">
        <f t="shared" si="13"/>
        <v>0</v>
      </c>
      <c r="Z46" s="1450">
        <f t="shared" si="13"/>
        <v>0</v>
      </c>
      <c r="AA46" s="1450">
        <f t="shared" si="13"/>
        <v>0</v>
      </c>
      <c r="AB46" s="1450">
        <f t="shared" si="13"/>
        <v>0</v>
      </c>
      <c r="AC46" s="1450">
        <f t="shared" si="13"/>
        <v>0</v>
      </c>
      <c r="AD46" s="1450">
        <f t="shared" si="13"/>
        <v>0</v>
      </c>
      <c r="AE46" s="1450">
        <f t="shared" si="13"/>
        <v>0</v>
      </c>
      <c r="AF46" s="1452">
        <f>SUM(AF32:AF45)</f>
        <v>0</v>
      </c>
    </row>
    <row r="47" spans="1:89" s="1134" customFormat="1" ht="18" customHeight="1" x14ac:dyDescent="0.15">
      <c r="A47" s="8103" t="s">
        <v>1276</v>
      </c>
      <c r="B47" s="8103"/>
      <c r="C47" s="8103"/>
      <c r="D47" s="8103"/>
      <c r="E47" s="8103"/>
      <c r="F47" s="8103"/>
      <c r="G47" s="8103"/>
      <c r="H47" s="8103"/>
      <c r="I47" s="8103"/>
      <c r="J47" s="8103"/>
      <c r="K47" s="8103"/>
      <c r="L47" s="8103"/>
      <c r="M47" s="8103"/>
    </row>
    <row r="48" spans="1:89" s="170" customFormat="1" ht="15" customHeight="1" x14ac:dyDescent="0.15">
      <c r="A48" s="8528" t="s">
        <v>1277</v>
      </c>
      <c r="B48" s="7756" t="s">
        <v>24</v>
      </c>
      <c r="C48" s="8551" t="s">
        <v>1232</v>
      </c>
      <c r="D48" s="8553" t="s">
        <v>1233</v>
      </c>
      <c r="E48" s="8555" t="s">
        <v>1234</v>
      </c>
      <c r="F48" s="8531" t="s">
        <v>1250</v>
      </c>
      <c r="G48" s="8532"/>
      <c r="H48" s="8532"/>
      <c r="I48" s="8532"/>
      <c r="J48" s="8532"/>
      <c r="K48" s="8532"/>
      <c r="L48" s="8532"/>
      <c r="M48" s="8532"/>
      <c r="N48" s="8532"/>
      <c r="O48" s="8532"/>
      <c r="P48" s="8532"/>
      <c r="Q48" s="8532"/>
      <c r="R48" s="8532"/>
      <c r="S48" s="8532"/>
      <c r="T48" s="8532"/>
      <c r="U48" s="8532"/>
      <c r="V48" s="8532"/>
      <c r="W48" s="8532"/>
      <c r="X48" s="8532"/>
      <c r="Y48" s="8532"/>
      <c r="Z48" s="8532"/>
      <c r="AA48" s="8532"/>
      <c r="AB48" s="8532"/>
      <c r="AC48" s="8532"/>
      <c r="AD48" s="8532"/>
      <c r="AE48" s="8532"/>
      <c r="AF48" s="8541"/>
    </row>
    <row r="49" spans="1:89" s="170" customFormat="1" ht="42" customHeight="1" x14ac:dyDescent="0.15">
      <c r="A49" s="8530"/>
      <c r="B49" s="8550"/>
      <c r="C49" s="8552"/>
      <c r="D49" s="8554"/>
      <c r="E49" s="8556"/>
      <c r="F49" s="2580" t="s">
        <v>1236</v>
      </c>
      <c r="G49" s="2581" t="s">
        <v>1251</v>
      </c>
      <c r="H49" s="2581" t="s">
        <v>1252</v>
      </c>
      <c r="I49" s="2581" t="s">
        <v>1253</v>
      </c>
      <c r="J49" s="2582" t="s">
        <v>1238</v>
      </c>
      <c r="K49" s="2581" t="s">
        <v>1254</v>
      </c>
      <c r="L49" s="2548" t="s">
        <v>1255</v>
      </c>
      <c r="M49" s="2581" t="s">
        <v>1278</v>
      </c>
      <c r="N49" s="2581" t="s">
        <v>1240</v>
      </c>
      <c r="O49" s="2581" t="s">
        <v>1241</v>
      </c>
      <c r="P49" s="2583" t="s">
        <v>1257</v>
      </c>
      <c r="Q49" s="2584" t="s">
        <v>1242</v>
      </c>
      <c r="R49" s="2581" t="s">
        <v>1243</v>
      </c>
      <c r="S49" s="2548" t="s">
        <v>1258</v>
      </c>
      <c r="T49" s="2583" t="s">
        <v>1245</v>
      </c>
      <c r="U49" s="1515" t="s">
        <v>1259</v>
      </c>
      <c r="V49" s="2583" t="s">
        <v>1260</v>
      </c>
      <c r="W49" s="2583" t="s">
        <v>1246</v>
      </c>
      <c r="X49" s="2548" t="s">
        <v>1247</v>
      </c>
      <c r="Y49" s="2583" t="s">
        <v>1261</v>
      </c>
      <c r="Z49" s="1515" t="s">
        <v>1262</v>
      </c>
      <c r="AA49" s="2583" t="s">
        <v>1263</v>
      </c>
      <c r="AB49" s="2581" t="s">
        <v>1264</v>
      </c>
      <c r="AC49" s="2583" t="s">
        <v>1265</v>
      </c>
      <c r="AD49" s="2583" t="s">
        <v>1266</v>
      </c>
      <c r="AE49" s="2583" t="s">
        <v>1267</v>
      </c>
      <c r="AF49" s="2588" t="s">
        <v>1268</v>
      </c>
    </row>
    <row r="50" spans="1:89" s="170" customFormat="1" ht="15" customHeight="1" x14ac:dyDescent="0.15">
      <c r="A50" s="1544" t="s">
        <v>1279</v>
      </c>
      <c r="B50" s="1453">
        <f>SUM(C50:AF50)</f>
        <v>0</v>
      </c>
      <c r="C50" s="1089"/>
      <c r="D50" s="320"/>
      <c r="E50" s="83"/>
      <c r="F50" s="1545"/>
      <c r="G50" s="1546"/>
      <c r="H50" s="1546"/>
      <c r="I50" s="1546"/>
      <c r="J50" s="1547"/>
      <c r="K50" s="1548"/>
      <c r="L50" s="1548"/>
      <c r="M50" s="1548"/>
      <c r="N50" s="1549"/>
      <c r="O50" s="1546"/>
      <c r="P50" s="1546"/>
      <c r="Q50" s="1546"/>
      <c r="R50" s="1546"/>
      <c r="S50" s="1546"/>
      <c r="T50" s="1546"/>
      <c r="U50" s="1546"/>
      <c r="V50" s="1546"/>
      <c r="W50" s="1546"/>
      <c r="X50" s="1546"/>
      <c r="Y50" s="1546"/>
      <c r="Z50" s="1547"/>
      <c r="AA50" s="1547"/>
      <c r="AB50" s="1547"/>
      <c r="AC50" s="1547"/>
      <c r="AD50" s="1548"/>
      <c r="AE50" s="1550"/>
      <c r="AF50" s="1551"/>
      <c r="CB50" s="2553"/>
      <c r="CC50" s="2553"/>
      <c r="CD50" s="2553"/>
      <c r="CE50" s="2553"/>
      <c r="CF50" s="2553"/>
      <c r="CG50" s="2553"/>
      <c r="CI50" s="2554"/>
      <c r="CJ50" s="2554"/>
      <c r="CK50" s="2554"/>
    </row>
    <row r="51" spans="1:89" s="170" customFormat="1" ht="15" customHeight="1" x14ac:dyDescent="0.15">
      <c r="A51" s="1104" t="s">
        <v>1280</v>
      </c>
      <c r="B51" s="1105">
        <f t="shared" ref="B51:B65" si="14">SUM(C51:AF51)</f>
        <v>0</v>
      </c>
      <c r="C51" s="1089"/>
      <c r="D51" s="1090"/>
      <c r="E51" s="83"/>
      <c r="F51" s="90"/>
      <c r="G51" s="127"/>
      <c r="H51" s="127"/>
      <c r="I51" s="127"/>
      <c r="J51" s="128"/>
      <c r="K51" s="127"/>
      <c r="L51" s="127"/>
      <c r="M51" s="127"/>
      <c r="N51" s="129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8"/>
      <c r="AA51" s="128"/>
      <c r="AB51" s="128"/>
      <c r="AC51" s="128"/>
      <c r="AD51" s="127"/>
      <c r="AE51" s="129"/>
      <c r="AF51" s="92"/>
      <c r="CB51" s="2553"/>
      <c r="CC51" s="2553"/>
      <c r="CD51" s="2553"/>
      <c r="CE51" s="2553"/>
      <c r="CF51" s="2553"/>
      <c r="CG51" s="2553"/>
      <c r="CI51" s="2554"/>
      <c r="CJ51" s="2554"/>
      <c r="CK51" s="2554"/>
    </row>
    <row r="52" spans="1:89" s="170" customFormat="1" ht="15" customHeight="1" x14ac:dyDescent="0.15">
      <c r="A52" s="1104" t="s">
        <v>1281</v>
      </c>
      <c r="B52" s="1105">
        <f t="shared" si="14"/>
        <v>0</v>
      </c>
      <c r="C52" s="1089"/>
      <c r="D52" s="1090"/>
      <c r="E52" s="83"/>
      <c r="F52" s="1089"/>
      <c r="G52" s="1090"/>
      <c r="H52" s="1090"/>
      <c r="I52" s="1090"/>
      <c r="J52" s="1098"/>
      <c r="K52" s="1090"/>
      <c r="L52" s="1090"/>
      <c r="M52" s="1090"/>
      <c r="N52" s="1076"/>
      <c r="O52" s="1090"/>
      <c r="P52" s="1090"/>
      <c r="Q52" s="1090"/>
      <c r="R52" s="1090"/>
      <c r="S52" s="1090"/>
      <c r="T52" s="1090"/>
      <c r="U52" s="1090"/>
      <c r="V52" s="1090"/>
      <c r="W52" s="1090"/>
      <c r="X52" s="1090"/>
      <c r="Y52" s="1090"/>
      <c r="Z52" s="1098"/>
      <c r="AA52" s="1098"/>
      <c r="AB52" s="1098"/>
      <c r="AC52" s="1098"/>
      <c r="AD52" s="1090"/>
      <c r="AE52" s="1076"/>
      <c r="AF52" s="1077"/>
      <c r="CB52" s="2553"/>
      <c r="CC52" s="2553"/>
      <c r="CD52" s="2553"/>
      <c r="CE52" s="2553"/>
      <c r="CF52" s="2553"/>
      <c r="CG52" s="2553"/>
      <c r="CI52" s="2554"/>
      <c r="CJ52" s="2554"/>
      <c r="CK52" s="2554"/>
    </row>
    <row r="53" spans="1:89" s="170" customFormat="1" ht="15" customHeight="1" x14ac:dyDescent="0.15">
      <c r="A53" s="1104" t="s">
        <v>1282</v>
      </c>
      <c r="B53" s="1105">
        <f t="shared" si="14"/>
        <v>0</v>
      </c>
      <c r="C53" s="1089"/>
      <c r="D53" s="1090"/>
      <c r="E53" s="83"/>
      <c r="F53" s="1089"/>
      <c r="G53" s="1090"/>
      <c r="H53" s="1090"/>
      <c r="I53" s="1090"/>
      <c r="J53" s="1098"/>
      <c r="K53" s="1090"/>
      <c r="L53" s="1090"/>
      <c r="M53" s="1090"/>
      <c r="N53" s="1076"/>
      <c r="O53" s="1090"/>
      <c r="P53" s="1090"/>
      <c r="Q53" s="1090"/>
      <c r="R53" s="1090"/>
      <c r="S53" s="1090"/>
      <c r="T53" s="1090"/>
      <c r="U53" s="1090"/>
      <c r="V53" s="1090"/>
      <c r="W53" s="1090"/>
      <c r="X53" s="1090"/>
      <c r="Y53" s="1090"/>
      <c r="Z53" s="1098"/>
      <c r="AA53" s="1098"/>
      <c r="AB53" s="1098"/>
      <c r="AC53" s="1098"/>
      <c r="AD53" s="1090"/>
      <c r="AE53" s="1076"/>
      <c r="AF53" s="1077"/>
      <c r="CB53" s="2553"/>
      <c r="CC53" s="2553"/>
      <c r="CD53" s="2553"/>
      <c r="CE53" s="2553"/>
      <c r="CF53" s="2553"/>
      <c r="CG53" s="2553"/>
      <c r="CI53" s="2554"/>
      <c r="CJ53" s="2554"/>
      <c r="CK53" s="2554"/>
    </row>
    <row r="54" spans="1:89" s="170" customFormat="1" ht="15" customHeight="1" x14ac:dyDescent="0.15">
      <c r="A54" s="1532" t="s">
        <v>1283</v>
      </c>
      <c r="B54" s="1105">
        <f t="shared" si="14"/>
        <v>0</v>
      </c>
      <c r="C54" s="1089"/>
      <c r="D54" s="1090"/>
      <c r="E54" s="83"/>
      <c r="F54" s="589"/>
      <c r="G54" s="1086"/>
      <c r="H54" s="1086"/>
      <c r="I54" s="1086"/>
      <c r="J54" s="844"/>
      <c r="K54" s="1086"/>
      <c r="L54" s="1086"/>
      <c r="M54" s="1086"/>
      <c r="N54" s="591"/>
      <c r="O54" s="1086"/>
      <c r="P54" s="1086"/>
      <c r="Q54" s="1086"/>
      <c r="R54" s="1086"/>
      <c r="S54" s="1086"/>
      <c r="T54" s="1086"/>
      <c r="U54" s="1086"/>
      <c r="V54" s="1086"/>
      <c r="W54" s="1086"/>
      <c r="X54" s="1086"/>
      <c r="Y54" s="1086"/>
      <c r="Z54" s="844"/>
      <c r="AA54" s="844"/>
      <c r="AB54" s="844"/>
      <c r="AC54" s="844"/>
      <c r="AD54" s="1086"/>
      <c r="AE54" s="591"/>
      <c r="AF54" s="590"/>
      <c r="CB54" s="2553"/>
      <c r="CC54" s="2553"/>
      <c r="CD54" s="2553"/>
      <c r="CE54" s="2553"/>
      <c r="CF54" s="2553"/>
      <c r="CG54" s="2553"/>
      <c r="CI54" s="2554"/>
      <c r="CJ54" s="2554"/>
      <c r="CK54" s="2554"/>
    </row>
    <row r="55" spans="1:89" s="170" customFormat="1" ht="15" customHeight="1" x14ac:dyDescent="0.15">
      <c r="A55" s="1532" t="s">
        <v>1284</v>
      </c>
      <c r="B55" s="1105">
        <f t="shared" si="14"/>
        <v>0</v>
      </c>
      <c r="C55" s="1089"/>
      <c r="D55" s="1090"/>
      <c r="E55" s="83"/>
      <c r="F55" s="589"/>
      <c r="G55" s="1086"/>
      <c r="H55" s="1086"/>
      <c r="I55" s="1086"/>
      <c r="J55" s="844"/>
      <c r="K55" s="1086"/>
      <c r="L55" s="1090"/>
      <c r="M55" s="1090"/>
      <c r="N55" s="591"/>
      <c r="O55" s="1086"/>
      <c r="P55" s="1086"/>
      <c r="Q55" s="1086"/>
      <c r="R55" s="1086"/>
      <c r="S55" s="1086"/>
      <c r="T55" s="1086"/>
      <c r="U55" s="1086"/>
      <c r="V55" s="1086"/>
      <c r="W55" s="1086"/>
      <c r="X55" s="1086"/>
      <c r="Y55" s="1086"/>
      <c r="Z55" s="844"/>
      <c r="AA55" s="844"/>
      <c r="AB55" s="844"/>
      <c r="AC55" s="844"/>
      <c r="AD55" s="1086"/>
      <c r="AE55" s="1076"/>
      <c r="AF55" s="1077"/>
      <c r="CB55" s="2553"/>
      <c r="CC55" s="2553"/>
      <c r="CD55" s="2553"/>
      <c r="CE55" s="2553"/>
      <c r="CF55" s="2553"/>
      <c r="CG55" s="2553"/>
      <c r="CI55" s="2554"/>
      <c r="CJ55" s="2554"/>
      <c r="CK55" s="2554"/>
    </row>
    <row r="56" spans="1:89" s="170" customFormat="1" ht="15" customHeight="1" x14ac:dyDescent="0.15">
      <c r="A56" s="1532" t="s">
        <v>1285</v>
      </c>
      <c r="B56" s="1105">
        <f t="shared" si="14"/>
        <v>0</v>
      </c>
      <c r="C56" s="1089"/>
      <c r="D56" s="1090"/>
      <c r="E56" s="83"/>
      <c r="F56" s="1089"/>
      <c r="G56" s="1090"/>
      <c r="H56" s="1090"/>
      <c r="I56" s="1090"/>
      <c r="J56" s="1098"/>
      <c r="K56" s="1090"/>
      <c r="L56" s="1090"/>
      <c r="M56" s="1090"/>
      <c r="N56" s="1076"/>
      <c r="O56" s="1090"/>
      <c r="P56" s="1090"/>
      <c r="Q56" s="1090"/>
      <c r="R56" s="1090"/>
      <c r="S56" s="1090"/>
      <c r="T56" s="1090"/>
      <c r="U56" s="1090"/>
      <c r="V56" s="1090"/>
      <c r="W56" s="1090"/>
      <c r="X56" s="1090"/>
      <c r="Y56" s="1090"/>
      <c r="Z56" s="1098"/>
      <c r="AA56" s="1098"/>
      <c r="AB56" s="1098"/>
      <c r="AC56" s="1098"/>
      <c r="AD56" s="1090"/>
      <c r="AE56" s="1076"/>
      <c r="AF56" s="1077"/>
      <c r="CB56" s="2553"/>
      <c r="CC56" s="2553"/>
      <c r="CD56" s="2553"/>
      <c r="CE56" s="2553"/>
      <c r="CF56" s="2553"/>
      <c r="CG56" s="2553"/>
      <c r="CI56" s="2554"/>
      <c r="CJ56" s="2554"/>
      <c r="CK56" s="2554"/>
    </row>
    <row r="57" spans="1:89" s="170" customFormat="1" ht="15" customHeight="1" x14ac:dyDescent="0.15">
      <c r="A57" s="1532" t="s">
        <v>1286</v>
      </c>
      <c r="B57" s="1105">
        <f t="shared" si="14"/>
        <v>0</v>
      </c>
      <c r="C57" s="1089"/>
      <c r="D57" s="1090"/>
      <c r="E57" s="83"/>
      <c r="F57" s="1089"/>
      <c r="G57" s="1090"/>
      <c r="H57" s="1090"/>
      <c r="I57" s="1090"/>
      <c r="J57" s="1098"/>
      <c r="K57" s="1090"/>
      <c r="L57" s="1090"/>
      <c r="M57" s="1090"/>
      <c r="N57" s="1076"/>
      <c r="O57" s="1090"/>
      <c r="P57" s="1090"/>
      <c r="Q57" s="1090"/>
      <c r="R57" s="1090"/>
      <c r="S57" s="1090"/>
      <c r="T57" s="1090"/>
      <c r="U57" s="1090"/>
      <c r="V57" s="1090"/>
      <c r="W57" s="1090"/>
      <c r="X57" s="1090"/>
      <c r="Y57" s="1090"/>
      <c r="Z57" s="1098"/>
      <c r="AA57" s="1098"/>
      <c r="AB57" s="1098"/>
      <c r="AC57" s="1098"/>
      <c r="AD57" s="1090"/>
      <c r="AE57" s="1076"/>
      <c r="AF57" s="1077"/>
      <c r="CB57" s="2553"/>
      <c r="CC57" s="2553"/>
      <c r="CD57" s="2553"/>
      <c r="CE57" s="2553"/>
      <c r="CF57" s="2553"/>
      <c r="CG57" s="2553"/>
      <c r="CI57" s="2554"/>
      <c r="CJ57" s="2554"/>
      <c r="CK57" s="2554"/>
    </row>
    <row r="58" spans="1:89" s="170" customFormat="1" ht="15" customHeight="1" x14ac:dyDescent="0.15">
      <c r="A58" s="1532" t="s">
        <v>1287</v>
      </c>
      <c r="B58" s="1105">
        <f t="shared" si="14"/>
        <v>0</v>
      </c>
      <c r="C58" s="1089"/>
      <c r="D58" s="1090"/>
      <c r="E58" s="83"/>
      <c r="F58" s="90"/>
      <c r="G58" s="127"/>
      <c r="H58" s="127"/>
      <c r="I58" s="127"/>
      <c r="J58" s="127"/>
      <c r="K58" s="129"/>
      <c r="L58" s="129"/>
      <c r="M58" s="129"/>
      <c r="N58" s="129"/>
      <c r="O58" s="127"/>
      <c r="P58" s="129"/>
      <c r="Q58" s="127"/>
      <c r="R58" s="129"/>
      <c r="S58" s="127"/>
      <c r="T58" s="129"/>
      <c r="U58" s="127"/>
      <c r="V58" s="129"/>
      <c r="W58" s="127"/>
      <c r="X58" s="129"/>
      <c r="Y58" s="127"/>
      <c r="Z58" s="129"/>
      <c r="AA58" s="127"/>
      <c r="AB58" s="129"/>
      <c r="AC58" s="127"/>
      <c r="AD58" s="127"/>
      <c r="AE58" s="129"/>
      <c r="AF58" s="92"/>
      <c r="CB58" s="2553"/>
      <c r="CC58" s="2553"/>
      <c r="CD58" s="2553"/>
      <c r="CE58" s="2553"/>
      <c r="CF58" s="2553"/>
      <c r="CG58" s="2553"/>
      <c r="CI58" s="2554"/>
      <c r="CJ58" s="2554"/>
      <c r="CK58" s="2554"/>
    </row>
    <row r="59" spans="1:89" s="170" customFormat="1" ht="15" customHeight="1" x14ac:dyDescent="0.15">
      <c r="A59" s="1104" t="s">
        <v>1288</v>
      </c>
      <c r="B59" s="1552">
        <f t="shared" si="14"/>
        <v>0</v>
      </c>
      <c r="C59" s="589"/>
      <c r="D59" s="1086"/>
      <c r="E59" s="105"/>
      <c r="F59" s="90"/>
      <c r="G59" s="127"/>
      <c r="H59" s="127"/>
      <c r="I59" s="127"/>
      <c r="J59" s="1090"/>
      <c r="K59" s="1076"/>
      <c r="L59" s="129"/>
      <c r="M59" s="1076"/>
      <c r="N59" s="129"/>
      <c r="O59" s="1090"/>
      <c r="P59" s="129"/>
      <c r="Q59" s="1090"/>
      <c r="R59" s="129"/>
      <c r="S59" s="1090"/>
      <c r="T59" s="129"/>
      <c r="U59" s="127"/>
      <c r="V59" s="129"/>
      <c r="W59" s="1090"/>
      <c r="X59" s="129"/>
      <c r="Y59" s="1090"/>
      <c r="Z59" s="129"/>
      <c r="AA59" s="127"/>
      <c r="AB59" s="129"/>
      <c r="AC59" s="1090"/>
      <c r="AD59" s="1090"/>
      <c r="AE59" s="1076"/>
      <c r="AF59" s="1077"/>
      <c r="CB59" s="2553"/>
      <c r="CC59" s="2553"/>
      <c r="CD59" s="2553"/>
      <c r="CE59" s="2553"/>
      <c r="CF59" s="2553"/>
      <c r="CG59" s="2553"/>
      <c r="CI59" s="2554"/>
      <c r="CJ59" s="2554"/>
      <c r="CK59" s="2554"/>
    </row>
    <row r="60" spans="1:89" s="170" customFormat="1" ht="15" customHeight="1" x14ac:dyDescent="0.15">
      <c r="A60" s="1532" t="s">
        <v>1289</v>
      </c>
      <c r="B60" s="1105">
        <f t="shared" si="14"/>
        <v>0</v>
      </c>
      <c r="C60" s="90"/>
      <c r="D60" s="127"/>
      <c r="E60" s="91"/>
      <c r="F60" s="1089"/>
      <c r="G60" s="1090"/>
      <c r="H60" s="1090"/>
      <c r="I60" s="1090"/>
      <c r="J60" s="1098"/>
      <c r="K60" s="1090"/>
      <c r="L60" s="1090"/>
      <c r="M60" s="1090"/>
      <c r="N60" s="1076"/>
      <c r="O60" s="1090"/>
      <c r="P60" s="1090"/>
      <c r="Q60" s="1090"/>
      <c r="R60" s="1090"/>
      <c r="S60" s="1090"/>
      <c r="T60" s="1090"/>
      <c r="U60" s="1090"/>
      <c r="V60" s="1076"/>
      <c r="W60" s="1090"/>
      <c r="X60" s="1090"/>
      <c r="Y60" s="1090"/>
      <c r="Z60" s="1098"/>
      <c r="AA60" s="1090"/>
      <c r="AB60" s="126"/>
      <c r="AC60" s="1098"/>
      <c r="AD60" s="1090"/>
      <c r="AE60" s="1076"/>
      <c r="AF60" s="1077"/>
      <c r="CB60" s="2553"/>
      <c r="CC60" s="2553"/>
      <c r="CD60" s="2553"/>
      <c r="CE60" s="2553"/>
      <c r="CF60" s="2553"/>
      <c r="CG60" s="2553"/>
      <c r="CI60" s="2554"/>
      <c r="CJ60" s="2554"/>
      <c r="CK60" s="2554"/>
    </row>
    <row r="61" spans="1:89" s="170" customFormat="1" ht="15" customHeight="1" x14ac:dyDescent="0.15">
      <c r="A61" s="1532" t="s">
        <v>1290</v>
      </c>
      <c r="B61" s="1105">
        <f t="shared" si="14"/>
        <v>0</v>
      </c>
      <c r="C61" s="1089"/>
      <c r="D61" s="1090"/>
      <c r="E61" s="83"/>
      <c r="F61" s="1089"/>
      <c r="G61" s="1090"/>
      <c r="H61" s="1090"/>
      <c r="I61" s="1090"/>
      <c r="J61" s="1098"/>
      <c r="K61" s="1090"/>
      <c r="L61" s="1090"/>
      <c r="M61" s="1090"/>
      <c r="N61" s="1076"/>
      <c r="O61" s="1090"/>
      <c r="P61" s="1090"/>
      <c r="Q61" s="1090"/>
      <c r="R61" s="1090"/>
      <c r="S61" s="1090"/>
      <c r="T61" s="1090"/>
      <c r="U61" s="1090"/>
      <c r="V61" s="1090"/>
      <c r="W61" s="1090"/>
      <c r="X61" s="1090"/>
      <c r="Y61" s="1090"/>
      <c r="Z61" s="1098"/>
      <c r="AA61" s="1098"/>
      <c r="AB61" s="1098"/>
      <c r="AC61" s="1098"/>
      <c r="AD61" s="1090"/>
      <c r="AE61" s="1076"/>
      <c r="AF61" s="1077"/>
      <c r="CB61" s="2553"/>
      <c r="CC61" s="2553"/>
      <c r="CD61" s="2553"/>
      <c r="CE61" s="2553"/>
      <c r="CF61" s="2553"/>
      <c r="CG61" s="2553"/>
      <c r="CI61" s="2554"/>
      <c r="CJ61" s="2554"/>
      <c r="CK61" s="2554"/>
    </row>
    <row r="62" spans="1:89" s="170" customFormat="1" ht="15" customHeight="1" x14ac:dyDescent="0.15">
      <c r="A62" s="1532" t="s">
        <v>1291</v>
      </c>
      <c r="B62" s="1105">
        <f t="shared" si="14"/>
        <v>0</v>
      </c>
      <c r="C62" s="1089"/>
      <c r="D62" s="1090"/>
      <c r="E62" s="83"/>
      <c r="F62" s="1089"/>
      <c r="G62" s="1090"/>
      <c r="H62" s="1090"/>
      <c r="I62" s="1090"/>
      <c r="J62" s="1098"/>
      <c r="K62" s="1090"/>
      <c r="L62" s="1090"/>
      <c r="M62" s="1090"/>
      <c r="N62" s="1076"/>
      <c r="O62" s="1090"/>
      <c r="P62" s="1090"/>
      <c r="Q62" s="1090"/>
      <c r="R62" s="1090"/>
      <c r="S62" s="1090"/>
      <c r="T62" s="1090"/>
      <c r="U62" s="1090"/>
      <c r="V62" s="1090"/>
      <c r="W62" s="1090"/>
      <c r="X62" s="1090"/>
      <c r="Y62" s="1090"/>
      <c r="Z62" s="1098"/>
      <c r="AA62" s="1098"/>
      <c r="AB62" s="1098"/>
      <c r="AC62" s="1098"/>
      <c r="AD62" s="1090"/>
      <c r="AE62" s="1076"/>
      <c r="AF62" s="1077"/>
      <c r="CB62" s="2553"/>
      <c r="CC62" s="2553"/>
      <c r="CD62" s="2553"/>
      <c r="CE62" s="2553"/>
      <c r="CF62" s="2553"/>
      <c r="CG62" s="2553"/>
      <c r="CI62" s="2554"/>
      <c r="CJ62" s="2554"/>
      <c r="CK62" s="2554"/>
    </row>
    <row r="63" spans="1:89" s="170" customFormat="1" ht="15" customHeight="1" x14ac:dyDescent="0.15">
      <c r="A63" s="1532" t="s">
        <v>1292</v>
      </c>
      <c r="B63" s="1105">
        <f t="shared" si="14"/>
        <v>0</v>
      </c>
      <c r="C63" s="1089"/>
      <c r="D63" s="1090"/>
      <c r="E63" s="83"/>
      <c r="F63" s="1089"/>
      <c r="G63" s="1090"/>
      <c r="H63" s="1090"/>
      <c r="I63" s="1090"/>
      <c r="J63" s="1098"/>
      <c r="K63" s="1090"/>
      <c r="L63" s="1090"/>
      <c r="M63" s="1090"/>
      <c r="N63" s="1076"/>
      <c r="O63" s="1090"/>
      <c r="P63" s="1090"/>
      <c r="Q63" s="1090"/>
      <c r="R63" s="1090"/>
      <c r="S63" s="1090"/>
      <c r="T63" s="1090"/>
      <c r="U63" s="1090"/>
      <c r="V63" s="1090"/>
      <c r="W63" s="1090"/>
      <c r="X63" s="1090"/>
      <c r="Y63" s="1090"/>
      <c r="Z63" s="1098"/>
      <c r="AA63" s="1098"/>
      <c r="AB63" s="1098"/>
      <c r="AC63" s="1098"/>
      <c r="AD63" s="1090"/>
      <c r="AE63" s="1076"/>
      <c r="AF63" s="1077"/>
      <c r="CB63" s="2553"/>
      <c r="CC63" s="2553"/>
      <c r="CD63" s="2553"/>
      <c r="CE63" s="2553"/>
      <c r="CF63" s="2553"/>
      <c r="CG63" s="2553"/>
      <c r="CI63" s="2554"/>
      <c r="CJ63" s="2554"/>
      <c r="CK63" s="2554"/>
    </row>
    <row r="64" spans="1:89" s="170" customFormat="1" ht="21" x14ac:dyDescent="0.15">
      <c r="A64" s="1104" t="s">
        <v>1293</v>
      </c>
      <c r="B64" s="1105">
        <f t="shared" si="14"/>
        <v>0</v>
      </c>
      <c r="C64" s="1089"/>
      <c r="D64" s="1090"/>
      <c r="E64" s="83"/>
      <c r="F64" s="1089"/>
      <c r="G64" s="1090"/>
      <c r="H64" s="1090"/>
      <c r="I64" s="1090"/>
      <c r="J64" s="1098"/>
      <c r="K64" s="1090"/>
      <c r="L64" s="1090"/>
      <c r="M64" s="1090"/>
      <c r="N64" s="1076"/>
      <c r="O64" s="1090"/>
      <c r="P64" s="1090"/>
      <c r="Q64" s="1090"/>
      <c r="R64" s="1090"/>
      <c r="S64" s="1090"/>
      <c r="T64" s="1090"/>
      <c r="U64" s="1090"/>
      <c r="V64" s="1090"/>
      <c r="W64" s="1090"/>
      <c r="X64" s="1090"/>
      <c r="Y64" s="1090"/>
      <c r="Z64" s="1098"/>
      <c r="AA64" s="1098"/>
      <c r="AB64" s="1098"/>
      <c r="AC64" s="1098"/>
      <c r="AD64" s="1090"/>
      <c r="AE64" s="1076"/>
      <c r="AF64" s="1077"/>
      <c r="CB64" s="2553"/>
      <c r="CC64" s="2553"/>
      <c r="CD64" s="2553"/>
      <c r="CE64" s="2553"/>
      <c r="CF64" s="2553"/>
      <c r="CG64" s="2553"/>
      <c r="CI64" s="2554"/>
      <c r="CJ64" s="2554"/>
      <c r="CK64" s="2554"/>
    </row>
    <row r="65" spans="1:91" s="170" customFormat="1" ht="15" customHeight="1" x14ac:dyDescent="0.15">
      <c r="A65" s="1553" t="s">
        <v>1294</v>
      </c>
      <c r="B65" s="1454">
        <f t="shared" si="14"/>
        <v>0</v>
      </c>
      <c r="C65" s="1448"/>
      <c r="D65" s="1439"/>
      <c r="E65" s="625"/>
      <c r="F65" s="114"/>
      <c r="G65" s="115"/>
      <c r="H65" s="115"/>
      <c r="I65" s="115"/>
      <c r="J65" s="137"/>
      <c r="K65" s="115"/>
      <c r="L65" s="115"/>
      <c r="M65" s="115"/>
      <c r="N65" s="121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37"/>
      <c r="AA65" s="137"/>
      <c r="AB65" s="137"/>
      <c r="AC65" s="137"/>
      <c r="AD65" s="115"/>
      <c r="AE65" s="121"/>
      <c r="AF65" s="116"/>
      <c r="CB65" s="2553"/>
      <c r="CC65" s="2553"/>
      <c r="CD65" s="2553"/>
      <c r="CE65" s="2553"/>
      <c r="CF65" s="2553"/>
      <c r="CG65" s="2553"/>
      <c r="CI65" s="2554"/>
      <c r="CJ65" s="2554"/>
      <c r="CK65" s="2554"/>
    </row>
    <row r="66" spans="1:91" s="170" customFormat="1" ht="15" customHeight="1" x14ac:dyDescent="0.15">
      <c r="A66" s="1455" t="s">
        <v>24</v>
      </c>
      <c r="B66" s="1554">
        <f>SUM(B50:B65)</f>
        <v>0</v>
      </c>
      <c r="C66" s="1449">
        <f>SUM(C50:C65)</f>
        <v>0</v>
      </c>
      <c r="D66" s="1450">
        <f>SUM(D50:D65)</f>
        <v>0</v>
      </c>
      <c r="E66" s="1452">
        <f t="shared" ref="E66:AE66" si="15">SUM(E50:E65)</f>
        <v>0</v>
      </c>
      <c r="F66" s="1449">
        <f t="shared" si="15"/>
        <v>0</v>
      </c>
      <c r="G66" s="1450">
        <f t="shared" si="15"/>
        <v>0</v>
      </c>
      <c r="H66" s="1450">
        <f t="shared" si="15"/>
        <v>0</v>
      </c>
      <c r="I66" s="1450">
        <f t="shared" si="15"/>
        <v>0</v>
      </c>
      <c r="J66" s="1099">
        <f t="shared" si="15"/>
        <v>0</v>
      </c>
      <c r="K66" s="1450">
        <f t="shared" si="15"/>
        <v>0</v>
      </c>
      <c r="L66" s="1450">
        <f t="shared" si="15"/>
        <v>0</v>
      </c>
      <c r="M66" s="1450">
        <f t="shared" si="15"/>
        <v>0</v>
      </c>
      <c r="N66" s="1451">
        <f t="shared" si="15"/>
        <v>0</v>
      </c>
      <c r="O66" s="1450">
        <f t="shared" si="15"/>
        <v>0</v>
      </c>
      <c r="P66" s="1450">
        <f t="shared" si="15"/>
        <v>0</v>
      </c>
      <c r="Q66" s="1450">
        <f t="shared" si="15"/>
        <v>0</v>
      </c>
      <c r="R66" s="1450">
        <f t="shared" si="15"/>
        <v>0</v>
      </c>
      <c r="S66" s="1450">
        <f t="shared" si="15"/>
        <v>0</v>
      </c>
      <c r="T66" s="1450">
        <f t="shared" si="15"/>
        <v>0</v>
      </c>
      <c r="U66" s="1450">
        <f t="shared" si="15"/>
        <v>0</v>
      </c>
      <c r="V66" s="1450">
        <f t="shared" si="15"/>
        <v>0</v>
      </c>
      <c r="W66" s="1450">
        <f t="shared" si="15"/>
        <v>0</v>
      </c>
      <c r="X66" s="1450">
        <f t="shared" si="15"/>
        <v>0</v>
      </c>
      <c r="Y66" s="1450">
        <f t="shared" si="15"/>
        <v>0</v>
      </c>
      <c r="Z66" s="1099">
        <f t="shared" si="15"/>
        <v>0</v>
      </c>
      <c r="AA66" s="1099">
        <f t="shared" si="15"/>
        <v>0</v>
      </c>
      <c r="AB66" s="1099">
        <f t="shared" si="15"/>
        <v>0</v>
      </c>
      <c r="AC66" s="1099">
        <f>SUM(AC50:AC65)</f>
        <v>0</v>
      </c>
      <c r="AD66" s="1450">
        <f t="shared" si="15"/>
        <v>0</v>
      </c>
      <c r="AE66" s="1451">
        <f t="shared" si="15"/>
        <v>0</v>
      </c>
      <c r="AF66" s="1543">
        <f>SUM(AF50:AF65)</f>
        <v>0</v>
      </c>
      <c r="CB66" s="2553"/>
      <c r="CC66" s="2553"/>
      <c r="CD66" s="2553"/>
      <c r="CE66" s="2553"/>
      <c r="CF66" s="2553"/>
      <c r="CG66" s="2553"/>
      <c r="CI66" s="2554"/>
      <c r="CJ66" s="2554"/>
      <c r="CK66" s="2554"/>
    </row>
    <row r="67" spans="1:91" s="1134" customFormat="1" ht="18" customHeight="1" x14ac:dyDescent="0.15">
      <c r="A67" s="8103" t="s">
        <v>1295</v>
      </c>
      <c r="B67" s="8103"/>
      <c r="C67" s="8103"/>
      <c r="D67" s="8103"/>
      <c r="E67" s="8103"/>
      <c r="F67" s="8103"/>
      <c r="G67" s="8103"/>
      <c r="H67" s="8103"/>
      <c r="I67" s="8103"/>
      <c r="J67" s="8103"/>
      <c r="K67" s="8103"/>
      <c r="L67" s="8103"/>
      <c r="M67" s="8103"/>
    </row>
    <row r="68" spans="1:91" s="170" customFormat="1" ht="18.95" customHeight="1" x14ac:dyDescent="0.15">
      <c r="A68" s="8528" t="s">
        <v>1296</v>
      </c>
      <c r="B68" s="8558" t="s">
        <v>1297</v>
      </c>
      <c r="C68" s="7990" t="s">
        <v>1298</v>
      </c>
      <c r="D68" s="7990"/>
      <c r="E68" s="8528"/>
      <c r="F68" s="8531" t="s">
        <v>30</v>
      </c>
      <c r="G68" s="8532"/>
      <c r="H68" s="8532"/>
      <c r="I68" s="8532"/>
      <c r="J68" s="8532"/>
      <c r="K68" s="8532"/>
      <c r="L68" s="8532"/>
      <c r="M68" s="8561"/>
      <c r="N68" s="8528" t="s">
        <v>1121</v>
      </c>
      <c r="O68" s="8528" t="s">
        <v>1299</v>
      </c>
      <c r="P68" s="7756" t="s">
        <v>1300</v>
      </c>
      <c r="Q68" s="7756" t="s">
        <v>67</v>
      </c>
      <c r="R68" s="8528" t="s">
        <v>2</v>
      </c>
      <c r="S68" s="7756" t="s">
        <v>3</v>
      </c>
      <c r="T68" s="7756" t="s">
        <v>49</v>
      </c>
    </row>
    <row r="69" spans="1:91" s="170" customFormat="1" ht="15" customHeight="1" x14ac:dyDescent="0.15">
      <c r="A69" s="7646"/>
      <c r="B69" s="8559"/>
      <c r="C69" s="7659"/>
      <c r="D69" s="7659"/>
      <c r="E69" s="7646"/>
      <c r="F69" s="8531" t="s">
        <v>3761</v>
      </c>
      <c r="G69" s="8541"/>
      <c r="H69" s="8531" t="s">
        <v>1301</v>
      </c>
      <c r="I69" s="8541"/>
      <c r="J69" s="8531" t="s">
        <v>1302</v>
      </c>
      <c r="K69" s="8541"/>
      <c r="L69" s="8531" t="s">
        <v>945</v>
      </c>
      <c r="M69" s="8561"/>
      <c r="N69" s="7646"/>
      <c r="O69" s="7646"/>
      <c r="P69" s="8557"/>
      <c r="Q69" s="8557"/>
      <c r="R69" s="7646"/>
      <c r="S69" s="8557"/>
      <c r="T69" s="8557"/>
    </row>
    <row r="70" spans="1:91" s="170" customFormat="1" ht="21.75" customHeight="1" x14ac:dyDescent="0.15">
      <c r="A70" s="8530"/>
      <c r="B70" s="8560"/>
      <c r="C70" s="2549" t="s">
        <v>26</v>
      </c>
      <c r="D70" s="1513" t="s">
        <v>22</v>
      </c>
      <c r="E70" s="1514" t="s">
        <v>27</v>
      </c>
      <c r="F70" s="1513" t="s">
        <v>22</v>
      </c>
      <c r="G70" s="1514" t="s">
        <v>27</v>
      </c>
      <c r="H70" s="1513" t="s">
        <v>22</v>
      </c>
      <c r="I70" s="1514" t="s">
        <v>27</v>
      </c>
      <c r="J70" s="1513" t="s">
        <v>22</v>
      </c>
      <c r="K70" s="1514" t="s">
        <v>27</v>
      </c>
      <c r="L70" s="1513" t="s">
        <v>22</v>
      </c>
      <c r="M70" s="2589" t="s">
        <v>27</v>
      </c>
      <c r="N70" s="8530"/>
      <c r="O70" s="8530"/>
      <c r="P70" s="8550"/>
      <c r="Q70" s="8550"/>
      <c r="R70" s="8530"/>
      <c r="S70" s="8550"/>
      <c r="T70" s="8550"/>
    </row>
    <row r="71" spans="1:91" s="170" customFormat="1" ht="15" customHeight="1" x14ac:dyDescent="0.15">
      <c r="A71" s="1555" t="s">
        <v>1251</v>
      </c>
      <c r="B71" s="1556"/>
      <c r="C71" s="143">
        <f>SUM(D71:E71)</f>
        <v>0</v>
      </c>
      <c r="D71" s="581">
        <f>SUM(F71+H71+J71+L71)</f>
        <v>0</v>
      </c>
      <c r="E71" s="143">
        <f>SUM(G71+I71+K71+M71)</f>
        <v>0</v>
      </c>
      <c r="F71" s="589"/>
      <c r="G71" s="590"/>
      <c r="H71" s="591"/>
      <c r="I71" s="590"/>
      <c r="J71" s="591"/>
      <c r="K71" s="590"/>
      <c r="L71" s="591"/>
      <c r="M71" s="776"/>
      <c r="N71" s="1437"/>
      <c r="O71" s="1437"/>
      <c r="P71" s="1438"/>
      <c r="Q71" s="1438"/>
      <c r="R71" s="1438"/>
      <c r="S71" s="1438"/>
      <c r="T71" s="1438"/>
      <c r="U71" s="170" t="str">
        <f>CB71&amp;CC71&amp;CD71&amp;CE71&amp;CF71&amp;CG71</f>
        <v/>
      </c>
      <c r="CB71" s="2553" t="str">
        <f>IF(AND(C71&gt;0,Q71=""),"  * No olvide digitar la variable Beneficiarios. Digite Cero si no tiene.",IF(Q71&gt;C71," * La variable beneficiarios No puede ser mayor al Total.",""))</f>
        <v/>
      </c>
      <c r="CC71" s="2553" t="str">
        <f>IF(AND(C71&gt;0,R71=""),"  * No olvide digitar la variable Pueblos originarios. Digite Cero si no tiene.",IF(R71&gt;C71," * La variable Pueblos originarios No puede ser mayor al Total.",""))</f>
        <v/>
      </c>
      <c r="CD71" s="2553" t="str">
        <f>IF(AND(C71&gt;0,S71=""),"  * No olvide digitar la variable Migrantes. Digite Cero si no tiene.",IF(S71&gt;C71," * La variable Migrantes No puede ser mayor al Total.",""))</f>
        <v/>
      </c>
      <c r="CE71" s="2553" t="str">
        <f>IF(AND(C71&gt;0,T71=""),"  * No olvide digitar la variable Niños, Niñas, Adolescentes y Jóvenes SENAME. Digite Cero si no tiene.",IF(T71&gt;C71," * La variable Niños, Niñas, Adolescentes y Jóvenes SENAME No puede ser mayor al Total.",""))</f>
        <v/>
      </c>
      <c r="CF71" s="2553"/>
      <c r="CG71" s="2553"/>
      <c r="CI71" s="2554">
        <f>IF(AND(C71&gt;0,Q71=""),1,IF(Q71&gt;C71,1,0))</f>
        <v>0</v>
      </c>
      <c r="CJ71" s="2554">
        <f>IF(AND(C71&gt;0,R71=""),1,IF(R71&gt;C71,1,0))</f>
        <v>0</v>
      </c>
      <c r="CK71" s="2554">
        <f>IF(AND(C71&gt;0,S71=""),1,IF(S71&gt;C71,1,0))</f>
        <v>0</v>
      </c>
      <c r="CL71" s="2554">
        <f>IF(AND(C71&gt;0,T71=""),1,IF(T71&gt;C71,1,0))</f>
        <v>0</v>
      </c>
      <c r="CM71" s="2554"/>
    </row>
    <row r="72" spans="1:91" s="170" customFormat="1" ht="15" customHeight="1" x14ac:dyDescent="0.15">
      <c r="A72" s="1557" t="s">
        <v>1253</v>
      </c>
      <c r="B72" s="1101"/>
      <c r="C72" s="143">
        <f t="shared" ref="C72:C84" si="16">SUM(D72:E72)</f>
        <v>0</v>
      </c>
      <c r="D72" s="581">
        <f t="shared" ref="D72:E84" si="17">SUM(F72+H72+J72+L72)</f>
        <v>0</v>
      </c>
      <c r="E72" s="143">
        <f t="shared" si="17"/>
        <v>0</v>
      </c>
      <c r="F72" s="589"/>
      <c r="G72" s="590"/>
      <c r="H72" s="591"/>
      <c r="I72" s="590"/>
      <c r="J72" s="591"/>
      <c r="K72" s="590"/>
      <c r="L72" s="591"/>
      <c r="M72" s="776"/>
      <c r="N72" s="83"/>
      <c r="O72" s="83"/>
      <c r="P72" s="1080"/>
      <c r="Q72" s="1080"/>
      <c r="R72" s="1080"/>
      <c r="S72" s="1080"/>
      <c r="T72" s="1080"/>
      <c r="U72" s="170" t="str">
        <f t="shared" ref="U72:U84" si="18">CB72&amp;CC72&amp;CD72&amp;CE72&amp;CF72&amp;CG72</f>
        <v/>
      </c>
      <c r="CB72" s="2553" t="str">
        <f t="shared" ref="CB72:CB84" si="19">IF(AND(C72&gt;0,Q72=""),"  * No olvide digitar la variable Beneficiarios. Digite Cero si no tiene.",IF(Q72&gt;C72," * La variable beneficiarios No puede ser mayor al Total.",""))</f>
        <v/>
      </c>
      <c r="CC72" s="2553" t="str">
        <f t="shared" ref="CC72:CC84" si="20">IF(AND(C72&gt;0,R72=""),"  * No olvide digitar la variable Pueblos originarios. Digite Cero si no tiene.",IF(R72&gt;C72," * La variable Pueblos originarios No puede ser mayor al Total.",""))</f>
        <v/>
      </c>
      <c r="CD72" s="2553" t="str">
        <f t="shared" ref="CD72:CD84" si="21">IF(AND(C72&gt;0,S72=""),"  * No olvide digitar la variable Migrantes. Digite Cero si no tiene.",IF(S72&gt;C72," * La variable Migrantes No puede ser mayor al Total.",""))</f>
        <v/>
      </c>
      <c r="CE72" s="2553" t="str">
        <f t="shared" ref="CE72:CE84" si="22">IF(AND(C72&gt;0,T72=""),"  * No olvide digitar la variable Niños, Niñas, Adolescentes y Jóvenes SENAME. Digite Cero si no tiene.",IF(T72&gt;C72," * La variable Niños, Niñas, Adolescentes y Jóvenes SENAME No puede ser mayor al Total.",""))</f>
        <v/>
      </c>
      <c r="CF72" s="2553"/>
      <c r="CG72" s="2553"/>
      <c r="CI72" s="2554">
        <f t="shared" ref="CI72:CI84" si="23">IF(AND(C72&gt;0,Q72=""),1,IF(Q72&gt;C72,1,0))</f>
        <v>0</v>
      </c>
      <c r="CJ72" s="2554">
        <f t="shared" ref="CJ72:CJ84" si="24">IF(AND(C72&gt;0,R72=""),1,IF(R72&gt;C72,1,0))</f>
        <v>0</v>
      </c>
      <c r="CK72" s="2554">
        <f t="shared" ref="CK72:CK84" si="25">IF(AND(C72&gt;0,S72=""),1,IF(S72&gt;C72,1,0))</f>
        <v>0</v>
      </c>
      <c r="CL72" s="2554">
        <f t="shared" ref="CL72:CL84" si="26">IF(AND(C72&gt;0,T72=""),1,IF(T72&gt;C72,1,0))</f>
        <v>0</v>
      </c>
      <c r="CM72" s="2554"/>
    </row>
    <row r="73" spans="1:91" s="170" customFormat="1" ht="15" customHeight="1" x14ac:dyDescent="0.15">
      <c r="A73" s="1557" t="s">
        <v>1303</v>
      </c>
      <c r="B73" s="1101"/>
      <c r="C73" s="143">
        <f t="shared" si="16"/>
        <v>0</v>
      </c>
      <c r="D73" s="581">
        <f t="shared" si="17"/>
        <v>0</v>
      </c>
      <c r="E73" s="143">
        <f t="shared" si="17"/>
        <v>0</v>
      </c>
      <c r="F73" s="589"/>
      <c r="G73" s="590"/>
      <c r="H73" s="591"/>
      <c r="I73" s="590"/>
      <c r="J73" s="591"/>
      <c r="K73" s="590"/>
      <c r="L73" s="591"/>
      <c r="M73" s="776"/>
      <c r="N73" s="83"/>
      <c r="O73" s="83"/>
      <c r="P73" s="1080"/>
      <c r="Q73" s="1080"/>
      <c r="R73" s="1080"/>
      <c r="S73" s="1080"/>
      <c r="T73" s="1080"/>
      <c r="U73" s="170" t="str">
        <f t="shared" si="18"/>
        <v/>
      </c>
      <c r="CB73" s="2553" t="str">
        <f t="shared" si="19"/>
        <v/>
      </c>
      <c r="CC73" s="2553" t="str">
        <f t="shared" si="20"/>
        <v/>
      </c>
      <c r="CD73" s="2553" t="str">
        <f t="shared" si="21"/>
        <v/>
      </c>
      <c r="CE73" s="2553" t="str">
        <f t="shared" si="22"/>
        <v/>
      </c>
      <c r="CF73" s="2553"/>
      <c r="CG73" s="2553"/>
      <c r="CI73" s="2554">
        <f t="shared" si="23"/>
        <v>0</v>
      </c>
      <c r="CJ73" s="2554">
        <f t="shared" si="24"/>
        <v>0</v>
      </c>
      <c r="CK73" s="2554">
        <f t="shared" si="25"/>
        <v>0</v>
      </c>
      <c r="CL73" s="2554">
        <f t="shared" si="26"/>
        <v>0</v>
      </c>
      <c r="CM73" s="2554"/>
    </row>
    <row r="74" spans="1:91" s="170" customFormat="1" ht="15" customHeight="1" x14ac:dyDescent="0.15">
      <c r="A74" s="1557" t="s">
        <v>1304</v>
      </c>
      <c r="B74" s="1101"/>
      <c r="C74" s="143">
        <f t="shared" si="16"/>
        <v>0</v>
      </c>
      <c r="D74" s="581">
        <f t="shared" si="17"/>
        <v>0</v>
      </c>
      <c r="E74" s="143">
        <f t="shared" si="17"/>
        <v>0</v>
      </c>
      <c r="F74" s="589"/>
      <c r="G74" s="590"/>
      <c r="H74" s="591"/>
      <c r="I74" s="590"/>
      <c r="J74" s="591"/>
      <c r="K74" s="590"/>
      <c r="L74" s="591"/>
      <c r="M74" s="776"/>
      <c r="N74" s="83"/>
      <c r="O74" s="83"/>
      <c r="P74" s="1080"/>
      <c r="Q74" s="1080"/>
      <c r="R74" s="1080"/>
      <c r="S74" s="1080"/>
      <c r="T74" s="1080"/>
      <c r="U74" s="170" t="str">
        <f t="shared" si="18"/>
        <v/>
      </c>
      <c r="CB74" s="2553" t="str">
        <f t="shared" si="19"/>
        <v/>
      </c>
      <c r="CC74" s="2553" t="str">
        <f t="shared" si="20"/>
        <v/>
      </c>
      <c r="CD74" s="2553" t="str">
        <f t="shared" si="21"/>
        <v/>
      </c>
      <c r="CE74" s="2553" t="str">
        <f t="shared" si="22"/>
        <v/>
      </c>
      <c r="CF74" s="2553"/>
      <c r="CG74" s="2553"/>
      <c r="CI74" s="2554">
        <f t="shared" si="23"/>
        <v>0</v>
      </c>
      <c r="CJ74" s="2554">
        <f t="shared" si="24"/>
        <v>0</v>
      </c>
      <c r="CK74" s="2554">
        <f t="shared" si="25"/>
        <v>0</v>
      </c>
      <c r="CL74" s="2554">
        <f t="shared" si="26"/>
        <v>0</v>
      </c>
      <c r="CM74" s="2554"/>
    </row>
    <row r="75" spans="1:91" s="170" customFormat="1" ht="15" customHeight="1" x14ac:dyDescent="0.15">
      <c r="A75" s="1557" t="s">
        <v>1259</v>
      </c>
      <c r="B75" s="1101"/>
      <c r="C75" s="143">
        <f>SUM(D75:E75)</f>
        <v>0</v>
      </c>
      <c r="D75" s="581">
        <f t="shared" si="17"/>
        <v>0</v>
      </c>
      <c r="E75" s="143">
        <f t="shared" si="17"/>
        <v>0</v>
      </c>
      <c r="F75" s="589"/>
      <c r="G75" s="590"/>
      <c r="H75" s="591"/>
      <c r="I75" s="590"/>
      <c r="J75" s="591"/>
      <c r="K75" s="590"/>
      <c r="L75" s="591"/>
      <c r="M75" s="776"/>
      <c r="N75" s="83"/>
      <c r="O75" s="83"/>
      <c r="P75" s="1080"/>
      <c r="Q75" s="1080"/>
      <c r="R75" s="1080"/>
      <c r="S75" s="1080"/>
      <c r="T75" s="1080"/>
      <c r="U75" s="170" t="str">
        <f t="shared" si="18"/>
        <v/>
      </c>
      <c r="CB75" s="2553" t="str">
        <f t="shared" si="19"/>
        <v/>
      </c>
      <c r="CC75" s="2553" t="str">
        <f t="shared" si="20"/>
        <v/>
      </c>
      <c r="CD75" s="2553" t="str">
        <f t="shared" si="21"/>
        <v/>
      </c>
      <c r="CE75" s="2553" t="str">
        <f t="shared" si="22"/>
        <v/>
      </c>
      <c r="CF75" s="2553"/>
      <c r="CG75" s="2553"/>
      <c r="CI75" s="2554">
        <f t="shared" si="23"/>
        <v>0</v>
      </c>
      <c r="CJ75" s="2554">
        <f t="shared" si="24"/>
        <v>0</v>
      </c>
      <c r="CK75" s="2554">
        <f t="shared" si="25"/>
        <v>0</v>
      </c>
      <c r="CL75" s="2554">
        <f t="shared" si="26"/>
        <v>0</v>
      </c>
      <c r="CM75" s="2554"/>
    </row>
    <row r="76" spans="1:91" s="170" customFormat="1" ht="15" customHeight="1" x14ac:dyDescent="0.15">
      <c r="A76" s="1557" t="s">
        <v>1305</v>
      </c>
      <c r="B76" s="1101"/>
      <c r="C76" s="1558">
        <f>SUM(D76:E76)</f>
        <v>0</v>
      </c>
      <c r="D76" s="581">
        <f t="shared" si="17"/>
        <v>0</v>
      </c>
      <c r="E76" s="143">
        <f t="shared" si="17"/>
        <v>0</v>
      </c>
      <c r="F76" s="589"/>
      <c r="G76" s="590"/>
      <c r="H76" s="591"/>
      <c r="I76" s="590"/>
      <c r="J76" s="591"/>
      <c r="K76" s="590"/>
      <c r="L76" s="591"/>
      <c r="M76" s="776"/>
      <c r="N76" s="83"/>
      <c r="O76" s="83"/>
      <c r="P76" s="1080"/>
      <c r="Q76" s="1080"/>
      <c r="R76" s="1080"/>
      <c r="S76" s="1080"/>
      <c r="T76" s="1080"/>
      <c r="U76" s="170" t="str">
        <f t="shared" si="18"/>
        <v/>
      </c>
      <c r="CB76" s="2553" t="str">
        <f t="shared" si="19"/>
        <v/>
      </c>
      <c r="CC76" s="2553" t="str">
        <f t="shared" si="20"/>
        <v/>
      </c>
      <c r="CD76" s="2553" t="str">
        <f t="shared" si="21"/>
        <v/>
      </c>
      <c r="CE76" s="2553" t="str">
        <f t="shared" si="22"/>
        <v/>
      </c>
      <c r="CF76" s="2553"/>
      <c r="CG76" s="2553"/>
      <c r="CI76" s="2554">
        <f t="shared" si="23"/>
        <v>0</v>
      </c>
      <c r="CJ76" s="2554">
        <f t="shared" si="24"/>
        <v>0</v>
      </c>
      <c r="CK76" s="2554">
        <f t="shared" si="25"/>
        <v>0</v>
      </c>
      <c r="CL76" s="2554">
        <f t="shared" si="26"/>
        <v>0</v>
      </c>
      <c r="CM76" s="2554"/>
    </row>
    <row r="77" spans="1:91" s="170" customFormat="1" ht="15" customHeight="1" x14ac:dyDescent="0.15">
      <c r="A77" s="1559" t="s">
        <v>1261</v>
      </c>
      <c r="B77" s="1101"/>
      <c r="C77" s="143">
        <f t="shared" si="16"/>
        <v>0</v>
      </c>
      <c r="D77" s="581">
        <f t="shared" si="17"/>
        <v>0</v>
      </c>
      <c r="E77" s="143">
        <f t="shared" si="17"/>
        <v>0</v>
      </c>
      <c r="F77" s="589"/>
      <c r="G77" s="590"/>
      <c r="H77" s="591"/>
      <c r="I77" s="590"/>
      <c r="J77" s="591"/>
      <c r="K77" s="590"/>
      <c r="L77" s="591"/>
      <c r="M77" s="776"/>
      <c r="N77" s="83"/>
      <c r="O77" s="83"/>
      <c r="P77" s="1080"/>
      <c r="Q77" s="1080"/>
      <c r="R77" s="1080"/>
      <c r="S77" s="1080"/>
      <c r="T77" s="1080"/>
      <c r="U77" s="170" t="str">
        <f t="shared" si="18"/>
        <v/>
      </c>
      <c r="CB77" s="2553" t="str">
        <f t="shared" si="19"/>
        <v/>
      </c>
      <c r="CC77" s="2553" t="str">
        <f t="shared" si="20"/>
        <v/>
      </c>
      <c r="CD77" s="2553" t="str">
        <f t="shared" si="21"/>
        <v/>
      </c>
      <c r="CE77" s="2553" t="str">
        <f t="shared" si="22"/>
        <v/>
      </c>
      <c r="CF77" s="2553"/>
      <c r="CG77" s="2553"/>
      <c r="CI77" s="2554">
        <f t="shared" si="23"/>
        <v>0</v>
      </c>
      <c r="CJ77" s="2554">
        <f t="shared" si="24"/>
        <v>0</v>
      </c>
      <c r="CK77" s="2554">
        <f t="shared" si="25"/>
        <v>0</v>
      </c>
      <c r="CL77" s="2554">
        <f t="shared" si="26"/>
        <v>0</v>
      </c>
      <c r="CM77" s="2554"/>
    </row>
    <row r="78" spans="1:91" s="170" customFormat="1" ht="15" customHeight="1" x14ac:dyDescent="0.15">
      <c r="A78" s="1559" t="s">
        <v>1306</v>
      </c>
      <c r="B78" s="1101"/>
      <c r="C78" s="143">
        <f t="shared" si="16"/>
        <v>0</v>
      </c>
      <c r="D78" s="581">
        <f t="shared" si="17"/>
        <v>0</v>
      </c>
      <c r="E78" s="143">
        <f t="shared" si="17"/>
        <v>0</v>
      </c>
      <c r="F78" s="589"/>
      <c r="G78" s="590"/>
      <c r="H78" s="591"/>
      <c r="I78" s="590"/>
      <c r="J78" s="591"/>
      <c r="K78" s="590"/>
      <c r="L78" s="591"/>
      <c r="M78" s="776"/>
      <c r="N78" s="83"/>
      <c r="O78" s="83"/>
      <c r="P78" s="1080"/>
      <c r="Q78" s="1080"/>
      <c r="R78" s="1080"/>
      <c r="S78" s="1080"/>
      <c r="T78" s="1080"/>
      <c r="U78" s="170" t="str">
        <f t="shared" si="18"/>
        <v/>
      </c>
      <c r="CB78" s="2553" t="str">
        <f t="shared" si="19"/>
        <v/>
      </c>
      <c r="CC78" s="2553" t="str">
        <f t="shared" si="20"/>
        <v/>
      </c>
      <c r="CD78" s="2553" t="str">
        <f t="shared" si="21"/>
        <v/>
      </c>
      <c r="CE78" s="2553" t="str">
        <f t="shared" si="22"/>
        <v/>
      </c>
      <c r="CF78" s="2553"/>
      <c r="CG78" s="2553"/>
      <c r="CI78" s="2554">
        <f t="shared" si="23"/>
        <v>0</v>
      </c>
      <c r="CJ78" s="2554">
        <f t="shared" si="24"/>
        <v>0</v>
      </c>
      <c r="CK78" s="2554">
        <f t="shared" si="25"/>
        <v>0</v>
      </c>
      <c r="CL78" s="2554">
        <f t="shared" si="26"/>
        <v>0</v>
      </c>
      <c r="CM78" s="2554"/>
    </row>
    <row r="79" spans="1:91" s="170" customFormat="1" ht="15" customHeight="1" x14ac:dyDescent="0.15">
      <c r="A79" s="1559" t="s">
        <v>1307</v>
      </c>
      <c r="B79" s="1101"/>
      <c r="C79" s="1558">
        <f>SUM(D79:E79)</f>
        <v>0</v>
      </c>
      <c r="D79" s="581">
        <f t="shared" si="17"/>
        <v>0</v>
      </c>
      <c r="E79" s="143">
        <f t="shared" si="17"/>
        <v>0</v>
      </c>
      <c r="F79" s="589"/>
      <c r="G79" s="590"/>
      <c r="H79" s="591"/>
      <c r="I79" s="590"/>
      <c r="J79" s="591"/>
      <c r="K79" s="590"/>
      <c r="L79" s="591"/>
      <c r="M79" s="776"/>
      <c r="N79" s="83"/>
      <c r="O79" s="83"/>
      <c r="P79" s="1080"/>
      <c r="Q79" s="1080"/>
      <c r="R79" s="1080"/>
      <c r="S79" s="1080"/>
      <c r="T79" s="1080"/>
      <c r="U79" s="170" t="str">
        <f t="shared" si="18"/>
        <v/>
      </c>
      <c r="CB79" s="2553" t="str">
        <f t="shared" si="19"/>
        <v/>
      </c>
      <c r="CC79" s="2553" t="str">
        <f t="shared" si="20"/>
        <v/>
      </c>
      <c r="CD79" s="2553" t="str">
        <f t="shared" si="21"/>
        <v/>
      </c>
      <c r="CE79" s="2553" t="str">
        <f t="shared" si="22"/>
        <v/>
      </c>
      <c r="CF79" s="2553"/>
      <c r="CG79" s="2553"/>
      <c r="CI79" s="2554">
        <f t="shared" si="23"/>
        <v>0</v>
      </c>
      <c r="CJ79" s="2554">
        <f t="shared" si="24"/>
        <v>0</v>
      </c>
      <c r="CK79" s="2554">
        <f t="shared" si="25"/>
        <v>0</v>
      </c>
      <c r="CL79" s="2554">
        <f t="shared" si="26"/>
        <v>0</v>
      </c>
      <c r="CM79" s="2554"/>
    </row>
    <row r="80" spans="1:91" s="170" customFormat="1" ht="15" customHeight="1" x14ac:dyDescent="0.15">
      <c r="A80" s="1557" t="s">
        <v>1254</v>
      </c>
      <c r="B80" s="1101"/>
      <c r="C80" s="143">
        <f>SUM(D80:E80)</f>
        <v>0</v>
      </c>
      <c r="D80" s="581">
        <f t="shared" si="17"/>
        <v>0</v>
      </c>
      <c r="E80" s="143">
        <f t="shared" si="17"/>
        <v>0</v>
      </c>
      <c r="F80" s="589"/>
      <c r="G80" s="590"/>
      <c r="H80" s="591"/>
      <c r="I80" s="590"/>
      <c r="J80" s="591"/>
      <c r="K80" s="590"/>
      <c r="L80" s="591"/>
      <c r="M80" s="776"/>
      <c r="N80" s="83"/>
      <c r="O80" s="83"/>
      <c r="P80" s="1080"/>
      <c r="Q80" s="1080"/>
      <c r="R80" s="1080"/>
      <c r="S80" s="1080"/>
      <c r="T80" s="1080"/>
      <c r="U80" s="170" t="str">
        <f t="shared" si="18"/>
        <v/>
      </c>
      <c r="CB80" s="2553" t="str">
        <f t="shared" si="19"/>
        <v/>
      </c>
      <c r="CC80" s="2553" t="str">
        <f t="shared" si="20"/>
        <v/>
      </c>
      <c r="CD80" s="2553" t="str">
        <f t="shared" si="21"/>
        <v/>
      </c>
      <c r="CE80" s="2553" t="str">
        <f t="shared" si="22"/>
        <v/>
      </c>
      <c r="CF80" s="2553"/>
      <c r="CG80" s="2553"/>
      <c r="CI80" s="2554">
        <f t="shared" si="23"/>
        <v>0</v>
      </c>
      <c r="CJ80" s="2554">
        <f t="shared" si="24"/>
        <v>0</v>
      </c>
      <c r="CK80" s="2554">
        <f t="shared" si="25"/>
        <v>0</v>
      </c>
      <c r="CL80" s="2554">
        <f t="shared" si="26"/>
        <v>0</v>
      </c>
      <c r="CM80" s="2554"/>
    </row>
    <row r="81" spans="1:91" s="170" customFormat="1" ht="15" customHeight="1" x14ac:dyDescent="0.15">
      <c r="A81" s="1557" t="s">
        <v>1265</v>
      </c>
      <c r="B81" s="1101"/>
      <c r="C81" s="143">
        <f t="shared" si="16"/>
        <v>0</v>
      </c>
      <c r="D81" s="581">
        <f t="shared" si="17"/>
        <v>0</v>
      </c>
      <c r="E81" s="143">
        <f t="shared" si="17"/>
        <v>0</v>
      </c>
      <c r="F81" s="589"/>
      <c r="G81" s="590"/>
      <c r="H81" s="591"/>
      <c r="I81" s="590"/>
      <c r="J81" s="591"/>
      <c r="K81" s="590"/>
      <c r="L81" s="591"/>
      <c r="M81" s="776"/>
      <c r="N81" s="83"/>
      <c r="O81" s="83"/>
      <c r="P81" s="1080"/>
      <c r="Q81" s="1080"/>
      <c r="R81" s="1080"/>
      <c r="S81" s="1080"/>
      <c r="T81" s="1080"/>
      <c r="U81" s="170" t="str">
        <f t="shared" si="18"/>
        <v/>
      </c>
      <c r="CB81" s="2553" t="str">
        <f t="shared" si="19"/>
        <v/>
      </c>
      <c r="CC81" s="2553" t="str">
        <f t="shared" si="20"/>
        <v/>
      </c>
      <c r="CD81" s="2553" t="str">
        <f t="shared" si="21"/>
        <v/>
      </c>
      <c r="CE81" s="2553" t="str">
        <f t="shared" si="22"/>
        <v/>
      </c>
      <c r="CF81" s="2553"/>
      <c r="CG81" s="2553"/>
      <c r="CI81" s="2554">
        <f t="shared" si="23"/>
        <v>0</v>
      </c>
      <c r="CJ81" s="2554">
        <f t="shared" si="24"/>
        <v>0</v>
      </c>
      <c r="CK81" s="2554">
        <f t="shared" si="25"/>
        <v>0</v>
      </c>
      <c r="CL81" s="2554">
        <f t="shared" si="26"/>
        <v>0</v>
      </c>
      <c r="CM81" s="2554"/>
    </row>
    <row r="82" spans="1:91" s="170" customFormat="1" ht="15" customHeight="1" x14ac:dyDescent="0.15">
      <c r="A82" s="1559" t="s">
        <v>1264</v>
      </c>
      <c r="B82" s="1101"/>
      <c r="C82" s="142">
        <f t="shared" si="16"/>
        <v>0</v>
      </c>
      <c r="D82" s="581">
        <f t="shared" si="17"/>
        <v>0</v>
      </c>
      <c r="E82" s="143">
        <f t="shared" si="17"/>
        <v>0</v>
      </c>
      <c r="F82" s="589"/>
      <c r="G82" s="590"/>
      <c r="H82" s="591"/>
      <c r="I82" s="590"/>
      <c r="J82" s="591"/>
      <c r="K82" s="590"/>
      <c r="L82" s="591"/>
      <c r="M82" s="776"/>
      <c r="N82" s="83"/>
      <c r="O82" s="83"/>
      <c r="P82" s="1080"/>
      <c r="Q82" s="1080"/>
      <c r="R82" s="1080"/>
      <c r="S82" s="1080"/>
      <c r="T82" s="1080"/>
      <c r="U82" s="170" t="str">
        <f t="shared" si="18"/>
        <v/>
      </c>
      <c r="CB82" s="2553" t="str">
        <f t="shared" si="19"/>
        <v/>
      </c>
      <c r="CC82" s="2553" t="str">
        <f t="shared" si="20"/>
        <v/>
      </c>
      <c r="CD82" s="2553" t="str">
        <f t="shared" si="21"/>
        <v/>
      </c>
      <c r="CE82" s="2553" t="str">
        <f t="shared" si="22"/>
        <v/>
      </c>
      <c r="CF82" s="2553"/>
      <c r="CG82" s="2553"/>
      <c r="CI82" s="2554">
        <f t="shared" si="23"/>
        <v>0</v>
      </c>
      <c r="CJ82" s="2554">
        <f t="shared" si="24"/>
        <v>0</v>
      </c>
      <c r="CK82" s="2554">
        <f t="shared" si="25"/>
        <v>0</v>
      </c>
      <c r="CL82" s="2554">
        <f t="shared" si="26"/>
        <v>0</v>
      </c>
      <c r="CM82" s="2554"/>
    </row>
    <row r="83" spans="1:91" s="170" customFormat="1" ht="15" customHeight="1" x14ac:dyDescent="0.15">
      <c r="A83" s="1559" t="s">
        <v>1266</v>
      </c>
      <c r="B83" s="1101"/>
      <c r="C83" s="1558">
        <f t="shared" si="16"/>
        <v>0</v>
      </c>
      <c r="D83" s="581">
        <f t="shared" si="17"/>
        <v>0</v>
      </c>
      <c r="E83" s="143">
        <f t="shared" si="17"/>
        <v>0</v>
      </c>
      <c r="F83" s="1089"/>
      <c r="G83" s="1077"/>
      <c r="H83" s="1076"/>
      <c r="I83" s="1077"/>
      <c r="J83" s="1076"/>
      <c r="K83" s="1077"/>
      <c r="L83" s="591"/>
      <c r="M83" s="776"/>
      <c r="N83" s="105"/>
      <c r="O83" s="105"/>
      <c r="P83" s="789"/>
      <c r="Q83" s="789"/>
      <c r="R83" s="789"/>
      <c r="S83" s="789"/>
      <c r="T83" s="789"/>
      <c r="U83" s="170" t="str">
        <f t="shared" si="18"/>
        <v/>
      </c>
      <c r="CB83" s="2553" t="str">
        <f t="shared" si="19"/>
        <v/>
      </c>
      <c r="CC83" s="2553" t="str">
        <f t="shared" si="20"/>
        <v/>
      </c>
      <c r="CD83" s="2553" t="str">
        <f t="shared" si="21"/>
        <v/>
      </c>
      <c r="CE83" s="2553" t="str">
        <f t="shared" si="22"/>
        <v/>
      </c>
      <c r="CF83" s="2553"/>
      <c r="CG83" s="2553"/>
      <c r="CI83" s="2554">
        <f t="shared" si="23"/>
        <v>0</v>
      </c>
      <c r="CJ83" s="2554">
        <f t="shared" si="24"/>
        <v>0</v>
      </c>
      <c r="CK83" s="2554">
        <f t="shared" si="25"/>
        <v>0</v>
      </c>
      <c r="CL83" s="2554">
        <f t="shared" si="26"/>
        <v>0</v>
      </c>
      <c r="CM83" s="2554"/>
    </row>
    <row r="84" spans="1:91" s="170" customFormat="1" ht="15" customHeight="1" x14ac:dyDescent="0.15">
      <c r="A84" s="1560" t="s">
        <v>44</v>
      </c>
      <c r="B84" s="1101"/>
      <c r="C84" s="1558">
        <f t="shared" si="16"/>
        <v>0</v>
      </c>
      <c r="D84" s="581">
        <f t="shared" si="17"/>
        <v>0</v>
      </c>
      <c r="E84" s="143">
        <f t="shared" si="17"/>
        <v>0</v>
      </c>
      <c r="F84" s="589"/>
      <c r="G84" s="590"/>
      <c r="H84" s="591"/>
      <c r="I84" s="590"/>
      <c r="J84" s="591"/>
      <c r="K84" s="590"/>
      <c r="L84" s="1076"/>
      <c r="M84" s="1078"/>
      <c r="N84" s="105"/>
      <c r="O84" s="105"/>
      <c r="P84" s="789"/>
      <c r="Q84" s="789"/>
      <c r="R84" s="789"/>
      <c r="S84" s="789"/>
      <c r="T84" s="789"/>
      <c r="U84" s="170" t="str">
        <f t="shared" si="18"/>
        <v/>
      </c>
      <c r="CB84" s="2553" t="str">
        <f t="shared" si="19"/>
        <v/>
      </c>
      <c r="CC84" s="2553" t="str">
        <f t="shared" si="20"/>
        <v/>
      </c>
      <c r="CD84" s="2553" t="str">
        <f t="shared" si="21"/>
        <v/>
      </c>
      <c r="CE84" s="2553" t="str">
        <f t="shared" si="22"/>
        <v/>
      </c>
      <c r="CF84" s="2553"/>
      <c r="CG84" s="2553"/>
      <c r="CI84" s="2554">
        <f t="shared" si="23"/>
        <v>0</v>
      </c>
      <c r="CJ84" s="2554">
        <f t="shared" si="24"/>
        <v>0</v>
      </c>
      <c r="CK84" s="2554">
        <f t="shared" si="25"/>
        <v>0</v>
      </c>
      <c r="CL84" s="2554">
        <f t="shared" si="26"/>
        <v>0</v>
      </c>
      <c r="CM84" s="2554"/>
    </row>
    <row r="85" spans="1:91" s="170" customFormat="1" ht="15" customHeight="1" x14ac:dyDescent="0.15">
      <c r="A85" s="2550" t="s">
        <v>24</v>
      </c>
      <c r="B85" s="2590">
        <f>SUM(B71:B84)</f>
        <v>0</v>
      </c>
      <c r="C85" s="1452">
        <f>SUM(D85:E85)</f>
        <v>0</v>
      </c>
      <c r="D85" s="1449">
        <f t="shared" ref="D85:S85" si="27">SUM(D71:D84)</f>
        <v>0</v>
      </c>
      <c r="E85" s="1451">
        <f t="shared" si="27"/>
        <v>0</v>
      </c>
      <c r="F85" s="1449">
        <f>SUM(F71:F84)</f>
        <v>0</v>
      </c>
      <c r="G85" s="1543">
        <f t="shared" si="27"/>
        <v>0</v>
      </c>
      <c r="H85" s="1451">
        <f t="shared" si="27"/>
        <v>0</v>
      </c>
      <c r="I85" s="1543">
        <f t="shared" si="27"/>
        <v>0</v>
      </c>
      <c r="J85" s="1451">
        <f t="shared" si="27"/>
        <v>0</v>
      </c>
      <c r="K85" s="1543">
        <f t="shared" si="27"/>
        <v>0</v>
      </c>
      <c r="L85" s="1451">
        <f t="shared" si="27"/>
        <v>0</v>
      </c>
      <c r="M85" s="2591">
        <f t="shared" si="27"/>
        <v>0</v>
      </c>
      <c r="N85" s="1452">
        <f t="shared" si="27"/>
        <v>0</v>
      </c>
      <c r="O85" s="1433">
        <f t="shared" si="27"/>
        <v>0</v>
      </c>
      <c r="P85" s="1433">
        <f t="shared" si="27"/>
        <v>0</v>
      </c>
      <c r="Q85" s="1433">
        <f t="shared" si="27"/>
        <v>0</v>
      </c>
      <c r="R85" s="1433">
        <f t="shared" si="27"/>
        <v>0</v>
      </c>
      <c r="S85" s="1433">
        <f t="shared" si="27"/>
        <v>0</v>
      </c>
      <c r="T85" s="1433">
        <f>SUM(T71:T84)</f>
        <v>0</v>
      </c>
    </row>
    <row r="86" spans="1:91" s="1134" customFormat="1" ht="18" customHeight="1" x14ac:dyDescent="0.15">
      <c r="A86" s="8103" t="s">
        <v>1308</v>
      </c>
      <c r="B86" s="8103"/>
      <c r="C86" s="8103"/>
      <c r="D86" s="8103"/>
      <c r="E86" s="8103"/>
      <c r="F86" s="8103"/>
    </row>
    <row r="87" spans="1:91" s="170" customFormat="1" ht="15" customHeight="1" x14ac:dyDescent="0.15">
      <c r="A87" s="8528" t="s">
        <v>1309</v>
      </c>
      <c r="B87" s="8562" t="s">
        <v>47</v>
      </c>
      <c r="C87" s="8564" t="s">
        <v>12</v>
      </c>
      <c r="D87" s="6908"/>
      <c r="E87" s="6908"/>
      <c r="F87" s="6908"/>
      <c r="G87" s="6908"/>
      <c r="H87" s="6908"/>
      <c r="I87" s="6908"/>
      <c r="J87" s="6908"/>
      <c r="K87" s="6908"/>
      <c r="L87" s="6908"/>
      <c r="M87" s="6908"/>
      <c r="N87" s="6908"/>
      <c r="O87" s="6908"/>
      <c r="P87" s="6908"/>
      <c r="Q87" s="6908"/>
      <c r="R87" s="6908"/>
      <c r="S87" s="6913"/>
      <c r="CB87" s="2553"/>
      <c r="CC87" s="2553"/>
      <c r="CD87" s="2553"/>
      <c r="CE87" s="2553"/>
      <c r="CF87" s="2553"/>
      <c r="CG87" s="2553"/>
      <c r="CI87" s="2554"/>
      <c r="CJ87" s="2554"/>
      <c r="CK87" s="2554"/>
    </row>
    <row r="88" spans="1:91" s="170" customFormat="1" ht="21" x14ac:dyDescent="0.15">
      <c r="A88" s="8530"/>
      <c r="B88" s="8563"/>
      <c r="C88" s="1427" t="s">
        <v>36</v>
      </c>
      <c r="D88" s="1436" t="s">
        <v>37</v>
      </c>
      <c r="E88" s="1436" t="s">
        <v>38</v>
      </c>
      <c r="F88" s="1436" t="s">
        <v>4</v>
      </c>
      <c r="G88" s="1436" t="s">
        <v>5</v>
      </c>
      <c r="H88" s="1436" t="s">
        <v>6</v>
      </c>
      <c r="I88" s="1436" t="s">
        <v>7</v>
      </c>
      <c r="J88" s="1436" t="s">
        <v>8</v>
      </c>
      <c r="K88" s="1436" t="s">
        <v>9</v>
      </c>
      <c r="L88" s="1436" t="s">
        <v>10</v>
      </c>
      <c r="M88" s="1436" t="s">
        <v>11</v>
      </c>
      <c r="N88" s="1436" t="s">
        <v>18</v>
      </c>
      <c r="O88" s="1436" t="s">
        <v>19</v>
      </c>
      <c r="P88" s="1436" t="s">
        <v>20</v>
      </c>
      <c r="Q88" s="1436" t="s">
        <v>70</v>
      </c>
      <c r="R88" s="1436" t="s">
        <v>71</v>
      </c>
      <c r="S88" s="1428" t="s">
        <v>32</v>
      </c>
      <c r="CB88" s="2553"/>
      <c r="CC88" s="2553"/>
      <c r="CD88" s="2553"/>
      <c r="CE88" s="2553"/>
      <c r="CF88" s="2553"/>
      <c r="CG88" s="2553"/>
      <c r="CI88" s="2554"/>
      <c r="CJ88" s="2554"/>
      <c r="CK88" s="2554"/>
    </row>
    <row r="89" spans="1:91" s="170" customFormat="1" ht="15" customHeight="1" x14ac:dyDescent="0.15">
      <c r="A89" s="1523" t="s">
        <v>1121</v>
      </c>
      <c r="B89" s="1075">
        <f>SUM(C89:S89)</f>
        <v>0</v>
      </c>
      <c r="C89" s="1561"/>
      <c r="D89" s="1562"/>
      <c r="E89" s="1562"/>
      <c r="F89" s="1562"/>
      <c r="G89" s="1562"/>
      <c r="H89" s="1562"/>
      <c r="I89" s="1562"/>
      <c r="J89" s="1562"/>
      <c r="K89" s="1562"/>
      <c r="L89" s="1562"/>
      <c r="M89" s="1562"/>
      <c r="N89" s="1562"/>
      <c r="O89" s="1562"/>
      <c r="P89" s="1562"/>
      <c r="Q89" s="1562"/>
      <c r="R89" s="1562"/>
      <c r="S89" s="857"/>
      <c r="CB89" s="2553"/>
      <c r="CC89" s="2553"/>
      <c r="CD89" s="2553"/>
      <c r="CE89" s="2553"/>
      <c r="CF89" s="2553"/>
      <c r="CG89" s="2553"/>
      <c r="CI89" s="2554"/>
      <c r="CJ89" s="2554"/>
      <c r="CK89" s="2554"/>
    </row>
    <row r="90" spans="1:91" s="170" customFormat="1" ht="15" customHeight="1" x14ac:dyDescent="0.15">
      <c r="A90" s="1523" t="s">
        <v>1310</v>
      </c>
      <c r="B90" s="1075">
        <f>SUM(C90:S90)</f>
        <v>0</v>
      </c>
      <c r="C90" s="1561"/>
      <c r="D90" s="1562"/>
      <c r="E90" s="1562"/>
      <c r="F90" s="1562"/>
      <c r="G90" s="1562"/>
      <c r="H90" s="1562"/>
      <c r="I90" s="1562"/>
      <c r="J90" s="1562"/>
      <c r="K90" s="1562"/>
      <c r="L90" s="1562"/>
      <c r="M90" s="1562"/>
      <c r="N90" s="1562"/>
      <c r="O90" s="1562"/>
      <c r="P90" s="1562"/>
      <c r="Q90" s="1562"/>
      <c r="R90" s="1562"/>
      <c r="S90" s="857"/>
      <c r="CB90" s="2553"/>
      <c r="CC90" s="2553"/>
      <c r="CD90" s="2553"/>
      <c r="CE90" s="2553"/>
      <c r="CF90" s="2553"/>
      <c r="CG90" s="2553"/>
      <c r="CI90" s="2554"/>
      <c r="CJ90" s="2554"/>
      <c r="CK90" s="2554"/>
    </row>
    <row r="91" spans="1:91" s="170" customFormat="1" ht="15" customHeight="1" x14ac:dyDescent="0.15">
      <c r="A91" s="1542" t="s">
        <v>1300</v>
      </c>
      <c r="B91" s="1554">
        <f>SUM(C91:S91)</f>
        <v>0</v>
      </c>
      <c r="C91" s="1563"/>
      <c r="D91" s="1564"/>
      <c r="E91" s="1564"/>
      <c r="F91" s="1564"/>
      <c r="G91" s="1564"/>
      <c r="H91" s="1564"/>
      <c r="I91" s="1564"/>
      <c r="J91" s="1564"/>
      <c r="K91" s="1564"/>
      <c r="L91" s="1564"/>
      <c r="M91" s="1564"/>
      <c r="N91" s="1564"/>
      <c r="O91" s="1564"/>
      <c r="P91" s="1564"/>
      <c r="Q91" s="1564"/>
      <c r="R91" s="1564"/>
      <c r="S91" s="1446"/>
      <c r="CB91" s="2553"/>
      <c r="CC91" s="2553"/>
      <c r="CD91" s="2553"/>
      <c r="CE91" s="2553"/>
      <c r="CF91" s="2553"/>
      <c r="CG91" s="2553"/>
      <c r="CI91" s="2554"/>
      <c r="CJ91" s="2554"/>
      <c r="CK91" s="2554"/>
    </row>
    <row r="92" spans="1:91" x14ac:dyDescent="0.25">
      <c r="CB92"/>
      <c r="CC92"/>
      <c r="CD92"/>
      <c r="CE92"/>
      <c r="CF92"/>
      <c r="CG92"/>
      <c r="CI92"/>
      <c r="CJ92"/>
      <c r="CK92"/>
    </row>
    <row r="93" spans="1:91" x14ac:dyDescent="0.25">
      <c r="CB93"/>
      <c r="CC93"/>
      <c r="CD93"/>
      <c r="CE93"/>
      <c r="CF93"/>
      <c r="CG93"/>
      <c r="CI93"/>
      <c r="CJ93"/>
      <c r="CK93"/>
    </row>
    <row r="94" spans="1:91" x14ac:dyDescent="0.25">
      <c r="CB94"/>
      <c r="CC94"/>
      <c r="CD94"/>
      <c r="CE94"/>
      <c r="CF94"/>
      <c r="CG94"/>
      <c r="CI94"/>
      <c r="CJ94"/>
      <c r="CK94"/>
    </row>
    <row r="95" spans="1:91" x14ac:dyDescent="0.25">
      <c r="CB95"/>
      <c r="CC95"/>
      <c r="CD95"/>
      <c r="CE95"/>
      <c r="CF95"/>
      <c r="CG95"/>
      <c r="CI95"/>
      <c r="CJ95"/>
      <c r="CK95"/>
    </row>
    <row r="96" spans="1:91" x14ac:dyDescent="0.25">
      <c r="CB96"/>
      <c r="CC96"/>
      <c r="CD96"/>
      <c r="CE96"/>
      <c r="CF96"/>
      <c r="CG96"/>
      <c r="CI96"/>
      <c r="CJ96"/>
      <c r="CK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30" spans="1:2" hidden="1" x14ac:dyDescent="0.25">
      <c r="A130" s="4565">
        <f>SUM(C12:C28,B32:B46,B50:B66,C71:C85,B89:B91)</f>
        <v>0</v>
      </c>
      <c r="B130" s="4564">
        <f>SUM(CI12:CM91)</f>
        <v>0</v>
      </c>
    </row>
  </sheetData>
  <sheetProtection algorithmName="SHA-512" hashValue="SU375WfNqlu6dd7yFKFgs04OcG7AGPO/jAE9YoqhhMreNVtRZtbGYU4zhMICfDaGSn7uvbfP0TDE4fmoZC867w==" saltValue="9sgw71DI4n7snwW3TPEaJA==" spinCount="100000" sheet="1" objects="1" scenarios="1"/>
  <mergeCells count="69">
    <mergeCell ref="A86:F86"/>
    <mergeCell ref="A87:A88"/>
    <mergeCell ref="B87:B88"/>
    <mergeCell ref="C87:S87"/>
    <mergeCell ref="O68:O70"/>
    <mergeCell ref="P68:P70"/>
    <mergeCell ref="Q68:Q70"/>
    <mergeCell ref="R68:R70"/>
    <mergeCell ref="S68:S70"/>
    <mergeCell ref="T68:T70"/>
    <mergeCell ref="A67:M67"/>
    <mergeCell ref="A68:A70"/>
    <mergeCell ref="B68:B70"/>
    <mergeCell ref="C68:E69"/>
    <mergeCell ref="F68:M68"/>
    <mergeCell ref="N68:N70"/>
    <mergeCell ref="F69:G69"/>
    <mergeCell ref="H69:I69"/>
    <mergeCell ref="J69:K69"/>
    <mergeCell ref="L69:M69"/>
    <mergeCell ref="A47:M47"/>
    <mergeCell ref="A48:A49"/>
    <mergeCell ref="B48:B49"/>
    <mergeCell ref="C48:C49"/>
    <mergeCell ref="D48:D49"/>
    <mergeCell ref="E48:E49"/>
    <mergeCell ref="F48:AF48"/>
    <mergeCell ref="A12:A14"/>
    <mergeCell ref="A15:A27"/>
    <mergeCell ref="A28:B28"/>
    <mergeCell ref="A29:L29"/>
    <mergeCell ref="A30:A31"/>
    <mergeCell ref="B30:B31"/>
    <mergeCell ref="C30:C31"/>
    <mergeCell ref="D30:D31"/>
    <mergeCell ref="E30:E31"/>
    <mergeCell ref="F30:AF30"/>
    <mergeCell ref="AU9:AU11"/>
    <mergeCell ref="AV9:AV11"/>
    <mergeCell ref="AW9:AW11"/>
    <mergeCell ref="F10:G10"/>
    <mergeCell ref="H10:I10"/>
    <mergeCell ref="J10:K10"/>
    <mergeCell ref="L10:M10"/>
    <mergeCell ref="N10:O10"/>
    <mergeCell ref="P10:Q10"/>
    <mergeCell ref="R10:S10"/>
    <mergeCell ref="AO9:AO11"/>
    <mergeCell ref="AP9:AP11"/>
    <mergeCell ref="AQ9:AQ11"/>
    <mergeCell ref="AR9:AR11"/>
    <mergeCell ref="AS9:AS11"/>
    <mergeCell ref="AB10:AC10"/>
    <mergeCell ref="AT9:AT11"/>
    <mergeCell ref="A6:T6"/>
    <mergeCell ref="A8:J8"/>
    <mergeCell ref="A9:B11"/>
    <mergeCell ref="C9:E10"/>
    <mergeCell ref="F9:AM9"/>
    <mergeCell ref="AN9:AN11"/>
    <mergeCell ref="T10:U10"/>
    <mergeCell ref="V10:W10"/>
    <mergeCell ref="X10:Y10"/>
    <mergeCell ref="Z10:AA10"/>
    <mergeCell ref="AL10:AM10"/>
    <mergeCell ref="AD10:AE10"/>
    <mergeCell ref="AF10:AG10"/>
    <mergeCell ref="AH10:AI10"/>
    <mergeCell ref="AJ10:AK10"/>
  </mergeCells>
  <dataValidations count="2">
    <dataValidation type="whole" operator="greaterThanOrEqual" allowBlank="1" showInputMessage="1" showErrorMessage="1" error="Valor no Permitido" sqref="F12:AW27 C32:AF45 C50:AF65 F71:T84 B71:B84 C89:S91" xr:uid="{00000000-0002-0000-1800-000000000000}">
      <formula1>0</formula1>
    </dataValidation>
    <dataValidation allowBlank="1" showInputMessage="1" showErrorMessage="1" error="Valor no Permitido" sqref="A6:T6 A8 A9:E28 F28:AW28 F9:AM11 A87:B91 C87:S88 A29 A30:B46 C46:AF46 C30:AF31 C66:AF66 C48:AF49 B48:B66 A47:A48 B68:B70 F85:T85 F68:T70 C68:E85 B85 A50:A68 A71:A86 AO9:AW11 AN9" xr:uid="{00000000-0002-0000-1800-000001000000}"/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CR240"/>
  <sheetViews>
    <sheetView showGridLines="0" zoomScaleNormal="100" workbookViewId="0"/>
  </sheetViews>
  <sheetFormatPr baseColWidth="10" defaultRowHeight="15" x14ac:dyDescent="0.25"/>
  <cols>
    <col min="1" max="1" width="67.28515625" customWidth="1"/>
    <col min="2" max="2" width="25.42578125" customWidth="1"/>
    <col min="3" max="3" width="16" customWidth="1"/>
    <col min="4" max="4" width="14.5703125" customWidth="1"/>
    <col min="5" max="5" width="14.42578125" bestFit="1" customWidth="1"/>
    <col min="6" max="6" width="12.7109375" customWidth="1"/>
    <col min="7" max="7" width="12.140625" customWidth="1"/>
    <col min="10" max="10" width="12.85546875" customWidth="1"/>
    <col min="13" max="13" width="12.85546875" customWidth="1"/>
    <col min="14" max="14" width="12.7109375" customWidth="1"/>
    <col min="16" max="16" width="12.28515625" customWidth="1"/>
    <col min="17" max="17" width="14.7109375" customWidth="1"/>
    <col min="18" max="18" width="14" customWidth="1"/>
    <col min="19" max="19" width="14.5703125" customWidth="1"/>
    <col min="20" max="20" width="13.140625" customWidth="1"/>
    <col min="21" max="21" width="12.85546875" customWidth="1"/>
    <col min="22" max="26" width="12.5703125" customWidth="1"/>
    <col min="39" max="39" width="13.7109375" customWidth="1"/>
    <col min="40" max="40" width="15.140625" customWidth="1"/>
    <col min="43" max="43" width="12" customWidth="1"/>
    <col min="46" max="46" width="15" customWidth="1"/>
    <col min="80" max="94" width="11.42578125" hidden="1" customWidth="1"/>
    <col min="95" max="96" width="11.5703125" hidden="1" customWidth="1"/>
    <col min="97" max="97" width="0" hidden="1" customWidth="1"/>
  </cols>
  <sheetData>
    <row r="1" spans="1:94" x14ac:dyDescent="0.25">
      <c r="A1" s="779" t="s">
        <v>3878</v>
      </c>
    </row>
    <row r="2" spans="1:94" x14ac:dyDescent="0.25">
      <c r="A2" s="779" t="str">
        <f>CONCATENATE("COMUNA: ",NOMBRE!B2," - ","( ",NOMBRE!C2,NOMBRE!D2,NOMBRE!E2,NOMBRE!F2,NOMBRE!G2," )")</f>
        <v>COMUNA:  - (  )</v>
      </c>
    </row>
    <row r="3" spans="1:94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94" x14ac:dyDescent="0.25">
      <c r="A4" s="779" t="str">
        <f>CONCATENATE("MES: ",NOMBRE!B6," - ","( ",NOMBRE!C6,NOMBRE!D6," )")</f>
        <v>MES:  - (  )</v>
      </c>
    </row>
    <row r="5" spans="1:94" x14ac:dyDescent="0.25">
      <c r="A5" s="779" t="str">
        <f>CONCATENATE("AÑO: ",NOMBRE!B7)</f>
        <v>AÑO: 2024</v>
      </c>
    </row>
    <row r="6" spans="1:94" ht="18" customHeight="1" x14ac:dyDescent="0.25">
      <c r="A6" s="7130" t="s">
        <v>1311</v>
      </c>
      <c r="B6" s="7130"/>
      <c r="C6" s="7130"/>
      <c r="D6" s="7130"/>
      <c r="E6" s="7130"/>
      <c r="F6" s="7130"/>
      <c r="G6" s="7130"/>
      <c r="H6" s="7130"/>
      <c r="I6" s="7130"/>
      <c r="J6" s="7130"/>
      <c r="K6" s="7130"/>
      <c r="L6" s="7130"/>
      <c r="M6" s="7130"/>
      <c r="N6" s="7130"/>
      <c r="O6" s="7130"/>
      <c r="P6" s="7130"/>
      <c r="Q6" s="7130"/>
      <c r="R6" s="7130"/>
      <c r="S6" s="7130"/>
    </row>
    <row r="8" spans="1:94" s="1134" customFormat="1" ht="18" customHeight="1" x14ac:dyDescent="0.15">
      <c r="A8" s="8566" t="s">
        <v>1312</v>
      </c>
      <c r="B8" s="8567"/>
      <c r="C8" s="8567"/>
    </row>
    <row r="9" spans="1:94" s="170" customFormat="1" ht="15" customHeight="1" x14ac:dyDescent="0.15">
      <c r="A9" s="8262" t="s">
        <v>61</v>
      </c>
      <c r="B9" s="8568" t="s">
        <v>24</v>
      </c>
      <c r="C9" s="8570" t="s">
        <v>12</v>
      </c>
      <c r="D9" s="8571"/>
      <c r="E9" s="8571"/>
      <c r="F9" s="8571"/>
      <c r="G9" s="8571"/>
      <c r="H9" s="8571"/>
      <c r="I9" s="8571"/>
      <c r="J9" s="8571"/>
      <c r="K9" s="8571"/>
      <c r="L9" s="8571"/>
      <c r="M9" s="8571"/>
      <c r="N9" s="8571"/>
      <c r="O9" s="8571"/>
      <c r="P9" s="8571"/>
      <c r="Q9" s="8571"/>
      <c r="R9" s="8571"/>
      <c r="S9" s="8572"/>
      <c r="T9" s="8573" t="s">
        <v>1313</v>
      </c>
      <c r="U9" s="8574"/>
      <c r="V9" s="7879" t="s">
        <v>49</v>
      </c>
      <c r="W9" s="7879" t="s">
        <v>45</v>
      </c>
      <c r="X9" s="7790" t="s">
        <v>2</v>
      </c>
      <c r="Y9" s="7790" t="s">
        <v>3</v>
      </c>
      <c r="Z9" s="7790" t="s">
        <v>1314</v>
      </c>
    </row>
    <row r="10" spans="1:94" s="170" customFormat="1" ht="27" customHeight="1" x14ac:dyDescent="0.15">
      <c r="A10" s="8262"/>
      <c r="B10" s="8569"/>
      <c r="C10" s="1313" t="s">
        <v>36</v>
      </c>
      <c r="D10" s="1458" t="s">
        <v>37</v>
      </c>
      <c r="E10" s="1315" t="s">
        <v>1315</v>
      </c>
      <c r="F10" s="1458" t="s">
        <v>4</v>
      </c>
      <c r="G10" s="1184" t="s">
        <v>5</v>
      </c>
      <c r="H10" s="1184" t="s">
        <v>6</v>
      </c>
      <c r="I10" s="1184" t="s">
        <v>7</v>
      </c>
      <c r="J10" s="1184" t="s">
        <v>8</v>
      </c>
      <c r="K10" s="1184" t="s">
        <v>9</v>
      </c>
      <c r="L10" s="1184" t="s">
        <v>10</v>
      </c>
      <c r="M10" s="1184" t="s">
        <v>11</v>
      </c>
      <c r="N10" s="1184" t="s">
        <v>18</v>
      </c>
      <c r="O10" s="1184" t="s">
        <v>19</v>
      </c>
      <c r="P10" s="1184" t="s">
        <v>20</v>
      </c>
      <c r="Q10" s="1184" t="s">
        <v>70</v>
      </c>
      <c r="R10" s="1184" t="s">
        <v>71</v>
      </c>
      <c r="S10" s="1389" t="s">
        <v>32</v>
      </c>
      <c r="T10" s="1606" t="s">
        <v>22</v>
      </c>
      <c r="U10" s="2592" t="s">
        <v>27</v>
      </c>
      <c r="V10" s="7933"/>
      <c r="W10" s="7933"/>
      <c r="X10" s="8565"/>
      <c r="Y10" s="8565"/>
      <c r="Z10" s="8565"/>
    </row>
    <row r="11" spans="1:94" s="170" customFormat="1" ht="15" customHeight="1" x14ac:dyDescent="0.15">
      <c r="A11" s="1565" t="s">
        <v>74</v>
      </c>
      <c r="B11" s="1507">
        <f t="shared" ref="B11:B16" si="0">SUM(C11:S11)</f>
        <v>0</v>
      </c>
      <c r="C11" s="1113"/>
      <c r="D11" s="1476"/>
      <c r="E11" s="1294"/>
      <c r="F11" s="1472"/>
      <c r="G11" s="1472"/>
      <c r="H11" s="1472"/>
      <c r="I11" s="1472"/>
      <c r="J11" s="1472"/>
      <c r="K11" s="1472"/>
      <c r="L11" s="1472"/>
      <c r="M11" s="1472"/>
      <c r="N11" s="1472"/>
      <c r="O11" s="1472"/>
      <c r="P11" s="1472"/>
      <c r="Q11" s="1472"/>
      <c r="R11" s="1472"/>
      <c r="S11" s="1296"/>
      <c r="T11" s="1566"/>
      <c r="U11" s="1567"/>
      <c r="V11" s="1293"/>
      <c r="W11" s="1293"/>
      <c r="X11" s="1293"/>
      <c r="Y11" s="1293"/>
      <c r="Z11" s="1293"/>
      <c r="AA11" s="170" t="str">
        <f>CC11&amp;CD11&amp;CE11&amp;CF11&amp;CG11&amp;CH11&amp;CI11</f>
        <v/>
      </c>
      <c r="CC11" s="2553" t="str">
        <f>IF((T11+U11)&lt;&gt;B11," * El desglose por sexo No pueder distinto al Total.","")</f>
        <v/>
      </c>
      <c r="CD11" s="2553" t="str">
        <f>IF(AND(B11&gt;0,V11="")," * No olvide digitar Niños, niñas, adolescentes y Jóvenes SENAME. Digite cero si no tiene.",IF(V11&gt;B11," * La variable Niños, Niñas, adolescentes y jóvenes SENAME no puede ser mayor al Total.",""))</f>
        <v/>
      </c>
      <c r="CE11" s="2553" t="str">
        <f>IF(AND(B11&gt;0,W11="")," * No olvide digitar Niños, niñas, adolescentes y Jóvenes Mejor niñez. Digite cero si no tiene.",IF(W11&gt;B11," * La variable Niños, Niñas, adolescentes y jóvenes Mejor Niñez no puede ser mayor al Total.",""))</f>
        <v/>
      </c>
      <c r="CF11" s="2553" t="str">
        <f>IF(AND(B11&gt;0,X11="")," * No olvide digitar Pueblos originarios. Digite cero si no tiene.",IF(X11&gt;B11," * La variable pueblos originarios no puede ser mayor al Total.",""))</f>
        <v/>
      </c>
      <c r="CG11" s="2553" t="str">
        <f>IF(AND(B11&gt;0,Y11="")," * No olvide digitar Migrantes. Digite cero si no tiene.",IF(Y11&gt;B11," * La variable Migrantes no puede ser mayor al Total.",""))</f>
        <v/>
      </c>
      <c r="CH11" s="2553" t="str">
        <f>IF(AND(B11&gt;0,Z11="")," * No olvide digitar Espacios amigables/adolescentes. Digite cero si no tiene.",IF(Z11&gt;B11," * La variable Espacios amigables/adolescentes no puede ser mayor al Total.",""))</f>
        <v/>
      </c>
      <c r="CI11" s="2553"/>
      <c r="CK11" s="2554">
        <f>IF((T11+U11)&lt;&gt;B11,1,0)</f>
        <v>0</v>
      </c>
      <c r="CL11" s="2554">
        <f>IF(AND(B11&gt;0,V11=""),1,IF(V11&gt;B11,1,0))</f>
        <v>0</v>
      </c>
      <c r="CM11" s="2554">
        <f>IF(AND(B11&gt;0,W11=""),1,IF(W11&gt;B11,1,0))</f>
        <v>0</v>
      </c>
      <c r="CN11" s="2554">
        <f>IF(AND(B11&gt;0,X11=""),1,IF(X11&gt;B11,1,0))</f>
        <v>0</v>
      </c>
      <c r="CO11" s="2554">
        <f>IF(AND(B11&gt;0,Y11=""),1,IF(Y11&gt;B11,1,0))</f>
        <v>0</v>
      </c>
      <c r="CP11" s="2554">
        <f>IF(AND(B11&gt;0,Z11=""),1,IF(Z11&gt;B11,1,0))</f>
        <v>0</v>
      </c>
    </row>
    <row r="12" spans="1:94" s="170" customFormat="1" ht="15" customHeight="1" x14ac:dyDescent="0.15">
      <c r="A12" s="1565" t="s">
        <v>76</v>
      </c>
      <c r="B12" s="1507">
        <f t="shared" si="0"/>
        <v>0</v>
      </c>
      <c r="C12" s="1113"/>
      <c r="D12" s="1476"/>
      <c r="E12" s="1115"/>
      <c r="F12" s="1476"/>
      <c r="G12" s="1476"/>
      <c r="H12" s="1476"/>
      <c r="I12" s="1476"/>
      <c r="J12" s="1476"/>
      <c r="K12" s="1476"/>
      <c r="L12" s="1476"/>
      <c r="M12" s="1476"/>
      <c r="N12" s="1476"/>
      <c r="O12" s="1476"/>
      <c r="P12" s="1476"/>
      <c r="Q12" s="1476"/>
      <c r="R12" s="1476"/>
      <c r="S12" s="1117"/>
      <c r="T12" s="1110"/>
      <c r="U12" s="1114"/>
      <c r="V12" s="8"/>
      <c r="W12" s="8"/>
      <c r="X12" s="8"/>
      <c r="Y12" s="8"/>
      <c r="Z12" s="8"/>
      <c r="AA12" s="170" t="str">
        <f t="shared" ref="AA12:AA15" si="1">CC12&amp;CD12&amp;CE12&amp;CF12&amp;CG12&amp;CH12&amp;CI12</f>
        <v/>
      </c>
      <c r="CC12" s="2553" t="str">
        <f t="shared" ref="CC12:CC15" si="2">IF((T12+U12)&lt;&gt;B12," * El desglose por sexo No pueder distinto al Total.","")</f>
        <v/>
      </c>
      <c r="CD12" s="2553" t="str">
        <f t="shared" ref="CD12:CD15" si="3">IF(AND(B12&gt;0,V12="")," * No olvide digitar Niños, niñas, adolescentes y Jóvenes SENAME. Digite cero si no tiene.",IF(V12&gt;B12," * La variable Niños, Niñas, adolescentes y jóvenes SENAME no puede ser mayor al Total.",""))</f>
        <v/>
      </c>
      <c r="CE12" s="2553" t="str">
        <f t="shared" ref="CE12:CE15" si="4">IF(AND(B12&gt;0,W12="")," * No olvide digitar Niños, niñas, adolescentes y Jóvenes Mejor niñez. Digite cero si no tiene.",IF(W12&gt;B12," * La variable Niños, Niñas, adolescentes y jóvenes Mejor Niñez no puede ser mayor al Total.",""))</f>
        <v/>
      </c>
      <c r="CF12" s="2553" t="str">
        <f t="shared" ref="CF12:CF15" si="5">IF(AND(B12&gt;0,X12="")," * No olvide digitar Pueblos originarios. Digite cero si no tiene.",IF(X12&gt;B12," * La variable pueblos originarios no puede ser mayor al Total.",""))</f>
        <v/>
      </c>
      <c r="CG12" s="2553" t="str">
        <f t="shared" ref="CG12:CG15" si="6">IF(AND(B12&gt;0,Y12="")," * No olvide digitar Migrantes. Digite cero si no tiene.",IF(Y12&gt;B12," * La variable Migrantes no puede ser mayor al Total.",""))</f>
        <v/>
      </c>
      <c r="CH12" s="2553" t="str">
        <f>IF(AND(B12&gt;0,Z12="")," * No olvide digitar Espacios amigables/adolescentes. Digite cero si no tiene.",IF(Z12&gt;B12," * La variable Espacios amigables/adolescentes no puede ser mayor al Total.",""))</f>
        <v/>
      </c>
      <c r="CI12" s="2553"/>
      <c r="CK12" s="2554">
        <f t="shared" ref="CK12:CK15" si="7">IF((T12+U12)&lt;&gt;B12,1,0)</f>
        <v>0</v>
      </c>
      <c r="CL12" s="2554">
        <f t="shared" ref="CL12:CL15" si="8">IF(AND(B12&gt;0,V12=""),1,IF(V12&gt;B12,1,0))</f>
        <v>0</v>
      </c>
      <c r="CM12" s="2554">
        <f t="shared" ref="CM12:CM15" si="9">IF(AND(B12&gt;0,W12=""),1,IF(W12&gt;B12,1,0))</f>
        <v>0</v>
      </c>
      <c r="CN12" s="2554">
        <f t="shared" ref="CN12:CN15" si="10">IF(AND(B12&gt;0,X12=""),1,IF(X12&gt;B12,1,0))</f>
        <v>0</v>
      </c>
      <c r="CO12" s="2554">
        <f t="shared" ref="CO12:CO15" si="11">IF(AND(B12&gt;0,Y12=""),1,IF(Y12&gt;B12,1,0))</f>
        <v>0</v>
      </c>
      <c r="CP12" s="2554">
        <f>IF(AND(B12&gt;0,Z12=""),1,IF(Z12&gt;B12,1,0))</f>
        <v>0</v>
      </c>
    </row>
    <row r="13" spans="1:94" s="170" customFormat="1" ht="15" customHeight="1" x14ac:dyDescent="0.15">
      <c r="A13" s="1565" t="s">
        <v>1316</v>
      </c>
      <c r="B13" s="1507">
        <f>SUM(E13:S13)</f>
        <v>0</v>
      </c>
      <c r="C13" s="1568"/>
      <c r="D13" s="1569"/>
      <c r="E13" s="1115"/>
      <c r="F13" s="1476"/>
      <c r="G13" s="1476"/>
      <c r="H13" s="1476"/>
      <c r="I13" s="1476"/>
      <c r="J13" s="1476"/>
      <c r="K13" s="1476"/>
      <c r="L13" s="1476"/>
      <c r="M13" s="1476"/>
      <c r="N13" s="1476"/>
      <c r="O13" s="1476"/>
      <c r="P13" s="1476"/>
      <c r="Q13" s="1476"/>
      <c r="R13" s="1476"/>
      <c r="S13" s="1117"/>
      <c r="T13" s="1110"/>
      <c r="U13" s="1114"/>
      <c r="V13" s="8"/>
      <c r="W13" s="8"/>
      <c r="X13" s="8"/>
      <c r="Y13" s="8"/>
      <c r="Z13" s="8"/>
      <c r="AA13" s="170" t="str">
        <f t="shared" si="1"/>
        <v/>
      </c>
      <c r="CC13" s="2553" t="str">
        <f t="shared" si="2"/>
        <v/>
      </c>
      <c r="CD13" s="2553" t="str">
        <f t="shared" si="3"/>
        <v/>
      </c>
      <c r="CE13" s="2553" t="str">
        <f t="shared" si="4"/>
        <v/>
      </c>
      <c r="CF13" s="2553" t="str">
        <f t="shared" si="5"/>
        <v/>
      </c>
      <c r="CG13" s="2553" t="str">
        <f t="shared" si="6"/>
        <v/>
      </c>
      <c r="CH13" s="2553" t="str">
        <f t="shared" ref="CH13:CH15" si="12">IF(AND(B13&gt;0,Z13="")," * No olvide digitar Espacios amigables/adolescentes. Digite cero si no tiene.",IF(Z13&gt;B13," * La variable Espacios amigables/adolescentes no puede ser mayor al Total.",""))</f>
        <v/>
      </c>
      <c r="CI13" s="2553"/>
      <c r="CK13" s="2554">
        <f t="shared" si="7"/>
        <v>0</v>
      </c>
      <c r="CL13" s="2554">
        <f t="shared" si="8"/>
        <v>0</v>
      </c>
      <c r="CM13" s="2554">
        <f t="shared" si="9"/>
        <v>0</v>
      </c>
      <c r="CN13" s="2554">
        <f t="shared" si="10"/>
        <v>0</v>
      </c>
      <c r="CO13" s="2554">
        <f t="shared" si="11"/>
        <v>0</v>
      </c>
      <c r="CP13" s="2554">
        <f t="shared" ref="CP13:CP15" si="13">IF(AND(B13&gt;0,Z13=""),1,IF(Z13&gt;B13,1,0))</f>
        <v>0</v>
      </c>
    </row>
    <row r="14" spans="1:94" s="170" customFormat="1" ht="15" customHeight="1" x14ac:dyDescent="0.15">
      <c r="A14" s="1565" t="s">
        <v>247</v>
      </c>
      <c r="B14" s="1507">
        <f t="shared" si="0"/>
        <v>0</v>
      </c>
      <c r="C14" s="1113"/>
      <c r="D14" s="1476"/>
      <c r="E14" s="1115"/>
      <c r="F14" s="1476"/>
      <c r="G14" s="1476"/>
      <c r="H14" s="1476"/>
      <c r="I14" s="1476"/>
      <c r="J14" s="1476"/>
      <c r="K14" s="1476"/>
      <c r="L14" s="1476"/>
      <c r="M14" s="1476"/>
      <c r="N14" s="1476"/>
      <c r="O14" s="1476"/>
      <c r="P14" s="1476"/>
      <c r="Q14" s="1476"/>
      <c r="R14" s="1476"/>
      <c r="S14" s="1117"/>
      <c r="T14" s="1110"/>
      <c r="U14" s="1114"/>
      <c r="V14" s="8"/>
      <c r="W14" s="8"/>
      <c r="X14" s="8"/>
      <c r="Y14" s="8"/>
      <c r="Z14" s="8"/>
      <c r="AA14" s="170" t="str">
        <f t="shared" si="1"/>
        <v/>
      </c>
      <c r="CC14" s="2553" t="str">
        <f t="shared" si="2"/>
        <v/>
      </c>
      <c r="CD14" s="2553" t="str">
        <f t="shared" si="3"/>
        <v/>
      </c>
      <c r="CE14" s="2553" t="str">
        <f t="shared" si="4"/>
        <v/>
      </c>
      <c r="CF14" s="2553" t="str">
        <f t="shared" si="5"/>
        <v/>
      </c>
      <c r="CG14" s="2553" t="str">
        <f t="shared" si="6"/>
        <v/>
      </c>
      <c r="CH14" s="2553" t="str">
        <f t="shared" si="12"/>
        <v/>
      </c>
      <c r="CI14" s="2553"/>
      <c r="CK14" s="2554">
        <f t="shared" si="7"/>
        <v>0</v>
      </c>
      <c r="CL14" s="2554">
        <f t="shared" si="8"/>
        <v>0</v>
      </c>
      <c r="CM14" s="2554">
        <f t="shared" si="9"/>
        <v>0</v>
      </c>
      <c r="CN14" s="2554">
        <f t="shared" si="10"/>
        <v>0</v>
      </c>
      <c r="CO14" s="2554">
        <f t="shared" si="11"/>
        <v>0</v>
      </c>
      <c r="CP14" s="2554">
        <f t="shared" si="13"/>
        <v>0</v>
      </c>
    </row>
    <row r="15" spans="1:94" s="170" customFormat="1" ht="15" customHeight="1" x14ac:dyDescent="0.15">
      <c r="A15" s="1565" t="s">
        <v>123</v>
      </c>
      <c r="B15" s="1507">
        <f t="shared" si="0"/>
        <v>0</v>
      </c>
      <c r="C15" s="1113"/>
      <c r="D15" s="1476"/>
      <c r="E15" s="1115"/>
      <c r="F15" s="1476"/>
      <c r="G15" s="1476"/>
      <c r="H15" s="1476"/>
      <c r="I15" s="1476"/>
      <c r="J15" s="1476"/>
      <c r="K15" s="1476"/>
      <c r="L15" s="1476"/>
      <c r="M15" s="1476"/>
      <c r="N15" s="1476"/>
      <c r="O15" s="1476"/>
      <c r="P15" s="1476"/>
      <c r="Q15" s="1476"/>
      <c r="R15" s="1476"/>
      <c r="S15" s="1117"/>
      <c r="T15" s="1110"/>
      <c r="U15" s="1114"/>
      <c r="V15" s="8"/>
      <c r="W15" s="8"/>
      <c r="X15" s="8"/>
      <c r="Y15" s="8"/>
      <c r="Z15" s="8"/>
      <c r="AA15" s="170" t="str">
        <f t="shared" si="1"/>
        <v/>
      </c>
      <c r="CC15" s="2553" t="str">
        <f t="shared" si="2"/>
        <v/>
      </c>
      <c r="CD15" s="2553" t="str">
        <f t="shared" si="3"/>
        <v/>
      </c>
      <c r="CE15" s="2553" t="str">
        <f t="shared" si="4"/>
        <v/>
      </c>
      <c r="CF15" s="2553" t="str">
        <f t="shared" si="5"/>
        <v/>
      </c>
      <c r="CG15" s="2553" t="str">
        <f t="shared" si="6"/>
        <v/>
      </c>
      <c r="CH15" s="2553" t="str">
        <f t="shared" si="12"/>
        <v/>
      </c>
      <c r="CI15" s="2553"/>
      <c r="CK15" s="2554">
        <f t="shared" si="7"/>
        <v>0</v>
      </c>
      <c r="CL15" s="2554">
        <f t="shared" si="8"/>
        <v>0</v>
      </c>
      <c r="CM15" s="2554">
        <f t="shared" si="9"/>
        <v>0</v>
      </c>
      <c r="CN15" s="2554">
        <f t="shared" si="10"/>
        <v>0</v>
      </c>
      <c r="CO15" s="2554">
        <f t="shared" si="11"/>
        <v>0</v>
      </c>
      <c r="CP15" s="2554">
        <f t="shared" si="13"/>
        <v>0</v>
      </c>
    </row>
    <row r="16" spans="1:94" s="170" customFormat="1" ht="15" customHeight="1" x14ac:dyDescent="0.15">
      <c r="A16" s="2593" t="s">
        <v>47</v>
      </c>
      <c r="B16" s="2594">
        <f t="shared" si="0"/>
        <v>0</v>
      </c>
      <c r="C16" s="2595">
        <f t="shared" ref="C16:S16" si="14">SUM(C11:C15)</f>
        <v>0</v>
      </c>
      <c r="D16" s="2596">
        <f t="shared" si="14"/>
        <v>0</v>
      </c>
      <c r="E16" s="2596">
        <f t="shared" si="14"/>
        <v>0</v>
      </c>
      <c r="F16" s="2597">
        <f t="shared" si="14"/>
        <v>0</v>
      </c>
      <c r="G16" s="2597">
        <f t="shared" si="14"/>
        <v>0</v>
      </c>
      <c r="H16" s="2597">
        <f t="shared" si="14"/>
        <v>0</v>
      </c>
      <c r="I16" s="2597">
        <f t="shared" si="14"/>
        <v>0</v>
      </c>
      <c r="J16" s="2597">
        <f t="shared" si="14"/>
        <v>0</v>
      </c>
      <c r="K16" s="2597">
        <f t="shared" si="14"/>
        <v>0</v>
      </c>
      <c r="L16" s="2597">
        <f t="shared" si="14"/>
        <v>0</v>
      </c>
      <c r="M16" s="2597">
        <f t="shared" si="14"/>
        <v>0</v>
      </c>
      <c r="N16" s="2597">
        <f t="shared" si="14"/>
        <v>0</v>
      </c>
      <c r="O16" s="2597">
        <f t="shared" si="14"/>
        <v>0</v>
      </c>
      <c r="P16" s="2597">
        <f t="shared" si="14"/>
        <v>0</v>
      </c>
      <c r="Q16" s="2597">
        <f t="shared" si="14"/>
        <v>0</v>
      </c>
      <c r="R16" s="2597">
        <f t="shared" si="14"/>
        <v>0</v>
      </c>
      <c r="S16" s="2598">
        <f t="shared" si="14"/>
        <v>0</v>
      </c>
      <c r="T16" s="2594">
        <f>SUM(T11:T15)</f>
        <v>0</v>
      </c>
      <c r="U16" s="2599">
        <f t="shared" ref="U16:Y16" si="15">SUM(U11:U15)</f>
        <v>0</v>
      </c>
      <c r="V16" s="2600">
        <f t="shared" si="15"/>
        <v>0</v>
      </c>
      <c r="W16" s="2600">
        <f t="shared" si="15"/>
        <v>0</v>
      </c>
      <c r="X16" s="2600">
        <f t="shared" si="15"/>
        <v>0</v>
      </c>
      <c r="Y16" s="2600">
        <f t="shared" si="15"/>
        <v>0</v>
      </c>
      <c r="Z16" s="2600">
        <f>SUM(Z11:Z15)</f>
        <v>0</v>
      </c>
    </row>
    <row r="17" spans="1:93" s="1134" customFormat="1" ht="18" customHeight="1" x14ac:dyDescent="0.15">
      <c r="A17" s="8566" t="s">
        <v>1317</v>
      </c>
      <c r="B17" s="8567"/>
      <c r="C17" s="8567"/>
      <c r="D17" s="8567"/>
      <c r="E17" s="8567"/>
      <c r="F17" s="8567"/>
      <c r="G17" s="8567"/>
      <c r="H17" s="8567"/>
      <c r="I17" s="8567"/>
      <c r="J17" s="8567"/>
      <c r="K17" s="8567"/>
      <c r="L17" s="8567"/>
    </row>
    <row r="18" spans="1:93" s="170" customFormat="1" ht="15" customHeight="1" x14ac:dyDescent="0.15">
      <c r="A18" s="8576" t="s">
        <v>701</v>
      </c>
      <c r="B18" s="8575" t="s">
        <v>24</v>
      </c>
      <c r="C18" s="8575"/>
      <c r="D18" s="8575"/>
      <c r="E18" s="8579" t="s">
        <v>30</v>
      </c>
      <c r="F18" s="8580"/>
      <c r="G18" s="8580"/>
      <c r="H18" s="8581"/>
      <c r="I18" s="8582" t="s">
        <v>74</v>
      </c>
      <c r="J18" s="8575" t="s">
        <v>1318</v>
      </c>
      <c r="K18" s="8575" t="s">
        <v>2</v>
      </c>
      <c r="L18" s="8575" t="s">
        <v>3</v>
      </c>
    </row>
    <row r="19" spans="1:93" s="170" customFormat="1" ht="15" customHeight="1" x14ac:dyDescent="0.15">
      <c r="A19" s="8576"/>
      <c r="B19" s="8575"/>
      <c r="C19" s="8575"/>
      <c r="D19" s="8575"/>
      <c r="E19" s="8576" t="s">
        <v>1319</v>
      </c>
      <c r="F19" s="8576"/>
      <c r="G19" s="8576" t="s">
        <v>1122</v>
      </c>
      <c r="H19" s="8577"/>
      <c r="I19" s="8582"/>
      <c r="J19" s="8575"/>
      <c r="K19" s="8575"/>
      <c r="L19" s="8575"/>
    </row>
    <row r="20" spans="1:93" s="170" customFormat="1" ht="15" customHeight="1" x14ac:dyDescent="0.15">
      <c r="A20" s="8576"/>
      <c r="B20" s="2601" t="s">
        <v>26</v>
      </c>
      <c r="C20" s="2602" t="s">
        <v>22</v>
      </c>
      <c r="D20" s="2602" t="s">
        <v>27</v>
      </c>
      <c r="E20" s="4491" t="s">
        <v>22</v>
      </c>
      <c r="F20" s="4486" t="s">
        <v>27</v>
      </c>
      <c r="G20" s="4491" t="s">
        <v>22</v>
      </c>
      <c r="H20" s="4500" t="s">
        <v>27</v>
      </c>
      <c r="I20" s="8582"/>
      <c r="J20" s="8575"/>
      <c r="K20" s="8575"/>
      <c r="L20" s="8575"/>
    </row>
    <row r="21" spans="1:93" s="170" customFormat="1" ht="15" customHeight="1" x14ac:dyDescent="0.15">
      <c r="A21" s="1570" t="s">
        <v>1320</v>
      </c>
      <c r="B21" s="1571">
        <f>SUM(C21:D21)</f>
        <v>0</v>
      </c>
      <c r="C21" s="1571">
        <f t="shared" ref="C21:D23" si="16">+E21+G21</f>
        <v>0</v>
      </c>
      <c r="D21" s="1571">
        <f t="shared" si="16"/>
        <v>0</v>
      </c>
      <c r="E21" s="4492"/>
      <c r="F21" s="4487"/>
      <c r="G21" s="4492"/>
      <c r="H21" s="4496"/>
      <c r="I21" s="1573"/>
      <c r="J21" s="1574"/>
      <c r="K21" s="1572"/>
      <c r="L21" s="1572"/>
      <c r="M21" s="170" t="str">
        <f>CC21&amp;CD21</f>
        <v/>
      </c>
      <c r="CC21" s="2553" t="str">
        <f>IF(AND(B21&gt;0,K21="")," * No olvide digitar la variable Pueblos originarios. Digite cero si no tiene.",IF(K21&gt;B21," * La variable Pueblos originarios no puede ser mayor al Total.",""))</f>
        <v/>
      </c>
      <c r="CD21" s="2553" t="str">
        <f>IF(AND(B21&gt;0,L21="")," * No olvide digitar la variable Migrantes. Digite cero si no tiene.",IF(L21&gt;B21," * La variable Migrantes no puede ser mayor al Total.",""))</f>
        <v/>
      </c>
      <c r="CE21" s="6042"/>
      <c r="CF21" s="6042"/>
      <c r="CG21" s="6042"/>
      <c r="CH21" s="6042"/>
      <c r="CI21" s="6042"/>
      <c r="CK21" s="2554">
        <f>IF(AND(B21&gt;0,K21=""),1,IF(K21&gt;B21,1,0))</f>
        <v>0</v>
      </c>
      <c r="CL21" s="2554">
        <f>IF(AND(B21&gt;0,L21=""),1,IF(L21&gt;B21,1,0))</f>
        <v>0</v>
      </c>
      <c r="CM21" s="6042"/>
      <c r="CN21" s="6042"/>
      <c r="CO21" s="6042"/>
    </row>
    <row r="22" spans="1:93" s="170" customFormat="1" ht="15" customHeight="1" x14ac:dyDescent="0.15">
      <c r="A22" s="1565" t="s">
        <v>1321</v>
      </c>
      <c r="B22" s="1575">
        <f>SUM(C22:D22)</f>
        <v>0</v>
      </c>
      <c r="C22" s="1575">
        <f t="shared" si="16"/>
        <v>0</v>
      </c>
      <c r="D22" s="1575">
        <f t="shared" si="16"/>
        <v>0</v>
      </c>
      <c r="E22" s="4493"/>
      <c r="F22" s="4488"/>
      <c r="G22" s="4493"/>
      <c r="H22" s="4497"/>
      <c r="I22" s="1577"/>
      <c r="J22" s="1578"/>
      <c r="K22" s="1576"/>
      <c r="L22" s="1576"/>
      <c r="M22" s="170" t="str">
        <f>CC22&amp;CD22</f>
        <v/>
      </c>
      <c r="CC22" s="2553" t="str">
        <f t="shared" ref="CC22:CC23" si="17">IF(AND(B22&gt;0,K22="")," * No olvide digitar la variable Pueblos originarios. Digite cero si no tiene.",IF(K22&gt;B22," * La variable Pueblos originarios no puede ser mayor al Total.",""))</f>
        <v/>
      </c>
      <c r="CD22" s="2553" t="str">
        <f t="shared" ref="CD22:CD23" si="18">IF(AND(B22&gt;0,L22="")," * No olvide digitar la variable Migrantes. Digite cero si no tiene.",IF(L22&gt;B22," * La variable Migrantes no puede ser mayor al Total.",""))</f>
        <v/>
      </c>
      <c r="CE22" s="6042"/>
      <c r="CF22" s="6042"/>
      <c r="CG22" s="6042"/>
      <c r="CH22" s="6042"/>
      <c r="CI22" s="6042"/>
      <c r="CK22" s="2554">
        <f t="shared" ref="CK22:CK23" si="19">IF(AND(B22&gt;0,K22=""),1,IF(K22&gt;B22,1,0))</f>
        <v>0</v>
      </c>
      <c r="CL22" s="2554">
        <f t="shared" ref="CL22:CL23" si="20">IF(AND(B22&gt;0,L22=""),1,IF(L22&gt;B22,1,0))</f>
        <v>0</v>
      </c>
      <c r="CM22" s="6042"/>
      <c r="CN22" s="6042"/>
      <c r="CO22" s="6042"/>
    </row>
    <row r="23" spans="1:93" s="170" customFormat="1" ht="15" customHeight="1" x14ac:dyDescent="0.15">
      <c r="A23" s="1579" t="s">
        <v>1322</v>
      </c>
      <c r="B23" s="1580">
        <f>SUM(C23:D23)</f>
        <v>0</v>
      </c>
      <c r="C23" s="1580">
        <f t="shared" si="16"/>
        <v>0</v>
      </c>
      <c r="D23" s="1580">
        <f t="shared" si="16"/>
        <v>0</v>
      </c>
      <c r="E23" s="4494"/>
      <c r="F23" s="4489"/>
      <c r="G23" s="4494"/>
      <c r="H23" s="4498"/>
      <c r="I23" s="1582"/>
      <c r="J23" s="1583"/>
      <c r="K23" s="1581"/>
      <c r="L23" s="1581"/>
      <c r="M23" s="170" t="str">
        <f>CC23&amp;CD23</f>
        <v/>
      </c>
      <c r="CC23" s="2553" t="str">
        <f t="shared" si="17"/>
        <v/>
      </c>
      <c r="CD23" s="2553" t="str">
        <f t="shared" si="18"/>
        <v/>
      </c>
      <c r="CE23" s="6042"/>
      <c r="CF23" s="6042"/>
      <c r="CG23" s="6042"/>
      <c r="CH23" s="6042"/>
      <c r="CI23" s="6042"/>
      <c r="CK23" s="2554">
        <f t="shared" si="19"/>
        <v>0</v>
      </c>
      <c r="CL23" s="2554">
        <f t="shared" si="20"/>
        <v>0</v>
      </c>
      <c r="CM23" s="6042"/>
      <c r="CN23" s="6042"/>
      <c r="CO23" s="6042"/>
    </row>
    <row r="24" spans="1:93" s="170" customFormat="1" ht="15" customHeight="1" x14ac:dyDescent="0.15">
      <c r="A24" s="2593" t="s">
        <v>24</v>
      </c>
      <c r="B24" s="2603">
        <f>SUM(B21:B23)</f>
        <v>0</v>
      </c>
      <c r="C24" s="2603">
        <f>SUM(C21:C23)</f>
        <v>0</v>
      </c>
      <c r="D24" s="2603">
        <f>SUM(D21:D23)</f>
        <v>0</v>
      </c>
      <c r="E24" s="4495">
        <f>SUM(E21:E23)</f>
        <v>0</v>
      </c>
      <c r="F24" s="4490">
        <f t="shared" ref="F24:L24" si="21">SUM(F21:F23)</f>
        <v>0</v>
      </c>
      <c r="G24" s="4495">
        <f t="shared" si="21"/>
        <v>0</v>
      </c>
      <c r="H24" s="4499">
        <f t="shared" si="21"/>
        <v>0</v>
      </c>
      <c r="I24" s="2604">
        <f t="shared" si="21"/>
        <v>0</v>
      </c>
      <c r="J24" s="2603">
        <f t="shared" si="21"/>
        <v>0</v>
      </c>
      <c r="K24" s="2603">
        <f t="shared" si="21"/>
        <v>0</v>
      </c>
      <c r="L24" s="2603">
        <f t="shared" si="21"/>
        <v>0</v>
      </c>
    </row>
    <row r="25" spans="1:93" s="1134" customFormat="1" ht="18" customHeight="1" x14ac:dyDescent="0.15">
      <c r="A25" s="8566" t="s">
        <v>1323</v>
      </c>
      <c r="B25" s="8567"/>
      <c r="C25" s="8567"/>
      <c r="D25" s="8567"/>
      <c r="E25" s="8567"/>
      <c r="F25" s="8567"/>
      <c r="G25" s="8567"/>
      <c r="H25" s="8567"/>
      <c r="I25" s="8567"/>
      <c r="J25" s="8567"/>
      <c r="K25" s="8567"/>
      <c r="L25" s="8567"/>
    </row>
    <row r="26" spans="1:93" s="170" customFormat="1" ht="15" customHeight="1" x14ac:dyDescent="0.15">
      <c r="A26" s="8568"/>
      <c r="B26" s="8568" t="s">
        <v>24</v>
      </c>
      <c r="C26" s="8259" t="s">
        <v>12</v>
      </c>
      <c r="D26" s="8260"/>
      <c r="E26" s="8260"/>
      <c r="F26" s="8260"/>
      <c r="G26" s="8260"/>
      <c r="H26" s="8260"/>
      <c r="I26" s="8260"/>
      <c r="J26" s="8260"/>
      <c r="K26" s="8260"/>
      <c r="L26" s="8260"/>
      <c r="M26" s="8260"/>
      <c r="N26" s="8260"/>
      <c r="O26" s="8260"/>
      <c r="P26" s="8260"/>
      <c r="Q26" s="8260"/>
      <c r="R26" s="8260"/>
      <c r="S26" s="8578"/>
      <c r="T26" s="8583" t="s">
        <v>523</v>
      </c>
      <c r="U26" s="8584"/>
      <c r="V26" s="7928" t="s">
        <v>2</v>
      </c>
      <c r="W26" s="8252" t="s">
        <v>3</v>
      </c>
    </row>
    <row r="27" spans="1:93" s="170" customFormat="1" ht="15" customHeight="1" x14ac:dyDescent="0.15">
      <c r="A27" s="8569"/>
      <c r="B27" s="8569"/>
      <c r="C27" s="1313" t="s">
        <v>36</v>
      </c>
      <c r="D27" s="1458" t="s">
        <v>37</v>
      </c>
      <c r="E27" s="1315" t="s">
        <v>1315</v>
      </c>
      <c r="F27" s="1458" t="s">
        <v>4</v>
      </c>
      <c r="G27" s="1184" t="s">
        <v>5</v>
      </c>
      <c r="H27" s="1184" t="s">
        <v>6</v>
      </c>
      <c r="I27" s="1184" t="s">
        <v>7</v>
      </c>
      <c r="J27" s="1184" t="s">
        <v>8</v>
      </c>
      <c r="K27" s="1184" t="s">
        <v>9</v>
      </c>
      <c r="L27" s="1184" t="s">
        <v>10</v>
      </c>
      <c r="M27" s="1184" t="s">
        <v>11</v>
      </c>
      <c r="N27" s="1184" t="s">
        <v>18</v>
      </c>
      <c r="O27" s="1184" t="s">
        <v>19</v>
      </c>
      <c r="P27" s="1184" t="s">
        <v>20</v>
      </c>
      <c r="Q27" s="1184" t="s">
        <v>70</v>
      </c>
      <c r="R27" s="1184" t="s">
        <v>71</v>
      </c>
      <c r="S27" s="1389" t="s">
        <v>32</v>
      </c>
      <c r="T27" s="1606" t="s">
        <v>22</v>
      </c>
      <c r="U27" s="2592" t="s">
        <v>27</v>
      </c>
      <c r="V27" s="7928"/>
      <c r="W27" s="8252"/>
    </row>
    <row r="28" spans="1:93" s="170" customFormat="1" ht="15" customHeight="1" x14ac:dyDescent="0.15">
      <c r="A28" s="1584" t="s">
        <v>1324</v>
      </c>
      <c r="B28" s="1585">
        <f>SUM(C28:S28)</f>
        <v>0</v>
      </c>
      <c r="C28" s="1282"/>
      <c r="D28" s="1586"/>
      <c r="E28" s="1586"/>
      <c r="F28" s="1586"/>
      <c r="G28" s="1586"/>
      <c r="H28" s="1586"/>
      <c r="I28" s="1586"/>
      <c r="J28" s="1586"/>
      <c r="K28" s="1586"/>
      <c r="L28" s="1586"/>
      <c r="M28" s="1586"/>
      <c r="N28" s="1586"/>
      <c r="O28" s="1586"/>
      <c r="P28" s="1586"/>
      <c r="Q28" s="1586"/>
      <c r="R28" s="1586"/>
      <c r="S28" s="1286"/>
      <c r="T28" s="1587"/>
      <c r="U28" s="1588"/>
      <c r="V28" s="1283"/>
      <c r="W28" s="1587"/>
      <c r="X28" s="170" t="str">
        <f>CC28&amp;CD28&amp;CE28&amp;CF28</f>
        <v/>
      </c>
      <c r="CC28" s="2553" t="str">
        <f>IF((T28+U28)&lt;&gt;B28,"  * El desglose por Sexo (Hombres/Mujeres) debe ser igual al Total.","")</f>
        <v/>
      </c>
      <c r="CD28" s="2553" t="str">
        <f>IF(AND(B28&gt;0,V28=""),"No olvide digitar pueblos originarios. Digite cero si no tiene.",IF(V28&gt;B28," * La variable Pueblos originarios no puede ser mayor al Total.",""))</f>
        <v/>
      </c>
      <c r="CE28" s="2553" t="str">
        <f>IF(AND(B28&gt;0,W28=""),"No olvide digitar Migrantes. Digite cero si no tiene.",IF(W28&gt;B28," * La variable Migrantes no puede ser mayor al Total.",""))</f>
        <v/>
      </c>
      <c r="CF28" s="2553"/>
      <c r="CG28" s="2553"/>
      <c r="CH28" s="2553"/>
      <c r="CI28" s="2553"/>
      <c r="CK28" s="2554">
        <f>IF((T28+U28)&lt;&gt;B28,1,0)</f>
        <v>0</v>
      </c>
      <c r="CL28" s="2554">
        <f>IF(AND(B28&gt;0,V28=""),1,IF(V28&gt;B28,1,0))</f>
        <v>0</v>
      </c>
      <c r="CM28" s="2554">
        <f>IF(AND(B28&gt;0,W28=""),1,IF(W28&gt;B28,1,0))</f>
        <v>0</v>
      </c>
      <c r="CN28" s="2554"/>
      <c r="CO28" s="2554"/>
    </row>
    <row r="29" spans="1:93" s="1134" customFormat="1" ht="18" customHeight="1" x14ac:dyDescent="0.15">
      <c r="A29" s="8585" t="s">
        <v>1325</v>
      </c>
      <c r="B29" s="8585"/>
      <c r="C29" s="8585"/>
      <c r="D29" s="8585"/>
      <c r="E29" s="8585"/>
      <c r="F29" s="8585"/>
      <c r="G29" s="8585"/>
      <c r="H29" s="8585"/>
      <c r="I29" s="8585"/>
      <c r="J29" s="8585"/>
      <c r="K29" s="8585"/>
      <c r="L29" s="8585"/>
    </row>
    <row r="30" spans="1:93" s="1134" customFormat="1" ht="18" customHeight="1" x14ac:dyDescent="0.15">
      <c r="A30" s="8585" t="s">
        <v>1326</v>
      </c>
      <c r="B30" s="8585"/>
      <c r="C30" s="8585"/>
      <c r="D30" s="8585"/>
      <c r="E30" s="8585"/>
      <c r="F30" s="8585"/>
      <c r="G30" s="8585"/>
      <c r="H30" s="8585"/>
      <c r="I30" s="8585"/>
      <c r="J30" s="8585"/>
      <c r="K30" s="8585"/>
      <c r="L30" s="8585"/>
    </row>
    <row r="31" spans="1:93" s="170" customFormat="1" ht="15" customHeight="1" x14ac:dyDescent="0.15">
      <c r="A31" s="6493" t="s">
        <v>1327</v>
      </c>
      <c r="B31" s="8568" t="s">
        <v>24</v>
      </c>
      <c r="C31" s="8588" t="s">
        <v>1328</v>
      </c>
      <c r="D31" s="8589"/>
      <c r="E31" s="8589"/>
      <c r="F31" s="8589"/>
      <c r="G31" s="8589"/>
      <c r="H31" s="8589"/>
      <c r="I31" s="8589"/>
      <c r="J31" s="8589"/>
      <c r="K31" s="8589"/>
      <c r="L31" s="8589"/>
      <c r="M31" s="8589"/>
      <c r="N31" s="8589"/>
      <c r="O31" s="8589"/>
      <c r="P31" s="8589"/>
      <c r="Q31" s="8589"/>
      <c r="R31" s="8589"/>
      <c r="S31" s="8589"/>
      <c r="T31" s="8589"/>
      <c r="U31" s="8590"/>
      <c r="V31" s="8263" t="s">
        <v>1329</v>
      </c>
      <c r="W31" s="8591"/>
      <c r="X31" s="7884" t="s">
        <v>1330</v>
      </c>
      <c r="Y31" s="7879"/>
      <c r="Z31" s="7945" t="s">
        <v>1331</v>
      </c>
      <c r="AA31" s="7937"/>
      <c r="AB31" s="7937"/>
      <c r="AC31" s="7937"/>
      <c r="AD31" s="7937"/>
      <c r="AE31" s="7937"/>
      <c r="AF31" s="7937"/>
      <c r="AG31" s="7937"/>
      <c r="AH31" s="7937"/>
      <c r="AI31" s="7928"/>
      <c r="AJ31" s="8597" t="s">
        <v>1332</v>
      </c>
      <c r="AK31" s="6940"/>
      <c r="AL31" s="7879"/>
      <c r="AM31" s="7790" t="s">
        <v>1333</v>
      </c>
      <c r="AN31" s="7879" t="s">
        <v>1334</v>
      </c>
      <c r="AO31" s="7790" t="s">
        <v>2</v>
      </c>
      <c r="AP31" s="7879" t="s">
        <v>3</v>
      </c>
      <c r="AQ31" s="7879" t="s">
        <v>1335</v>
      </c>
    </row>
    <row r="32" spans="1:93" s="170" customFormat="1" ht="15" customHeight="1" x14ac:dyDescent="0.15">
      <c r="A32" s="6896"/>
      <c r="B32" s="8587"/>
      <c r="C32" s="8594" t="s">
        <v>12</v>
      </c>
      <c r="D32" s="8594"/>
      <c r="E32" s="8594"/>
      <c r="F32" s="8594"/>
      <c r="G32" s="8594"/>
      <c r="H32" s="8594"/>
      <c r="I32" s="8594"/>
      <c r="J32" s="8594"/>
      <c r="K32" s="8594"/>
      <c r="L32" s="8594"/>
      <c r="M32" s="8594"/>
      <c r="N32" s="8594"/>
      <c r="O32" s="8594"/>
      <c r="P32" s="8594"/>
      <c r="Q32" s="8594"/>
      <c r="R32" s="8594"/>
      <c r="S32" s="8594"/>
      <c r="T32" s="8595" t="s">
        <v>523</v>
      </c>
      <c r="U32" s="8583"/>
      <c r="V32" s="8592"/>
      <c r="W32" s="8593"/>
      <c r="X32" s="8596"/>
      <c r="Y32" s="7933"/>
      <c r="Z32" s="7935" t="s">
        <v>218</v>
      </c>
      <c r="AA32" s="7934"/>
      <c r="AB32" s="7934"/>
      <c r="AC32" s="7934"/>
      <c r="AD32" s="7936"/>
      <c r="AE32" s="7935" t="s">
        <v>219</v>
      </c>
      <c r="AF32" s="7934"/>
      <c r="AG32" s="7934"/>
      <c r="AH32" s="7934"/>
      <c r="AI32" s="7936"/>
      <c r="AJ32" s="8598"/>
      <c r="AK32" s="7068"/>
      <c r="AL32" s="6924"/>
      <c r="AM32" s="7881"/>
      <c r="AN32" s="6924"/>
      <c r="AO32" s="7881"/>
      <c r="AP32" s="6924"/>
      <c r="AQ32" s="6924"/>
    </row>
    <row r="33" spans="1:93" s="170" customFormat="1" ht="138.75" customHeight="1" x14ac:dyDescent="0.15">
      <c r="A33" s="8586"/>
      <c r="B33" s="8569"/>
      <c r="C33" s="1313" t="s">
        <v>36</v>
      </c>
      <c r="D33" s="1458" t="s">
        <v>37</v>
      </c>
      <c r="E33" s="1315" t="s">
        <v>1315</v>
      </c>
      <c r="F33" s="1458" t="s">
        <v>4</v>
      </c>
      <c r="G33" s="1184" t="s">
        <v>5</v>
      </c>
      <c r="H33" s="1184" t="s">
        <v>6</v>
      </c>
      <c r="I33" s="1184" t="s">
        <v>7</v>
      </c>
      <c r="J33" s="1184" t="s">
        <v>8</v>
      </c>
      <c r="K33" s="1184" t="s">
        <v>9</v>
      </c>
      <c r="L33" s="1184" t="s">
        <v>10</v>
      </c>
      <c r="M33" s="1184" t="s">
        <v>11</v>
      </c>
      <c r="N33" s="1184" t="s">
        <v>18</v>
      </c>
      <c r="O33" s="1184" t="s">
        <v>19</v>
      </c>
      <c r="P33" s="1184" t="s">
        <v>20</v>
      </c>
      <c r="Q33" s="1184" t="s">
        <v>70</v>
      </c>
      <c r="R33" s="1184" t="s">
        <v>71</v>
      </c>
      <c r="S33" s="1389" t="s">
        <v>32</v>
      </c>
      <c r="T33" s="2605" t="s">
        <v>22</v>
      </c>
      <c r="U33" s="2573" t="s">
        <v>27</v>
      </c>
      <c r="V33" s="1313" t="s">
        <v>1336</v>
      </c>
      <c r="W33" s="1314" t="s">
        <v>243</v>
      </c>
      <c r="X33" s="1313" t="s">
        <v>222</v>
      </c>
      <c r="Y33" s="1497" t="s">
        <v>223</v>
      </c>
      <c r="Z33" s="2546" t="s">
        <v>24</v>
      </c>
      <c r="AA33" s="1183" t="s">
        <v>220</v>
      </c>
      <c r="AB33" s="1458" t="s">
        <v>1337</v>
      </c>
      <c r="AC33" s="1458" t="s">
        <v>221</v>
      </c>
      <c r="AD33" s="1314" t="s">
        <v>1338</v>
      </c>
      <c r="AE33" s="2606" t="s">
        <v>50</v>
      </c>
      <c r="AF33" s="1183" t="s">
        <v>220</v>
      </c>
      <c r="AG33" s="1458" t="s">
        <v>1337</v>
      </c>
      <c r="AH33" s="1458" t="s">
        <v>221</v>
      </c>
      <c r="AI33" s="1314" t="s">
        <v>1338</v>
      </c>
      <c r="AJ33" s="2566" t="s">
        <v>1339</v>
      </c>
      <c r="AK33" s="1456" t="s">
        <v>1340</v>
      </c>
      <c r="AL33" s="1456" t="s">
        <v>1341</v>
      </c>
      <c r="AM33" s="8565"/>
      <c r="AN33" s="7933"/>
      <c r="AO33" s="8565"/>
      <c r="AP33" s="7933"/>
      <c r="AQ33" s="7933"/>
    </row>
    <row r="34" spans="1:93" s="170" customFormat="1" ht="15" customHeight="1" x14ac:dyDescent="0.15">
      <c r="A34" s="1589" t="s">
        <v>224</v>
      </c>
      <c r="B34" s="1507">
        <f>SUM(C34:S34)</f>
        <v>0</v>
      </c>
      <c r="C34" s="1292"/>
      <c r="D34" s="1472"/>
      <c r="E34" s="1472"/>
      <c r="F34" s="1472"/>
      <c r="G34" s="1590"/>
      <c r="H34" s="1590"/>
      <c r="I34" s="1590"/>
      <c r="J34" s="1590"/>
      <c r="K34" s="1590"/>
      <c r="L34" s="1590"/>
      <c r="M34" s="1590"/>
      <c r="N34" s="1590"/>
      <c r="O34" s="1590"/>
      <c r="P34" s="1590"/>
      <c r="Q34" s="1590"/>
      <c r="R34" s="1590"/>
      <c r="S34" s="1591"/>
      <c r="T34" s="1592"/>
      <c r="U34" s="1593"/>
      <c r="V34" s="1592"/>
      <c r="W34" s="1593"/>
      <c r="X34" s="1592"/>
      <c r="Y34" s="1593"/>
      <c r="Z34" s="1300">
        <f>SUM(AA34+AB34+AC34+AD34)</f>
        <v>0</v>
      </c>
      <c r="AA34" s="1592"/>
      <c r="AB34" s="1594"/>
      <c r="AC34" s="1594"/>
      <c r="AD34" s="1593"/>
      <c r="AE34" s="1300">
        <f>SUM(AF34+AG34+AH34+AI34)</f>
        <v>0</v>
      </c>
      <c r="AF34" s="1592"/>
      <c r="AG34" s="1594"/>
      <c r="AH34" s="1594"/>
      <c r="AI34" s="1595"/>
      <c r="AJ34" s="8"/>
      <c r="AK34" s="8"/>
      <c r="AL34" s="8"/>
      <c r="AM34" s="8"/>
      <c r="AN34" s="8"/>
      <c r="AO34" s="8"/>
      <c r="AP34" s="8"/>
      <c r="AQ34" s="8"/>
      <c r="AR34" s="170" t="str">
        <f>CC34&amp;CD34&amp;CE34&amp;CF34&amp;CG34&amp;CH34&amp;CI34</f>
        <v/>
      </c>
      <c r="CC34" s="2553" t="str">
        <f>IF((T34+U34)&lt;&gt;B34,"* El número de atenciones remotas según sexo debe ser igual al Total de atenciones remotas por rango etario.","")</f>
        <v/>
      </c>
      <c r="CD34" s="2553" t="str">
        <f>IF((AE34+Z34)&gt;B34," * El Total de Teleconsultas nuevas No debe ser mayor que el Total de Atenciones remotas","")</f>
        <v/>
      </c>
      <c r="CE34" s="2553" t="str">
        <f>IF(AND(B34&gt;0,AO34="")," * No olvide digitar la variable Pueblos originarios. Digite cero si no tiene.",IF(AO34&gt;B34," * La variable Pueblos originarios No puede ser mayor al Total.",""))</f>
        <v/>
      </c>
      <c r="CF34" s="2553" t="str">
        <f>IF(AND(B34&gt;0,AP34="")," * No olvide digitar la variable Migrantes. Digite cero si no tiene.",IF(AP34&gt;B34," * La variable Migrantes No puede ser mayor al Total.",""))</f>
        <v/>
      </c>
      <c r="CG34" s="2553"/>
      <c r="CH34" s="2553"/>
      <c r="CI34" s="2553"/>
      <c r="CK34" s="2554">
        <f>IF((T34+U34)&lt;&gt;B34,1,0)</f>
        <v>0</v>
      </c>
      <c r="CL34" s="2554">
        <f>IF((AE34+Z34)&gt;B34,1,0)</f>
        <v>0</v>
      </c>
      <c r="CM34" s="2554">
        <f>IF(AND(B34&gt;0,AO34=""),1,IF(AO34&gt;B34,1,0))</f>
        <v>0</v>
      </c>
      <c r="CN34" s="2554">
        <f>IF(AND(B34&gt;0,AP34=""),1,IF(AP34&gt;B34,1,0))</f>
        <v>0</v>
      </c>
      <c r="CO34" s="2554"/>
    </row>
    <row r="35" spans="1:93" s="170" customFormat="1" ht="15" customHeight="1" x14ac:dyDescent="0.15">
      <c r="A35" s="1300" t="s">
        <v>951</v>
      </c>
      <c r="B35" s="1507">
        <f t="shared" ref="B35:B93" si="22">SUM(C35:S35)</f>
        <v>0</v>
      </c>
      <c r="C35" s="1113"/>
      <c r="D35" s="1476"/>
      <c r="E35" s="1476"/>
      <c r="F35" s="1476"/>
      <c r="G35" s="1476"/>
      <c r="H35" s="1476"/>
      <c r="I35" s="1476"/>
      <c r="J35" s="1476"/>
      <c r="K35" s="1476"/>
      <c r="L35" s="1476"/>
      <c r="M35" s="1476"/>
      <c r="N35" s="1476"/>
      <c r="O35" s="1476"/>
      <c r="P35" s="1476"/>
      <c r="Q35" s="1476"/>
      <c r="R35" s="1476"/>
      <c r="S35" s="1117"/>
      <c r="T35" s="1318"/>
      <c r="U35" s="1320"/>
      <c r="V35" s="1318"/>
      <c r="W35" s="1320"/>
      <c r="X35" s="1318"/>
      <c r="Y35" s="1320"/>
      <c r="Z35" s="1300">
        <f t="shared" ref="Z35:Z93" si="23">SUM(AA35+AB35+AC35+AD35)</f>
        <v>0</v>
      </c>
      <c r="AA35" s="1318"/>
      <c r="AB35" s="1487"/>
      <c r="AC35" s="1487"/>
      <c r="AD35" s="1320"/>
      <c r="AE35" s="1300">
        <f t="shared" ref="AE35:AE93" si="24">SUM(AF35+AG35+AH35+AI35)</f>
        <v>0</v>
      </c>
      <c r="AF35" s="1318"/>
      <c r="AG35" s="1487"/>
      <c r="AH35" s="1487"/>
      <c r="AI35" s="1322"/>
      <c r="AJ35" s="8"/>
      <c r="AK35" s="8"/>
      <c r="AL35" s="8"/>
      <c r="AM35" s="8"/>
      <c r="AN35" s="8"/>
      <c r="AO35" s="8"/>
      <c r="AP35" s="8"/>
      <c r="AQ35" s="8"/>
      <c r="AR35" s="170" t="str">
        <f t="shared" ref="AR35:AR93" si="25">CC35&amp;CD35&amp;CE35&amp;CF35&amp;CG35&amp;CH35&amp;CI35</f>
        <v/>
      </c>
      <c r="CC35" s="2553" t="str">
        <f t="shared" ref="CC35:CC93" si="26">IF((T35+U35)&lt;&gt;B35,"* El número de atenciones remotas según sexo debe ser igual al Total de atenciones remotas por rango etario.","")</f>
        <v/>
      </c>
      <c r="CD35" s="2553" t="str">
        <f t="shared" ref="CD35:CD93" si="27">IF((AE35+Z35)&gt;B35," * El Total de Teleconsultas nuevas No debe ser mayor que el Total de Atenciones remotas","")</f>
        <v/>
      </c>
      <c r="CE35" s="2553" t="str">
        <f t="shared" ref="CE35:CE93" si="28">IF(AND(B35&gt;0,AO35="")," * No olvide digitar la variable Pueblos originarios. Digite cero si no tiene.",IF(AO35&gt;B35," * La variable Pueblos originarios No puede ser mayor al Total.",""))</f>
        <v/>
      </c>
      <c r="CF35" s="2553" t="str">
        <f t="shared" ref="CF35:CF93" si="29">IF(AND(B35&gt;0,AP35="")," * No olvide digitar la variable Migrantes. Digite cero si no tiene.",IF(AP35&gt;B35," * La variable Migrantes No puede ser mayor al Total.",""))</f>
        <v/>
      </c>
      <c r="CG35" s="2553"/>
      <c r="CH35" s="2553"/>
      <c r="CI35" s="2553"/>
      <c r="CK35" s="2554">
        <f t="shared" ref="CK35:CK93" si="30">IF((T35+U35)&lt;&gt;B35,1,0)</f>
        <v>0</v>
      </c>
      <c r="CL35" s="2554">
        <f t="shared" ref="CL35:CL93" si="31">IF((AE35+Z35)&gt;B35,1,0)</f>
        <v>0</v>
      </c>
      <c r="CM35" s="2554">
        <f t="shared" ref="CM35:CM93" si="32">IF(AND(B35&gt;0,AO35=""),1,IF(AO35&gt;B35,1,0))</f>
        <v>0</v>
      </c>
      <c r="CN35" s="2554">
        <f t="shared" ref="CN35:CN93" si="33">IF(AND(B35&gt;0,AP35=""),1,IF(AP35&gt;B35,1,0))</f>
        <v>0</v>
      </c>
      <c r="CO35" s="2554"/>
    </row>
    <row r="36" spans="1:93" s="170" customFormat="1" ht="15" customHeight="1" x14ac:dyDescent="0.15">
      <c r="A36" s="1300" t="s">
        <v>226</v>
      </c>
      <c r="B36" s="1507">
        <f>SUM(C36)</f>
        <v>0</v>
      </c>
      <c r="C36" s="1113"/>
      <c r="D36" s="1596"/>
      <c r="E36" s="1596"/>
      <c r="F36" s="1596"/>
      <c r="G36" s="1596"/>
      <c r="H36" s="1596"/>
      <c r="I36" s="1596"/>
      <c r="J36" s="1596"/>
      <c r="K36" s="1596"/>
      <c r="L36" s="1596"/>
      <c r="M36" s="1596"/>
      <c r="N36" s="1596"/>
      <c r="O36" s="1596"/>
      <c r="P36" s="1596"/>
      <c r="Q36" s="1596"/>
      <c r="R36" s="1596"/>
      <c r="S36" s="1597"/>
      <c r="T36" s="1318"/>
      <c r="U36" s="1320"/>
      <c r="V36" s="1318"/>
      <c r="W36" s="1320"/>
      <c r="X36" s="1318"/>
      <c r="Y36" s="1320"/>
      <c r="Z36" s="1300">
        <f t="shared" si="23"/>
        <v>0</v>
      </c>
      <c r="AA36" s="1318"/>
      <c r="AB36" s="1487"/>
      <c r="AC36" s="1487"/>
      <c r="AD36" s="1320"/>
      <c r="AE36" s="1300">
        <f t="shared" si="24"/>
        <v>0</v>
      </c>
      <c r="AF36" s="1318"/>
      <c r="AG36" s="1487"/>
      <c r="AH36" s="1487"/>
      <c r="AI36" s="1322"/>
      <c r="AJ36" s="8"/>
      <c r="AK36" s="8"/>
      <c r="AL36" s="8"/>
      <c r="AM36" s="8"/>
      <c r="AN36" s="8"/>
      <c r="AO36" s="8"/>
      <c r="AP36" s="8"/>
      <c r="AQ36" s="8"/>
      <c r="AR36" s="170" t="str">
        <f t="shared" si="25"/>
        <v/>
      </c>
      <c r="CC36" s="2553" t="str">
        <f t="shared" si="26"/>
        <v/>
      </c>
      <c r="CD36" s="2553" t="str">
        <f t="shared" si="27"/>
        <v/>
      </c>
      <c r="CE36" s="2553" t="str">
        <f t="shared" si="28"/>
        <v/>
      </c>
      <c r="CF36" s="2553" t="str">
        <f t="shared" si="29"/>
        <v/>
      </c>
      <c r="CG36" s="2553"/>
      <c r="CH36" s="2553"/>
      <c r="CI36" s="2553"/>
      <c r="CK36" s="2554">
        <f t="shared" si="30"/>
        <v>0</v>
      </c>
      <c r="CL36" s="2554">
        <f t="shared" si="31"/>
        <v>0</v>
      </c>
      <c r="CM36" s="2554">
        <f t="shared" si="32"/>
        <v>0</v>
      </c>
      <c r="CN36" s="2554">
        <f t="shared" si="33"/>
        <v>0</v>
      </c>
      <c r="CO36" s="2554"/>
    </row>
    <row r="37" spans="1:93" s="170" customFormat="1" ht="15" customHeight="1" x14ac:dyDescent="0.15">
      <c r="A37" s="1300" t="s">
        <v>1342</v>
      </c>
      <c r="B37" s="1507">
        <f t="shared" si="22"/>
        <v>0</v>
      </c>
      <c r="C37" s="1113"/>
      <c r="D37" s="1476"/>
      <c r="E37" s="1476"/>
      <c r="F37" s="1476"/>
      <c r="G37" s="1476"/>
      <c r="H37" s="1476"/>
      <c r="I37" s="1476"/>
      <c r="J37" s="1476"/>
      <c r="K37" s="1476"/>
      <c r="L37" s="1476"/>
      <c r="M37" s="1476"/>
      <c r="N37" s="1476"/>
      <c r="O37" s="1476"/>
      <c r="P37" s="1476"/>
      <c r="Q37" s="1476"/>
      <c r="R37" s="1476"/>
      <c r="S37" s="1117"/>
      <c r="T37" s="1318"/>
      <c r="U37" s="1320"/>
      <c r="V37" s="1318"/>
      <c r="W37" s="1320"/>
      <c r="X37" s="1318"/>
      <c r="Y37" s="1320"/>
      <c r="Z37" s="1300">
        <f t="shared" si="23"/>
        <v>0</v>
      </c>
      <c r="AA37" s="1318"/>
      <c r="AB37" s="1487"/>
      <c r="AC37" s="1487"/>
      <c r="AD37" s="1320"/>
      <c r="AE37" s="1300">
        <f t="shared" si="24"/>
        <v>0</v>
      </c>
      <c r="AF37" s="1318"/>
      <c r="AG37" s="1487"/>
      <c r="AH37" s="1487"/>
      <c r="AI37" s="1322"/>
      <c r="AJ37" s="8"/>
      <c r="AK37" s="8"/>
      <c r="AL37" s="8"/>
      <c r="AM37" s="8"/>
      <c r="AN37" s="8"/>
      <c r="AO37" s="8"/>
      <c r="AP37" s="8"/>
      <c r="AQ37" s="8"/>
      <c r="AR37" s="170" t="str">
        <f t="shared" si="25"/>
        <v/>
      </c>
      <c r="CC37" s="2553" t="str">
        <f t="shared" si="26"/>
        <v/>
      </c>
      <c r="CD37" s="2553" t="str">
        <f t="shared" si="27"/>
        <v/>
      </c>
      <c r="CE37" s="2553" t="str">
        <f t="shared" si="28"/>
        <v/>
      </c>
      <c r="CF37" s="2553" t="str">
        <f t="shared" si="29"/>
        <v/>
      </c>
      <c r="CG37" s="2553"/>
      <c r="CH37" s="2553"/>
      <c r="CI37" s="2553"/>
      <c r="CK37" s="2554">
        <f t="shared" si="30"/>
        <v>0</v>
      </c>
      <c r="CL37" s="2554">
        <f t="shared" si="31"/>
        <v>0</v>
      </c>
      <c r="CM37" s="2554">
        <f t="shared" si="32"/>
        <v>0</v>
      </c>
      <c r="CN37" s="2554">
        <f t="shared" si="33"/>
        <v>0</v>
      </c>
      <c r="CO37" s="2554"/>
    </row>
    <row r="38" spans="1:93" s="170" customFormat="1" ht="15" customHeight="1" x14ac:dyDescent="0.15">
      <c r="A38" s="1300" t="s">
        <v>1343</v>
      </c>
      <c r="B38" s="1507">
        <f t="shared" si="22"/>
        <v>0</v>
      </c>
      <c r="C38" s="1113"/>
      <c r="D38" s="1476"/>
      <c r="E38" s="1476"/>
      <c r="F38" s="1476"/>
      <c r="G38" s="1476"/>
      <c r="H38" s="1476"/>
      <c r="I38" s="1476"/>
      <c r="J38" s="1476"/>
      <c r="K38" s="1476"/>
      <c r="L38" s="1476"/>
      <c r="M38" s="1476"/>
      <c r="N38" s="1476"/>
      <c r="O38" s="1476"/>
      <c r="P38" s="1476"/>
      <c r="Q38" s="1476"/>
      <c r="R38" s="1476"/>
      <c r="S38" s="1117"/>
      <c r="T38" s="1318"/>
      <c r="U38" s="1320"/>
      <c r="V38" s="1318"/>
      <c r="W38" s="1320"/>
      <c r="X38" s="1318"/>
      <c r="Y38" s="1320"/>
      <c r="Z38" s="1300">
        <f t="shared" si="23"/>
        <v>0</v>
      </c>
      <c r="AA38" s="1318"/>
      <c r="AB38" s="1487"/>
      <c r="AC38" s="1487"/>
      <c r="AD38" s="1320"/>
      <c r="AE38" s="1300">
        <f t="shared" si="24"/>
        <v>0</v>
      </c>
      <c r="AF38" s="1318"/>
      <c r="AG38" s="1487"/>
      <c r="AH38" s="1487"/>
      <c r="AI38" s="1322"/>
      <c r="AJ38" s="8"/>
      <c r="AK38" s="8"/>
      <c r="AL38" s="8"/>
      <c r="AM38" s="8"/>
      <c r="AN38" s="8"/>
      <c r="AO38" s="8"/>
      <c r="AP38" s="8"/>
      <c r="AQ38" s="8"/>
      <c r="AR38" s="170" t="str">
        <f t="shared" si="25"/>
        <v/>
      </c>
      <c r="CC38" s="2553" t="str">
        <f t="shared" si="26"/>
        <v/>
      </c>
      <c r="CD38" s="2553" t="str">
        <f t="shared" si="27"/>
        <v/>
      </c>
      <c r="CE38" s="2553" t="str">
        <f t="shared" si="28"/>
        <v/>
      </c>
      <c r="CF38" s="2553" t="str">
        <f t="shared" si="29"/>
        <v/>
      </c>
      <c r="CG38" s="2553"/>
      <c r="CH38" s="2553"/>
      <c r="CI38" s="2553"/>
      <c r="CK38" s="2554">
        <f t="shared" si="30"/>
        <v>0</v>
      </c>
      <c r="CL38" s="2554">
        <f t="shared" si="31"/>
        <v>0</v>
      </c>
      <c r="CM38" s="2554">
        <f t="shared" si="32"/>
        <v>0</v>
      </c>
      <c r="CN38" s="2554">
        <f t="shared" si="33"/>
        <v>0</v>
      </c>
      <c r="CO38" s="2554"/>
    </row>
    <row r="39" spans="1:93" s="170" customFormat="1" ht="15" customHeight="1" x14ac:dyDescent="0.15">
      <c r="A39" s="1300" t="s">
        <v>953</v>
      </c>
      <c r="B39" s="1507">
        <f t="shared" si="22"/>
        <v>0</v>
      </c>
      <c r="C39" s="1113"/>
      <c r="D39" s="1476"/>
      <c r="E39" s="1476"/>
      <c r="F39" s="1476"/>
      <c r="G39" s="1476"/>
      <c r="H39" s="1476"/>
      <c r="I39" s="1476"/>
      <c r="J39" s="1476"/>
      <c r="K39" s="1476"/>
      <c r="L39" s="1476"/>
      <c r="M39" s="1476"/>
      <c r="N39" s="1476"/>
      <c r="O39" s="1476"/>
      <c r="P39" s="1476"/>
      <c r="Q39" s="1476"/>
      <c r="R39" s="1476"/>
      <c r="S39" s="1117"/>
      <c r="T39" s="1318"/>
      <c r="U39" s="1320"/>
      <c r="V39" s="1318"/>
      <c r="W39" s="1320"/>
      <c r="X39" s="1318"/>
      <c r="Y39" s="1320"/>
      <c r="Z39" s="1300">
        <f t="shared" si="23"/>
        <v>0</v>
      </c>
      <c r="AA39" s="1318"/>
      <c r="AB39" s="1487"/>
      <c r="AC39" s="1487"/>
      <c r="AD39" s="1320"/>
      <c r="AE39" s="1300">
        <f t="shared" si="24"/>
        <v>0</v>
      </c>
      <c r="AF39" s="1318"/>
      <c r="AG39" s="1487"/>
      <c r="AH39" s="1487"/>
      <c r="AI39" s="1322"/>
      <c r="AJ39" s="8"/>
      <c r="AK39" s="8"/>
      <c r="AL39" s="8"/>
      <c r="AM39" s="8"/>
      <c r="AN39" s="8"/>
      <c r="AO39" s="8"/>
      <c r="AP39" s="8"/>
      <c r="AQ39" s="8"/>
      <c r="AR39" s="170" t="str">
        <f t="shared" si="25"/>
        <v/>
      </c>
      <c r="CC39" s="2553" t="str">
        <f t="shared" si="26"/>
        <v/>
      </c>
      <c r="CD39" s="2553" t="str">
        <f t="shared" si="27"/>
        <v/>
      </c>
      <c r="CE39" s="2553" t="str">
        <f t="shared" si="28"/>
        <v/>
      </c>
      <c r="CF39" s="2553" t="str">
        <f t="shared" si="29"/>
        <v/>
      </c>
      <c r="CG39" s="2553"/>
      <c r="CH39" s="2553"/>
      <c r="CI39" s="2553"/>
      <c r="CK39" s="2554">
        <f t="shared" si="30"/>
        <v>0</v>
      </c>
      <c r="CL39" s="2554">
        <f t="shared" si="31"/>
        <v>0</v>
      </c>
      <c r="CM39" s="2554">
        <f t="shared" si="32"/>
        <v>0</v>
      </c>
      <c r="CN39" s="2554">
        <f t="shared" si="33"/>
        <v>0</v>
      </c>
      <c r="CO39" s="2554"/>
    </row>
    <row r="40" spans="1:93" s="170" customFormat="1" ht="15" customHeight="1" x14ac:dyDescent="0.15">
      <c r="A40" s="1300" t="s">
        <v>954</v>
      </c>
      <c r="B40" s="1507">
        <f t="shared" si="22"/>
        <v>0</v>
      </c>
      <c r="C40" s="1113"/>
      <c r="D40" s="1476"/>
      <c r="E40" s="1476"/>
      <c r="F40" s="1476"/>
      <c r="G40" s="1476"/>
      <c r="H40" s="1476"/>
      <c r="I40" s="1476"/>
      <c r="J40" s="1476"/>
      <c r="K40" s="1476"/>
      <c r="L40" s="1476"/>
      <c r="M40" s="1476"/>
      <c r="N40" s="1476"/>
      <c r="O40" s="1476"/>
      <c r="P40" s="1476"/>
      <c r="Q40" s="1476"/>
      <c r="R40" s="1476"/>
      <c r="S40" s="1117"/>
      <c r="T40" s="1318"/>
      <c r="U40" s="1320"/>
      <c r="V40" s="1318"/>
      <c r="W40" s="1320"/>
      <c r="X40" s="1318"/>
      <c r="Y40" s="1320"/>
      <c r="Z40" s="1300">
        <f t="shared" si="23"/>
        <v>0</v>
      </c>
      <c r="AA40" s="1318"/>
      <c r="AB40" s="1487"/>
      <c r="AC40" s="1487"/>
      <c r="AD40" s="1320"/>
      <c r="AE40" s="1300">
        <f t="shared" si="24"/>
        <v>0</v>
      </c>
      <c r="AF40" s="1318"/>
      <c r="AG40" s="1487"/>
      <c r="AH40" s="1487"/>
      <c r="AI40" s="1322"/>
      <c r="AJ40" s="8"/>
      <c r="AK40" s="8"/>
      <c r="AL40" s="8"/>
      <c r="AM40" s="8"/>
      <c r="AN40" s="8"/>
      <c r="AO40" s="8"/>
      <c r="AP40" s="8"/>
      <c r="AQ40" s="8"/>
      <c r="AR40" s="170" t="str">
        <f t="shared" si="25"/>
        <v/>
      </c>
      <c r="CC40" s="2553" t="str">
        <f t="shared" si="26"/>
        <v/>
      </c>
      <c r="CD40" s="2553" t="str">
        <f t="shared" si="27"/>
        <v/>
      </c>
      <c r="CE40" s="2553" t="str">
        <f t="shared" si="28"/>
        <v/>
      </c>
      <c r="CF40" s="2553" t="str">
        <f t="shared" si="29"/>
        <v/>
      </c>
      <c r="CG40" s="2553"/>
      <c r="CH40" s="2553"/>
      <c r="CI40" s="2553"/>
      <c r="CK40" s="2554">
        <f t="shared" si="30"/>
        <v>0</v>
      </c>
      <c r="CL40" s="2554">
        <f t="shared" si="31"/>
        <v>0</v>
      </c>
      <c r="CM40" s="2554">
        <f t="shared" si="32"/>
        <v>0</v>
      </c>
      <c r="CN40" s="2554">
        <f t="shared" si="33"/>
        <v>0</v>
      </c>
      <c r="CO40" s="2554"/>
    </row>
    <row r="41" spans="1:93" s="170" customFormat="1" ht="15" customHeight="1" x14ac:dyDescent="0.15">
      <c r="A41" s="1300" t="s">
        <v>955</v>
      </c>
      <c r="B41" s="1507">
        <f t="shared" si="22"/>
        <v>0</v>
      </c>
      <c r="C41" s="1113"/>
      <c r="D41" s="1476"/>
      <c r="E41" s="1476"/>
      <c r="F41" s="1476"/>
      <c r="G41" s="1476"/>
      <c r="H41" s="1476"/>
      <c r="I41" s="1476"/>
      <c r="J41" s="1476"/>
      <c r="K41" s="1476"/>
      <c r="L41" s="1476"/>
      <c r="M41" s="1476"/>
      <c r="N41" s="1476"/>
      <c r="O41" s="1476"/>
      <c r="P41" s="1476"/>
      <c r="Q41" s="1476"/>
      <c r="R41" s="1476"/>
      <c r="S41" s="1117"/>
      <c r="T41" s="1318"/>
      <c r="U41" s="1320"/>
      <c r="V41" s="1318"/>
      <c r="W41" s="1320"/>
      <c r="X41" s="1318"/>
      <c r="Y41" s="1320"/>
      <c r="Z41" s="1300">
        <f t="shared" si="23"/>
        <v>0</v>
      </c>
      <c r="AA41" s="1318"/>
      <c r="AB41" s="1487"/>
      <c r="AC41" s="1487"/>
      <c r="AD41" s="1320"/>
      <c r="AE41" s="1300">
        <f t="shared" si="24"/>
        <v>0</v>
      </c>
      <c r="AF41" s="1318"/>
      <c r="AG41" s="1487"/>
      <c r="AH41" s="1487"/>
      <c r="AI41" s="1322"/>
      <c r="AJ41" s="8"/>
      <c r="AK41" s="8"/>
      <c r="AL41" s="8"/>
      <c r="AM41" s="8"/>
      <c r="AN41" s="8"/>
      <c r="AO41" s="8"/>
      <c r="AP41" s="8"/>
      <c r="AQ41" s="8"/>
      <c r="AR41" s="170" t="str">
        <f t="shared" si="25"/>
        <v/>
      </c>
      <c r="CC41" s="2553" t="str">
        <f t="shared" si="26"/>
        <v/>
      </c>
      <c r="CD41" s="2553" t="str">
        <f t="shared" si="27"/>
        <v/>
      </c>
      <c r="CE41" s="2553" t="str">
        <f t="shared" si="28"/>
        <v/>
      </c>
      <c r="CF41" s="2553" t="str">
        <f t="shared" si="29"/>
        <v/>
      </c>
      <c r="CG41" s="2553"/>
      <c r="CH41" s="2553"/>
      <c r="CI41" s="2553"/>
      <c r="CK41" s="2554">
        <f t="shared" si="30"/>
        <v>0</v>
      </c>
      <c r="CL41" s="2554">
        <f t="shared" si="31"/>
        <v>0</v>
      </c>
      <c r="CM41" s="2554">
        <f t="shared" si="32"/>
        <v>0</v>
      </c>
      <c r="CN41" s="2554">
        <f t="shared" si="33"/>
        <v>0</v>
      </c>
      <c r="CO41" s="2554"/>
    </row>
    <row r="42" spans="1:93" s="170" customFormat="1" ht="15" customHeight="1" x14ac:dyDescent="0.15">
      <c r="A42" s="1300" t="s">
        <v>956</v>
      </c>
      <c r="B42" s="1507">
        <f t="shared" si="22"/>
        <v>0</v>
      </c>
      <c r="C42" s="1113"/>
      <c r="D42" s="1476"/>
      <c r="E42" s="1476"/>
      <c r="F42" s="1476"/>
      <c r="G42" s="1476"/>
      <c r="H42" s="1476"/>
      <c r="I42" s="1476"/>
      <c r="J42" s="1476"/>
      <c r="K42" s="1476"/>
      <c r="L42" s="1476"/>
      <c r="M42" s="1476"/>
      <c r="N42" s="1476"/>
      <c r="O42" s="1476"/>
      <c r="P42" s="1476"/>
      <c r="Q42" s="1476"/>
      <c r="R42" s="1476"/>
      <c r="S42" s="1117"/>
      <c r="T42" s="1318"/>
      <c r="U42" s="1320"/>
      <c r="V42" s="1318"/>
      <c r="W42" s="1320"/>
      <c r="X42" s="1318"/>
      <c r="Y42" s="1320"/>
      <c r="Z42" s="1300">
        <f t="shared" si="23"/>
        <v>0</v>
      </c>
      <c r="AA42" s="1318"/>
      <c r="AB42" s="1487"/>
      <c r="AC42" s="1487"/>
      <c r="AD42" s="1320"/>
      <c r="AE42" s="1300">
        <f t="shared" si="24"/>
        <v>0</v>
      </c>
      <c r="AF42" s="1318"/>
      <c r="AG42" s="1487"/>
      <c r="AH42" s="1487"/>
      <c r="AI42" s="1322"/>
      <c r="AJ42" s="8"/>
      <c r="AK42" s="8"/>
      <c r="AL42" s="8"/>
      <c r="AM42" s="8"/>
      <c r="AN42" s="8"/>
      <c r="AO42" s="8"/>
      <c r="AP42" s="8"/>
      <c r="AQ42" s="8"/>
      <c r="AR42" s="170" t="str">
        <f t="shared" si="25"/>
        <v/>
      </c>
      <c r="CC42" s="2553" t="str">
        <f t="shared" si="26"/>
        <v/>
      </c>
      <c r="CD42" s="2553" t="str">
        <f t="shared" si="27"/>
        <v/>
      </c>
      <c r="CE42" s="2553" t="str">
        <f t="shared" si="28"/>
        <v/>
      </c>
      <c r="CF42" s="2553" t="str">
        <f t="shared" si="29"/>
        <v/>
      </c>
      <c r="CG42" s="2553"/>
      <c r="CH42" s="2553"/>
      <c r="CI42" s="2553"/>
      <c r="CK42" s="2554">
        <f t="shared" si="30"/>
        <v>0</v>
      </c>
      <c r="CL42" s="2554">
        <f t="shared" si="31"/>
        <v>0</v>
      </c>
      <c r="CM42" s="2554">
        <f t="shared" si="32"/>
        <v>0</v>
      </c>
      <c r="CN42" s="2554">
        <f t="shared" si="33"/>
        <v>0</v>
      </c>
      <c r="CO42" s="2554"/>
    </row>
    <row r="43" spans="1:93" s="170" customFormat="1" ht="15" customHeight="1" x14ac:dyDescent="0.15">
      <c r="A43" s="1300" t="s">
        <v>957</v>
      </c>
      <c r="B43" s="1507">
        <f t="shared" si="22"/>
        <v>0</v>
      </c>
      <c r="C43" s="1113"/>
      <c r="D43" s="1476"/>
      <c r="E43" s="1476"/>
      <c r="F43" s="1476"/>
      <c r="G43" s="1476"/>
      <c r="H43" s="1476"/>
      <c r="I43" s="1476"/>
      <c r="J43" s="1476"/>
      <c r="K43" s="1476"/>
      <c r="L43" s="1476"/>
      <c r="M43" s="1476"/>
      <c r="N43" s="1476"/>
      <c r="O43" s="1476"/>
      <c r="P43" s="1476"/>
      <c r="Q43" s="1476"/>
      <c r="R43" s="1476"/>
      <c r="S43" s="1117"/>
      <c r="T43" s="1318"/>
      <c r="U43" s="1320"/>
      <c r="V43" s="1318"/>
      <c r="W43" s="1320"/>
      <c r="X43" s="1318"/>
      <c r="Y43" s="1320"/>
      <c r="Z43" s="1300">
        <f t="shared" si="23"/>
        <v>0</v>
      </c>
      <c r="AA43" s="1318"/>
      <c r="AB43" s="1487"/>
      <c r="AC43" s="1487"/>
      <c r="AD43" s="1320"/>
      <c r="AE43" s="1300">
        <f t="shared" si="24"/>
        <v>0</v>
      </c>
      <c r="AF43" s="1318"/>
      <c r="AG43" s="1487"/>
      <c r="AH43" s="1487"/>
      <c r="AI43" s="1322"/>
      <c r="AJ43" s="8"/>
      <c r="AK43" s="8"/>
      <c r="AL43" s="8"/>
      <c r="AM43" s="8"/>
      <c r="AN43" s="8"/>
      <c r="AO43" s="8"/>
      <c r="AP43" s="8"/>
      <c r="AQ43" s="8"/>
      <c r="AR43" s="170" t="str">
        <f t="shared" si="25"/>
        <v/>
      </c>
      <c r="CC43" s="2553" t="str">
        <f t="shared" si="26"/>
        <v/>
      </c>
      <c r="CD43" s="2553" t="str">
        <f t="shared" si="27"/>
        <v/>
      </c>
      <c r="CE43" s="2553" t="str">
        <f t="shared" si="28"/>
        <v/>
      </c>
      <c r="CF43" s="2553" t="str">
        <f t="shared" si="29"/>
        <v/>
      </c>
      <c r="CG43" s="2553"/>
      <c r="CH43" s="2553"/>
      <c r="CI43" s="2553"/>
      <c r="CK43" s="2554">
        <f t="shared" si="30"/>
        <v>0</v>
      </c>
      <c r="CL43" s="2554">
        <f t="shared" si="31"/>
        <v>0</v>
      </c>
      <c r="CM43" s="2554">
        <f t="shared" si="32"/>
        <v>0</v>
      </c>
      <c r="CN43" s="2554">
        <f t="shared" si="33"/>
        <v>0</v>
      </c>
      <c r="CO43" s="2554"/>
    </row>
    <row r="44" spans="1:93" s="170" customFormat="1" ht="15" customHeight="1" x14ac:dyDescent="0.15">
      <c r="A44" s="1300" t="s">
        <v>958</v>
      </c>
      <c r="B44" s="1507">
        <f t="shared" si="22"/>
        <v>0</v>
      </c>
      <c r="C44" s="1113"/>
      <c r="D44" s="1476"/>
      <c r="E44" s="1476"/>
      <c r="F44" s="1476"/>
      <c r="G44" s="1476"/>
      <c r="H44" s="1476"/>
      <c r="I44" s="1476"/>
      <c r="J44" s="1476"/>
      <c r="K44" s="1476"/>
      <c r="L44" s="1476"/>
      <c r="M44" s="1476"/>
      <c r="N44" s="1476"/>
      <c r="O44" s="1476"/>
      <c r="P44" s="1476"/>
      <c r="Q44" s="1476"/>
      <c r="R44" s="1476"/>
      <c r="S44" s="1117"/>
      <c r="T44" s="1318"/>
      <c r="U44" s="1320"/>
      <c r="V44" s="1318"/>
      <c r="W44" s="1320"/>
      <c r="X44" s="1318"/>
      <c r="Y44" s="1320"/>
      <c r="Z44" s="1300">
        <f t="shared" si="23"/>
        <v>0</v>
      </c>
      <c r="AA44" s="1318"/>
      <c r="AB44" s="1487"/>
      <c r="AC44" s="1487"/>
      <c r="AD44" s="1320"/>
      <c r="AE44" s="1300">
        <f t="shared" si="24"/>
        <v>0</v>
      </c>
      <c r="AF44" s="1318"/>
      <c r="AG44" s="1487"/>
      <c r="AH44" s="1487"/>
      <c r="AI44" s="1322"/>
      <c r="AJ44" s="8"/>
      <c r="AK44" s="8"/>
      <c r="AL44" s="8"/>
      <c r="AM44" s="8"/>
      <c r="AN44" s="8"/>
      <c r="AO44" s="8"/>
      <c r="AP44" s="8"/>
      <c r="AQ44" s="8"/>
      <c r="AR44" s="170" t="str">
        <f t="shared" si="25"/>
        <v/>
      </c>
      <c r="CC44" s="2553" t="str">
        <f t="shared" si="26"/>
        <v/>
      </c>
      <c r="CD44" s="2553" t="str">
        <f t="shared" si="27"/>
        <v/>
      </c>
      <c r="CE44" s="2553" t="str">
        <f t="shared" si="28"/>
        <v/>
      </c>
      <c r="CF44" s="2553" t="str">
        <f t="shared" si="29"/>
        <v/>
      </c>
      <c r="CG44" s="2553"/>
      <c r="CH44" s="2553"/>
      <c r="CI44" s="2553"/>
      <c r="CK44" s="2554">
        <f t="shared" si="30"/>
        <v>0</v>
      </c>
      <c r="CL44" s="2554">
        <f t="shared" si="31"/>
        <v>0</v>
      </c>
      <c r="CM44" s="2554">
        <f t="shared" si="32"/>
        <v>0</v>
      </c>
      <c r="CN44" s="2554">
        <f t="shared" si="33"/>
        <v>0</v>
      </c>
      <c r="CO44" s="2554"/>
    </row>
    <row r="45" spans="1:93" s="170" customFormat="1" ht="15" customHeight="1" x14ac:dyDescent="0.15">
      <c r="A45" s="1300" t="s">
        <v>959</v>
      </c>
      <c r="B45" s="1507">
        <f t="shared" si="22"/>
        <v>0</v>
      </c>
      <c r="C45" s="1113"/>
      <c r="D45" s="1476"/>
      <c r="E45" s="1476"/>
      <c r="F45" s="1476"/>
      <c r="G45" s="1476"/>
      <c r="H45" s="1476"/>
      <c r="I45" s="1476"/>
      <c r="J45" s="1476"/>
      <c r="K45" s="1476"/>
      <c r="L45" s="1476"/>
      <c r="M45" s="1476"/>
      <c r="N45" s="1476"/>
      <c r="O45" s="1476"/>
      <c r="P45" s="1476"/>
      <c r="Q45" s="1476"/>
      <c r="R45" s="1476"/>
      <c r="S45" s="1117"/>
      <c r="T45" s="1318"/>
      <c r="U45" s="1320"/>
      <c r="V45" s="1318"/>
      <c r="W45" s="1320"/>
      <c r="X45" s="1318"/>
      <c r="Y45" s="1320"/>
      <c r="Z45" s="1300">
        <f t="shared" si="23"/>
        <v>0</v>
      </c>
      <c r="AA45" s="1318"/>
      <c r="AB45" s="1487"/>
      <c r="AC45" s="1487"/>
      <c r="AD45" s="1320"/>
      <c r="AE45" s="1300">
        <f t="shared" si="24"/>
        <v>0</v>
      </c>
      <c r="AF45" s="1318"/>
      <c r="AG45" s="1487"/>
      <c r="AH45" s="1487"/>
      <c r="AI45" s="1322"/>
      <c r="AJ45" s="8"/>
      <c r="AK45" s="8"/>
      <c r="AL45" s="8"/>
      <c r="AM45" s="8"/>
      <c r="AN45" s="8"/>
      <c r="AO45" s="8"/>
      <c r="AP45" s="8"/>
      <c r="AQ45" s="8"/>
      <c r="AR45" s="170" t="str">
        <f t="shared" si="25"/>
        <v/>
      </c>
      <c r="CC45" s="2553" t="str">
        <f t="shared" si="26"/>
        <v/>
      </c>
      <c r="CD45" s="2553" t="str">
        <f t="shared" si="27"/>
        <v/>
      </c>
      <c r="CE45" s="2553" t="str">
        <f t="shared" si="28"/>
        <v/>
      </c>
      <c r="CF45" s="2553" t="str">
        <f t="shared" si="29"/>
        <v/>
      </c>
      <c r="CG45" s="2553"/>
      <c r="CH45" s="2553"/>
      <c r="CI45" s="2553"/>
      <c r="CK45" s="2554">
        <f t="shared" si="30"/>
        <v>0</v>
      </c>
      <c r="CL45" s="2554">
        <f t="shared" si="31"/>
        <v>0</v>
      </c>
      <c r="CM45" s="2554">
        <f t="shared" si="32"/>
        <v>0</v>
      </c>
      <c r="CN45" s="2554">
        <f t="shared" si="33"/>
        <v>0</v>
      </c>
      <c r="CO45" s="2554"/>
    </row>
    <row r="46" spans="1:93" s="170" customFormat="1" ht="15" customHeight="1" x14ac:dyDescent="0.15">
      <c r="A46" s="1300" t="s">
        <v>960</v>
      </c>
      <c r="B46" s="1507">
        <f t="shared" si="22"/>
        <v>0</v>
      </c>
      <c r="C46" s="1113"/>
      <c r="D46" s="1476"/>
      <c r="E46" s="1476"/>
      <c r="F46" s="1476"/>
      <c r="G46" s="1476"/>
      <c r="H46" s="1476"/>
      <c r="I46" s="1476"/>
      <c r="J46" s="1476"/>
      <c r="K46" s="1476"/>
      <c r="L46" s="1476"/>
      <c r="M46" s="1476"/>
      <c r="N46" s="1476"/>
      <c r="O46" s="1476"/>
      <c r="P46" s="1476"/>
      <c r="Q46" s="1476"/>
      <c r="R46" s="1476"/>
      <c r="S46" s="1117"/>
      <c r="T46" s="1318"/>
      <c r="U46" s="1320"/>
      <c r="V46" s="1318"/>
      <c r="W46" s="1320"/>
      <c r="X46" s="1318"/>
      <c r="Y46" s="1320"/>
      <c r="Z46" s="1300">
        <f t="shared" si="23"/>
        <v>0</v>
      </c>
      <c r="AA46" s="1318"/>
      <c r="AB46" s="1487"/>
      <c r="AC46" s="1487"/>
      <c r="AD46" s="1320"/>
      <c r="AE46" s="1300">
        <f t="shared" si="24"/>
        <v>0</v>
      </c>
      <c r="AF46" s="1318"/>
      <c r="AG46" s="1487"/>
      <c r="AH46" s="1487"/>
      <c r="AI46" s="1322"/>
      <c r="AJ46" s="8"/>
      <c r="AK46" s="8"/>
      <c r="AL46" s="8"/>
      <c r="AM46" s="8"/>
      <c r="AN46" s="8"/>
      <c r="AO46" s="8"/>
      <c r="AP46" s="8"/>
      <c r="AQ46" s="8"/>
      <c r="AR46" s="170" t="str">
        <f t="shared" si="25"/>
        <v/>
      </c>
      <c r="CC46" s="2553" t="str">
        <f t="shared" si="26"/>
        <v/>
      </c>
      <c r="CD46" s="2553" t="str">
        <f t="shared" si="27"/>
        <v/>
      </c>
      <c r="CE46" s="2553" t="str">
        <f t="shared" si="28"/>
        <v/>
      </c>
      <c r="CF46" s="2553" t="str">
        <f t="shared" si="29"/>
        <v/>
      </c>
      <c r="CG46" s="2553"/>
      <c r="CH46" s="2553"/>
      <c r="CI46" s="2553"/>
      <c r="CK46" s="2554">
        <f t="shared" si="30"/>
        <v>0</v>
      </c>
      <c r="CL46" s="2554">
        <f t="shared" si="31"/>
        <v>0</v>
      </c>
      <c r="CM46" s="2554">
        <f t="shared" si="32"/>
        <v>0</v>
      </c>
      <c r="CN46" s="2554">
        <f t="shared" si="33"/>
        <v>0</v>
      </c>
      <c r="CO46" s="2554"/>
    </row>
    <row r="47" spans="1:93" s="170" customFormat="1" ht="15" customHeight="1" x14ac:dyDescent="0.15">
      <c r="A47" s="1300" t="s">
        <v>961</v>
      </c>
      <c r="B47" s="1507">
        <f t="shared" si="22"/>
        <v>0</v>
      </c>
      <c r="C47" s="1113"/>
      <c r="D47" s="1476"/>
      <c r="E47" s="1476"/>
      <c r="F47" s="1476"/>
      <c r="G47" s="1476"/>
      <c r="H47" s="1476"/>
      <c r="I47" s="1476"/>
      <c r="J47" s="1476"/>
      <c r="K47" s="1476"/>
      <c r="L47" s="1476"/>
      <c r="M47" s="1476"/>
      <c r="N47" s="1476"/>
      <c r="O47" s="1476"/>
      <c r="P47" s="1476"/>
      <c r="Q47" s="1476"/>
      <c r="R47" s="1476"/>
      <c r="S47" s="1117"/>
      <c r="T47" s="1318"/>
      <c r="U47" s="1320"/>
      <c r="V47" s="1318"/>
      <c r="W47" s="1320"/>
      <c r="X47" s="1318"/>
      <c r="Y47" s="1320"/>
      <c r="Z47" s="1300">
        <f t="shared" si="23"/>
        <v>0</v>
      </c>
      <c r="AA47" s="1318"/>
      <c r="AB47" s="1487"/>
      <c r="AC47" s="1487"/>
      <c r="AD47" s="1320"/>
      <c r="AE47" s="1300">
        <f t="shared" si="24"/>
        <v>0</v>
      </c>
      <c r="AF47" s="1318"/>
      <c r="AG47" s="1487"/>
      <c r="AH47" s="1487"/>
      <c r="AI47" s="1322"/>
      <c r="AJ47" s="8"/>
      <c r="AK47" s="8"/>
      <c r="AL47" s="8"/>
      <c r="AM47" s="8"/>
      <c r="AN47" s="8"/>
      <c r="AO47" s="8"/>
      <c r="AP47" s="8"/>
      <c r="AQ47" s="8"/>
      <c r="AR47" s="170" t="str">
        <f t="shared" si="25"/>
        <v/>
      </c>
      <c r="CC47" s="2553" t="str">
        <f t="shared" si="26"/>
        <v/>
      </c>
      <c r="CD47" s="2553" t="str">
        <f t="shared" si="27"/>
        <v/>
      </c>
      <c r="CE47" s="2553" t="str">
        <f t="shared" si="28"/>
        <v/>
      </c>
      <c r="CF47" s="2553" t="str">
        <f t="shared" si="29"/>
        <v/>
      </c>
      <c r="CG47" s="2553"/>
      <c r="CH47" s="2553"/>
      <c r="CI47" s="2553"/>
      <c r="CK47" s="2554">
        <f t="shared" si="30"/>
        <v>0</v>
      </c>
      <c r="CL47" s="2554">
        <f t="shared" si="31"/>
        <v>0</v>
      </c>
      <c r="CM47" s="2554">
        <f t="shared" si="32"/>
        <v>0</v>
      </c>
      <c r="CN47" s="2554">
        <f t="shared" si="33"/>
        <v>0</v>
      </c>
      <c r="CO47" s="2554"/>
    </row>
    <row r="48" spans="1:93" s="170" customFormat="1" ht="15" customHeight="1" x14ac:dyDescent="0.15">
      <c r="A48" s="1300" t="s">
        <v>962</v>
      </c>
      <c r="B48" s="1507">
        <f t="shared" si="22"/>
        <v>0</v>
      </c>
      <c r="C48" s="1113"/>
      <c r="D48" s="1476"/>
      <c r="E48" s="1476"/>
      <c r="F48" s="1476"/>
      <c r="G48" s="1476"/>
      <c r="H48" s="1476"/>
      <c r="I48" s="1476"/>
      <c r="J48" s="1476"/>
      <c r="K48" s="1476"/>
      <c r="L48" s="1476"/>
      <c r="M48" s="1476"/>
      <c r="N48" s="1476"/>
      <c r="O48" s="1476"/>
      <c r="P48" s="1476"/>
      <c r="Q48" s="1476"/>
      <c r="R48" s="1476"/>
      <c r="S48" s="1117"/>
      <c r="T48" s="1318"/>
      <c r="U48" s="1320"/>
      <c r="V48" s="1318"/>
      <c r="W48" s="1320"/>
      <c r="X48" s="1318"/>
      <c r="Y48" s="1320"/>
      <c r="Z48" s="1300">
        <f t="shared" si="23"/>
        <v>0</v>
      </c>
      <c r="AA48" s="1318"/>
      <c r="AB48" s="1487"/>
      <c r="AC48" s="1487"/>
      <c r="AD48" s="1320"/>
      <c r="AE48" s="1300">
        <f t="shared" si="24"/>
        <v>0</v>
      </c>
      <c r="AF48" s="1318"/>
      <c r="AG48" s="1487"/>
      <c r="AH48" s="1487"/>
      <c r="AI48" s="1322"/>
      <c r="AJ48" s="8"/>
      <c r="AK48" s="8"/>
      <c r="AL48" s="8"/>
      <c r="AM48" s="8"/>
      <c r="AN48" s="8"/>
      <c r="AO48" s="8"/>
      <c r="AP48" s="8"/>
      <c r="AQ48" s="8"/>
      <c r="AR48" s="170" t="str">
        <f t="shared" si="25"/>
        <v/>
      </c>
      <c r="CC48" s="2553" t="str">
        <f t="shared" si="26"/>
        <v/>
      </c>
      <c r="CD48" s="2553" t="str">
        <f t="shared" si="27"/>
        <v/>
      </c>
      <c r="CE48" s="2553" t="str">
        <f t="shared" si="28"/>
        <v/>
      </c>
      <c r="CF48" s="2553" t="str">
        <f t="shared" si="29"/>
        <v/>
      </c>
      <c r="CG48" s="2553"/>
      <c r="CH48" s="2553"/>
      <c r="CI48" s="2553"/>
      <c r="CK48" s="2554">
        <f t="shared" si="30"/>
        <v>0</v>
      </c>
      <c r="CL48" s="2554">
        <f t="shared" si="31"/>
        <v>0</v>
      </c>
      <c r="CM48" s="2554">
        <f t="shared" si="32"/>
        <v>0</v>
      </c>
      <c r="CN48" s="2554">
        <f t="shared" si="33"/>
        <v>0</v>
      </c>
      <c r="CO48" s="2554"/>
    </row>
    <row r="49" spans="1:93" s="170" customFormat="1" ht="15" customHeight="1" x14ac:dyDescent="0.15">
      <c r="A49" s="1300" t="s">
        <v>963</v>
      </c>
      <c r="B49" s="1507">
        <f t="shared" si="22"/>
        <v>0</v>
      </c>
      <c r="C49" s="1113"/>
      <c r="D49" s="1476"/>
      <c r="E49" s="1476"/>
      <c r="F49" s="1476"/>
      <c r="G49" s="1476"/>
      <c r="H49" s="1476"/>
      <c r="I49" s="1476"/>
      <c r="J49" s="1476"/>
      <c r="K49" s="1476"/>
      <c r="L49" s="1476"/>
      <c r="M49" s="1476"/>
      <c r="N49" s="1476"/>
      <c r="O49" s="1476"/>
      <c r="P49" s="1476"/>
      <c r="Q49" s="1476"/>
      <c r="R49" s="1476"/>
      <c r="S49" s="1117"/>
      <c r="T49" s="1318"/>
      <c r="U49" s="1320"/>
      <c r="V49" s="1318"/>
      <c r="W49" s="1320"/>
      <c r="X49" s="1318"/>
      <c r="Y49" s="1320"/>
      <c r="Z49" s="1300">
        <f t="shared" si="23"/>
        <v>0</v>
      </c>
      <c r="AA49" s="1318"/>
      <c r="AB49" s="1487"/>
      <c r="AC49" s="1487"/>
      <c r="AD49" s="1320"/>
      <c r="AE49" s="1300">
        <f t="shared" si="24"/>
        <v>0</v>
      </c>
      <c r="AF49" s="1318"/>
      <c r="AG49" s="1487"/>
      <c r="AH49" s="1487"/>
      <c r="AI49" s="1322"/>
      <c r="AJ49" s="8"/>
      <c r="AK49" s="8"/>
      <c r="AL49" s="8"/>
      <c r="AM49" s="8"/>
      <c r="AN49" s="8"/>
      <c r="AO49" s="8"/>
      <c r="AP49" s="8"/>
      <c r="AQ49" s="8"/>
      <c r="AR49" s="170" t="str">
        <f t="shared" si="25"/>
        <v/>
      </c>
      <c r="CC49" s="2553" t="str">
        <f t="shared" si="26"/>
        <v/>
      </c>
      <c r="CD49" s="2553" t="str">
        <f t="shared" si="27"/>
        <v/>
      </c>
      <c r="CE49" s="2553" t="str">
        <f t="shared" si="28"/>
        <v/>
      </c>
      <c r="CF49" s="2553" t="str">
        <f t="shared" si="29"/>
        <v/>
      </c>
      <c r="CG49" s="2553"/>
      <c r="CH49" s="2553"/>
      <c r="CI49" s="2553"/>
      <c r="CK49" s="2554">
        <f t="shared" si="30"/>
        <v>0</v>
      </c>
      <c r="CL49" s="2554">
        <f t="shared" si="31"/>
        <v>0</v>
      </c>
      <c r="CM49" s="2554">
        <f t="shared" si="32"/>
        <v>0</v>
      </c>
      <c r="CN49" s="2554">
        <f t="shared" si="33"/>
        <v>0</v>
      </c>
      <c r="CO49" s="2554"/>
    </row>
    <row r="50" spans="1:93" s="170" customFormat="1" ht="15" customHeight="1" x14ac:dyDescent="0.15">
      <c r="A50" s="1300" t="s">
        <v>964</v>
      </c>
      <c r="B50" s="1507">
        <f t="shared" si="22"/>
        <v>0</v>
      </c>
      <c r="C50" s="1113"/>
      <c r="D50" s="1476"/>
      <c r="E50" s="1476"/>
      <c r="F50" s="1476"/>
      <c r="G50" s="1476"/>
      <c r="H50" s="1476"/>
      <c r="I50" s="1476"/>
      <c r="J50" s="1476"/>
      <c r="K50" s="1476"/>
      <c r="L50" s="1476"/>
      <c r="M50" s="1476"/>
      <c r="N50" s="1476"/>
      <c r="O50" s="1476"/>
      <c r="P50" s="1476"/>
      <c r="Q50" s="1476"/>
      <c r="R50" s="1476"/>
      <c r="S50" s="1117"/>
      <c r="T50" s="1318"/>
      <c r="U50" s="1320"/>
      <c r="V50" s="1318"/>
      <c r="W50" s="1320"/>
      <c r="X50" s="1318"/>
      <c r="Y50" s="1320"/>
      <c r="Z50" s="1300">
        <f t="shared" si="23"/>
        <v>0</v>
      </c>
      <c r="AA50" s="1318"/>
      <c r="AB50" s="1487"/>
      <c r="AC50" s="1487"/>
      <c r="AD50" s="1320"/>
      <c r="AE50" s="1300">
        <f t="shared" si="24"/>
        <v>0</v>
      </c>
      <c r="AF50" s="1318"/>
      <c r="AG50" s="1487"/>
      <c r="AH50" s="1487"/>
      <c r="AI50" s="1322"/>
      <c r="AJ50" s="8"/>
      <c r="AK50" s="8"/>
      <c r="AL50" s="8"/>
      <c r="AM50" s="8"/>
      <c r="AN50" s="8"/>
      <c r="AO50" s="8"/>
      <c r="AP50" s="8"/>
      <c r="AQ50" s="8"/>
      <c r="AR50" s="170" t="str">
        <f t="shared" si="25"/>
        <v/>
      </c>
      <c r="CC50" s="2553" t="str">
        <f t="shared" si="26"/>
        <v/>
      </c>
      <c r="CD50" s="2553" t="str">
        <f t="shared" si="27"/>
        <v/>
      </c>
      <c r="CE50" s="2553" t="str">
        <f t="shared" si="28"/>
        <v/>
      </c>
      <c r="CF50" s="2553" t="str">
        <f t="shared" si="29"/>
        <v/>
      </c>
      <c r="CG50" s="2553"/>
      <c r="CH50" s="2553"/>
      <c r="CI50" s="2553"/>
      <c r="CK50" s="2554">
        <f t="shared" si="30"/>
        <v>0</v>
      </c>
      <c r="CL50" s="2554">
        <f t="shared" si="31"/>
        <v>0</v>
      </c>
      <c r="CM50" s="2554">
        <f t="shared" si="32"/>
        <v>0</v>
      </c>
      <c r="CN50" s="2554">
        <f t="shared" si="33"/>
        <v>0</v>
      </c>
      <c r="CO50" s="2554"/>
    </row>
    <row r="51" spans="1:93" s="170" customFormat="1" ht="15" customHeight="1" x14ac:dyDescent="0.15">
      <c r="A51" s="1300" t="s">
        <v>965</v>
      </c>
      <c r="B51" s="1507">
        <f t="shared" si="22"/>
        <v>0</v>
      </c>
      <c r="C51" s="1113"/>
      <c r="D51" s="1476"/>
      <c r="E51" s="1476"/>
      <c r="F51" s="1476"/>
      <c r="G51" s="1476"/>
      <c r="H51" s="1476"/>
      <c r="I51" s="1476"/>
      <c r="J51" s="1476"/>
      <c r="K51" s="1476"/>
      <c r="L51" s="1476"/>
      <c r="M51" s="1476"/>
      <c r="N51" s="1476"/>
      <c r="O51" s="1476"/>
      <c r="P51" s="1476"/>
      <c r="Q51" s="1476"/>
      <c r="R51" s="1476"/>
      <c r="S51" s="1117"/>
      <c r="T51" s="1318"/>
      <c r="U51" s="1320"/>
      <c r="V51" s="1318"/>
      <c r="W51" s="1320"/>
      <c r="X51" s="1318"/>
      <c r="Y51" s="1320"/>
      <c r="Z51" s="1300">
        <f t="shared" si="23"/>
        <v>0</v>
      </c>
      <c r="AA51" s="1318"/>
      <c r="AB51" s="1487"/>
      <c r="AC51" s="1487"/>
      <c r="AD51" s="1320"/>
      <c r="AE51" s="1300">
        <f t="shared" si="24"/>
        <v>0</v>
      </c>
      <c r="AF51" s="1318"/>
      <c r="AG51" s="1487"/>
      <c r="AH51" s="1487"/>
      <c r="AI51" s="1322"/>
      <c r="AJ51" s="8"/>
      <c r="AK51" s="8"/>
      <c r="AL51" s="8"/>
      <c r="AM51" s="8"/>
      <c r="AN51" s="8"/>
      <c r="AO51" s="8"/>
      <c r="AP51" s="8"/>
      <c r="AQ51" s="8"/>
      <c r="AR51" s="170" t="str">
        <f t="shared" si="25"/>
        <v/>
      </c>
      <c r="CC51" s="2553" t="str">
        <f t="shared" si="26"/>
        <v/>
      </c>
      <c r="CD51" s="2553" t="str">
        <f t="shared" si="27"/>
        <v/>
      </c>
      <c r="CE51" s="2553" t="str">
        <f t="shared" si="28"/>
        <v/>
      </c>
      <c r="CF51" s="2553" t="str">
        <f t="shared" si="29"/>
        <v/>
      </c>
      <c r="CG51" s="2553"/>
      <c r="CH51" s="2553"/>
      <c r="CI51" s="2553"/>
      <c r="CK51" s="2554">
        <f t="shared" si="30"/>
        <v>0</v>
      </c>
      <c r="CL51" s="2554">
        <f t="shared" si="31"/>
        <v>0</v>
      </c>
      <c r="CM51" s="2554">
        <f t="shared" si="32"/>
        <v>0</v>
      </c>
      <c r="CN51" s="2554">
        <f t="shared" si="33"/>
        <v>0</v>
      </c>
      <c r="CO51" s="2554"/>
    </row>
    <row r="52" spans="1:93" s="170" customFormat="1" ht="15" customHeight="1" x14ac:dyDescent="0.15">
      <c r="A52" s="1300" t="s">
        <v>966</v>
      </c>
      <c r="B52" s="1507">
        <f t="shared" si="22"/>
        <v>0</v>
      </c>
      <c r="C52" s="1113"/>
      <c r="D52" s="1476"/>
      <c r="E52" s="1476"/>
      <c r="F52" s="1476"/>
      <c r="G52" s="1476"/>
      <c r="H52" s="1476"/>
      <c r="I52" s="1476"/>
      <c r="J52" s="1476"/>
      <c r="K52" s="1476"/>
      <c r="L52" s="1476"/>
      <c r="M52" s="1476"/>
      <c r="N52" s="1476"/>
      <c r="O52" s="1476"/>
      <c r="P52" s="1476"/>
      <c r="Q52" s="1476"/>
      <c r="R52" s="1476"/>
      <c r="S52" s="1117"/>
      <c r="T52" s="1318"/>
      <c r="U52" s="1320"/>
      <c r="V52" s="1318"/>
      <c r="W52" s="1320"/>
      <c r="X52" s="1318"/>
      <c r="Y52" s="1320"/>
      <c r="Z52" s="1300">
        <f t="shared" si="23"/>
        <v>0</v>
      </c>
      <c r="AA52" s="1318"/>
      <c r="AB52" s="1487"/>
      <c r="AC52" s="1487"/>
      <c r="AD52" s="1320"/>
      <c r="AE52" s="1300">
        <f t="shared" si="24"/>
        <v>0</v>
      </c>
      <c r="AF52" s="1318"/>
      <c r="AG52" s="1487"/>
      <c r="AH52" s="1487"/>
      <c r="AI52" s="1322"/>
      <c r="AJ52" s="8"/>
      <c r="AK52" s="8"/>
      <c r="AL52" s="8"/>
      <c r="AM52" s="8"/>
      <c r="AN52" s="8"/>
      <c r="AO52" s="8"/>
      <c r="AP52" s="8"/>
      <c r="AQ52" s="8"/>
      <c r="AR52" s="170" t="str">
        <f t="shared" si="25"/>
        <v/>
      </c>
      <c r="CC52" s="2553" t="str">
        <f t="shared" si="26"/>
        <v/>
      </c>
      <c r="CD52" s="2553" t="str">
        <f t="shared" si="27"/>
        <v/>
      </c>
      <c r="CE52" s="2553" t="str">
        <f t="shared" si="28"/>
        <v/>
      </c>
      <c r="CF52" s="2553" t="str">
        <f t="shared" si="29"/>
        <v/>
      </c>
      <c r="CG52" s="2553"/>
      <c r="CH52" s="2553"/>
      <c r="CI52" s="2553"/>
      <c r="CK52" s="2554">
        <f t="shared" si="30"/>
        <v>0</v>
      </c>
      <c r="CL52" s="2554">
        <f t="shared" si="31"/>
        <v>0</v>
      </c>
      <c r="CM52" s="2554">
        <f t="shared" si="32"/>
        <v>0</v>
      </c>
      <c r="CN52" s="2554">
        <f t="shared" si="33"/>
        <v>0</v>
      </c>
      <c r="CO52" s="2554"/>
    </row>
    <row r="53" spans="1:93" s="170" customFormat="1" ht="15" customHeight="1" x14ac:dyDescent="0.15">
      <c r="A53" s="1300" t="s">
        <v>967</v>
      </c>
      <c r="B53" s="1507">
        <f t="shared" si="22"/>
        <v>0</v>
      </c>
      <c r="C53" s="1113"/>
      <c r="D53" s="1476"/>
      <c r="E53" s="1476"/>
      <c r="F53" s="1476"/>
      <c r="G53" s="1476"/>
      <c r="H53" s="1476"/>
      <c r="I53" s="1476"/>
      <c r="J53" s="1476"/>
      <c r="K53" s="1476"/>
      <c r="L53" s="1476"/>
      <c r="M53" s="1476"/>
      <c r="N53" s="1476"/>
      <c r="O53" s="1476"/>
      <c r="P53" s="1476"/>
      <c r="Q53" s="1476"/>
      <c r="R53" s="1476"/>
      <c r="S53" s="1117"/>
      <c r="T53" s="1318"/>
      <c r="U53" s="1320"/>
      <c r="V53" s="1318"/>
      <c r="W53" s="1320"/>
      <c r="X53" s="1318"/>
      <c r="Y53" s="1320"/>
      <c r="Z53" s="1300">
        <f t="shared" si="23"/>
        <v>0</v>
      </c>
      <c r="AA53" s="1318"/>
      <c r="AB53" s="1487"/>
      <c r="AC53" s="1487"/>
      <c r="AD53" s="1320"/>
      <c r="AE53" s="1300">
        <f t="shared" si="24"/>
        <v>0</v>
      </c>
      <c r="AF53" s="1318"/>
      <c r="AG53" s="1487"/>
      <c r="AH53" s="1487"/>
      <c r="AI53" s="1322"/>
      <c r="AJ53" s="8"/>
      <c r="AK53" s="8"/>
      <c r="AL53" s="8"/>
      <c r="AM53" s="8"/>
      <c r="AN53" s="8"/>
      <c r="AO53" s="8"/>
      <c r="AP53" s="8"/>
      <c r="AQ53" s="8"/>
      <c r="AR53" s="170" t="str">
        <f t="shared" si="25"/>
        <v/>
      </c>
      <c r="CC53" s="2553" t="str">
        <f t="shared" si="26"/>
        <v/>
      </c>
      <c r="CD53" s="2553" t="str">
        <f t="shared" si="27"/>
        <v/>
      </c>
      <c r="CE53" s="2553" t="str">
        <f t="shared" si="28"/>
        <v/>
      </c>
      <c r="CF53" s="2553" t="str">
        <f t="shared" si="29"/>
        <v/>
      </c>
      <c r="CG53" s="2553"/>
      <c r="CH53" s="2553"/>
      <c r="CI53" s="2553"/>
      <c r="CK53" s="2554">
        <f t="shared" si="30"/>
        <v>0</v>
      </c>
      <c r="CL53" s="2554">
        <f t="shared" si="31"/>
        <v>0</v>
      </c>
      <c r="CM53" s="2554">
        <f t="shared" si="32"/>
        <v>0</v>
      </c>
      <c r="CN53" s="2554">
        <f t="shared" si="33"/>
        <v>0</v>
      </c>
      <c r="CO53" s="2554"/>
    </row>
    <row r="54" spans="1:93" s="170" customFormat="1" ht="15" customHeight="1" x14ac:dyDescent="0.15">
      <c r="A54" s="1300" t="s">
        <v>227</v>
      </c>
      <c r="B54" s="1507">
        <f t="shared" si="22"/>
        <v>0</v>
      </c>
      <c r="C54" s="1113"/>
      <c r="D54" s="1476"/>
      <c r="E54" s="1476"/>
      <c r="F54" s="1476"/>
      <c r="G54" s="1476"/>
      <c r="H54" s="1476"/>
      <c r="I54" s="1476"/>
      <c r="J54" s="1476"/>
      <c r="K54" s="1476"/>
      <c r="L54" s="1476"/>
      <c r="M54" s="1476"/>
      <c r="N54" s="1476"/>
      <c r="O54" s="1476"/>
      <c r="P54" s="1476"/>
      <c r="Q54" s="1476"/>
      <c r="R54" s="1476"/>
      <c r="S54" s="1117"/>
      <c r="T54" s="1318"/>
      <c r="U54" s="1320"/>
      <c r="V54" s="1318"/>
      <c r="W54" s="1320"/>
      <c r="X54" s="1318"/>
      <c r="Y54" s="1320"/>
      <c r="Z54" s="1300">
        <f t="shared" si="23"/>
        <v>0</v>
      </c>
      <c r="AA54" s="1318"/>
      <c r="AB54" s="1487"/>
      <c r="AC54" s="1487"/>
      <c r="AD54" s="1320"/>
      <c r="AE54" s="1300">
        <f t="shared" si="24"/>
        <v>0</v>
      </c>
      <c r="AF54" s="1318"/>
      <c r="AG54" s="1487"/>
      <c r="AH54" s="1487"/>
      <c r="AI54" s="1322"/>
      <c r="AJ54" s="8"/>
      <c r="AK54" s="8"/>
      <c r="AL54" s="8"/>
      <c r="AM54" s="8"/>
      <c r="AN54" s="8"/>
      <c r="AO54" s="8"/>
      <c r="AP54" s="8"/>
      <c r="AQ54" s="8"/>
      <c r="AR54" s="170" t="str">
        <f t="shared" si="25"/>
        <v/>
      </c>
      <c r="CC54" s="2553" t="str">
        <f t="shared" si="26"/>
        <v/>
      </c>
      <c r="CD54" s="2553" t="str">
        <f t="shared" si="27"/>
        <v/>
      </c>
      <c r="CE54" s="2553" t="str">
        <f t="shared" si="28"/>
        <v/>
      </c>
      <c r="CF54" s="2553" t="str">
        <f t="shared" si="29"/>
        <v/>
      </c>
      <c r="CG54" s="2553"/>
      <c r="CH54" s="2553"/>
      <c r="CI54" s="2553"/>
      <c r="CK54" s="2554">
        <f t="shared" si="30"/>
        <v>0</v>
      </c>
      <c r="CL54" s="2554">
        <f t="shared" si="31"/>
        <v>0</v>
      </c>
      <c r="CM54" s="2554">
        <f t="shared" si="32"/>
        <v>0</v>
      </c>
      <c r="CN54" s="2554">
        <f t="shared" si="33"/>
        <v>0</v>
      </c>
      <c r="CO54" s="2554"/>
    </row>
    <row r="55" spans="1:93" s="170" customFormat="1" ht="15" customHeight="1" x14ac:dyDescent="0.15">
      <c r="A55" s="1300" t="s">
        <v>968</v>
      </c>
      <c r="B55" s="1507">
        <f t="shared" si="22"/>
        <v>0</v>
      </c>
      <c r="C55" s="1113"/>
      <c r="D55" s="1476"/>
      <c r="E55" s="1476"/>
      <c r="F55" s="1476"/>
      <c r="G55" s="1476"/>
      <c r="H55" s="1476"/>
      <c r="I55" s="1476"/>
      <c r="J55" s="1476"/>
      <c r="K55" s="1476"/>
      <c r="L55" s="1476"/>
      <c r="M55" s="1476"/>
      <c r="N55" s="1476"/>
      <c r="O55" s="1476"/>
      <c r="P55" s="1476"/>
      <c r="Q55" s="1476"/>
      <c r="R55" s="1476"/>
      <c r="S55" s="1117"/>
      <c r="T55" s="1318"/>
      <c r="U55" s="1320"/>
      <c r="V55" s="1318"/>
      <c r="W55" s="1320"/>
      <c r="X55" s="1318"/>
      <c r="Y55" s="1320"/>
      <c r="Z55" s="1300">
        <f t="shared" si="23"/>
        <v>0</v>
      </c>
      <c r="AA55" s="1318"/>
      <c r="AB55" s="1487"/>
      <c r="AC55" s="1487"/>
      <c r="AD55" s="1320"/>
      <c r="AE55" s="1300">
        <f t="shared" si="24"/>
        <v>0</v>
      </c>
      <c r="AF55" s="1318"/>
      <c r="AG55" s="1487"/>
      <c r="AH55" s="1487"/>
      <c r="AI55" s="1322"/>
      <c r="AJ55" s="8"/>
      <c r="AK55" s="8"/>
      <c r="AL55" s="8"/>
      <c r="AM55" s="8"/>
      <c r="AN55" s="8"/>
      <c r="AO55" s="8"/>
      <c r="AP55" s="8"/>
      <c r="AQ55" s="8"/>
      <c r="AR55" s="170" t="str">
        <f t="shared" si="25"/>
        <v/>
      </c>
      <c r="CC55" s="2553" t="str">
        <f t="shared" si="26"/>
        <v/>
      </c>
      <c r="CD55" s="2553" t="str">
        <f t="shared" si="27"/>
        <v/>
      </c>
      <c r="CE55" s="2553" t="str">
        <f t="shared" si="28"/>
        <v/>
      </c>
      <c r="CF55" s="2553" t="str">
        <f t="shared" si="29"/>
        <v/>
      </c>
      <c r="CG55" s="2553"/>
      <c r="CH55" s="2553"/>
      <c r="CI55" s="2553"/>
      <c r="CK55" s="2554">
        <f t="shared" si="30"/>
        <v>0</v>
      </c>
      <c r="CL55" s="2554">
        <f t="shared" si="31"/>
        <v>0</v>
      </c>
      <c r="CM55" s="2554">
        <f t="shared" si="32"/>
        <v>0</v>
      </c>
      <c r="CN55" s="2554">
        <f t="shared" si="33"/>
        <v>0</v>
      </c>
      <c r="CO55" s="2554"/>
    </row>
    <row r="56" spans="1:93" s="170" customFormat="1" ht="15" customHeight="1" x14ac:dyDescent="0.15">
      <c r="A56" s="1300" t="s">
        <v>969</v>
      </c>
      <c r="B56" s="1507">
        <f t="shared" si="22"/>
        <v>0</v>
      </c>
      <c r="C56" s="1113"/>
      <c r="D56" s="1476"/>
      <c r="E56" s="1476"/>
      <c r="F56" s="1476"/>
      <c r="G56" s="1476"/>
      <c r="H56" s="1476"/>
      <c r="I56" s="1476"/>
      <c r="J56" s="1476"/>
      <c r="K56" s="1476"/>
      <c r="L56" s="1476"/>
      <c r="M56" s="1476"/>
      <c r="N56" s="1476"/>
      <c r="O56" s="1476"/>
      <c r="P56" s="1476"/>
      <c r="Q56" s="1476"/>
      <c r="R56" s="1476"/>
      <c r="S56" s="1117"/>
      <c r="T56" s="1318"/>
      <c r="U56" s="1320"/>
      <c r="V56" s="1318"/>
      <c r="W56" s="1320"/>
      <c r="X56" s="1318"/>
      <c r="Y56" s="1320"/>
      <c r="Z56" s="1300">
        <f t="shared" si="23"/>
        <v>0</v>
      </c>
      <c r="AA56" s="1318"/>
      <c r="AB56" s="1487"/>
      <c r="AC56" s="1487"/>
      <c r="AD56" s="1320"/>
      <c r="AE56" s="1300">
        <f t="shared" si="24"/>
        <v>0</v>
      </c>
      <c r="AF56" s="1318"/>
      <c r="AG56" s="1487"/>
      <c r="AH56" s="1487"/>
      <c r="AI56" s="1322"/>
      <c r="AJ56" s="8"/>
      <c r="AK56" s="8"/>
      <c r="AL56" s="8"/>
      <c r="AM56" s="8"/>
      <c r="AN56" s="8"/>
      <c r="AO56" s="8"/>
      <c r="AP56" s="8"/>
      <c r="AQ56" s="8"/>
      <c r="AR56" s="170" t="str">
        <f t="shared" si="25"/>
        <v/>
      </c>
      <c r="CC56" s="2553" t="str">
        <f t="shared" si="26"/>
        <v/>
      </c>
      <c r="CD56" s="2553" t="str">
        <f t="shared" si="27"/>
        <v/>
      </c>
      <c r="CE56" s="2553" t="str">
        <f t="shared" si="28"/>
        <v/>
      </c>
      <c r="CF56" s="2553" t="str">
        <f t="shared" si="29"/>
        <v/>
      </c>
      <c r="CG56" s="2553"/>
      <c r="CH56" s="2553"/>
      <c r="CI56" s="2553"/>
      <c r="CK56" s="2554">
        <f t="shared" si="30"/>
        <v>0</v>
      </c>
      <c r="CL56" s="2554">
        <f t="shared" si="31"/>
        <v>0</v>
      </c>
      <c r="CM56" s="2554">
        <f t="shared" si="32"/>
        <v>0</v>
      </c>
      <c r="CN56" s="2554">
        <f t="shared" si="33"/>
        <v>0</v>
      </c>
      <c r="CO56" s="2554"/>
    </row>
    <row r="57" spans="1:93" s="170" customFormat="1" ht="15" customHeight="1" x14ac:dyDescent="0.15">
      <c r="A57" s="1300" t="s">
        <v>228</v>
      </c>
      <c r="B57" s="1507">
        <f t="shared" si="22"/>
        <v>0</v>
      </c>
      <c r="C57" s="1113"/>
      <c r="D57" s="1476"/>
      <c r="E57" s="1476"/>
      <c r="F57" s="1476"/>
      <c r="G57" s="1476"/>
      <c r="H57" s="1476"/>
      <c r="I57" s="1476"/>
      <c r="J57" s="1476"/>
      <c r="K57" s="1476"/>
      <c r="L57" s="1476"/>
      <c r="M57" s="1476"/>
      <c r="N57" s="1476"/>
      <c r="O57" s="1476"/>
      <c r="P57" s="1476"/>
      <c r="Q57" s="1476"/>
      <c r="R57" s="1476"/>
      <c r="S57" s="1117"/>
      <c r="T57" s="1318"/>
      <c r="U57" s="1320"/>
      <c r="V57" s="1318"/>
      <c r="W57" s="1320"/>
      <c r="X57" s="1318"/>
      <c r="Y57" s="1320"/>
      <c r="Z57" s="1300">
        <f t="shared" si="23"/>
        <v>0</v>
      </c>
      <c r="AA57" s="1318"/>
      <c r="AB57" s="1487"/>
      <c r="AC57" s="1487"/>
      <c r="AD57" s="1320"/>
      <c r="AE57" s="1300">
        <f t="shared" si="24"/>
        <v>0</v>
      </c>
      <c r="AF57" s="1318"/>
      <c r="AG57" s="1487"/>
      <c r="AH57" s="1487"/>
      <c r="AI57" s="1322"/>
      <c r="AJ57" s="8"/>
      <c r="AK57" s="8"/>
      <c r="AL57" s="8"/>
      <c r="AM57" s="8"/>
      <c r="AN57" s="8"/>
      <c r="AO57" s="8"/>
      <c r="AP57" s="8"/>
      <c r="AQ57" s="8"/>
      <c r="AR57" s="170" t="str">
        <f t="shared" si="25"/>
        <v/>
      </c>
      <c r="CC57" s="2553" t="str">
        <f t="shared" si="26"/>
        <v/>
      </c>
      <c r="CD57" s="2553" t="str">
        <f t="shared" si="27"/>
        <v/>
      </c>
      <c r="CE57" s="2553" t="str">
        <f t="shared" si="28"/>
        <v/>
      </c>
      <c r="CF57" s="2553" t="str">
        <f t="shared" si="29"/>
        <v/>
      </c>
      <c r="CG57" s="2553"/>
      <c r="CH57" s="2553"/>
      <c r="CI57" s="2553"/>
      <c r="CK57" s="2554">
        <f t="shared" si="30"/>
        <v>0</v>
      </c>
      <c r="CL57" s="2554">
        <f t="shared" si="31"/>
        <v>0</v>
      </c>
      <c r="CM57" s="2554">
        <f t="shared" si="32"/>
        <v>0</v>
      </c>
      <c r="CN57" s="2554">
        <f t="shared" si="33"/>
        <v>0</v>
      </c>
      <c r="CO57" s="2554"/>
    </row>
    <row r="58" spans="1:93" s="170" customFormat="1" ht="15" customHeight="1" x14ac:dyDescent="0.15">
      <c r="A58" s="1300" t="s">
        <v>229</v>
      </c>
      <c r="B58" s="1507">
        <f t="shared" si="22"/>
        <v>0</v>
      </c>
      <c r="C58" s="1598"/>
      <c r="D58" s="1596"/>
      <c r="E58" s="1596"/>
      <c r="F58" s="1596"/>
      <c r="G58" s="1596"/>
      <c r="H58" s="1596"/>
      <c r="I58" s="1596"/>
      <c r="J58" s="1596"/>
      <c r="K58" s="1596"/>
      <c r="L58" s="1596"/>
      <c r="M58" s="1596"/>
      <c r="N58" s="1596"/>
      <c r="O58" s="1476"/>
      <c r="P58" s="1476"/>
      <c r="Q58" s="1476"/>
      <c r="R58" s="1476"/>
      <c r="S58" s="1117"/>
      <c r="T58" s="1318"/>
      <c r="U58" s="1320"/>
      <c r="V58" s="1318"/>
      <c r="W58" s="1320"/>
      <c r="X58" s="1318"/>
      <c r="Y58" s="1320"/>
      <c r="Z58" s="1300">
        <f t="shared" si="23"/>
        <v>0</v>
      </c>
      <c r="AA58" s="1318"/>
      <c r="AB58" s="1487"/>
      <c r="AC58" s="1487"/>
      <c r="AD58" s="1320"/>
      <c r="AE58" s="1300">
        <f t="shared" si="24"/>
        <v>0</v>
      </c>
      <c r="AF58" s="1318"/>
      <c r="AG58" s="1487"/>
      <c r="AH58" s="1487"/>
      <c r="AI58" s="1322"/>
      <c r="AJ58" s="8"/>
      <c r="AK58" s="8"/>
      <c r="AL58" s="8"/>
      <c r="AM58" s="8"/>
      <c r="AN58" s="8"/>
      <c r="AO58" s="8"/>
      <c r="AP58" s="8"/>
      <c r="AQ58" s="8"/>
      <c r="AR58" s="170" t="str">
        <f t="shared" si="25"/>
        <v/>
      </c>
      <c r="CC58" s="2553" t="str">
        <f t="shared" si="26"/>
        <v/>
      </c>
      <c r="CD58" s="2553" t="str">
        <f t="shared" si="27"/>
        <v/>
      </c>
      <c r="CE58" s="2553" t="str">
        <f t="shared" si="28"/>
        <v/>
      </c>
      <c r="CF58" s="2553" t="str">
        <f t="shared" si="29"/>
        <v/>
      </c>
      <c r="CG58" s="2553"/>
      <c r="CH58" s="2553"/>
      <c r="CI58" s="2553"/>
      <c r="CK58" s="2554">
        <f t="shared" si="30"/>
        <v>0</v>
      </c>
      <c r="CL58" s="2554">
        <f t="shared" si="31"/>
        <v>0</v>
      </c>
      <c r="CM58" s="2554">
        <f t="shared" si="32"/>
        <v>0</v>
      </c>
      <c r="CN58" s="2554">
        <f t="shared" si="33"/>
        <v>0</v>
      </c>
      <c r="CO58" s="2554"/>
    </row>
    <row r="59" spans="1:93" s="170" customFormat="1" ht="15" customHeight="1" x14ac:dyDescent="0.15">
      <c r="A59" s="1300" t="s">
        <v>970</v>
      </c>
      <c r="B59" s="1507">
        <f t="shared" si="22"/>
        <v>0</v>
      </c>
      <c r="C59" s="1113"/>
      <c r="D59" s="1476"/>
      <c r="E59" s="1476"/>
      <c r="F59" s="1599"/>
      <c r="G59" s="1599"/>
      <c r="H59" s="1599"/>
      <c r="I59" s="1599"/>
      <c r="J59" s="1599"/>
      <c r="K59" s="1599"/>
      <c r="L59" s="1476"/>
      <c r="M59" s="1476"/>
      <c r="N59" s="1476"/>
      <c r="O59" s="1476"/>
      <c r="P59" s="1476"/>
      <c r="Q59" s="1476"/>
      <c r="R59" s="1476"/>
      <c r="S59" s="1117"/>
      <c r="T59" s="1318"/>
      <c r="U59" s="1320"/>
      <c r="V59" s="1318"/>
      <c r="W59" s="1320"/>
      <c r="X59" s="1318"/>
      <c r="Y59" s="1320"/>
      <c r="Z59" s="1300">
        <f t="shared" si="23"/>
        <v>0</v>
      </c>
      <c r="AA59" s="1318"/>
      <c r="AB59" s="1487"/>
      <c r="AC59" s="1487"/>
      <c r="AD59" s="1320"/>
      <c r="AE59" s="1300">
        <f t="shared" si="24"/>
        <v>0</v>
      </c>
      <c r="AF59" s="1318"/>
      <c r="AG59" s="1487"/>
      <c r="AH59" s="1487"/>
      <c r="AI59" s="1322"/>
      <c r="AJ59" s="8"/>
      <c r="AK59" s="8"/>
      <c r="AL59" s="8"/>
      <c r="AM59" s="8"/>
      <c r="AN59" s="8"/>
      <c r="AO59" s="8"/>
      <c r="AP59" s="8"/>
      <c r="AQ59" s="8"/>
      <c r="AR59" s="170" t="str">
        <f t="shared" si="25"/>
        <v/>
      </c>
      <c r="CC59" s="2553" t="str">
        <f t="shared" si="26"/>
        <v/>
      </c>
      <c r="CD59" s="2553" t="str">
        <f t="shared" si="27"/>
        <v/>
      </c>
      <c r="CE59" s="2553" t="str">
        <f t="shared" si="28"/>
        <v/>
      </c>
      <c r="CF59" s="2553" t="str">
        <f t="shared" si="29"/>
        <v/>
      </c>
      <c r="CG59" s="2553"/>
      <c r="CH59" s="2553"/>
      <c r="CI59" s="2553"/>
      <c r="CK59" s="2554">
        <f t="shared" si="30"/>
        <v>0</v>
      </c>
      <c r="CL59" s="2554">
        <f t="shared" si="31"/>
        <v>0</v>
      </c>
      <c r="CM59" s="2554">
        <f t="shared" si="32"/>
        <v>0</v>
      </c>
      <c r="CN59" s="2554">
        <f t="shared" si="33"/>
        <v>0</v>
      </c>
      <c r="CO59" s="2554"/>
    </row>
    <row r="60" spans="1:93" s="170" customFormat="1" ht="15" customHeight="1" x14ac:dyDescent="0.15">
      <c r="A60" s="1300" t="s">
        <v>971</v>
      </c>
      <c r="B60" s="1507">
        <f t="shared" si="22"/>
        <v>0</v>
      </c>
      <c r="C60" s="1600"/>
      <c r="D60" s="1599"/>
      <c r="E60" s="1599"/>
      <c r="F60" s="1599"/>
      <c r="G60" s="1476"/>
      <c r="H60" s="1476"/>
      <c r="I60" s="1476"/>
      <c r="J60" s="1476"/>
      <c r="K60" s="1476"/>
      <c r="L60" s="1476"/>
      <c r="M60" s="1476"/>
      <c r="N60" s="1476"/>
      <c r="O60" s="1476"/>
      <c r="P60" s="1476"/>
      <c r="Q60" s="1476"/>
      <c r="R60" s="1476"/>
      <c r="S60" s="1117"/>
      <c r="T60" s="1318"/>
      <c r="U60" s="1320"/>
      <c r="V60" s="1318"/>
      <c r="W60" s="1320"/>
      <c r="X60" s="1318"/>
      <c r="Y60" s="1320"/>
      <c r="Z60" s="1300">
        <f t="shared" si="23"/>
        <v>0</v>
      </c>
      <c r="AA60" s="1318"/>
      <c r="AB60" s="1487"/>
      <c r="AC60" s="1487"/>
      <c r="AD60" s="1320"/>
      <c r="AE60" s="1300">
        <f t="shared" si="24"/>
        <v>0</v>
      </c>
      <c r="AF60" s="1318"/>
      <c r="AG60" s="1487"/>
      <c r="AH60" s="1487"/>
      <c r="AI60" s="1322"/>
      <c r="AJ60" s="8"/>
      <c r="AK60" s="8"/>
      <c r="AL60" s="8"/>
      <c r="AM60" s="8"/>
      <c r="AN60" s="8"/>
      <c r="AO60" s="8"/>
      <c r="AP60" s="8"/>
      <c r="AQ60" s="8"/>
      <c r="AR60" s="170" t="str">
        <f t="shared" si="25"/>
        <v/>
      </c>
      <c r="CC60" s="2553" t="str">
        <f t="shared" si="26"/>
        <v/>
      </c>
      <c r="CD60" s="2553" t="str">
        <f t="shared" si="27"/>
        <v/>
      </c>
      <c r="CE60" s="2553" t="str">
        <f t="shared" si="28"/>
        <v/>
      </c>
      <c r="CF60" s="2553" t="str">
        <f t="shared" si="29"/>
        <v/>
      </c>
      <c r="CG60" s="2553"/>
      <c r="CH60" s="2553"/>
      <c r="CI60" s="2553"/>
      <c r="CK60" s="2554">
        <f t="shared" si="30"/>
        <v>0</v>
      </c>
      <c r="CL60" s="2554">
        <f t="shared" si="31"/>
        <v>0</v>
      </c>
      <c r="CM60" s="2554">
        <f t="shared" si="32"/>
        <v>0</v>
      </c>
      <c r="CN60" s="2554">
        <f t="shared" si="33"/>
        <v>0</v>
      </c>
      <c r="CO60" s="2554"/>
    </row>
    <row r="61" spans="1:93" s="170" customFormat="1" ht="15" customHeight="1" x14ac:dyDescent="0.15">
      <c r="A61" s="1300" t="s">
        <v>972</v>
      </c>
      <c r="B61" s="1507">
        <f t="shared" si="22"/>
        <v>0</v>
      </c>
      <c r="C61" s="1600"/>
      <c r="D61" s="1599"/>
      <c r="E61" s="1599"/>
      <c r="F61" s="1599"/>
      <c r="G61" s="1599"/>
      <c r="H61" s="1599"/>
      <c r="I61" s="1599"/>
      <c r="J61" s="1599"/>
      <c r="K61" s="1599"/>
      <c r="L61" s="1476"/>
      <c r="M61" s="1476"/>
      <c r="N61" s="1476"/>
      <c r="O61" s="1476"/>
      <c r="P61" s="1476"/>
      <c r="Q61" s="1476"/>
      <c r="R61" s="1476"/>
      <c r="S61" s="1117"/>
      <c r="T61" s="1318"/>
      <c r="U61" s="1320"/>
      <c r="V61" s="1318"/>
      <c r="W61" s="1320"/>
      <c r="X61" s="1318"/>
      <c r="Y61" s="1320"/>
      <c r="Z61" s="1300">
        <f t="shared" si="23"/>
        <v>0</v>
      </c>
      <c r="AA61" s="1318"/>
      <c r="AB61" s="1487"/>
      <c r="AC61" s="1487"/>
      <c r="AD61" s="1320"/>
      <c r="AE61" s="1300">
        <f t="shared" si="24"/>
        <v>0</v>
      </c>
      <c r="AF61" s="1318"/>
      <c r="AG61" s="1487"/>
      <c r="AH61" s="1487"/>
      <c r="AI61" s="1322"/>
      <c r="AJ61" s="8"/>
      <c r="AK61" s="8"/>
      <c r="AL61" s="8"/>
      <c r="AM61" s="8"/>
      <c r="AN61" s="8"/>
      <c r="AO61" s="8"/>
      <c r="AP61" s="8"/>
      <c r="AQ61" s="8"/>
      <c r="AR61" s="170" t="str">
        <f t="shared" si="25"/>
        <v/>
      </c>
      <c r="CC61" s="2553" t="str">
        <f t="shared" si="26"/>
        <v/>
      </c>
      <c r="CD61" s="2553" t="str">
        <f t="shared" si="27"/>
        <v/>
      </c>
      <c r="CE61" s="2553" t="str">
        <f t="shared" si="28"/>
        <v/>
      </c>
      <c r="CF61" s="2553" t="str">
        <f t="shared" si="29"/>
        <v/>
      </c>
      <c r="CG61" s="2553"/>
      <c r="CH61" s="2553"/>
      <c r="CI61" s="2553"/>
      <c r="CK61" s="2554">
        <f t="shared" si="30"/>
        <v>0</v>
      </c>
      <c r="CL61" s="2554">
        <f t="shared" si="31"/>
        <v>0</v>
      </c>
      <c r="CM61" s="2554">
        <f t="shared" si="32"/>
        <v>0</v>
      </c>
      <c r="CN61" s="2554">
        <f t="shared" si="33"/>
        <v>0</v>
      </c>
      <c r="CO61" s="2554"/>
    </row>
    <row r="62" spans="1:93" s="170" customFormat="1" ht="15" customHeight="1" x14ac:dyDescent="0.15">
      <c r="A62" s="1300" t="s">
        <v>973</v>
      </c>
      <c r="B62" s="1507">
        <f t="shared" si="22"/>
        <v>0</v>
      </c>
      <c r="C62" s="1600"/>
      <c r="D62" s="1599"/>
      <c r="E62" s="1599"/>
      <c r="F62" s="1476"/>
      <c r="G62" s="1476"/>
      <c r="H62" s="1476"/>
      <c r="I62" s="1476"/>
      <c r="J62" s="1476"/>
      <c r="K62" s="1476"/>
      <c r="L62" s="1476"/>
      <c r="M62" s="1476"/>
      <c r="N62" s="1476"/>
      <c r="O62" s="1476"/>
      <c r="P62" s="1476"/>
      <c r="Q62" s="1476"/>
      <c r="R62" s="1476"/>
      <c r="S62" s="1117"/>
      <c r="T62" s="1318"/>
      <c r="U62" s="1320"/>
      <c r="V62" s="1318"/>
      <c r="W62" s="1320"/>
      <c r="X62" s="1318"/>
      <c r="Y62" s="1320"/>
      <c r="Z62" s="1300">
        <f t="shared" si="23"/>
        <v>0</v>
      </c>
      <c r="AA62" s="1318"/>
      <c r="AB62" s="1487"/>
      <c r="AC62" s="1487"/>
      <c r="AD62" s="1320"/>
      <c r="AE62" s="1300">
        <f t="shared" si="24"/>
        <v>0</v>
      </c>
      <c r="AF62" s="1318"/>
      <c r="AG62" s="1487"/>
      <c r="AH62" s="1487"/>
      <c r="AI62" s="1322"/>
      <c r="AJ62" s="8"/>
      <c r="AK62" s="8"/>
      <c r="AL62" s="8"/>
      <c r="AM62" s="8"/>
      <c r="AN62" s="8"/>
      <c r="AO62" s="8"/>
      <c r="AP62" s="8"/>
      <c r="AQ62" s="8"/>
      <c r="AR62" s="170" t="str">
        <f t="shared" si="25"/>
        <v/>
      </c>
      <c r="CC62" s="2553" t="str">
        <f t="shared" si="26"/>
        <v/>
      </c>
      <c r="CD62" s="2553" t="str">
        <f t="shared" si="27"/>
        <v/>
      </c>
      <c r="CE62" s="2553" t="str">
        <f t="shared" si="28"/>
        <v/>
      </c>
      <c r="CF62" s="2553" t="str">
        <f t="shared" si="29"/>
        <v/>
      </c>
      <c r="CG62" s="2553"/>
      <c r="CH62" s="2553"/>
      <c r="CI62" s="2553"/>
      <c r="CK62" s="2554">
        <f t="shared" si="30"/>
        <v>0</v>
      </c>
      <c r="CL62" s="2554">
        <f t="shared" si="31"/>
        <v>0</v>
      </c>
      <c r="CM62" s="2554">
        <f t="shared" si="32"/>
        <v>0</v>
      </c>
      <c r="CN62" s="2554">
        <f t="shared" si="33"/>
        <v>0</v>
      </c>
      <c r="CO62" s="2554"/>
    </row>
    <row r="63" spans="1:93" s="170" customFormat="1" ht="15" customHeight="1" x14ac:dyDescent="0.15">
      <c r="A63" s="1300" t="s">
        <v>974</v>
      </c>
      <c r="B63" s="1507">
        <f t="shared" si="22"/>
        <v>0</v>
      </c>
      <c r="C63" s="1600"/>
      <c r="D63" s="1599"/>
      <c r="E63" s="1599"/>
      <c r="F63" s="1476"/>
      <c r="G63" s="1476"/>
      <c r="H63" s="1476"/>
      <c r="I63" s="1476"/>
      <c r="J63" s="1476"/>
      <c r="K63" s="1476"/>
      <c r="L63" s="1476"/>
      <c r="M63" s="1476"/>
      <c r="N63" s="1476"/>
      <c r="O63" s="1476"/>
      <c r="P63" s="1476"/>
      <c r="Q63" s="1476"/>
      <c r="R63" s="1476"/>
      <c r="S63" s="1117"/>
      <c r="T63" s="1318"/>
      <c r="U63" s="1320"/>
      <c r="V63" s="1318"/>
      <c r="W63" s="1320"/>
      <c r="X63" s="1318"/>
      <c r="Y63" s="1320"/>
      <c r="Z63" s="1300">
        <f t="shared" si="23"/>
        <v>0</v>
      </c>
      <c r="AA63" s="1318"/>
      <c r="AB63" s="1487"/>
      <c r="AC63" s="1487"/>
      <c r="AD63" s="1320"/>
      <c r="AE63" s="1300">
        <f t="shared" si="24"/>
        <v>0</v>
      </c>
      <c r="AF63" s="1318"/>
      <c r="AG63" s="1487"/>
      <c r="AH63" s="1487"/>
      <c r="AI63" s="1322"/>
      <c r="AJ63" s="8"/>
      <c r="AK63" s="8"/>
      <c r="AL63" s="8"/>
      <c r="AM63" s="8"/>
      <c r="AN63" s="8"/>
      <c r="AO63" s="8"/>
      <c r="AP63" s="8"/>
      <c r="AQ63" s="8"/>
      <c r="AR63" s="170" t="str">
        <f t="shared" si="25"/>
        <v/>
      </c>
      <c r="CC63" s="2553" t="str">
        <f t="shared" si="26"/>
        <v/>
      </c>
      <c r="CD63" s="2553" t="str">
        <f t="shared" si="27"/>
        <v/>
      </c>
      <c r="CE63" s="2553" t="str">
        <f t="shared" si="28"/>
        <v/>
      </c>
      <c r="CF63" s="2553" t="str">
        <f t="shared" si="29"/>
        <v/>
      </c>
      <c r="CG63" s="2553"/>
      <c r="CH63" s="2553"/>
      <c r="CI63" s="2553"/>
      <c r="CK63" s="2554">
        <f t="shared" si="30"/>
        <v>0</v>
      </c>
      <c r="CL63" s="2554">
        <f t="shared" si="31"/>
        <v>0</v>
      </c>
      <c r="CM63" s="2554">
        <f t="shared" si="32"/>
        <v>0</v>
      </c>
      <c r="CN63" s="2554">
        <f t="shared" si="33"/>
        <v>0</v>
      </c>
      <c r="CO63" s="2554"/>
    </row>
    <row r="64" spans="1:93" s="170" customFormat="1" ht="15" customHeight="1" x14ac:dyDescent="0.15">
      <c r="A64" s="1300" t="s">
        <v>975</v>
      </c>
      <c r="B64" s="1507">
        <f t="shared" si="22"/>
        <v>0</v>
      </c>
      <c r="C64" s="1600"/>
      <c r="D64" s="1599"/>
      <c r="E64" s="1599"/>
      <c r="F64" s="1476"/>
      <c r="G64" s="1476"/>
      <c r="H64" s="1476"/>
      <c r="I64" s="1476"/>
      <c r="J64" s="1476"/>
      <c r="K64" s="1476"/>
      <c r="L64" s="1476"/>
      <c r="M64" s="1476"/>
      <c r="N64" s="1476"/>
      <c r="O64" s="1476"/>
      <c r="P64" s="1476"/>
      <c r="Q64" s="1476"/>
      <c r="R64" s="1476"/>
      <c r="S64" s="1117"/>
      <c r="T64" s="1318"/>
      <c r="U64" s="1320"/>
      <c r="V64" s="1318"/>
      <c r="W64" s="1320"/>
      <c r="X64" s="1318"/>
      <c r="Y64" s="1320"/>
      <c r="Z64" s="1300">
        <f t="shared" si="23"/>
        <v>0</v>
      </c>
      <c r="AA64" s="1318"/>
      <c r="AB64" s="1487"/>
      <c r="AC64" s="1487"/>
      <c r="AD64" s="1320"/>
      <c r="AE64" s="1300">
        <f t="shared" si="24"/>
        <v>0</v>
      </c>
      <c r="AF64" s="1318"/>
      <c r="AG64" s="1487"/>
      <c r="AH64" s="1487"/>
      <c r="AI64" s="1322"/>
      <c r="AJ64" s="8"/>
      <c r="AK64" s="8"/>
      <c r="AL64" s="8"/>
      <c r="AM64" s="8"/>
      <c r="AN64" s="8"/>
      <c r="AO64" s="8"/>
      <c r="AP64" s="8"/>
      <c r="AQ64" s="8"/>
      <c r="AR64" s="170" t="str">
        <f t="shared" si="25"/>
        <v/>
      </c>
      <c r="CC64" s="2553" t="str">
        <f t="shared" si="26"/>
        <v/>
      </c>
      <c r="CD64" s="2553" t="str">
        <f t="shared" si="27"/>
        <v/>
      </c>
      <c r="CE64" s="2553" t="str">
        <f t="shared" si="28"/>
        <v/>
      </c>
      <c r="CF64" s="2553" t="str">
        <f t="shared" si="29"/>
        <v/>
      </c>
      <c r="CG64" s="2553"/>
      <c r="CH64" s="2553"/>
      <c r="CI64" s="2553"/>
      <c r="CK64" s="2554">
        <f t="shared" si="30"/>
        <v>0</v>
      </c>
      <c r="CL64" s="2554">
        <f t="shared" si="31"/>
        <v>0</v>
      </c>
      <c r="CM64" s="2554">
        <f t="shared" si="32"/>
        <v>0</v>
      </c>
      <c r="CN64" s="2554">
        <f t="shared" si="33"/>
        <v>0</v>
      </c>
      <c r="CO64" s="2554"/>
    </row>
    <row r="65" spans="1:93" s="170" customFormat="1" ht="15" customHeight="1" x14ac:dyDescent="0.15">
      <c r="A65" s="1300" t="s">
        <v>976</v>
      </c>
      <c r="B65" s="1507">
        <f t="shared" si="22"/>
        <v>0</v>
      </c>
      <c r="C65" s="1113"/>
      <c r="D65" s="1476"/>
      <c r="E65" s="1476"/>
      <c r="F65" s="1476"/>
      <c r="G65" s="1476"/>
      <c r="H65" s="1476"/>
      <c r="I65" s="1476"/>
      <c r="J65" s="1476"/>
      <c r="K65" s="1476"/>
      <c r="L65" s="1476"/>
      <c r="M65" s="1476"/>
      <c r="N65" s="1476"/>
      <c r="O65" s="1476"/>
      <c r="P65" s="1476"/>
      <c r="Q65" s="1476"/>
      <c r="R65" s="1476"/>
      <c r="S65" s="1117"/>
      <c r="T65" s="1318"/>
      <c r="U65" s="1320"/>
      <c r="V65" s="1318"/>
      <c r="W65" s="1320"/>
      <c r="X65" s="1318"/>
      <c r="Y65" s="1320"/>
      <c r="Z65" s="1300">
        <f t="shared" si="23"/>
        <v>0</v>
      </c>
      <c r="AA65" s="1318"/>
      <c r="AB65" s="1487"/>
      <c r="AC65" s="1487"/>
      <c r="AD65" s="1320"/>
      <c r="AE65" s="1300">
        <f t="shared" si="24"/>
        <v>0</v>
      </c>
      <c r="AF65" s="1318"/>
      <c r="AG65" s="1487"/>
      <c r="AH65" s="1487"/>
      <c r="AI65" s="1322"/>
      <c r="AJ65" s="8"/>
      <c r="AK65" s="8"/>
      <c r="AL65" s="8"/>
      <c r="AM65" s="8"/>
      <c r="AN65" s="8"/>
      <c r="AO65" s="8"/>
      <c r="AP65" s="8"/>
      <c r="AQ65" s="8"/>
      <c r="AR65" s="170" t="str">
        <f t="shared" si="25"/>
        <v/>
      </c>
      <c r="CC65" s="2553" t="str">
        <f t="shared" si="26"/>
        <v/>
      </c>
      <c r="CD65" s="2553" t="str">
        <f t="shared" si="27"/>
        <v/>
      </c>
      <c r="CE65" s="2553" t="str">
        <f t="shared" si="28"/>
        <v/>
      </c>
      <c r="CF65" s="2553" t="str">
        <f t="shared" si="29"/>
        <v/>
      </c>
      <c r="CG65" s="2553"/>
      <c r="CH65" s="2553"/>
      <c r="CI65" s="2553"/>
      <c r="CK65" s="2554">
        <f t="shared" si="30"/>
        <v>0</v>
      </c>
      <c r="CL65" s="2554">
        <f t="shared" si="31"/>
        <v>0</v>
      </c>
      <c r="CM65" s="2554">
        <f t="shared" si="32"/>
        <v>0</v>
      </c>
      <c r="CN65" s="2554">
        <f t="shared" si="33"/>
        <v>0</v>
      </c>
      <c r="CO65" s="2554"/>
    </row>
    <row r="66" spans="1:93" s="170" customFormat="1" ht="15" customHeight="1" x14ac:dyDescent="0.15">
      <c r="A66" s="1300" t="s">
        <v>977</v>
      </c>
      <c r="B66" s="1507">
        <f t="shared" si="22"/>
        <v>0</v>
      </c>
      <c r="C66" s="1113"/>
      <c r="D66" s="1476"/>
      <c r="E66" s="1476"/>
      <c r="F66" s="1476"/>
      <c r="G66" s="1476"/>
      <c r="H66" s="1476"/>
      <c r="I66" s="1476"/>
      <c r="J66" s="1476"/>
      <c r="K66" s="1476"/>
      <c r="L66" s="1476"/>
      <c r="M66" s="1476"/>
      <c r="N66" s="1476"/>
      <c r="O66" s="1476"/>
      <c r="P66" s="1476"/>
      <c r="Q66" s="1476"/>
      <c r="R66" s="1476"/>
      <c r="S66" s="1117"/>
      <c r="T66" s="1318"/>
      <c r="U66" s="1320"/>
      <c r="V66" s="1318"/>
      <c r="W66" s="1320"/>
      <c r="X66" s="1318"/>
      <c r="Y66" s="1320"/>
      <c r="Z66" s="1300">
        <f t="shared" si="23"/>
        <v>0</v>
      </c>
      <c r="AA66" s="1318"/>
      <c r="AB66" s="1487"/>
      <c r="AC66" s="1487"/>
      <c r="AD66" s="1320"/>
      <c r="AE66" s="1300">
        <f t="shared" si="24"/>
        <v>0</v>
      </c>
      <c r="AF66" s="1318"/>
      <c r="AG66" s="1487"/>
      <c r="AH66" s="1487"/>
      <c r="AI66" s="1322"/>
      <c r="AJ66" s="8"/>
      <c r="AK66" s="8"/>
      <c r="AL66" s="8"/>
      <c r="AM66" s="8"/>
      <c r="AN66" s="8"/>
      <c r="AO66" s="8"/>
      <c r="AP66" s="8"/>
      <c r="AQ66" s="8"/>
      <c r="AR66" s="170" t="str">
        <f t="shared" si="25"/>
        <v/>
      </c>
      <c r="CC66" s="2553" t="str">
        <f t="shared" si="26"/>
        <v/>
      </c>
      <c r="CD66" s="2553" t="str">
        <f t="shared" si="27"/>
        <v/>
      </c>
      <c r="CE66" s="2553" t="str">
        <f t="shared" si="28"/>
        <v/>
      </c>
      <c r="CF66" s="2553" t="str">
        <f t="shared" si="29"/>
        <v/>
      </c>
      <c r="CG66" s="2553"/>
      <c r="CH66" s="2553"/>
      <c r="CI66" s="2553"/>
      <c r="CK66" s="2554">
        <f t="shared" si="30"/>
        <v>0</v>
      </c>
      <c r="CL66" s="2554">
        <f t="shared" si="31"/>
        <v>0</v>
      </c>
      <c r="CM66" s="2554">
        <f t="shared" si="32"/>
        <v>0</v>
      </c>
      <c r="CN66" s="2554">
        <f t="shared" si="33"/>
        <v>0</v>
      </c>
      <c r="CO66" s="2554"/>
    </row>
    <row r="67" spans="1:93" s="170" customFormat="1" ht="15" customHeight="1" x14ac:dyDescent="0.15">
      <c r="A67" s="1300" t="s">
        <v>978</v>
      </c>
      <c r="B67" s="1507">
        <f t="shared" si="22"/>
        <v>0</v>
      </c>
      <c r="C67" s="1113"/>
      <c r="D67" s="1476"/>
      <c r="E67" s="1476"/>
      <c r="F67" s="1476"/>
      <c r="G67" s="1476"/>
      <c r="H67" s="1476"/>
      <c r="I67" s="1476"/>
      <c r="J67" s="1476"/>
      <c r="K67" s="1476"/>
      <c r="L67" s="1476"/>
      <c r="M67" s="1476"/>
      <c r="N67" s="1476"/>
      <c r="O67" s="1476"/>
      <c r="P67" s="1476"/>
      <c r="Q67" s="1476"/>
      <c r="R67" s="1476"/>
      <c r="S67" s="1117"/>
      <c r="T67" s="1318"/>
      <c r="U67" s="1320"/>
      <c r="V67" s="1318"/>
      <c r="W67" s="1320"/>
      <c r="X67" s="1318"/>
      <c r="Y67" s="1320"/>
      <c r="Z67" s="1300">
        <f t="shared" si="23"/>
        <v>0</v>
      </c>
      <c r="AA67" s="1318"/>
      <c r="AB67" s="1487"/>
      <c r="AC67" s="1487"/>
      <c r="AD67" s="1320"/>
      <c r="AE67" s="1300">
        <f t="shared" si="24"/>
        <v>0</v>
      </c>
      <c r="AF67" s="1318"/>
      <c r="AG67" s="1487"/>
      <c r="AH67" s="1487"/>
      <c r="AI67" s="1322"/>
      <c r="AJ67" s="8"/>
      <c r="AK67" s="8"/>
      <c r="AL67" s="8"/>
      <c r="AM67" s="8"/>
      <c r="AN67" s="8"/>
      <c r="AO67" s="8"/>
      <c r="AP67" s="8"/>
      <c r="AQ67" s="8"/>
      <c r="AR67" s="170" t="str">
        <f t="shared" si="25"/>
        <v/>
      </c>
      <c r="CC67" s="2553" t="str">
        <f t="shared" si="26"/>
        <v/>
      </c>
      <c r="CD67" s="2553" t="str">
        <f t="shared" si="27"/>
        <v/>
      </c>
      <c r="CE67" s="2553" t="str">
        <f t="shared" si="28"/>
        <v/>
      </c>
      <c r="CF67" s="2553" t="str">
        <f t="shared" si="29"/>
        <v/>
      </c>
      <c r="CG67" s="2553"/>
      <c r="CH67" s="2553"/>
      <c r="CI67" s="2553"/>
      <c r="CK67" s="2554">
        <f t="shared" si="30"/>
        <v>0</v>
      </c>
      <c r="CL67" s="2554">
        <f t="shared" si="31"/>
        <v>0</v>
      </c>
      <c r="CM67" s="2554">
        <f t="shared" si="32"/>
        <v>0</v>
      </c>
      <c r="CN67" s="2554">
        <f t="shared" si="33"/>
        <v>0</v>
      </c>
      <c r="CO67" s="2554"/>
    </row>
    <row r="68" spans="1:93" s="170" customFormat="1" ht="15" customHeight="1" x14ac:dyDescent="0.15">
      <c r="A68" s="1125" t="s">
        <v>979</v>
      </c>
      <c r="B68" s="1507">
        <f t="shared" si="22"/>
        <v>0</v>
      </c>
      <c r="C68" s="1600"/>
      <c r="D68" s="1599"/>
      <c r="E68" s="1599"/>
      <c r="F68" s="1599"/>
      <c r="G68" s="1476"/>
      <c r="H68" s="1476"/>
      <c r="I68" s="1476"/>
      <c r="J68" s="1476"/>
      <c r="K68" s="1476"/>
      <c r="L68" s="1476"/>
      <c r="M68" s="1476"/>
      <c r="N68" s="1476"/>
      <c r="O68" s="1476"/>
      <c r="P68" s="1476"/>
      <c r="Q68" s="1476"/>
      <c r="R68" s="1476"/>
      <c r="S68" s="1117"/>
      <c r="T68" s="1318"/>
      <c r="U68" s="1320"/>
      <c r="V68" s="1318"/>
      <c r="W68" s="1320"/>
      <c r="X68" s="1318"/>
      <c r="Y68" s="1320"/>
      <c r="Z68" s="1300">
        <f t="shared" si="23"/>
        <v>0</v>
      </c>
      <c r="AA68" s="1318"/>
      <c r="AB68" s="1487"/>
      <c r="AC68" s="1487"/>
      <c r="AD68" s="1320"/>
      <c r="AE68" s="1300">
        <f t="shared" si="24"/>
        <v>0</v>
      </c>
      <c r="AF68" s="1318"/>
      <c r="AG68" s="1487"/>
      <c r="AH68" s="1487"/>
      <c r="AI68" s="1322"/>
      <c r="AJ68" s="8"/>
      <c r="AK68" s="8"/>
      <c r="AL68" s="8"/>
      <c r="AM68" s="8"/>
      <c r="AN68" s="8"/>
      <c r="AO68" s="8"/>
      <c r="AP68" s="8"/>
      <c r="AQ68" s="8"/>
      <c r="AR68" s="170" t="str">
        <f t="shared" si="25"/>
        <v/>
      </c>
      <c r="CC68" s="2553" t="str">
        <f t="shared" si="26"/>
        <v/>
      </c>
      <c r="CD68" s="2553" t="str">
        <f t="shared" si="27"/>
        <v/>
      </c>
      <c r="CE68" s="2553" t="str">
        <f t="shared" si="28"/>
        <v/>
      </c>
      <c r="CF68" s="2553" t="str">
        <f t="shared" si="29"/>
        <v/>
      </c>
      <c r="CG68" s="2553"/>
      <c r="CH68" s="2553"/>
      <c r="CI68" s="2553"/>
      <c r="CK68" s="2554">
        <f t="shared" si="30"/>
        <v>0</v>
      </c>
      <c r="CL68" s="2554">
        <f t="shared" si="31"/>
        <v>0</v>
      </c>
      <c r="CM68" s="2554">
        <f t="shared" si="32"/>
        <v>0</v>
      </c>
      <c r="CN68" s="2554">
        <f t="shared" si="33"/>
        <v>0</v>
      </c>
      <c r="CO68" s="2554"/>
    </row>
    <row r="69" spans="1:93" s="170" customFormat="1" ht="15" customHeight="1" x14ac:dyDescent="0.15">
      <c r="A69" s="1116" t="s">
        <v>980</v>
      </c>
      <c r="B69" s="1507">
        <f t="shared" si="22"/>
        <v>0</v>
      </c>
      <c r="C69" s="1600"/>
      <c r="D69" s="1599"/>
      <c r="E69" s="1599"/>
      <c r="F69" s="1599"/>
      <c r="G69" s="1476"/>
      <c r="H69" s="1476"/>
      <c r="I69" s="1476"/>
      <c r="J69" s="1476"/>
      <c r="K69" s="1476"/>
      <c r="L69" s="1476"/>
      <c r="M69" s="1476"/>
      <c r="N69" s="1476"/>
      <c r="O69" s="1476"/>
      <c r="P69" s="1476"/>
      <c r="Q69" s="1476"/>
      <c r="R69" s="1476"/>
      <c r="S69" s="1117"/>
      <c r="T69" s="1318"/>
      <c r="U69" s="1320"/>
      <c r="V69" s="1318"/>
      <c r="W69" s="1320"/>
      <c r="X69" s="1318"/>
      <c r="Y69" s="1320"/>
      <c r="Z69" s="1300">
        <f t="shared" si="23"/>
        <v>0</v>
      </c>
      <c r="AA69" s="1318"/>
      <c r="AB69" s="1487"/>
      <c r="AC69" s="1487"/>
      <c r="AD69" s="1320"/>
      <c r="AE69" s="1300">
        <f t="shared" si="24"/>
        <v>0</v>
      </c>
      <c r="AF69" s="1318"/>
      <c r="AG69" s="1487"/>
      <c r="AH69" s="1487"/>
      <c r="AI69" s="1322"/>
      <c r="AJ69" s="8"/>
      <c r="AK69" s="8"/>
      <c r="AL69" s="8"/>
      <c r="AM69" s="8"/>
      <c r="AN69" s="8"/>
      <c r="AO69" s="8"/>
      <c r="AP69" s="8"/>
      <c r="AQ69" s="8"/>
      <c r="AR69" s="170" t="str">
        <f t="shared" si="25"/>
        <v/>
      </c>
      <c r="CC69" s="2553" t="str">
        <f t="shared" si="26"/>
        <v/>
      </c>
      <c r="CD69" s="2553" t="str">
        <f t="shared" si="27"/>
        <v/>
      </c>
      <c r="CE69" s="2553" t="str">
        <f t="shared" si="28"/>
        <v/>
      </c>
      <c r="CF69" s="2553" t="str">
        <f t="shared" si="29"/>
        <v/>
      </c>
      <c r="CG69" s="2553"/>
      <c r="CH69" s="2553"/>
      <c r="CI69" s="2553"/>
      <c r="CK69" s="2554">
        <f t="shared" si="30"/>
        <v>0</v>
      </c>
      <c r="CL69" s="2554">
        <f t="shared" si="31"/>
        <v>0</v>
      </c>
      <c r="CM69" s="2554">
        <f t="shared" si="32"/>
        <v>0</v>
      </c>
      <c r="CN69" s="2554">
        <f t="shared" si="33"/>
        <v>0</v>
      </c>
      <c r="CO69" s="2554"/>
    </row>
    <row r="70" spans="1:93" s="170" customFormat="1" ht="15" customHeight="1" x14ac:dyDescent="0.15">
      <c r="A70" s="1300" t="s">
        <v>981</v>
      </c>
      <c r="B70" s="1507">
        <f t="shared" si="22"/>
        <v>0</v>
      </c>
      <c r="C70" s="1600"/>
      <c r="D70" s="1599"/>
      <c r="E70" s="1599"/>
      <c r="F70" s="1599"/>
      <c r="G70" s="1599"/>
      <c r="H70" s="1599"/>
      <c r="I70" s="1599"/>
      <c r="J70" s="1599"/>
      <c r="K70" s="1599"/>
      <c r="L70" s="1476"/>
      <c r="M70" s="1476"/>
      <c r="N70" s="1476"/>
      <c r="O70" s="1476"/>
      <c r="P70" s="1476"/>
      <c r="Q70" s="1476"/>
      <c r="R70" s="1476"/>
      <c r="S70" s="1117"/>
      <c r="T70" s="1318"/>
      <c r="U70" s="1320"/>
      <c r="V70" s="1318"/>
      <c r="W70" s="1320"/>
      <c r="X70" s="1318"/>
      <c r="Y70" s="1320"/>
      <c r="Z70" s="1300">
        <f t="shared" si="23"/>
        <v>0</v>
      </c>
      <c r="AA70" s="1318"/>
      <c r="AB70" s="1487"/>
      <c r="AC70" s="1487"/>
      <c r="AD70" s="1320"/>
      <c r="AE70" s="1300">
        <f t="shared" si="24"/>
        <v>0</v>
      </c>
      <c r="AF70" s="1318"/>
      <c r="AG70" s="1487"/>
      <c r="AH70" s="1487"/>
      <c r="AI70" s="1322"/>
      <c r="AJ70" s="8"/>
      <c r="AK70" s="8"/>
      <c r="AL70" s="8"/>
      <c r="AM70" s="8"/>
      <c r="AN70" s="8"/>
      <c r="AO70" s="8"/>
      <c r="AP70" s="8"/>
      <c r="AQ70" s="8"/>
      <c r="AR70" s="170" t="str">
        <f t="shared" si="25"/>
        <v/>
      </c>
      <c r="CC70" s="2553" t="str">
        <f t="shared" si="26"/>
        <v/>
      </c>
      <c r="CD70" s="2553" t="str">
        <f t="shared" si="27"/>
        <v/>
      </c>
      <c r="CE70" s="2553" t="str">
        <f t="shared" si="28"/>
        <v/>
      </c>
      <c r="CF70" s="2553" t="str">
        <f t="shared" si="29"/>
        <v/>
      </c>
      <c r="CG70" s="2553"/>
      <c r="CH70" s="2553"/>
      <c r="CI70" s="2553"/>
      <c r="CK70" s="2554">
        <f t="shared" si="30"/>
        <v>0</v>
      </c>
      <c r="CL70" s="2554">
        <f t="shared" si="31"/>
        <v>0</v>
      </c>
      <c r="CM70" s="2554">
        <f t="shared" si="32"/>
        <v>0</v>
      </c>
      <c r="CN70" s="2554">
        <f t="shared" si="33"/>
        <v>0</v>
      </c>
      <c r="CO70" s="2554"/>
    </row>
    <row r="71" spans="1:93" s="170" customFormat="1" ht="15" customHeight="1" x14ac:dyDescent="0.15">
      <c r="A71" s="1300" t="s">
        <v>982</v>
      </c>
      <c r="B71" s="1507">
        <f t="shared" si="22"/>
        <v>0</v>
      </c>
      <c r="C71" s="1600"/>
      <c r="D71" s="1599"/>
      <c r="E71" s="1599"/>
      <c r="F71" s="1599"/>
      <c r="G71" s="1476"/>
      <c r="H71" s="1476"/>
      <c r="I71" s="1476"/>
      <c r="J71" s="1476"/>
      <c r="K71" s="1476"/>
      <c r="L71" s="1476"/>
      <c r="M71" s="1476"/>
      <c r="N71" s="1476"/>
      <c r="O71" s="1476"/>
      <c r="P71" s="1476"/>
      <c r="Q71" s="1476"/>
      <c r="R71" s="1476"/>
      <c r="S71" s="1117"/>
      <c r="T71" s="1318"/>
      <c r="U71" s="1320"/>
      <c r="V71" s="1318"/>
      <c r="W71" s="1320"/>
      <c r="X71" s="1318"/>
      <c r="Y71" s="1320"/>
      <c r="Z71" s="1300">
        <f t="shared" si="23"/>
        <v>0</v>
      </c>
      <c r="AA71" s="1318"/>
      <c r="AB71" s="1487"/>
      <c r="AC71" s="1487"/>
      <c r="AD71" s="1320"/>
      <c r="AE71" s="1300">
        <f t="shared" si="24"/>
        <v>0</v>
      </c>
      <c r="AF71" s="1318"/>
      <c r="AG71" s="1487"/>
      <c r="AH71" s="1487"/>
      <c r="AI71" s="1322"/>
      <c r="AJ71" s="8"/>
      <c r="AK71" s="8"/>
      <c r="AL71" s="8"/>
      <c r="AM71" s="8"/>
      <c r="AN71" s="8"/>
      <c r="AO71" s="8"/>
      <c r="AP71" s="8"/>
      <c r="AQ71" s="8"/>
      <c r="AR71" s="170" t="str">
        <f t="shared" si="25"/>
        <v/>
      </c>
      <c r="CC71" s="2553" t="str">
        <f t="shared" si="26"/>
        <v/>
      </c>
      <c r="CD71" s="2553" t="str">
        <f t="shared" si="27"/>
        <v/>
      </c>
      <c r="CE71" s="2553" t="str">
        <f t="shared" si="28"/>
        <v/>
      </c>
      <c r="CF71" s="2553" t="str">
        <f t="shared" si="29"/>
        <v/>
      </c>
      <c r="CG71" s="2553"/>
      <c r="CH71" s="2553"/>
      <c r="CI71" s="2553"/>
      <c r="CK71" s="2554">
        <f t="shared" si="30"/>
        <v>0</v>
      </c>
      <c r="CL71" s="2554">
        <f t="shared" si="31"/>
        <v>0</v>
      </c>
      <c r="CM71" s="2554">
        <f t="shared" si="32"/>
        <v>0</v>
      </c>
      <c r="CN71" s="2554">
        <f t="shared" si="33"/>
        <v>0</v>
      </c>
      <c r="CO71" s="2554"/>
    </row>
    <row r="72" spans="1:93" s="170" customFormat="1" ht="15" customHeight="1" x14ac:dyDescent="0.15">
      <c r="A72" s="1300" t="s">
        <v>1344</v>
      </c>
      <c r="B72" s="1507">
        <f t="shared" si="22"/>
        <v>0</v>
      </c>
      <c r="C72" s="1113"/>
      <c r="D72" s="1476"/>
      <c r="E72" s="1476"/>
      <c r="F72" s="1476"/>
      <c r="G72" s="1476"/>
      <c r="H72" s="1476"/>
      <c r="I72" s="1476"/>
      <c r="J72" s="1476"/>
      <c r="K72" s="1476"/>
      <c r="L72" s="1476"/>
      <c r="M72" s="1476"/>
      <c r="N72" s="1476"/>
      <c r="O72" s="1476"/>
      <c r="P72" s="1476"/>
      <c r="Q72" s="1476"/>
      <c r="R72" s="1476"/>
      <c r="S72" s="1117"/>
      <c r="T72" s="1318"/>
      <c r="U72" s="1320"/>
      <c r="V72" s="1318"/>
      <c r="W72" s="1320"/>
      <c r="X72" s="1318"/>
      <c r="Y72" s="1320"/>
      <c r="Z72" s="1300">
        <f t="shared" si="23"/>
        <v>0</v>
      </c>
      <c r="AA72" s="1318"/>
      <c r="AB72" s="1487"/>
      <c r="AC72" s="1487"/>
      <c r="AD72" s="1320"/>
      <c r="AE72" s="1300">
        <f t="shared" si="24"/>
        <v>0</v>
      </c>
      <c r="AF72" s="1318"/>
      <c r="AG72" s="1487"/>
      <c r="AH72" s="1487"/>
      <c r="AI72" s="1322"/>
      <c r="AJ72" s="8"/>
      <c r="AK72" s="8"/>
      <c r="AL72" s="8"/>
      <c r="AM72" s="8"/>
      <c r="AN72" s="8"/>
      <c r="AO72" s="8"/>
      <c r="AP72" s="8"/>
      <c r="AQ72" s="8"/>
      <c r="AR72" s="170" t="str">
        <f t="shared" si="25"/>
        <v/>
      </c>
      <c r="CC72" s="2553" t="str">
        <f t="shared" si="26"/>
        <v/>
      </c>
      <c r="CD72" s="2553" t="str">
        <f t="shared" si="27"/>
        <v/>
      </c>
      <c r="CE72" s="2553" t="str">
        <f t="shared" si="28"/>
        <v/>
      </c>
      <c r="CF72" s="2553" t="str">
        <f t="shared" si="29"/>
        <v/>
      </c>
      <c r="CG72" s="2553"/>
      <c r="CH72" s="2553"/>
      <c r="CI72" s="2553"/>
      <c r="CK72" s="2554">
        <f t="shared" si="30"/>
        <v>0</v>
      </c>
      <c r="CL72" s="2554">
        <f t="shared" si="31"/>
        <v>0</v>
      </c>
      <c r="CM72" s="2554">
        <f t="shared" si="32"/>
        <v>0</v>
      </c>
      <c r="CN72" s="2554">
        <f t="shared" si="33"/>
        <v>0</v>
      </c>
      <c r="CO72" s="2554"/>
    </row>
    <row r="73" spans="1:93" s="170" customFormat="1" ht="15" customHeight="1" x14ac:dyDescent="0.15">
      <c r="A73" s="1300" t="s">
        <v>983</v>
      </c>
      <c r="B73" s="1507">
        <f t="shared" si="22"/>
        <v>0</v>
      </c>
      <c r="C73" s="1113"/>
      <c r="D73" s="1476"/>
      <c r="E73" s="1476"/>
      <c r="F73" s="1476"/>
      <c r="G73" s="1476"/>
      <c r="H73" s="1476"/>
      <c r="I73" s="1476"/>
      <c r="J73" s="1476"/>
      <c r="K73" s="1476"/>
      <c r="L73" s="1476"/>
      <c r="M73" s="1476"/>
      <c r="N73" s="1476"/>
      <c r="O73" s="1476"/>
      <c r="P73" s="1476"/>
      <c r="Q73" s="1476"/>
      <c r="R73" s="1476"/>
      <c r="S73" s="1117"/>
      <c r="T73" s="1318"/>
      <c r="U73" s="1320"/>
      <c r="V73" s="1318"/>
      <c r="W73" s="1320"/>
      <c r="X73" s="1318"/>
      <c r="Y73" s="1320"/>
      <c r="Z73" s="1300">
        <f t="shared" si="23"/>
        <v>0</v>
      </c>
      <c r="AA73" s="1318"/>
      <c r="AB73" s="1487"/>
      <c r="AC73" s="1487"/>
      <c r="AD73" s="1320"/>
      <c r="AE73" s="1300">
        <f t="shared" si="24"/>
        <v>0</v>
      </c>
      <c r="AF73" s="1318"/>
      <c r="AG73" s="1487"/>
      <c r="AH73" s="1487"/>
      <c r="AI73" s="1322"/>
      <c r="AJ73" s="8"/>
      <c r="AK73" s="8"/>
      <c r="AL73" s="8"/>
      <c r="AM73" s="8"/>
      <c r="AN73" s="8"/>
      <c r="AO73" s="8"/>
      <c r="AP73" s="8"/>
      <c r="AQ73" s="8"/>
      <c r="AR73" s="170" t="str">
        <f t="shared" si="25"/>
        <v/>
      </c>
      <c r="CC73" s="2553" t="str">
        <f t="shared" si="26"/>
        <v/>
      </c>
      <c r="CD73" s="2553" t="str">
        <f t="shared" si="27"/>
        <v/>
      </c>
      <c r="CE73" s="2553" t="str">
        <f t="shared" si="28"/>
        <v/>
      </c>
      <c r="CF73" s="2553" t="str">
        <f t="shared" si="29"/>
        <v/>
      </c>
      <c r="CG73" s="2553"/>
      <c r="CH73" s="2553"/>
      <c r="CI73" s="2553"/>
      <c r="CK73" s="2554">
        <f t="shared" si="30"/>
        <v>0</v>
      </c>
      <c r="CL73" s="2554">
        <f t="shared" si="31"/>
        <v>0</v>
      </c>
      <c r="CM73" s="2554">
        <f t="shared" si="32"/>
        <v>0</v>
      </c>
      <c r="CN73" s="2554">
        <f t="shared" si="33"/>
        <v>0</v>
      </c>
      <c r="CO73" s="2554"/>
    </row>
    <row r="74" spans="1:93" s="170" customFormat="1" ht="15" customHeight="1" x14ac:dyDescent="0.15">
      <c r="A74" s="1300" t="s">
        <v>1345</v>
      </c>
      <c r="B74" s="1507">
        <f t="shared" si="22"/>
        <v>0</v>
      </c>
      <c r="C74" s="1113"/>
      <c r="D74" s="1476"/>
      <c r="E74" s="1476"/>
      <c r="F74" s="1476"/>
      <c r="G74" s="1476"/>
      <c r="H74" s="1476"/>
      <c r="I74" s="1476"/>
      <c r="J74" s="1476"/>
      <c r="K74" s="1476"/>
      <c r="L74" s="1476"/>
      <c r="M74" s="1476"/>
      <c r="N74" s="1476"/>
      <c r="O74" s="1476"/>
      <c r="P74" s="1476"/>
      <c r="Q74" s="1476"/>
      <c r="R74" s="1476"/>
      <c r="S74" s="1117"/>
      <c r="T74" s="1318"/>
      <c r="U74" s="1320"/>
      <c r="V74" s="1318"/>
      <c r="W74" s="1320"/>
      <c r="X74" s="1318"/>
      <c r="Y74" s="1320"/>
      <c r="Z74" s="1300">
        <f t="shared" si="23"/>
        <v>0</v>
      </c>
      <c r="AA74" s="1318"/>
      <c r="AB74" s="1487"/>
      <c r="AC74" s="1487"/>
      <c r="AD74" s="1320"/>
      <c r="AE74" s="1300">
        <f t="shared" si="24"/>
        <v>0</v>
      </c>
      <c r="AF74" s="1318"/>
      <c r="AG74" s="1487"/>
      <c r="AH74" s="1487"/>
      <c r="AI74" s="1322"/>
      <c r="AJ74" s="8"/>
      <c r="AK74" s="8"/>
      <c r="AL74" s="8"/>
      <c r="AM74" s="8"/>
      <c r="AN74" s="8"/>
      <c r="AO74" s="8"/>
      <c r="AP74" s="8"/>
      <c r="AQ74" s="8"/>
      <c r="AR74" s="170" t="str">
        <f t="shared" si="25"/>
        <v/>
      </c>
      <c r="CC74" s="2553" t="str">
        <f t="shared" si="26"/>
        <v/>
      </c>
      <c r="CD74" s="2553" t="str">
        <f t="shared" si="27"/>
        <v/>
      </c>
      <c r="CE74" s="2553" t="str">
        <f t="shared" si="28"/>
        <v/>
      </c>
      <c r="CF74" s="2553" t="str">
        <f t="shared" si="29"/>
        <v/>
      </c>
      <c r="CG74" s="2553"/>
      <c r="CH74" s="2553"/>
      <c r="CI74" s="2553"/>
      <c r="CK74" s="2554">
        <f t="shared" si="30"/>
        <v>0</v>
      </c>
      <c r="CL74" s="2554">
        <f t="shared" si="31"/>
        <v>0</v>
      </c>
      <c r="CM74" s="2554">
        <f t="shared" si="32"/>
        <v>0</v>
      </c>
      <c r="CN74" s="2554">
        <f t="shared" si="33"/>
        <v>0</v>
      </c>
      <c r="CO74" s="2554"/>
    </row>
    <row r="75" spans="1:93" s="170" customFormat="1" ht="15" customHeight="1" x14ac:dyDescent="0.15">
      <c r="A75" s="1300" t="s">
        <v>234</v>
      </c>
      <c r="B75" s="1507">
        <f t="shared" si="22"/>
        <v>0</v>
      </c>
      <c r="C75" s="1113"/>
      <c r="D75" s="1476"/>
      <c r="E75" s="1476"/>
      <c r="F75" s="1476"/>
      <c r="G75" s="1476"/>
      <c r="H75" s="1476"/>
      <c r="I75" s="1476"/>
      <c r="J75" s="1476"/>
      <c r="K75" s="1476"/>
      <c r="L75" s="1476"/>
      <c r="M75" s="1476"/>
      <c r="N75" s="1476"/>
      <c r="O75" s="1476"/>
      <c r="P75" s="1476"/>
      <c r="Q75" s="1476"/>
      <c r="R75" s="1476"/>
      <c r="S75" s="1117"/>
      <c r="T75" s="1113"/>
      <c r="U75" s="1117"/>
      <c r="V75" s="1113"/>
      <c r="W75" s="1117"/>
      <c r="X75" s="1113"/>
      <c r="Y75" s="1117"/>
      <c r="Z75" s="1300">
        <f t="shared" si="23"/>
        <v>0</v>
      </c>
      <c r="AA75" s="1113"/>
      <c r="AB75" s="1476"/>
      <c r="AC75" s="1476"/>
      <c r="AD75" s="1117"/>
      <c r="AE75" s="1300">
        <f t="shared" si="24"/>
        <v>0</v>
      </c>
      <c r="AF75" s="1113"/>
      <c r="AG75" s="1476"/>
      <c r="AH75" s="1476"/>
      <c r="AI75" s="1118"/>
      <c r="AJ75" s="8"/>
      <c r="AK75" s="8"/>
      <c r="AL75" s="8"/>
      <c r="AM75" s="8"/>
      <c r="AN75" s="8"/>
      <c r="AO75" s="8"/>
      <c r="AP75" s="8"/>
      <c r="AQ75" s="8"/>
      <c r="AR75" s="170" t="str">
        <f t="shared" si="25"/>
        <v/>
      </c>
      <c r="CC75" s="2553" t="str">
        <f t="shared" si="26"/>
        <v/>
      </c>
      <c r="CD75" s="2553" t="str">
        <f t="shared" si="27"/>
        <v/>
      </c>
      <c r="CE75" s="2553" t="str">
        <f t="shared" si="28"/>
        <v/>
      </c>
      <c r="CF75" s="2553" t="str">
        <f t="shared" si="29"/>
        <v/>
      </c>
      <c r="CG75" s="2553"/>
      <c r="CH75" s="2553"/>
      <c r="CI75" s="2553"/>
      <c r="CK75" s="2554">
        <f t="shared" si="30"/>
        <v>0</v>
      </c>
      <c r="CL75" s="2554">
        <f t="shared" si="31"/>
        <v>0</v>
      </c>
      <c r="CM75" s="2554">
        <f t="shared" si="32"/>
        <v>0</v>
      </c>
      <c r="CN75" s="2554">
        <f t="shared" si="33"/>
        <v>0</v>
      </c>
      <c r="CO75" s="2554"/>
    </row>
    <row r="76" spans="1:93" s="170" customFormat="1" ht="15" customHeight="1" x14ac:dyDescent="0.15">
      <c r="A76" s="1300" t="s">
        <v>984</v>
      </c>
      <c r="B76" s="1507">
        <f t="shared" si="22"/>
        <v>0</v>
      </c>
      <c r="C76" s="1113"/>
      <c r="D76" s="1476"/>
      <c r="E76" s="1476"/>
      <c r="F76" s="1476"/>
      <c r="G76" s="1476"/>
      <c r="H76" s="1476"/>
      <c r="I76" s="1476"/>
      <c r="J76" s="1476"/>
      <c r="K76" s="1476"/>
      <c r="L76" s="1476"/>
      <c r="M76" s="1476"/>
      <c r="N76" s="1476"/>
      <c r="O76" s="1476"/>
      <c r="P76" s="1476"/>
      <c r="Q76" s="1476"/>
      <c r="R76" s="1476"/>
      <c r="S76" s="1117"/>
      <c r="T76" s="1113"/>
      <c r="U76" s="1117"/>
      <c r="V76" s="1113"/>
      <c r="W76" s="1117"/>
      <c r="X76" s="1113"/>
      <c r="Y76" s="1117"/>
      <c r="Z76" s="1300">
        <f t="shared" si="23"/>
        <v>0</v>
      </c>
      <c r="AA76" s="1113"/>
      <c r="AB76" s="1476"/>
      <c r="AC76" s="1476"/>
      <c r="AD76" s="1117"/>
      <c r="AE76" s="1300">
        <f t="shared" si="24"/>
        <v>0</v>
      </c>
      <c r="AF76" s="1113"/>
      <c r="AG76" s="1476"/>
      <c r="AH76" s="1476"/>
      <c r="AI76" s="1118"/>
      <c r="AJ76" s="8"/>
      <c r="AK76" s="8"/>
      <c r="AL76" s="8"/>
      <c r="AM76" s="8"/>
      <c r="AN76" s="8"/>
      <c r="AO76" s="8"/>
      <c r="AP76" s="8"/>
      <c r="AQ76" s="8"/>
      <c r="AR76" s="170" t="str">
        <f t="shared" si="25"/>
        <v/>
      </c>
      <c r="CC76" s="2553" t="str">
        <f t="shared" si="26"/>
        <v/>
      </c>
      <c r="CD76" s="2553" t="str">
        <f t="shared" si="27"/>
        <v/>
      </c>
      <c r="CE76" s="2553" t="str">
        <f t="shared" si="28"/>
        <v/>
      </c>
      <c r="CF76" s="2553" t="str">
        <f t="shared" si="29"/>
        <v/>
      </c>
      <c r="CG76" s="2553"/>
      <c r="CH76" s="2553"/>
      <c r="CI76" s="2553"/>
      <c r="CK76" s="2554">
        <f t="shared" si="30"/>
        <v>0</v>
      </c>
      <c r="CL76" s="2554">
        <f t="shared" si="31"/>
        <v>0</v>
      </c>
      <c r="CM76" s="2554">
        <f t="shared" si="32"/>
        <v>0</v>
      </c>
      <c r="CN76" s="2554">
        <f t="shared" si="33"/>
        <v>0</v>
      </c>
      <c r="CO76" s="2554"/>
    </row>
    <row r="77" spans="1:93" s="170" customFormat="1" ht="15" customHeight="1" x14ac:dyDescent="0.15">
      <c r="A77" s="1589" t="s">
        <v>236</v>
      </c>
      <c r="B77" s="1507">
        <f t="shared" si="22"/>
        <v>0</v>
      </c>
      <c r="C77" s="1113"/>
      <c r="D77" s="1476"/>
      <c r="E77" s="1476"/>
      <c r="F77" s="1476"/>
      <c r="G77" s="1476"/>
      <c r="H77" s="1476"/>
      <c r="I77" s="1476"/>
      <c r="J77" s="1476"/>
      <c r="K77" s="1476"/>
      <c r="L77" s="1476"/>
      <c r="M77" s="1476"/>
      <c r="N77" s="1476"/>
      <c r="O77" s="1476"/>
      <c r="P77" s="1476"/>
      <c r="Q77" s="1476"/>
      <c r="R77" s="1476"/>
      <c r="S77" s="1117"/>
      <c r="T77" s="1113"/>
      <c r="U77" s="1117"/>
      <c r="V77" s="1113"/>
      <c r="W77" s="1117"/>
      <c r="X77" s="1113"/>
      <c r="Y77" s="1117"/>
      <c r="Z77" s="1300">
        <f t="shared" si="23"/>
        <v>0</v>
      </c>
      <c r="AA77" s="1113"/>
      <c r="AB77" s="1476"/>
      <c r="AC77" s="1476"/>
      <c r="AD77" s="1117"/>
      <c r="AE77" s="1300">
        <f t="shared" si="24"/>
        <v>0</v>
      </c>
      <c r="AF77" s="1113"/>
      <c r="AG77" s="1476"/>
      <c r="AH77" s="1476"/>
      <c r="AI77" s="1118"/>
      <c r="AJ77" s="8"/>
      <c r="AK77" s="8"/>
      <c r="AL77" s="8"/>
      <c r="AM77" s="8"/>
      <c r="AN77" s="8"/>
      <c r="AO77" s="8"/>
      <c r="AP77" s="8"/>
      <c r="AQ77" s="8"/>
      <c r="AR77" s="170" t="str">
        <f t="shared" si="25"/>
        <v/>
      </c>
      <c r="CC77" s="2553" t="str">
        <f t="shared" si="26"/>
        <v/>
      </c>
      <c r="CD77" s="2553" t="str">
        <f t="shared" si="27"/>
        <v/>
      </c>
      <c r="CE77" s="2553" t="str">
        <f t="shared" si="28"/>
        <v/>
      </c>
      <c r="CF77" s="2553" t="str">
        <f t="shared" si="29"/>
        <v/>
      </c>
      <c r="CG77" s="2553"/>
      <c r="CH77" s="2553"/>
      <c r="CI77" s="2553"/>
      <c r="CK77" s="2554">
        <f t="shared" si="30"/>
        <v>0</v>
      </c>
      <c r="CL77" s="2554">
        <f t="shared" si="31"/>
        <v>0</v>
      </c>
      <c r="CM77" s="2554">
        <f t="shared" si="32"/>
        <v>0</v>
      </c>
      <c r="CN77" s="2554">
        <f t="shared" si="33"/>
        <v>0</v>
      </c>
      <c r="CO77" s="2554"/>
    </row>
    <row r="78" spans="1:93" s="170" customFormat="1" ht="15" customHeight="1" x14ac:dyDescent="0.15">
      <c r="A78" s="1116" t="s">
        <v>237</v>
      </c>
      <c r="B78" s="1507">
        <f t="shared" si="22"/>
        <v>0</v>
      </c>
      <c r="C78" s="1113"/>
      <c r="D78" s="1476"/>
      <c r="E78" s="1476"/>
      <c r="F78" s="1476"/>
      <c r="G78" s="1476"/>
      <c r="H78" s="1476"/>
      <c r="I78" s="1476"/>
      <c r="J78" s="1476"/>
      <c r="K78" s="1476"/>
      <c r="L78" s="1476"/>
      <c r="M78" s="1476"/>
      <c r="N78" s="1476"/>
      <c r="O78" s="1476"/>
      <c r="P78" s="1476"/>
      <c r="Q78" s="1476"/>
      <c r="R78" s="1476"/>
      <c r="S78" s="1117"/>
      <c r="T78" s="1113"/>
      <c r="U78" s="1117"/>
      <c r="V78" s="1113"/>
      <c r="W78" s="1117"/>
      <c r="X78" s="1113"/>
      <c r="Y78" s="1117"/>
      <c r="Z78" s="1300">
        <f t="shared" si="23"/>
        <v>0</v>
      </c>
      <c r="AA78" s="1113"/>
      <c r="AB78" s="1476"/>
      <c r="AC78" s="1476"/>
      <c r="AD78" s="1117"/>
      <c r="AE78" s="1300">
        <f t="shared" si="24"/>
        <v>0</v>
      </c>
      <c r="AF78" s="1113"/>
      <c r="AG78" s="1476"/>
      <c r="AH78" s="1476"/>
      <c r="AI78" s="1118"/>
      <c r="AJ78" s="8"/>
      <c r="AK78" s="8"/>
      <c r="AL78" s="8"/>
      <c r="AM78" s="8"/>
      <c r="AN78" s="8"/>
      <c r="AO78" s="8"/>
      <c r="AP78" s="8"/>
      <c r="AQ78" s="8"/>
      <c r="AR78" s="170" t="str">
        <f t="shared" si="25"/>
        <v/>
      </c>
      <c r="CC78" s="2553" t="str">
        <f t="shared" si="26"/>
        <v/>
      </c>
      <c r="CD78" s="2553" t="str">
        <f t="shared" si="27"/>
        <v/>
      </c>
      <c r="CE78" s="2553" t="str">
        <f t="shared" si="28"/>
        <v/>
      </c>
      <c r="CF78" s="2553" t="str">
        <f t="shared" si="29"/>
        <v/>
      </c>
      <c r="CG78" s="2553"/>
      <c r="CH78" s="2553"/>
      <c r="CI78" s="2553"/>
      <c r="CK78" s="2554">
        <f t="shared" si="30"/>
        <v>0</v>
      </c>
      <c r="CL78" s="2554">
        <f t="shared" si="31"/>
        <v>0</v>
      </c>
      <c r="CM78" s="2554">
        <f t="shared" si="32"/>
        <v>0</v>
      </c>
      <c r="CN78" s="2554">
        <f t="shared" si="33"/>
        <v>0</v>
      </c>
      <c r="CO78" s="2554"/>
    </row>
    <row r="79" spans="1:93" s="170" customFormat="1" ht="15" customHeight="1" x14ac:dyDescent="0.15">
      <c r="A79" s="1116" t="s">
        <v>985</v>
      </c>
      <c r="B79" s="1507">
        <f t="shared" si="22"/>
        <v>0</v>
      </c>
      <c r="C79" s="1113"/>
      <c r="D79" s="1476"/>
      <c r="E79" s="1476"/>
      <c r="F79" s="1476"/>
      <c r="G79" s="1476"/>
      <c r="H79" s="1476"/>
      <c r="I79" s="1476"/>
      <c r="J79" s="1476"/>
      <c r="K79" s="1476"/>
      <c r="L79" s="1476"/>
      <c r="M79" s="1476"/>
      <c r="N79" s="1476"/>
      <c r="O79" s="1476"/>
      <c r="P79" s="1476"/>
      <c r="Q79" s="1476"/>
      <c r="R79" s="1476"/>
      <c r="S79" s="1117"/>
      <c r="T79" s="1113"/>
      <c r="U79" s="1117"/>
      <c r="V79" s="1113"/>
      <c r="W79" s="1117"/>
      <c r="X79" s="1113"/>
      <c r="Y79" s="1117"/>
      <c r="Z79" s="1300">
        <f t="shared" si="23"/>
        <v>0</v>
      </c>
      <c r="AA79" s="1113"/>
      <c r="AB79" s="1476"/>
      <c r="AC79" s="1476"/>
      <c r="AD79" s="1117"/>
      <c r="AE79" s="1300">
        <f t="shared" si="24"/>
        <v>0</v>
      </c>
      <c r="AF79" s="1113"/>
      <c r="AG79" s="1476"/>
      <c r="AH79" s="1476"/>
      <c r="AI79" s="1118"/>
      <c r="AJ79" s="8"/>
      <c r="AK79" s="8"/>
      <c r="AL79" s="8"/>
      <c r="AM79" s="8"/>
      <c r="AN79" s="8"/>
      <c r="AO79" s="8"/>
      <c r="AP79" s="8"/>
      <c r="AQ79" s="8"/>
      <c r="AR79" s="170" t="str">
        <f t="shared" si="25"/>
        <v/>
      </c>
      <c r="CC79" s="2553" t="str">
        <f t="shared" si="26"/>
        <v/>
      </c>
      <c r="CD79" s="2553" t="str">
        <f t="shared" si="27"/>
        <v/>
      </c>
      <c r="CE79" s="2553" t="str">
        <f t="shared" si="28"/>
        <v/>
      </c>
      <c r="CF79" s="2553" t="str">
        <f t="shared" si="29"/>
        <v/>
      </c>
      <c r="CG79" s="2553"/>
      <c r="CH79" s="2553"/>
      <c r="CI79" s="2553"/>
      <c r="CK79" s="2554">
        <f t="shared" si="30"/>
        <v>0</v>
      </c>
      <c r="CL79" s="2554">
        <f t="shared" si="31"/>
        <v>0</v>
      </c>
      <c r="CM79" s="2554">
        <f t="shared" si="32"/>
        <v>0</v>
      </c>
      <c r="CN79" s="2554">
        <f t="shared" si="33"/>
        <v>0</v>
      </c>
      <c r="CO79" s="2554"/>
    </row>
    <row r="80" spans="1:93" s="170" customFormat="1" ht="15" customHeight="1" x14ac:dyDescent="0.15">
      <c r="A80" s="1116" t="s">
        <v>986</v>
      </c>
      <c r="B80" s="1507">
        <f t="shared" si="22"/>
        <v>0</v>
      </c>
      <c r="C80" s="1113"/>
      <c r="D80" s="1476"/>
      <c r="E80" s="1476"/>
      <c r="F80" s="1476"/>
      <c r="G80" s="1476"/>
      <c r="H80" s="1476"/>
      <c r="I80" s="1476"/>
      <c r="J80" s="1476"/>
      <c r="K80" s="1476"/>
      <c r="L80" s="1476"/>
      <c r="M80" s="1476"/>
      <c r="N80" s="1476"/>
      <c r="O80" s="1476"/>
      <c r="P80" s="1476"/>
      <c r="Q80" s="1476"/>
      <c r="R80" s="1476"/>
      <c r="S80" s="1117"/>
      <c r="T80" s="1113"/>
      <c r="U80" s="1117"/>
      <c r="V80" s="1113"/>
      <c r="W80" s="1117"/>
      <c r="X80" s="1113"/>
      <c r="Y80" s="1117"/>
      <c r="Z80" s="1300">
        <f t="shared" si="23"/>
        <v>0</v>
      </c>
      <c r="AA80" s="1113"/>
      <c r="AB80" s="1476"/>
      <c r="AC80" s="1476"/>
      <c r="AD80" s="1117"/>
      <c r="AE80" s="1300">
        <f t="shared" si="24"/>
        <v>0</v>
      </c>
      <c r="AF80" s="1113"/>
      <c r="AG80" s="1476"/>
      <c r="AH80" s="1476"/>
      <c r="AI80" s="1118"/>
      <c r="AJ80" s="8"/>
      <c r="AK80" s="8"/>
      <c r="AL80" s="8"/>
      <c r="AM80" s="8"/>
      <c r="AN80" s="8"/>
      <c r="AO80" s="8"/>
      <c r="AP80" s="8"/>
      <c r="AQ80" s="8"/>
      <c r="AR80" s="170" t="str">
        <f t="shared" si="25"/>
        <v/>
      </c>
      <c r="CC80" s="2553" t="str">
        <f t="shared" si="26"/>
        <v/>
      </c>
      <c r="CD80" s="2553" t="str">
        <f t="shared" si="27"/>
        <v/>
      </c>
      <c r="CE80" s="2553" t="str">
        <f t="shared" si="28"/>
        <v/>
      </c>
      <c r="CF80" s="2553" t="str">
        <f t="shared" si="29"/>
        <v/>
      </c>
      <c r="CG80" s="2553"/>
      <c r="CH80" s="2553"/>
      <c r="CI80" s="2553"/>
      <c r="CK80" s="2554">
        <f t="shared" si="30"/>
        <v>0</v>
      </c>
      <c r="CL80" s="2554">
        <f t="shared" si="31"/>
        <v>0</v>
      </c>
      <c r="CM80" s="2554">
        <f t="shared" si="32"/>
        <v>0</v>
      </c>
      <c r="CN80" s="2554">
        <f t="shared" si="33"/>
        <v>0</v>
      </c>
      <c r="CO80" s="2554"/>
    </row>
    <row r="81" spans="1:93" s="170" customFormat="1" ht="15" customHeight="1" x14ac:dyDescent="0.15">
      <c r="A81" s="1300" t="s">
        <v>238</v>
      </c>
      <c r="B81" s="1507">
        <f t="shared" si="22"/>
        <v>0</v>
      </c>
      <c r="C81" s="1113"/>
      <c r="D81" s="1476"/>
      <c r="E81" s="1476"/>
      <c r="F81" s="1476"/>
      <c r="G81" s="1476"/>
      <c r="H81" s="1476"/>
      <c r="I81" s="1476"/>
      <c r="J81" s="1476"/>
      <c r="K81" s="1476"/>
      <c r="L81" s="1476"/>
      <c r="M81" s="1476"/>
      <c r="N81" s="1476"/>
      <c r="O81" s="1476"/>
      <c r="P81" s="1476"/>
      <c r="Q81" s="1476"/>
      <c r="R81" s="1476"/>
      <c r="S81" s="1117"/>
      <c r="T81" s="1113"/>
      <c r="U81" s="1117"/>
      <c r="V81" s="1113"/>
      <c r="W81" s="1117"/>
      <c r="X81" s="1113"/>
      <c r="Y81" s="1117"/>
      <c r="Z81" s="1300">
        <f t="shared" si="23"/>
        <v>0</v>
      </c>
      <c r="AA81" s="1113"/>
      <c r="AB81" s="1476"/>
      <c r="AC81" s="1476"/>
      <c r="AD81" s="1117"/>
      <c r="AE81" s="1300">
        <f t="shared" si="24"/>
        <v>0</v>
      </c>
      <c r="AF81" s="1113"/>
      <c r="AG81" s="1476"/>
      <c r="AH81" s="1476"/>
      <c r="AI81" s="1118"/>
      <c r="AJ81" s="8"/>
      <c r="AK81" s="8"/>
      <c r="AL81" s="8"/>
      <c r="AM81" s="8"/>
      <c r="AN81" s="8"/>
      <c r="AO81" s="8"/>
      <c r="AP81" s="8"/>
      <c r="AQ81" s="8"/>
      <c r="AR81" s="170" t="str">
        <f t="shared" si="25"/>
        <v/>
      </c>
      <c r="CC81" s="2553" t="str">
        <f t="shared" si="26"/>
        <v/>
      </c>
      <c r="CD81" s="2553" t="str">
        <f t="shared" si="27"/>
        <v/>
      </c>
      <c r="CE81" s="2553" t="str">
        <f t="shared" si="28"/>
        <v/>
      </c>
      <c r="CF81" s="2553" t="str">
        <f t="shared" si="29"/>
        <v/>
      </c>
      <c r="CG81" s="2553"/>
      <c r="CH81" s="2553"/>
      <c r="CI81" s="2553"/>
      <c r="CK81" s="2554">
        <f t="shared" si="30"/>
        <v>0</v>
      </c>
      <c r="CL81" s="2554">
        <f t="shared" si="31"/>
        <v>0</v>
      </c>
      <c r="CM81" s="2554">
        <f t="shared" si="32"/>
        <v>0</v>
      </c>
      <c r="CN81" s="2554">
        <f t="shared" si="33"/>
        <v>0</v>
      </c>
      <c r="CO81" s="2554"/>
    </row>
    <row r="82" spans="1:93" s="170" customFormat="1" ht="15" customHeight="1" x14ac:dyDescent="0.15">
      <c r="A82" s="1300" t="s">
        <v>239</v>
      </c>
      <c r="B82" s="1507">
        <f t="shared" si="22"/>
        <v>0</v>
      </c>
      <c r="C82" s="1113"/>
      <c r="D82" s="1476"/>
      <c r="E82" s="1476"/>
      <c r="F82" s="1476"/>
      <c r="G82" s="1476"/>
      <c r="H82" s="1476"/>
      <c r="I82" s="1476"/>
      <c r="J82" s="1476"/>
      <c r="K82" s="1476"/>
      <c r="L82" s="1476"/>
      <c r="M82" s="1476"/>
      <c r="N82" s="1476"/>
      <c r="O82" s="1476"/>
      <c r="P82" s="1476"/>
      <c r="Q82" s="1476"/>
      <c r="R82" s="1476"/>
      <c r="S82" s="1117"/>
      <c r="T82" s="1113"/>
      <c r="U82" s="1117"/>
      <c r="V82" s="1113"/>
      <c r="W82" s="1117"/>
      <c r="X82" s="1113"/>
      <c r="Y82" s="1117"/>
      <c r="Z82" s="1300">
        <f t="shared" si="23"/>
        <v>0</v>
      </c>
      <c r="AA82" s="1113"/>
      <c r="AB82" s="1476"/>
      <c r="AC82" s="1476"/>
      <c r="AD82" s="1117"/>
      <c r="AE82" s="1300">
        <f t="shared" si="24"/>
        <v>0</v>
      </c>
      <c r="AF82" s="1113"/>
      <c r="AG82" s="1476"/>
      <c r="AH82" s="1476"/>
      <c r="AI82" s="1118"/>
      <c r="AJ82" s="8"/>
      <c r="AK82" s="8"/>
      <c r="AL82" s="8"/>
      <c r="AM82" s="8"/>
      <c r="AN82" s="8"/>
      <c r="AO82" s="8"/>
      <c r="AP82" s="8"/>
      <c r="AQ82" s="8"/>
      <c r="AR82" s="170" t="str">
        <f t="shared" si="25"/>
        <v/>
      </c>
      <c r="CC82" s="2553" t="str">
        <f t="shared" si="26"/>
        <v/>
      </c>
      <c r="CD82" s="2553" t="str">
        <f t="shared" si="27"/>
        <v/>
      </c>
      <c r="CE82" s="2553" t="str">
        <f t="shared" si="28"/>
        <v/>
      </c>
      <c r="CF82" s="2553" t="str">
        <f t="shared" si="29"/>
        <v/>
      </c>
      <c r="CG82" s="2553"/>
      <c r="CH82" s="2553"/>
      <c r="CI82" s="2553"/>
      <c r="CK82" s="2554">
        <f t="shared" si="30"/>
        <v>0</v>
      </c>
      <c r="CL82" s="2554">
        <f t="shared" si="31"/>
        <v>0</v>
      </c>
      <c r="CM82" s="2554">
        <f t="shared" si="32"/>
        <v>0</v>
      </c>
      <c r="CN82" s="2554">
        <f t="shared" si="33"/>
        <v>0</v>
      </c>
      <c r="CO82" s="2554"/>
    </row>
    <row r="83" spans="1:93" s="170" customFormat="1" ht="15" customHeight="1" x14ac:dyDescent="0.15">
      <c r="A83" s="1300" t="s">
        <v>987</v>
      </c>
      <c r="B83" s="1507">
        <f t="shared" si="22"/>
        <v>0</v>
      </c>
      <c r="C83" s="1113"/>
      <c r="D83" s="1476"/>
      <c r="E83" s="1476"/>
      <c r="F83" s="1476"/>
      <c r="G83" s="1476"/>
      <c r="H83" s="1476"/>
      <c r="I83" s="1476"/>
      <c r="J83" s="1476"/>
      <c r="K83" s="1476"/>
      <c r="L83" s="1476"/>
      <c r="M83" s="1476"/>
      <c r="N83" s="1476"/>
      <c r="O83" s="1476"/>
      <c r="P83" s="1476"/>
      <c r="Q83" s="1476"/>
      <c r="R83" s="1476"/>
      <c r="S83" s="1117"/>
      <c r="T83" s="1113"/>
      <c r="U83" s="1117"/>
      <c r="V83" s="1113"/>
      <c r="W83" s="1117"/>
      <c r="X83" s="1113"/>
      <c r="Y83" s="1117"/>
      <c r="Z83" s="1300">
        <f t="shared" si="23"/>
        <v>0</v>
      </c>
      <c r="AA83" s="1113"/>
      <c r="AB83" s="1476"/>
      <c r="AC83" s="1476"/>
      <c r="AD83" s="1117"/>
      <c r="AE83" s="1300">
        <f t="shared" si="24"/>
        <v>0</v>
      </c>
      <c r="AF83" s="1113"/>
      <c r="AG83" s="1476"/>
      <c r="AH83" s="1476"/>
      <c r="AI83" s="1118"/>
      <c r="AJ83" s="8"/>
      <c r="AK83" s="8"/>
      <c r="AL83" s="8"/>
      <c r="AM83" s="8"/>
      <c r="AN83" s="8"/>
      <c r="AO83" s="8"/>
      <c r="AP83" s="8"/>
      <c r="AQ83" s="8"/>
      <c r="AR83" s="170" t="str">
        <f t="shared" si="25"/>
        <v/>
      </c>
      <c r="CC83" s="2553" t="str">
        <f t="shared" si="26"/>
        <v/>
      </c>
      <c r="CD83" s="2553" t="str">
        <f t="shared" si="27"/>
        <v/>
      </c>
      <c r="CE83" s="2553" t="str">
        <f t="shared" si="28"/>
        <v/>
      </c>
      <c r="CF83" s="2553" t="str">
        <f t="shared" si="29"/>
        <v/>
      </c>
      <c r="CG83" s="2553"/>
      <c r="CH83" s="2553"/>
      <c r="CI83" s="2553"/>
      <c r="CK83" s="2554">
        <f t="shared" si="30"/>
        <v>0</v>
      </c>
      <c r="CL83" s="2554">
        <f t="shared" si="31"/>
        <v>0</v>
      </c>
      <c r="CM83" s="2554">
        <f t="shared" si="32"/>
        <v>0</v>
      </c>
      <c r="CN83" s="2554">
        <f t="shared" si="33"/>
        <v>0</v>
      </c>
      <c r="CO83" s="2554"/>
    </row>
    <row r="84" spans="1:93" s="170" customFormat="1" ht="15" customHeight="1" x14ac:dyDescent="0.15">
      <c r="A84" s="1300" t="s">
        <v>988</v>
      </c>
      <c r="B84" s="1507">
        <f t="shared" si="22"/>
        <v>0</v>
      </c>
      <c r="C84" s="1113"/>
      <c r="D84" s="1476"/>
      <c r="E84" s="1476"/>
      <c r="F84" s="1476"/>
      <c r="G84" s="1476"/>
      <c r="H84" s="1476"/>
      <c r="I84" s="1476"/>
      <c r="J84" s="1476"/>
      <c r="K84" s="1476"/>
      <c r="L84" s="1476"/>
      <c r="M84" s="1476"/>
      <c r="N84" s="1476"/>
      <c r="O84" s="1476"/>
      <c r="P84" s="1476"/>
      <c r="Q84" s="1476"/>
      <c r="R84" s="1476"/>
      <c r="S84" s="1117"/>
      <c r="T84" s="1113"/>
      <c r="U84" s="1117"/>
      <c r="V84" s="1113"/>
      <c r="W84" s="1117"/>
      <c r="X84" s="1113"/>
      <c r="Y84" s="1117"/>
      <c r="Z84" s="1300">
        <f t="shared" si="23"/>
        <v>0</v>
      </c>
      <c r="AA84" s="1113"/>
      <c r="AB84" s="1476"/>
      <c r="AC84" s="1476"/>
      <c r="AD84" s="1117"/>
      <c r="AE84" s="1300">
        <f t="shared" si="24"/>
        <v>0</v>
      </c>
      <c r="AF84" s="1113"/>
      <c r="AG84" s="1476"/>
      <c r="AH84" s="1476"/>
      <c r="AI84" s="1118"/>
      <c r="AJ84" s="8"/>
      <c r="AK84" s="8"/>
      <c r="AL84" s="8"/>
      <c r="AM84" s="8"/>
      <c r="AN84" s="8"/>
      <c r="AO84" s="8"/>
      <c r="AP84" s="8"/>
      <c r="AQ84" s="8"/>
      <c r="AR84" s="170" t="str">
        <f t="shared" si="25"/>
        <v/>
      </c>
      <c r="CC84" s="2553" t="str">
        <f t="shared" si="26"/>
        <v/>
      </c>
      <c r="CD84" s="2553" t="str">
        <f t="shared" si="27"/>
        <v/>
      </c>
      <c r="CE84" s="2553" t="str">
        <f t="shared" si="28"/>
        <v/>
      </c>
      <c r="CF84" s="2553" t="str">
        <f t="shared" si="29"/>
        <v/>
      </c>
      <c r="CG84" s="2553"/>
      <c r="CH84" s="2553"/>
      <c r="CI84" s="2553"/>
      <c r="CK84" s="2554">
        <f t="shared" si="30"/>
        <v>0</v>
      </c>
      <c r="CL84" s="2554">
        <f t="shared" si="31"/>
        <v>0</v>
      </c>
      <c r="CM84" s="2554">
        <f t="shared" si="32"/>
        <v>0</v>
      </c>
      <c r="CN84" s="2554">
        <f t="shared" si="33"/>
        <v>0</v>
      </c>
      <c r="CO84" s="2554"/>
    </row>
    <row r="85" spans="1:93" s="170" customFormat="1" ht="15" customHeight="1" x14ac:dyDescent="0.15">
      <c r="A85" s="1300" t="s">
        <v>989</v>
      </c>
      <c r="B85" s="1507">
        <f t="shared" si="22"/>
        <v>0</v>
      </c>
      <c r="C85" s="1113"/>
      <c r="D85" s="1476"/>
      <c r="E85" s="1476"/>
      <c r="F85" s="1476"/>
      <c r="G85" s="1476"/>
      <c r="H85" s="1476"/>
      <c r="I85" s="1476"/>
      <c r="J85" s="1476"/>
      <c r="K85" s="1476"/>
      <c r="L85" s="1476"/>
      <c r="M85" s="1476"/>
      <c r="N85" s="1476"/>
      <c r="O85" s="1476"/>
      <c r="P85" s="1476"/>
      <c r="Q85" s="1476"/>
      <c r="R85" s="1476"/>
      <c r="S85" s="1117"/>
      <c r="T85" s="1113"/>
      <c r="U85" s="1117"/>
      <c r="V85" s="1113"/>
      <c r="W85" s="1117"/>
      <c r="X85" s="1113"/>
      <c r="Y85" s="1117"/>
      <c r="Z85" s="1300">
        <f t="shared" si="23"/>
        <v>0</v>
      </c>
      <c r="AA85" s="1113"/>
      <c r="AB85" s="1476"/>
      <c r="AC85" s="1476"/>
      <c r="AD85" s="1117"/>
      <c r="AE85" s="1300">
        <f t="shared" si="24"/>
        <v>0</v>
      </c>
      <c r="AF85" s="1113"/>
      <c r="AG85" s="1476"/>
      <c r="AH85" s="1476"/>
      <c r="AI85" s="1118"/>
      <c r="AJ85" s="8"/>
      <c r="AK85" s="8"/>
      <c r="AL85" s="8"/>
      <c r="AM85" s="8"/>
      <c r="AN85" s="8"/>
      <c r="AO85" s="8"/>
      <c r="AP85" s="8"/>
      <c r="AQ85" s="8"/>
      <c r="AR85" s="170" t="str">
        <f t="shared" si="25"/>
        <v/>
      </c>
      <c r="CC85" s="2553" t="str">
        <f t="shared" si="26"/>
        <v/>
      </c>
      <c r="CD85" s="2553" t="str">
        <f t="shared" si="27"/>
        <v/>
      </c>
      <c r="CE85" s="2553" t="str">
        <f t="shared" si="28"/>
        <v/>
      </c>
      <c r="CF85" s="2553" t="str">
        <f t="shared" si="29"/>
        <v/>
      </c>
      <c r="CG85" s="2553"/>
      <c r="CH85" s="2553"/>
      <c r="CI85" s="2553"/>
      <c r="CK85" s="2554">
        <f t="shared" si="30"/>
        <v>0</v>
      </c>
      <c r="CL85" s="2554">
        <f t="shared" si="31"/>
        <v>0</v>
      </c>
      <c r="CM85" s="2554">
        <f t="shared" si="32"/>
        <v>0</v>
      </c>
      <c r="CN85" s="2554">
        <f t="shared" si="33"/>
        <v>0</v>
      </c>
      <c r="CO85" s="2554"/>
    </row>
    <row r="86" spans="1:93" s="170" customFormat="1" ht="15" customHeight="1" x14ac:dyDescent="0.15">
      <c r="A86" s="1300" t="s">
        <v>990</v>
      </c>
      <c r="B86" s="1507">
        <f t="shared" si="22"/>
        <v>0</v>
      </c>
      <c r="C86" s="1113"/>
      <c r="D86" s="1476"/>
      <c r="E86" s="1476"/>
      <c r="F86" s="1476"/>
      <c r="G86" s="1476"/>
      <c r="H86" s="1476"/>
      <c r="I86" s="1476"/>
      <c r="J86" s="1476"/>
      <c r="K86" s="1476"/>
      <c r="L86" s="1476"/>
      <c r="M86" s="1476"/>
      <c r="N86" s="1476"/>
      <c r="O86" s="1476"/>
      <c r="P86" s="1476"/>
      <c r="Q86" s="1476"/>
      <c r="R86" s="1476"/>
      <c r="S86" s="1117"/>
      <c r="T86" s="1113"/>
      <c r="U86" s="1117"/>
      <c r="V86" s="1113"/>
      <c r="W86" s="1117"/>
      <c r="X86" s="1113"/>
      <c r="Y86" s="1117"/>
      <c r="Z86" s="1300">
        <f t="shared" si="23"/>
        <v>0</v>
      </c>
      <c r="AA86" s="1113"/>
      <c r="AB86" s="1476"/>
      <c r="AC86" s="1476"/>
      <c r="AD86" s="1117"/>
      <c r="AE86" s="1300">
        <f t="shared" si="24"/>
        <v>0</v>
      </c>
      <c r="AF86" s="1113"/>
      <c r="AG86" s="1476"/>
      <c r="AH86" s="1476"/>
      <c r="AI86" s="1118"/>
      <c r="AJ86" s="8"/>
      <c r="AK86" s="8"/>
      <c r="AL86" s="8"/>
      <c r="AM86" s="8"/>
      <c r="AN86" s="8"/>
      <c r="AO86" s="8"/>
      <c r="AP86" s="8"/>
      <c r="AQ86" s="8"/>
      <c r="AR86" s="170" t="str">
        <f t="shared" si="25"/>
        <v/>
      </c>
      <c r="CC86" s="2553" t="str">
        <f t="shared" si="26"/>
        <v/>
      </c>
      <c r="CD86" s="2553" t="str">
        <f t="shared" si="27"/>
        <v/>
      </c>
      <c r="CE86" s="2553" t="str">
        <f t="shared" si="28"/>
        <v/>
      </c>
      <c r="CF86" s="2553" t="str">
        <f t="shared" si="29"/>
        <v/>
      </c>
      <c r="CG86" s="2553"/>
      <c r="CH86" s="2553"/>
      <c r="CI86" s="2553"/>
      <c r="CK86" s="2554">
        <f t="shared" si="30"/>
        <v>0</v>
      </c>
      <c r="CL86" s="2554">
        <f t="shared" si="31"/>
        <v>0</v>
      </c>
      <c r="CM86" s="2554">
        <f t="shared" si="32"/>
        <v>0</v>
      </c>
      <c r="CN86" s="2554">
        <f t="shared" si="33"/>
        <v>0</v>
      </c>
      <c r="CO86" s="2554"/>
    </row>
    <row r="87" spans="1:93" s="170" customFormat="1" ht="15" customHeight="1" x14ac:dyDescent="0.15">
      <c r="A87" s="1300" t="s">
        <v>991</v>
      </c>
      <c r="B87" s="1507">
        <f t="shared" si="22"/>
        <v>0</v>
      </c>
      <c r="C87" s="1113"/>
      <c r="D87" s="1476"/>
      <c r="E87" s="1476"/>
      <c r="F87" s="1476"/>
      <c r="G87" s="1476"/>
      <c r="H87" s="1476"/>
      <c r="I87" s="1476"/>
      <c r="J87" s="1476"/>
      <c r="K87" s="1476"/>
      <c r="L87" s="1476"/>
      <c r="M87" s="1476"/>
      <c r="N87" s="1476"/>
      <c r="O87" s="1476"/>
      <c r="P87" s="1476"/>
      <c r="Q87" s="1476"/>
      <c r="R87" s="1476"/>
      <c r="S87" s="1117"/>
      <c r="T87" s="1113"/>
      <c r="U87" s="1117"/>
      <c r="V87" s="1113"/>
      <c r="W87" s="1117"/>
      <c r="X87" s="1113"/>
      <c r="Y87" s="1117"/>
      <c r="Z87" s="1300">
        <f t="shared" si="23"/>
        <v>0</v>
      </c>
      <c r="AA87" s="1113"/>
      <c r="AB87" s="1476"/>
      <c r="AC87" s="1476"/>
      <c r="AD87" s="1117"/>
      <c r="AE87" s="1300">
        <f t="shared" si="24"/>
        <v>0</v>
      </c>
      <c r="AF87" s="1113"/>
      <c r="AG87" s="1476"/>
      <c r="AH87" s="1476"/>
      <c r="AI87" s="1118"/>
      <c r="AJ87" s="8"/>
      <c r="AK87" s="8"/>
      <c r="AL87" s="8"/>
      <c r="AM87" s="8"/>
      <c r="AN87" s="8"/>
      <c r="AO87" s="8"/>
      <c r="AP87" s="8"/>
      <c r="AQ87" s="8"/>
      <c r="AR87" s="170" t="str">
        <f t="shared" si="25"/>
        <v/>
      </c>
      <c r="CC87" s="2553" t="str">
        <f t="shared" si="26"/>
        <v/>
      </c>
      <c r="CD87" s="2553" t="str">
        <f t="shared" si="27"/>
        <v/>
      </c>
      <c r="CE87" s="2553" t="str">
        <f t="shared" si="28"/>
        <v/>
      </c>
      <c r="CF87" s="2553" t="str">
        <f t="shared" si="29"/>
        <v/>
      </c>
      <c r="CG87" s="2553"/>
      <c r="CH87" s="2553"/>
      <c r="CI87" s="2553"/>
      <c r="CK87" s="2554">
        <f t="shared" si="30"/>
        <v>0</v>
      </c>
      <c r="CL87" s="2554">
        <f t="shared" si="31"/>
        <v>0</v>
      </c>
      <c r="CM87" s="2554">
        <f t="shared" si="32"/>
        <v>0</v>
      </c>
      <c r="CN87" s="2554">
        <f t="shared" si="33"/>
        <v>0</v>
      </c>
      <c r="CO87" s="2554"/>
    </row>
    <row r="88" spans="1:93" s="170" customFormat="1" ht="15" customHeight="1" x14ac:dyDescent="0.15">
      <c r="A88" s="1300" t="s">
        <v>992</v>
      </c>
      <c r="B88" s="1507">
        <f t="shared" si="22"/>
        <v>0</v>
      </c>
      <c r="C88" s="1113"/>
      <c r="D88" s="1476"/>
      <c r="E88" s="1476"/>
      <c r="F88" s="1476"/>
      <c r="G88" s="1476"/>
      <c r="H88" s="1476"/>
      <c r="I88" s="1476"/>
      <c r="J88" s="1476"/>
      <c r="K88" s="1476"/>
      <c r="L88" s="1476"/>
      <c r="M88" s="1476"/>
      <c r="N88" s="1476"/>
      <c r="O88" s="1476"/>
      <c r="P88" s="1476"/>
      <c r="Q88" s="1476"/>
      <c r="R88" s="1476"/>
      <c r="S88" s="1117"/>
      <c r="T88" s="1113"/>
      <c r="U88" s="1117"/>
      <c r="V88" s="1113"/>
      <c r="W88" s="1117"/>
      <c r="X88" s="1113"/>
      <c r="Y88" s="1117"/>
      <c r="Z88" s="1300">
        <f t="shared" si="23"/>
        <v>0</v>
      </c>
      <c r="AA88" s="1113"/>
      <c r="AB88" s="1476"/>
      <c r="AC88" s="1476"/>
      <c r="AD88" s="1117"/>
      <c r="AE88" s="1300">
        <f t="shared" si="24"/>
        <v>0</v>
      </c>
      <c r="AF88" s="1113"/>
      <c r="AG88" s="1476"/>
      <c r="AH88" s="1476"/>
      <c r="AI88" s="1118"/>
      <c r="AJ88" s="8"/>
      <c r="AK88" s="8"/>
      <c r="AL88" s="8"/>
      <c r="AM88" s="8"/>
      <c r="AN88" s="8"/>
      <c r="AO88" s="8"/>
      <c r="AP88" s="8"/>
      <c r="AQ88" s="8"/>
      <c r="AR88" s="170" t="str">
        <f t="shared" si="25"/>
        <v/>
      </c>
      <c r="CC88" s="2553" t="str">
        <f t="shared" si="26"/>
        <v/>
      </c>
      <c r="CD88" s="2553" t="str">
        <f t="shared" si="27"/>
        <v/>
      </c>
      <c r="CE88" s="2553" t="str">
        <f t="shared" si="28"/>
        <v/>
      </c>
      <c r="CF88" s="2553" t="str">
        <f t="shared" si="29"/>
        <v/>
      </c>
      <c r="CG88" s="2553"/>
      <c r="CH88" s="2553"/>
      <c r="CI88" s="2553"/>
      <c r="CK88" s="2554">
        <f t="shared" si="30"/>
        <v>0</v>
      </c>
      <c r="CL88" s="2554">
        <f t="shared" si="31"/>
        <v>0</v>
      </c>
      <c r="CM88" s="2554">
        <f t="shared" si="32"/>
        <v>0</v>
      </c>
      <c r="CN88" s="2554">
        <f t="shared" si="33"/>
        <v>0</v>
      </c>
      <c r="CO88" s="2554"/>
    </row>
    <row r="89" spans="1:93" s="170" customFormat="1" ht="15" customHeight="1" x14ac:dyDescent="0.15">
      <c r="A89" s="1300" t="s">
        <v>993</v>
      </c>
      <c r="B89" s="1507">
        <f t="shared" si="22"/>
        <v>0</v>
      </c>
      <c r="C89" s="1601"/>
      <c r="D89" s="1602"/>
      <c r="E89" s="1602"/>
      <c r="F89" s="1602"/>
      <c r="G89" s="1602"/>
      <c r="H89" s="1602"/>
      <c r="I89" s="1602"/>
      <c r="J89" s="1602"/>
      <c r="K89" s="1602"/>
      <c r="L89" s="1476"/>
      <c r="M89" s="1476"/>
      <c r="N89" s="1476"/>
      <c r="O89" s="1476"/>
      <c r="P89" s="1476"/>
      <c r="Q89" s="1476"/>
      <c r="R89" s="1476"/>
      <c r="S89" s="1117"/>
      <c r="T89" s="1113"/>
      <c r="U89" s="1117"/>
      <c r="V89" s="1113"/>
      <c r="W89" s="1117"/>
      <c r="X89" s="1113"/>
      <c r="Y89" s="1117"/>
      <c r="Z89" s="1300">
        <f t="shared" si="23"/>
        <v>0</v>
      </c>
      <c r="AA89" s="1113"/>
      <c r="AB89" s="1476"/>
      <c r="AC89" s="1476"/>
      <c r="AD89" s="1117"/>
      <c r="AE89" s="1300">
        <f t="shared" si="24"/>
        <v>0</v>
      </c>
      <c r="AF89" s="1113"/>
      <c r="AG89" s="1476"/>
      <c r="AH89" s="1476"/>
      <c r="AI89" s="1118"/>
      <c r="AJ89" s="8"/>
      <c r="AK89" s="8"/>
      <c r="AL89" s="8"/>
      <c r="AM89" s="8"/>
      <c r="AN89" s="8"/>
      <c r="AO89" s="8"/>
      <c r="AP89" s="8"/>
      <c r="AQ89" s="8"/>
      <c r="AR89" s="170" t="str">
        <f t="shared" si="25"/>
        <v/>
      </c>
      <c r="CC89" s="2553" t="str">
        <f t="shared" si="26"/>
        <v/>
      </c>
      <c r="CD89" s="2553" t="str">
        <f t="shared" si="27"/>
        <v/>
      </c>
      <c r="CE89" s="2553" t="str">
        <f t="shared" si="28"/>
        <v/>
      </c>
      <c r="CF89" s="2553" t="str">
        <f t="shared" si="29"/>
        <v/>
      </c>
      <c r="CG89" s="2553"/>
      <c r="CH89" s="2553"/>
      <c r="CI89" s="2553"/>
      <c r="CK89" s="2554">
        <f t="shared" si="30"/>
        <v>0</v>
      </c>
      <c r="CL89" s="2554">
        <f t="shared" si="31"/>
        <v>0</v>
      </c>
      <c r="CM89" s="2554">
        <f t="shared" si="32"/>
        <v>0</v>
      </c>
      <c r="CN89" s="2554">
        <f t="shared" si="33"/>
        <v>0</v>
      </c>
      <c r="CO89" s="2554"/>
    </row>
    <row r="90" spans="1:93" s="170" customFormat="1" ht="15" customHeight="1" x14ac:dyDescent="0.15">
      <c r="A90" s="1300" t="s">
        <v>240</v>
      </c>
      <c r="B90" s="1507">
        <f t="shared" si="22"/>
        <v>0</v>
      </c>
      <c r="C90" s="1113"/>
      <c r="D90" s="1476"/>
      <c r="E90" s="1476"/>
      <c r="F90" s="1476"/>
      <c r="G90" s="1476"/>
      <c r="H90" s="1476"/>
      <c r="I90" s="1476"/>
      <c r="J90" s="1476"/>
      <c r="K90" s="1476"/>
      <c r="L90" s="1476"/>
      <c r="M90" s="1476"/>
      <c r="N90" s="1476"/>
      <c r="O90" s="1476"/>
      <c r="P90" s="1476"/>
      <c r="Q90" s="1476"/>
      <c r="R90" s="1476"/>
      <c r="S90" s="1117"/>
      <c r="T90" s="1113"/>
      <c r="U90" s="1117"/>
      <c r="V90" s="1113"/>
      <c r="W90" s="1117"/>
      <c r="X90" s="1113"/>
      <c r="Y90" s="1117"/>
      <c r="Z90" s="1300">
        <f t="shared" si="23"/>
        <v>0</v>
      </c>
      <c r="AA90" s="1113"/>
      <c r="AB90" s="1476"/>
      <c r="AC90" s="1476"/>
      <c r="AD90" s="1117"/>
      <c r="AE90" s="1300">
        <f t="shared" si="24"/>
        <v>0</v>
      </c>
      <c r="AF90" s="1113"/>
      <c r="AG90" s="1476"/>
      <c r="AH90" s="1476"/>
      <c r="AI90" s="1118"/>
      <c r="AJ90" s="8"/>
      <c r="AK90" s="8"/>
      <c r="AL90" s="8"/>
      <c r="AM90" s="8"/>
      <c r="AN90" s="8"/>
      <c r="AO90" s="8"/>
      <c r="AP90" s="8"/>
      <c r="AQ90" s="8"/>
      <c r="AR90" s="170" t="str">
        <f t="shared" si="25"/>
        <v/>
      </c>
      <c r="CC90" s="2553" t="str">
        <f t="shared" si="26"/>
        <v/>
      </c>
      <c r="CD90" s="2553" t="str">
        <f t="shared" si="27"/>
        <v/>
      </c>
      <c r="CE90" s="2553" t="str">
        <f t="shared" si="28"/>
        <v/>
      </c>
      <c r="CF90" s="2553" t="str">
        <f t="shared" si="29"/>
        <v/>
      </c>
      <c r="CG90" s="2553"/>
      <c r="CH90" s="2553"/>
      <c r="CI90" s="2553"/>
      <c r="CK90" s="2554">
        <f t="shared" si="30"/>
        <v>0</v>
      </c>
      <c r="CL90" s="2554">
        <f t="shared" si="31"/>
        <v>0</v>
      </c>
      <c r="CM90" s="2554">
        <f t="shared" si="32"/>
        <v>0</v>
      </c>
      <c r="CN90" s="2554">
        <f t="shared" si="33"/>
        <v>0</v>
      </c>
      <c r="CO90" s="2554"/>
    </row>
    <row r="91" spans="1:93" s="170" customFormat="1" ht="15" customHeight="1" x14ac:dyDescent="0.15">
      <c r="A91" s="1300" t="s">
        <v>1346</v>
      </c>
      <c r="B91" s="1507">
        <f t="shared" si="22"/>
        <v>0</v>
      </c>
      <c r="C91" s="1113"/>
      <c r="D91" s="1476"/>
      <c r="E91" s="1476"/>
      <c r="F91" s="1476"/>
      <c r="G91" s="1476"/>
      <c r="H91" s="1476"/>
      <c r="I91" s="1476"/>
      <c r="J91" s="1476"/>
      <c r="K91" s="1476"/>
      <c r="L91" s="1476"/>
      <c r="M91" s="1476"/>
      <c r="N91" s="1476"/>
      <c r="O91" s="1476"/>
      <c r="P91" s="1476"/>
      <c r="Q91" s="1476"/>
      <c r="R91" s="1476"/>
      <c r="S91" s="1117"/>
      <c r="T91" s="1113"/>
      <c r="U91" s="1117"/>
      <c r="V91" s="1113"/>
      <c r="W91" s="1117"/>
      <c r="X91" s="1113"/>
      <c r="Y91" s="1117"/>
      <c r="Z91" s="1300">
        <f t="shared" si="23"/>
        <v>0</v>
      </c>
      <c r="AA91" s="1113"/>
      <c r="AB91" s="1476"/>
      <c r="AC91" s="1476"/>
      <c r="AD91" s="1117"/>
      <c r="AE91" s="1300">
        <f t="shared" si="24"/>
        <v>0</v>
      </c>
      <c r="AF91" s="1113"/>
      <c r="AG91" s="1476"/>
      <c r="AH91" s="1476"/>
      <c r="AI91" s="1118"/>
      <c r="AJ91" s="8"/>
      <c r="AK91" s="8"/>
      <c r="AL91" s="8"/>
      <c r="AM91" s="8"/>
      <c r="AN91" s="8"/>
      <c r="AO91" s="8"/>
      <c r="AP91" s="8"/>
      <c r="AQ91" s="8"/>
      <c r="AR91" s="170" t="str">
        <f t="shared" si="25"/>
        <v/>
      </c>
      <c r="CC91" s="2553" t="str">
        <f t="shared" si="26"/>
        <v/>
      </c>
      <c r="CD91" s="2553" t="str">
        <f t="shared" si="27"/>
        <v/>
      </c>
      <c r="CE91" s="2553" t="str">
        <f t="shared" si="28"/>
        <v/>
      </c>
      <c r="CF91" s="2553" t="str">
        <f t="shared" si="29"/>
        <v/>
      </c>
      <c r="CG91" s="2553"/>
      <c r="CH91" s="2553"/>
      <c r="CI91" s="2553"/>
      <c r="CK91" s="2554">
        <f t="shared" si="30"/>
        <v>0</v>
      </c>
      <c r="CL91" s="2554">
        <f t="shared" si="31"/>
        <v>0</v>
      </c>
      <c r="CM91" s="2554">
        <f t="shared" si="32"/>
        <v>0</v>
      </c>
      <c r="CN91" s="2554">
        <f t="shared" si="33"/>
        <v>0</v>
      </c>
      <c r="CO91" s="2554"/>
    </row>
    <row r="92" spans="1:93" s="170" customFormat="1" ht="15" customHeight="1" x14ac:dyDescent="0.15">
      <c r="A92" s="1589" t="s">
        <v>241</v>
      </c>
      <c r="B92" s="1507">
        <f t="shared" si="22"/>
        <v>0</v>
      </c>
      <c r="C92" s="1113"/>
      <c r="D92" s="1476"/>
      <c r="E92" s="1476"/>
      <c r="F92" s="1476"/>
      <c r="G92" s="1476"/>
      <c r="H92" s="1476"/>
      <c r="I92" s="1476"/>
      <c r="J92" s="1476"/>
      <c r="K92" s="1476"/>
      <c r="L92" s="1476"/>
      <c r="M92" s="1476"/>
      <c r="N92" s="1476"/>
      <c r="O92" s="1476"/>
      <c r="P92" s="1476"/>
      <c r="Q92" s="1476"/>
      <c r="R92" s="1476"/>
      <c r="S92" s="1117"/>
      <c r="T92" s="1113"/>
      <c r="U92" s="1117"/>
      <c r="V92" s="1113"/>
      <c r="W92" s="1117"/>
      <c r="X92" s="1113"/>
      <c r="Y92" s="1117"/>
      <c r="Z92" s="1300">
        <f t="shared" si="23"/>
        <v>0</v>
      </c>
      <c r="AA92" s="1113"/>
      <c r="AB92" s="1476"/>
      <c r="AC92" s="1476"/>
      <c r="AD92" s="1117"/>
      <c r="AE92" s="1300">
        <f t="shared" si="24"/>
        <v>0</v>
      </c>
      <c r="AF92" s="1113"/>
      <c r="AG92" s="1476"/>
      <c r="AH92" s="1476"/>
      <c r="AI92" s="1118"/>
      <c r="AJ92" s="8"/>
      <c r="AK92" s="8"/>
      <c r="AL92" s="8"/>
      <c r="AM92" s="8"/>
      <c r="AN92" s="8"/>
      <c r="AO92" s="8"/>
      <c r="AP92" s="8"/>
      <c r="AQ92" s="8"/>
      <c r="AR92" s="170" t="str">
        <f t="shared" si="25"/>
        <v/>
      </c>
      <c r="CC92" s="2553" t="str">
        <f t="shared" si="26"/>
        <v/>
      </c>
      <c r="CD92" s="2553" t="str">
        <f t="shared" si="27"/>
        <v/>
      </c>
      <c r="CE92" s="2553" t="str">
        <f t="shared" si="28"/>
        <v/>
      </c>
      <c r="CF92" s="2553" t="str">
        <f t="shared" si="29"/>
        <v/>
      </c>
      <c r="CG92" s="2553"/>
      <c r="CH92" s="2553"/>
      <c r="CI92" s="2553"/>
      <c r="CK92" s="2554">
        <f t="shared" si="30"/>
        <v>0</v>
      </c>
      <c r="CL92" s="2554">
        <f t="shared" si="31"/>
        <v>0</v>
      </c>
      <c r="CM92" s="2554">
        <f t="shared" si="32"/>
        <v>0</v>
      </c>
      <c r="CN92" s="2554">
        <f t="shared" si="33"/>
        <v>0</v>
      </c>
      <c r="CO92" s="2554"/>
    </row>
    <row r="93" spans="1:93" s="170" customFormat="1" ht="15" customHeight="1" x14ac:dyDescent="0.15">
      <c r="A93" s="1603" t="s">
        <v>994</v>
      </c>
      <c r="B93" s="1507">
        <f t="shared" si="22"/>
        <v>0</v>
      </c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6"/>
      <c r="T93" s="1113"/>
      <c r="U93" s="1117"/>
      <c r="V93" s="1113"/>
      <c r="W93" s="1117"/>
      <c r="X93" s="1113"/>
      <c r="Y93" s="1117"/>
      <c r="Z93" s="1300">
        <f t="shared" si="23"/>
        <v>0</v>
      </c>
      <c r="AA93" s="1113"/>
      <c r="AB93" s="1476"/>
      <c r="AC93" s="1476"/>
      <c r="AD93" s="1117"/>
      <c r="AE93" s="1300">
        <f t="shared" si="24"/>
        <v>0</v>
      </c>
      <c r="AF93" s="1113"/>
      <c r="AG93" s="1476"/>
      <c r="AH93" s="1476"/>
      <c r="AI93" s="1118"/>
      <c r="AJ93" s="8"/>
      <c r="AK93" s="8"/>
      <c r="AL93" s="8"/>
      <c r="AM93" s="8"/>
      <c r="AN93" s="8"/>
      <c r="AO93" s="8"/>
      <c r="AP93" s="8"/>
      <c r="AQ93" s="8"/>
      <c r="AR93" s="170" t="str">
        <f t="shared" si="25"/>
        <v/>
      </c>
      <c r="CC93" s="2553" t="str">
        <f t="shared" si="26"/>
        <v/>
      </c>
      <c r="CD93" s="2553" t="str">
        <f t="shared" si="27"/>
        <v/>
      </c>
      <c r="CE93" s="2553" t="str">
        <f t="shared" si="28"/>
        <v/>
      </c>
      <c r="CF93" s="2553" t="str">
        <f t="shared" si="29"/>
        <v/>
      </c>
      <c r="CG93" s="2553"/>
      <c r="CH93" s="2553"/>
      <c r="CI93" s="2553"/>
      <c r="CK93" s="2554">
        <f t="shared" si="30"/>
        <v>0</v>
      </c>
      <c r="CL93" s="2554">
        <f t="shared" si="31"/>
        <v>0</v>
      </c>
      <c r="CM93" s="2554">
        <f t="shared" si="32"/>
        <v>0</v>
      </c>
      <c r="CN93" s="2554">
        <f t="shared" si="33"/>
        <v>0</v>
      </c>
      <c r="CO93" s="2554"/>
    </row>
    <row r="94" spans="1:93" s="170" customFormat="1" ht="15" customHeight="1" x14ac:dyDescent="0.15">
      <c r="A94" s="2572" t="s">
        <v>24</v>
      </c>
      <c r="B94" s="2574">
        <f>SUM(C94:S94)</f>
        <v>0</v>
      </c>
      <c r="C94" s="2575">
        <f>SUM(C34:C93)</f>
        <v>0</v>
      </c>
      <c r="D94" s="2615">
        <f>SUM(D34:D93)</f>
        <v>0</v>
      </c>
      <c r="E94" s="2615">
        <f t="shared" ref="E94:AP94" si="34">SUM(E34:E93)</f>
        <v>0</v>
      </c>
      <c r="F94" s="2615">
        <f t="shared" si="34"/>
        <v>0</v>
      </c>
      <c r="G94" s="2615">
        <f t="shared" si="34"/>
        <v>0</v>
      </c>
      <c r="H94" s="2577">
        <f t="shared" si="34"/>
        <v>0</v>
      </c>
      <c r="I94" s="2615">
        <f t="shared" si="34"/>
        <v>0</v>
      </c>
      <c r="J94" s="2615">
        <f t="shared" si="34"/>
        <v>0</v>
      </c>
      <c r="K94" s="2615">
        <f t="shared" si="34"/>
        <v>0</v>
      </c>
      <c r="L94" s="2615">
        <f t="shared" si="34"/>
        <v>0</v>
      </c>
      <c r="M94" s="2615">
        <f t="shared" si="34"/>
        <v>0</v>
      </c>
      <c r="N94" s="2615">
        <f t="shared" si="34"/>
        <v>0</v>
      </c>
      <c r="O94" s="2615">
        <f t="shared" si="34"/>
        <v>0</v>
      </c>
      <c r="P94" s="2615">
        <f t="shared" si="34"/>
        <v>0</v>
      </c>
      <c r="Q94" s="2615">
        <f t="shared" si="34"/>
        <v>0</v>
      </c>
      <c r="R94" s="2615">
        <f t="shared" si="34"/>
        <v>0</v>
      </c>
      <c r="S94" s="1604">
        <f t="shared" si="34"/>
        <v>0</v>
      </c>
      <c r="T94" s="2575">
        <f t="shared" si="34"/>
        <v>0</v>
      </c>
      <c r="U94" s="1604">
        <f t="shared" si="34"/>
        <v>0</v>
      </c>
      <c r="V94" s="2575">
        <f t="shared" si="34"/>
        <v>0</v>
      </c>
      <c r="W94" s="1604">
        <f t="shared" si="34"/>
        <v>0</v>
      </c>
      <c r="X94" s="2575">
        <f t="shared" si="34"/>
        <v>0</v>
      </c>
      <c r="Y94" s="1604">
        <f t="shared" si="34"/>
        <v>0</v>
      </c>
      <c r="Z94" s="2574">
        <f t="shared" si="34"/>
        <v>0</v>
      </c>
      <c r="AA94" s="2575">
        <f t="shared" si="34"/>
        <v>0</v>
      </c>
      <c r="AB94" s="2615">
        <f t="shared" si="34"/>
        <v>0</v>
      </c>
      <c r="AC94" s="2615">
        <f t="shared" si="34"/>
        <v>0</v>
      </c>
      <c r="AD94" s="2577">
        <f t="shared" si="34"/>
        <v>0</v>
      </c>
      <c r="AE94" s="2574">
        <f t="shared" si="34"/>
        <v>0</v>
      </c>
      <c r="AF94" s="2575">
        <f t="shared" si="34"/>
        <v>0</v>
      </c>
      <c r="AG94" s="2615">
        <f t="shared" si="34"/>
        <v>0</v>
      </c>
      <c r="AH94" s="2615">
        <f t="shared" si="34"/>
        <v>0</v>
      </c>
      <c r="AI94" s="2616">
        <f t="shared" si="34"/>
        <v>0</v>
      </c>
      <c r="AJ94" s="1604">
        <f>SUM(AJ34:AJ93)</f>
        <v>0</v>
      </c>
      <c r="AK94" s="1604">
        <f>SUM(AK34:AK93)</f>
        <v>0</v>
      </c>
      <c r="AL94" s="1604">
        <f>SUM(AL34:AL93)</f>
        <v>0</v>
      </c>
      <c r="AM94" s="1604">
        <f t="shared" si="34"/>
        <v>0</v>
      </c>
      <c r="AN94" s="1604">
        <f t="shared" si="34"/>
        <v>0</v>
      </c>
      <c r="AO94" s="1604">
        <f t="shared" si="34"/>
        <v>0</v>
      </c>
      <c r="AP94" s="1604">
        <f t="shared" si="34"/>
        <v>0</v>
      </c>
      <c r="AQ94" s="1604">
        <f>SUM(AQ34:AQ93)</f>
        <v>0</v>
      </c>
    </row>
    <row r="95" spans="1:93" s="1134" customFormat="1" ht="18" customHeight="1" x14ac:dyDescent="0.15">
      <c r="A95" s="8599" t="s">
        <v>1347</v>
      </c>
      <c r="B95" s="8599"/>
      <c r="C95" s="8599"/>
      <c r="D95" s="8599"/>
      <c r="E95" s="8599"/>
      <c r="CC95" s="170"/>
      <c r="CD95" s="170"/>
      <c r="CE95" s="170"/>
      <c r="CF95" s="170"/>
      <c r="CG95" s="170"/>
      <c r="CH95" s="170"/>
      <c r="CI95" s="170"/>
      <c r="CJ95" s="170"/>
      <c r="CK95" s="170"/>
      <c r="CL95" s="170"/>
      <c r="CM95" s="170"/>
    </row>
    <row r="96" spans="1:93" s="170" customFormat="1" ht="15" customHeight="1" x14ac:dyDescent="0.15">
      <c r="A96" s="7883" t="s">
        <v>61</v>
      </c>
      <c r="B96" s="7869"/>
      <c r="C96" s="7883" t="s">
        <v>47</v>
      </c>
      <c r="D96" s="6988"/>
      <c r="E96" s="7869"/>
      <c r="F96" s="7935" t="s">
        <v>30</v>
      </c>
      <c r="G96" s="7934"/>
      <c r="H96" s="7934"/>
      <c r="I96" s="7934"/>
      <c r="J96" s="7934"/>
      <c r="K96" s="7934"/>
      <c r="L96" s="7934"/>
      <c r="M96" s="7934"/>
      <c r="N96" s="7934"/>
      <c r="O96" s="7934"/>
      <c r="P96" s="7934"/>
      <c r="Q96" s="7934"/>
      <c r="R96" s="7934"/>
      <c r="S96" s="7934"/>
      <c r="T96" s="7934"/>
      <c r="U96" s="7934"/>
      <c r="V96" s="7934"/>
      <c r="W96" s="7934"/>
      <c r="X96" s="7934"/>
      <c r="Y96" s="7934"/>
      <c r="Z96" s="7934"/>
      <c r="AA96" s="7934"/>
      <c r="AB96" s="7934"/>
      <c r="AC96" s="7934"/>
      <c r="AD96" s="7934"/>
      <c r="AE96" s="7934"/>
      <c r="AF96" s="7934"/>
      <c r="AG96" s="7934"/>
      <c r="AH96" s="7934"/>
      <c r="AI96" s="7934"/>
      <c r="AJ96" s="7934"/>
      <c r="AK96" s="7934"/>
      <c r="AL96" s="7934"/>
      <c r="AM96" s="7938"/>
      <c r="AN96" s="8600" t="s">
        <v>1348</v>
      </c>
      <c r="AO96" s="8253"/>
      <c r="AP96" s="6940" t="s">
        <v>67</v>
      </c>
      <c r="AQ96" s="8604" t="s">
        <v>245</v>
      </c>
      <c r="AR96" s="6939" t="s">
        <v>2</v>
      </c>
      <c r="AS96" s="8604" t="s">
        <v>3</v>
      </c>
      <c r="AT96" s="7790" t="s">
        <v>1349</v>
      </c>
      <c r="AU96" s="7879" t="s">
        <v>1350</v>
      </c>
    </row>
    <row r="97" spans="1:93" s="170" customFormat="1" ht="15" customHeight="1" x14ac:dyDescent="0.15">
      <c r="A97" s="7931"/>
      <c r="B97" s="6813"/>
      <c r="C97" s="7946"/>
      <c r="D97" s="7947"/>
      <c r="E97" s="7930"/>
      <c r="F97" s="7945" t="s">
        <v>36</v>
      </c>
      <c r="G97" s="7928"/>
      <c r="H97" s="7945" t="s">
        <v>37</v>
      </c>
      <c r="I97" s="7928"/>
      <c r="J97" s="7945" t="s">
        <v>38</v>
      </c>
      <c r="K97" s="7928"/>
      <c r="L97" s="7945" t="s">
        <v>4</v>
      </c>
      <c r="M97" s="7928"/>
      <c r="N97" s="7945" t="s">
        <v>5</v>
      </c>
      <c r="O97" s="7928"/>
      <c r="P97" s="7935" t="s">
        <v>6</v>
      </c>
      <c r="Q97" s="7936"/>
      <c r="R97" s="7935" t="s">
        <v>7</v>
      </c>
      <c r="S97" s="7936"/>
      <c r="T97" s="7935" t="s">
        <v>8</v>
      </c>
      <c r="U97" s="7936"/>
      <c r="V97" s="7935" t="s">
        <v>9</v>
      </c>
      <c r="W97" s="7936"/>
      <c r="X97" s="7935" t="s">
        <v>10</v>
      </c>
      <c r="Y97" s="7936"/>
      <c r="Z97" s="7935" t="s">
        <v>11</v>
      </c>
      <c r="AA97" s="7936"/>
      <c r="AB97" s="7935" t="s">
        <v>18</v>
      </c>
      <c r="AC97" s="7936"/>
      <c r="AD97" s="7935" t="s">
        <v>19</v>
      </c>
      <c r="AE97" s="7936"/>
      <c r="AF97" s="7935" t="s">
        <v>20</v>
      </c>
      <c r="AG97" s="7936"/>
      <c r="AH97" s="7935" t="s">
        <v>70</v>
      </c>
      <c r="AI97" s="7936"/>
      <c r="AJ97" s="7935" t="s">
        <v>71</v>
      </c>
      <c r="AK97" s="7936"/>
      <c r="AL97" s="7935" t="s">
        <v>32</v>
      </c>
      <c r="AM97" s="7938"/>
      <c r="AN97" s="8601"/>
      <c r="AO97" s="8602"/>
      <c r="AP97" s="7068"/>
      <c r="AQ97" s="6825"/>
      <c r="AR97" s="6980"/>
      <c r="AS97" s="6825"/>
      <c r="AT97" s="7881"/>
      <c r="AU97" s="6924"/>
    </row>
    <row r="98" spans="1:93" s="170" customFormat="1" ht="42" x14ac:dyDescent="0.15">
      <c r="A98" s="7946"/>
      <c r="B98" s="7930"/>
      <c r="C98" s="1183" t="s">
        <v>26</v>
      </c>
      <c r="D98" s="1605" t="s">
        <v>22</v>
      </c>
      <c r="E98" s="1185" t="s">
        <v>27</v>
      </c>
      <c r="F98" s="2609" t="s">
        <v>22</v>
      </c>
      <c r="G98" s="2610" t="s">
        <v>27</v>
      </c>
      <c r="H98" s="2609" t="s">
        <v>22</v>
      </c>
      <c r="I98" s="2610" t="s">
        <v>27</v>
      </c>
      <c r="J98" s="2609" t="s">
        <v>22</v>
      </c>
      <c r="K98" s="2610" t="s">
        <v>27</v>
      </c>
      <c r="L98" s="2609" t="s">
        <v>22</v>
      </c>
      <c r="M98" s="2610" t="s">
        <v>27</v>
      </c>
      <c r="N98" s="2609" t="s">
        <v>22</v>
      </c>
      <c r="O98" s="2610" t="s">
        <v>27</v>
      </c>
      <c r="P98" s="2609" t="s">
        <v>22</v>
      </c>
      <c r="Q98" s="2610" t="s">
        <v>27</v>
      </c>
      <c r="R98" s="2609" t="s">
        <v>22</v>
      </c>
      <c r="S98" s="2610" t="s">
        <v>27</v>
      </c>
      <c r="T98" s="2609" t="s">
        <v>22</v>
      </c>
      <c r="U98" s="2610" t="s">
        <v>27</v>
      </c>
      <c r="V98" s="2609" t="s">
        <v>22</v>
      </c>
      <c r="W98" s="2610" t="s">
        <v>27</v>
      </c>
      <c r="X98" s="2609" t="s">
        <v>22</v>
      </c>
      <c r="Y98" s="2610" t="s">
        <v>27</v>
      </c>
      <c r="Z98" s="2609" t="s">
        <v>22</v>
      </c>
      <c r="AA98" s="2610" t="s">
        <v>27</v>
      </c>
      <c r="AB98" s="2609" t="s">
        <v>22</v>
      </c>
      <c r="AC98" s="2610" t="s">
        <v>27</v>
      </c>
      <c r="AD98" s="2609" t="s">
        <v>22</v>
      </c>
      <c r="AE98" s="2610" t="s">
        <v>27</v>
      </c>
      <c r="AF98" s="2609" t="s">
        <v>22</v>
      </c>
      <c r="AG98" s="2610" t="s">
        <v>27</v>
      </c>
      <c r="AH98" s="2609" t="s">
        <v>22</v>
      </c>
      <c r="AI98" s="2610" t="s">
        <v>27</v>
      </c>
      <c r="AJ98" s="2609" t="s">
        <v>22</v>
      </c>
      <c r="AK98" s="2610" t="s">
        <v>27</v>
      </c>
      <c r="AL98" s="2609" t="s">
        <v>22</v>
      </c>
      <c r="AM98" s="2612" t="s">
        <v>27</v>
      </c>
      <c r="AN98" s="4504" t="s">
        <v>1351</v>
      </c>
      <c r="AO98" s="4505" t="s">
        <v>1352</v>
      </c>
      <c r="AP98" s="8603"/>
      <c r="AQ98" s="6927"/>
      <c r="AR98" s="6941"/>
      <c r="AS98" s="6927"/>
      <c r="AT98" s="8565"/>
      <c r="AU98" s="7933"/>
    </row>
    <row r="99" spans="1:93" s="170" customFormat="1" ht="15" customHeight="1" x14ac:dyDescent="0.15">
      <c r="A99" s="1607" t="s">
        <v>76</v>
      </c>
      <c r="B99" s="1608"/>
      <c r="C99" s="1177">
        <f>SUM(D99+E99)</f>
        <v>0</v>
      </c>
      <c r="D99" s="1609">
        <f>SUM(F99+H99+J99+L99+N99+P99+R99+T99+V99+X99+Z99+AB99+AD99+AF99+AH99+AJ99+AL99)</f>
        <v>0</v>
      </c>
      <c r="E99" s="1610">
        <f>SUM(G99+I99+K99+M99+O99+Q99+S99+U99+W99+Y99+AA99+AC99+AE99+AG99+AI99+AK99+AM99)</f>
        <v>0</v>
      </c>
      <c r="F99" s="1611"/>
      <c r="G99" s="1299"/>
      <c r="H99" s="1611"/>
      <c r="I99" s="1299"/>
      <c r="J99" s="1611"/>
      <c r="K99" s="1299"/>
      <c r="L99" s="1611"/>
      <c r="M99" s="1299"/>
      <c r="N99" s="1611"/>
      <c r="O99" s="1299"/>
      <c r="P99" s="1611"/>
      <c r="Q99" s="1299"/>
      <c r="R99" s="1611"/>
      <c r="S99" s="1299"/>
      <c r="T99" s="1611"/>
      <c r="U99" s="1299"/>
      <c r="V99" s="1611"/>
      <c r="W99" s="1299"/>
      <c r="X99" s="1611"/>
      <c r="Y99" s="1299"/>
      <c r="Z99" s="1611"/>
      <c r="AA99" s="1299"/>
      <c r="AB99" s="1611"/>
      <c r="AC99" s="1299"/>
      <c r="AD99" s="1611"/>
      <c r="AE99" s="1299"/>
      <c r="AF99" s="1611"/>
      <c r="AG99" s="1299"/>
      <c r="AH99" s="1611"/>
      <c r="AI99" s="1299"/>
      <c r="AJ99" s="1611"/>
      <c r="AK99" s="1299"/>
      <c r="AL99" s="1611"/>
      <c r="AM99" s="1612"/>
      <c r="AN99" s="4506"/>
      <c r="AO99" s="4507"/>
      <c r="AP99" s="4502"/>
      <c r="AQ99" s="2608"/>
      <c r="AR99" s="2607"/>
      <c r="AS99" s="2608"/>
      <c r="AT99" s="1613"/>
      <c r="AU99" s="1613"/>
      <c r="AV99" s="170" t="str">
        <f>CC99&amp;CD99&amp;CE99&amp;CF99&amp;CG99&amp;CH99&amp;CI99</f>
        <v/>
      </c>
      <c r="CC99" s="2553" t="str">
        <f>IF(AND(AP99="",C99&gt;0)," * No olvide digitar la columna Beneficiarios",IF(AP99&gt;C99," * La variable Beneficiarios no puede ser mayor al Total.",""))</f>
        <v/>
      </c>
      <c r="CD99" s="2553" t="str">
        <f>IF(AQ99&gt;C99," * El total de Controles No puede ser mayor que el Total.","")</f>
        <v/>
      </c>
      <c r="CE99" s="2553" t="str">
        <f>IF(AND(C99&gt;0,AR99="")," * No olvide digitar la variable Pueblos originarios. Digite cero si no tiene.",IF(AR99&gt;C99," * La variable Pueblos originarios no puede ser mayor al Total.",""))</f>
        <v/>
      </c>
      <c r="CF99" s="2553" t="str">
        <f>IF(AND(C99&gt;0,AS99="")," * No olvide digitar la variable Migrantes. Digite cero si no tiene.",IF(AS99&gt;C99," * La variable Migrantes no puede ser mayor al Total.",""))</f>
        <v/>
      </c>
      <c r="CG99" s="2553"/>
      <c r="CH99" s="2553"/>
      <c r="CI99" s="6042"/>
      <c r="CK99" s="2554">
        <f>IF(AND(AP99="",C99&gt;0),1,IF(AP99&gt;C99,1,0))</f>
        <v>0</v>
      </c>
      <c r="CL99" s="2554">
        <f>IF(AQ99&gt;C99,1,0)</f>
        <v>0</v>
      </c>
      <c r="CM99" s="2554">
        <f>IF(AND(C99&gt;0,AR99=""),1,IF(AR99&gt;C99,1,0))</f>
        <v>0</v>
      </c>
      <c r="CN99" s="2554">
        <f>IF(AND(C99&gt;0,AS99=""),1,IF(AS99&gt;C99,1,0))</f>
        <v>0</v>
      </c>
      <c r="CO99" s="6042"/>
    </row>
    <row r="100" spans="1:93" s="170" customFormat="1" ht="15" customHeight="1" x14ac:dyDescent="0.15">
      <c r="A100" s="1614" t="s">
        <v>1316</v>
      </c>
      <c r="B100" s="1615" t="s">
        <v>246</v>
      </c>
      <c r="C100" s="1616">
        <f>SUM(D100:E100)</f>
        <v>0</v>
      </c>
      <c r="D100" s="1617"/>
      <c r="E100" s="1610">
        <f>SUM(K100+M100+O100+Q100+S100+U100+W100+Y100+AA100+AC100+AE100+AG100+AI100+AK100+AM100)</f>
        <v>0</v>
      </c>
      <c r="F100" s="1618"/>
      <c r="G100" s="1619"/>
      <c r="H100" s="1618"/>
      <c r="I100" s="1619"/>
      <c r="J100" s="1618"/>
      <c r="K100" s="1620"/>
      <c r="L100" s="1618"/>
      <c r="M100" s="1620"/>
      <c r="N100" s="1618"/>
      <c r="O100" s="1620"/>
      <c r="P100" s="1618"/>
      <c r="Q100" s="1620"/>
      <c r="R100" s="1618"/>
      <c r="S100" s="1620"/>
      <c r="T100" s="1618"/>
      <c r="U100" s="1620"/>
      <c r="V100" s="1618"/>
      <c r="W100" s="1620"/>
      <c r="X100" s="1618"/>
      <c r="Y100" s="1620"/>
      <c r="Z100" s="1618"/>
      <c r="AA100" s="1620"/>
      <c r="AB100" s="1618"/>
      <c r="AC100" s="1593"/>
      <c r="AD100" s="1618"/>
      <c r="AE100" s="1620"/>
      <c r="AF100" s="1618"/>
      <c r="AG100" s="1620"/>
      <c r="AH100" s="1618"/>
      <c r="AI100" s="1620"/>
      <c r="AJ100" s="1618"/>
      <c r="AK100" s="1620"/>
      <c r="AL100" s="1618"/>
      <c r="AM100" s="1595"/>
      <c r="AN100" s="1641"/>
      <c r="AO100" s="1322"/>
      <c r="AP100" s="2328"/>
      <c r="AQ100" s="1761"/>
      <c r="AR100" s="2328"/>
      <c r="AS100" s="1761"/>
      <c r="AT100" s="1320"/>
      <c r="AU100" s="1320"/>
      <c r="AV100" s="170" t="str">
        <f t="shared" ref="AV100:AV107" si="35">CC100&amp;CD100&amp;CE100&amp;CF100&amp;CG100&amp;CH100&amp;CI100</f>
        <v/>
      </c>
      <c r="CC100" s="2553" t="str">
        <f t="shared" ref="CC100:CC107" si="36">IF(AND(AP100="",C100&gt;0)," * No olvide digitar la columna Beneficiarios",IF(AP100&gt;C100," * La variable Beneficiarios no puede ser mayor al Total.",""))</f>
        <v/>
      </c>
      <c r="CD100" s="2553" t="str">
        <f t="shared" ref="CD100:CD107" si="37">IF(AQ100&gt;C100," * El total de Controles No puede ser mayor que el Total.","")</f>
        <v/>
      </c>
      <c r="CE100" s="2553" t="str">
        <f t="shared" ref="CE100:CE107" si="38">IF(AND(C100&gt;0,AR100="")," * No olvide digitar la variable Pueblos originarios. Digite cero si no tiene.",IF(AR100&gt;C100," * La variable Pueblos originarios no puede ser mayor al Total.",""))</f>
        <v/>
      </c>
      <c r="CF100" s="2553" t="str">
        <f t="shared" ref="CF100:CF107" si="39">IF(AND(C100&gt;0,AS100="")," * No olvide digitar la variable Migrantes. Digite cero si no tiene.",IF(AS100&gt;C100," * La variable Migrantes no puede ser mayor al Total.",""))</f>
        <v/>
      </c>
      <c r="CG100" s="2553"/>
      <c r="CH100" s="2553"/>
      <c r="CI100" s="6042"/>
      <c r="CK100" s="2554">
        <f t="shared" ref="CK100:CK107" si="40">IF(AND(AP100="",C100&gt;0),1,IF(AP100&gt;C100,1,0))</f>
        <v>0</v>
      </c>
      <c r="CL100" s="2554">
        <f t="shared" ref="CL100:CL107" si="41">IF(AQ100&gt;C100,1,0)</f>
        <v>0</v>
      </c>
      <c r="CM100" s="2554">
        <f t="shared" ref="CM100:CM107" si="42">IF(AND(C100&gt;0,AR100=""),1,IF(AR100&gt;C100,1,0))</f>
        <v>0</v>
      </c>
      <c r="CN100" s="2554">
        <f t="shared" ref="CN100:CN107" si="43">IF(AND(C100&gt;0,AS100=""),1,IF(AS100&gt;C100,1,0))</f>
        <v>0</v>
      </c>
      <c r="CO100" s="6042"/>
    </row>
    <row r="101" spans="1:93" s="170" customFormat="1" ht="15" customHeight="1" x14ac:dyDescent="0.15">
      <c r="A101" s="1621"/>
      <c r="B101" s="1116" t="s">
        <v>1353</v>
      </c>
      <c r="C101" s="1622">
        <f t="shared" ref="C101:C107" si="44">SUM(D101+E101)</f>
        <v>0</v>
      </c>
      <c r="D101" s="1623">
        <f>SUM(F101+H101+J101+L101+N101+P101+R101+T101+V101+X101+Z101+AB101+AD101+AF101+AH101+AJ101+AL101)</f>
        <v>0</v>
      </c>
      <c r="E101" s="31">
        <f>SUM(G101+I101+K101+M101+O101+Q101+S101+U101+W101+Y101+AA101+AC101+AE101+AG101+AI101+AK101+AM101)</f>
        <v>0</v>
      </c>
      <c r="F101" s="1113"/>
      <c r="G101" s="8"/>
      <c r="H101" s="1113"/>
      <c r="I101" s="8"/>
      <c r="J101" s="1113"/>
      <c r="K101" s="8"/>
      <c r="L101" s="1113"/>
      <c r="M101" s="8"/>
      <c r="N101" s="1113"/>
      <c r="O101" s="8"/>
      <c r="P101" s="1113"/>
      <c r="Q101" s="1117"/>
      <c r="R101" s="1113"/>
      <c r="S101" s="1117"/>
      <c r="T101" s="1113"/>
      <c r="U101" s="1117"/>
      <c r="V101" s="1113"/>
      <c r="W101" s="1117"/>
      <c r="X101" s="1113"/>
      <c r="Y101" s="1117"/>
      <c r="Z101" s="1113"/>
      <c r="AA101" s="1117"/>
      <c r="AB101" s="1113"/>
      <c r="AC101" s="1117"/>
      <c r="AD101" s="1113"/>
      <c r="AE101" s="1117"/>
      <c r="AF101" s="1113"/>
      <c r="AG101" s="1117"/>
      <c r="AH101" s="1113"/>
      <c r="AI101" s="1117"/>
      <c r="AJ101" s="1113"/>
      <c r="AK101" s="1117"/>
      <c r="AL101" s="1302"/>
      <c r="AM101" s="1118"/>
      <c r="AN101" s="4508"/>
      <c r="AO101" s="4070"/>
      <c r="AP101" s="4068"/>
      <c r="AQ101" s="1110"/>
      <c r="AR101" s="1765"/>
      <c r="AS101" s="1110"/>
      <c r="AT101" s="1117"/>
      <c r="AU101" s="1117"/>
      <c r="AV101" s="170" t="str">
        <f t="shared" si="35"/>
        <v/>
      </c>
      <c r="CC101" s="2553" t="str">
        <f t="shared" si="36"/>
        <v/>
      </c>
      <c r="CD101" s="2553" t="str">
        <f t="shared" si="37"/>
        <v/>
      </c>
      <c r="CE101" s="2553" t="str">
        <f t="shared" si="38"/>
        <v/>
      </c>
      <c r="CF101" s="2553" t="str">
        <f t="shared" si="39"/>
        <v/>
      </c>
      <c r="CG101" s="2553"/>
      <c r="CH101" s="2553"/>
      <c r="CI101" s="6042"/>
      <c r="CK101" s="2554">
        <f t="shared" si="40"/>
        <v>0</v>
      </c>
      <c r="CL101" s="2554">
        <f t="shared" si="41"/>
        <v>0</v>
      </c>
      <c r="CM101" s="2554">
        <f t="shared" si="42"/>
        <v>0</v>
      </c>
      <c r="CN101" s="2554">
        <f t="shared" si="43"/>
        <v>0</v>
      </c>
      <c r="CO101" s="6042"/>
    </row>
    <row r="102" spans="1:93" s="170" customFormat="1" ht="15" customHeight="1" x14ac:dyDescent="0.15">
      <c r="A102" s="1465"/>
      <c r="B102" s="1124" t="s">
        <v>244</v>
      </c>
      <c r="C102" s="1624">
        <f t="shared" si="44"/>
        <v>0</v>
      </c>
      <c r="D102" s="1625">
        <f>SUM(N102+P102+R102+T102+V102+X102+Z102+AB102)</f>
        <v>0</v>
      </c>
      <c r="E102" s="1626">
        <f>SUM(O102+Q102+S102+U102+W102+Y102+AA102+AC102)</f>
        <v>0</v>
      </c>
      <c r="F102" s="35"/>
      <c r="G102" s="36"/>
      <c r="H102" s="35"/>
      <c r="I102" s="36"/>
      <c r="J102" s="35"/>
      <c r="K102" s="36"/>
      <c r="L102" s="35"/>
      <c r="M102" s="36"/>
      <c r="N102" s="3"/>
      <c r="O102" s="6"/>
      <c r="P102" s="3"/>
      <c r="Q102" s="6"/>
      <c r="R102" s="3"/>
      <c r="S102" s="6"/>
      <c r="T102" s="3"/>
      <c r="U102" s="6"/>
      <c r="V102" s="3"/>
      <c r="W102" s="6"/>
      <c r="X102" s="3"/>
      <c r="Y102" s="6"/>
      <c r="Z102" s="3"/>
      <c r="AA102" s="12"/>
      <c r="AB102" s="3"/>
      <c r="AC102" s="6"/>
      <c r="AD102" s="35"/>
      <c r="AE102" s="36"/>
      <c r="AF102" s="35"/>
      <c r="AG102" s="36"/>
      <c r="AH102" s="35"/>
      <c r="AI102" s="36"/>
      <c r="AJ102" s="35"/>
      <c r="AK102" s="36"/>
      <c r="AL102" s="35"/>
      <c r="AM102" s="1627"/>
      <c r="AN102" s="4508"/>
      <c r="AO102" s="4070"/>
      <c r="AP102" s="4068"/>
      <c r="AQ102" s="1110"/>
      <c r="AR102" s="1765"/>
      <c r="AS102" s="1110"/>
      <c r="AT102" s="1117"/>
      <c r="AU102" s="1117"/>
      <c r="AV102" s="170" t="str">
        <f t="shared" si="35"/>
        <v/>
      </c>
      <c r="CC102" s="2553" t="str">
        <f t="shared" si="36"/>
        <v/>
      </c>
      <c r="CD102" s="2553" t="str">
        <f t="shared" si="37"/>
        <v/>
      </c>
      <c r="CE102" s="2553" t="str">
        <f t="shared" si="38"/>
        <v/>
      </c>
      <c r="CF102" s="2553" t="str">
        <f t="shared" si="39"/>
        <v/>
      </c>
      <c r="CG102" s="2553"/>
      <c r="CH102" s="2553"/>
      <c r="CI102" s="6042"/>
      <c r="CK102" s="2554">
        <f t="shared" si="40"/>
        <v>0</v>
      </c>
      <c r="CL102" s="2554">
        <f t="shared" si="41"/>
        <v>0</v>
      </c>
      <c r="CM102" s="2554">
        <f t="shared" si="42"/>
        <v>0</v>
      </c>
      <c r="CN102" s="2554">
        <f t="shared" si="43"/>
        <v>0</v>
      </c>
      <c r="CO102" s="6042"/>
    </row>
    <row r="103" spans="1:93" s="170" customFormat="1" ht="15" customHeight="1" x14ac:dyDescent="0.15">
      <c r="A103" s="1262" t="s">
        <v>247</v>
      </c>
      <c r="B103" s="1628"/>
      <c r="C103" s="1629">
        <f t="shared" si="44"/>
        <v>0</v>
      </c>
      <c r="D103" s="1630">
        <f t="shared" ref="D103:E107" si="45">SUM(F103+H103+J103+L103+N103+P103+R103+T103+V103+X103+Z103+AB103+AD103+AF103+AH103+AJ103+AL103)</f>
        <v>0</v>
      </c>
      <c r="E103" s="33">
        <f t="shared" si="45"/>
        <v>0</v>
      </c>
      <c r="F103" s="1318"/>
      <c r="G103" s="1107"/>
      <c r="H103" s="1318"/>
      <c r="I103" s="1107"/>
      <c r="J103" s="1318"/>
      <c r="K103" s="1320"/>
      <c r="L103" s="1318"/>
      <c r="M103" s="1320"/>
      <c r="N103" s="1318"/>
      <c r="O103" s="1320"/>
      <c r="P103" s="1318"/>
      <c r="Q103" s="1320"/>
      <c r="R103" s="1318"/>
      <c r="S103" s="1320"/>
      <c r="T103" s="1318"/>
      <c r="U103" s="1320"/>
      <c r="V103" s="1318"/>
      <c r="W103" s="1320"/>
      <c r="X103" s="1318"/>
      <c r="Y103" s="1320"/>
      <c r="Z103" s="1318"/>
      <c r="AA103" s="1320"/>
      <c r="AB103" s="1318"/>
      <c r="AC103" s="1320"/>
      <c r="AD103" s="1318"/>
      <c r="AE103" s="1320"/>
      <c r="AF103" s="1318"/>
      <c r="AG103" s="1320"/>
      <c r="AH103" s="1318"/>
      <c r="AI103" s="1107"/>
      <c r="AJ103" s="1318"/>
      <c r="AK103" s="1107"/>
      <c r="AL103" s="1321"/>
      <c r="AM103" s="1322"/>
      <c r="AN103" s="4508"/>
      <c r="AO103" s="4070"/>
      <c r="AP103" s="4068"/>
      <c r="AQ103" s="1110"/>
      <c r="AR103" s="1765"/>
      <c r="AS103" s="1110"/>
      <c r="AT103" s="1117"/>
      <c r="AU103" s="1117"/>
      <c r="AV103" s="170" t="str">
        <f t="shared" si="35"/>
        <v/>
      </c>
      <c r="CC103" s="2553" t="str">
        <f t="shared" si="36"/>
        <v/>
      </c>
      <c r="CD103" s="2553" t="str">
        <f t="shared" si="37"/>
        <v/>
      </c>
      <c r="CE103" s="2553" t="str">
        <f t="shared" si="38"/>
        <v/>
      </c>
      <c r="CF103" s="2553" t="str">
        <f t="shared" si="39"/>
        <v/>
      </c>
      <c r="CG103" s="2553"/>
      <c r="CH103" s="2553"/>
      <c r="CI103" s="6042"/>
      <c r="CK103" s="2554">
        <f t="shared" si="40"/>
        <v>0</v>
      </c>
      <c r="CL103" s="2554">
        <f t="shared" si="41"/>
        <v>0</v>
      </c>
      <c r="CM103" s="2554">
        <f t="shared" si="42"/>
        <v>0</v>
      </c>
      <c r="CN103" s="2554">
        <f t="shared" si="43"/>
        <v>0</v>
      </c>
      <c r="CO103" s="6042"/>
    </row>
    <row r="104" spans="1:93" s="170" customFormat="1" ht="15" customHeight="1" x14ac:dyDescent="0.15">
      <c r="A104" s="1109" t="s">
        <v>248</v>
      </c>
      <c r="B104" s="1380"/>
      <c r="C104" s="1631">
        <f t="shared" si="44"/>
        <v>0</v>
      </c>
      <c r="D104" s="1623">
        <f t="shared" si="45"/>
        <v>0</v>
      </c>
      <c r="E104" s="31">
        <f t="shared" si="45"/>
        <v>0</v>
      </c>
      <c r="F104" s="1113"/>
      <c r="G104" s="8"/>
      <c r="H104" s="1113"/>
      <c r="I104" s="8"/>
      <c r="J104" s="1113"/>
      <c r="K104" s="1117"/>
      <c r="L104" s="1113"/>
      <c r="M104" s="1117"/>
      <c r="N104" s="1113"/>
      <c r="O104" s="1117"/>
      <c r="P104" s="1113"/>
      <c r="Q104" s="1117"/>
      <c r="R104" s="1113"/>
      <c r="S104" s="1117"/>
      <c r="T104" s="1113"/>
      <c r="U104" s="1117"/>
      <c r="V104" s="1113"/>
      <c r="W104" s="1117"/>
      <c r="X104" s="1113"/>
      <c r="Y104" s="1117"/>
      <c r="Z104" s="1113"/>
      <c r="AA104" s="1117"/>
      <c r="AB104" s="1113"/>
      <c r="AC104" s="8"/>
      <c r="AD104" s="1113"/>
      <c r="AE104" s="8"/>
      <c r="AF104" s="1113"/>
      <c r="AG104" s="8"/>
      <c r="AH104" s="1113"/>
      <c r="AI104" s="8"/>
      <c r="AJ104" s="1113"/>
      <c r="AK104" s="8"/>
      <c r="AL104" s="1302"/>
      <c r="AM104" s="1118"/>
      <c r="AN104" s="4508"/>
      <c r="AO104" s="4070"/>
      <c r="AP104" s="4068"/>
      <c r="AQ104" s="1110"/>
      <c r="AR104" s="1765"/>
      <c r="AS104" s="1110"/>
      <c r="AT104" s="1117"/>
      <c r="AU104" s="1117"/>
      <c r="AV104" s="170" t="str">
        <f t="shared" si="35"/>
        <v/>
      </c>
      <c r="CC104" s="2553" t="str">
        <f t="shared" si="36"/>
        <v/>
      </c>
      <c r="CD104" s="2553" t="str">
        <f t="shared" si="37"/>
        <v/>
      </c>
      <c r="CE104" s="2553" t="str">
        <f t="shared" si="38"/>
        <v/>
      </c>
      <c r="CF104" s="2553" t="str">
        <f t="shared" si="39"/>
        <v/>
      </c>
      <c r="CG104" s="2553"/>
      <c r="CH104" s="2553"/>
      <c r="CI104" s="6042"/>
      <c r="CK104" s="2554">
        <f t="shared" si="40"/>
        <v>0</v>
      </c>
      <c r="CL104" s="2554">
        <f t="shared" si="41"/>
        <v>0</v>
      </c>
      <c r="CM104" s="2554">
        <f t="shared" si="42"/>
        <v>0</v>
      </c>
      <c r="CN104" s="2554">
        <f t="shared" si="43"/>
        <v>0</v>
      </c>
      <c r="CO104" s="6042"/>
    </row>
    <row r="105" spans="1:93" s="170" customFormat="1" ht="15" customHeight="1" x14ac:dyDescent="0.15">
      <c r="A105" s="1632" t="s">
        <v>249</v>
      </c>
      <c r="B105" s="1633"/>
      <c r="C105" s="1634">
        <f t="shared" si="44"/>
        <v>0</v>
      </c>
      <c r="D105" s="1635">
        <f t="shared" si="45"/>
        <v>0</v>
      </c>
      <c r="E105" s="31">
        <f t="shared" si="45"/>
        <v>0</v>
      </c>
      <c r="F105" s="1113"/>
      <c r="G105" s="8"/>
      <c r="H105" s="1113"/>
      <c r="I105" s="8"/>
      <c r="J105" s="1113"/>
      <c r="K105" s="1117"/>
      <c r="L105" s="1113"/>
      <c r="M105" s="1117"/>
      <c r="N105" s="1113"/>
      <c r="O105" s="1117"/>
      <c r="P105" s="1113"/>
      <c r="Q105" s="1117"/>
      <c r="R105" s="1113"/>
      <c r="S105" s="1117"/>
      <c r="T105" s="1113"/>
      <c r="U105" s="1117"/>
      <c r="V105" s="1113"/>
      <c r="W105" s="1117"/>
      <c r="X105" s="1113"/>
      <c r="Y105" s="1117"/>
      <c r="Z105" s="1113"/>
      <c r="AA105" s="1117"/>
      <c r="AB105" s="1113"/>
      <c r="AC105" s="8"/>
      <c r="AD105" s="1113"/>
      <c r="AE105" s="8"/>
      <c r="AF105" s="1113"/>
      <c r="AG105" s="8"/>
      <c r="AH105" s="1113"/>
      <c r="AI105" s="8"/>
      <c r="AJ105" s="1113"/>
      <c r="AK105" s="8"/>
      <c r="AL105" s="1302"/>
      <c r="AM105" s="1118"/>
      <c r="AN105" s="4508"/>
      <c r="AO105" s="4070"/>
      <c r="AP105" s="4068"/>
      <c r="AQ105" s="1110"/>
      <c r="AR105" s="1765"/>
      <c r="AS105" s="1110"/>
      <c r="AT105" s="1117"/>
      <c r="AU105" s="1117"/>
      <c r="AV105" s="170" t="str">
        <f t="shared" si="35"/>
        <v/>
      </c>
      <c r="CC105" s="2553" t="str">
        <f t="shared" si="36"/>
        <v/>
      </c>
      <c r="CD105" s="2553" t="str">
        <f t="shared" si="37"/>
        <v/>
      </c>
      <c r="CE105" s="2553" t="str">
        <f t="shared" si="38"/>
        <v/>
      </c>
      <c r="CF105" s="2553" t="str">
        <f t="shared" si="39"/>
        <v/>
      </c>
      <c r="CG105" s="2553"/>
      <c r="CH105" s="2553"/>
      <c r="CI105" s="6042"/>
      <c r="CK105" s="2554">
        <f t="shared" si="40"/>
        <v>0</v>
      </c>
      <c r="CL105" s="2554">
        <f t="shared" si="41"/>
        <v>0</v>
      </c>
      <c r="CM105" s="2554">
        <f t="shared" si="42"/>
        <v>0</v>
      </c>
      <c r="CN105" s="2554">
        <f t="shared" si="43"/>
        <v>0</v>
      </c>
      <c r="CO105" s="6042"/>
    </row>
    <row r="106" spans="1:93" s="170" customFormat="1" ht="15" customHeight="1" x14ac:dyDescent="0.15">
      <c r="A106" s="1109" t="s">
        <v>1354</v>
      </c>
      <c r="B106" s="1380"/>
      <c r="C106" s="1631">
        <f t="shared" si="44"/>
        <v>0</v>
      </c>
      <c r="D106" s="1623">
        <f t="shared" si="45"/>
        <v>0</v>
      </c>
      <c r="E106" s="31">
        <f t="shared" si="45"/>
        <v>0</v>
      </c>
      <c r="F106" s="1113"/>
      <c r="G106" s="8"/>
      <c r="H106" s="1113"/>
      <c r="I106" s="8"/>
      <c r="J106" s="1113"/>
      <c r="K106" s="1117"/>
      <c r="L106" s="1113"/>
      <c r="M106" s="1117"/>
      <c r="N106" s="1113"/>
      <c r="O106" s="1117"/>
      <c r="P106" s="1113"/>
      <c r="Q106" s="1117"/>
      <c r="R106" s="1113"/>
      <c r="S106" s="1117"/>
      <c r="T106" s="1113"/>
      <c r="U106" s="1117"/>
      <c r="V106" s="1113"/>
      <c r="W106" s="1117"/>
      <c r="X106" s="1113"/>
      <c r="Y106" s="1117"/>
      <c r="Z106" s="1113"/>
      <c r="AA106" s="1117"/>
      <c r="AB106" s="1113"/>
      <c r="AC106" s="1117"/>
      <c r="AD106" s="1113"/>
      <c r="AE106" s="1117"/>
      <c r="AF106" s="1113"/>
      <c r="AG106" s="1117"/>
      <c r="AH106" s="1113"/>
      <c r="AI106" s="8"/>
      <c r="AJ106" s="1113"/>
      <c r="AK106" s="8"/>
      <c r="AL106" s="1302"/>
      <c r="AM106" s="1118"/>
      <c r="AN106" s="4508"/>
      <c r="AO106" s="4070"/>
      <c r="AP106" s="4068"/>
      <c r="AQ106" s="1110"/>
      <c r="AR106" s="1765"/>
      <c r="AS106" s="1110"/>
      <c r="AT106" s="1117"/>
      <c r="AU106" s="1117"/>
      <c r="AV106" s="170" t="str">
        <f t="shared" si="35"/>
        <v/>
      </c>
      <c r="CC106" s="2553" t="str">
        <f t="shared" si="36"/>
        <v/>
      </c>
      <c r="CD106" s="2553" t="str">
        <f t="shared" si="37"/>
        <v/>
      </c>
      <c r="CE106" s="2553" t="str">
        <f t="shared" si="38"/>
        <v/>
      </c>
      <c r="CF106" s="2553" t="str">
        <f t="shared" si="39"/>
        <v/>
      </c>
      <c r="CG106" s="2553"/>
      <c r="CH106" s="2553"/>
      <c r="CI106" s="6042"/>
      <c r="CK106" s="2554">
        <f t="shared" si="40"/>
        <v>0</v>
      </c>
      <c r="CL106" s="2554">
        <f t="shared" si="41"/>
        <v>0</v>
      </c>
      <c r="CM106" s="2554">
        <f t="shared" si="42"/>
        <v>0</v>
      </c>
      <c r="CN106" s="2554">
        <f t="shared" si="43"/>
        <v>0</v>
      </c>
      <c r="CO106" s="6042"/>
    </row>
    <row r="107" spans="1:93" s="170" customFormat="1" ht="15" customHeight="1" x14ac:dyDescent="0.15">
      <c r="A107" s="1128" t="s">
        <v>566</v>
      </c>
      <c r="B107" s="1636"/>
      <c r="C107" s="1637">
        <f t="shared" si="44"/>
        <v>0</v>
      </c>
      <c r="D107" s="1638">
        <f t="shared" si="45"/>
        <v>0</v>
      </c>
      <c r="E107" s="37">
        <f t="shared" si="45"/>
        <v>0</v>
      </c>
      <c r="F107" s="3"/>
      <c r="G107" s="12"/>
      <c r="H107" s="3"/>
      <c r="I107" s="12"/>
      <c r="J107" s="3"/>
      <c r="K107" s="6"/>
      <c r="L107" s="3"/>
      <c r="M107" s="6"/>
      <c r="N107" s="3"/>
      <c r="O107" s="6"/>
      <c r="P107" s="3"/>
      <c r="Q107" s="6"/>
      <c r="R107" s="3"/>
      <c r="S107" s="6"/>
      <c r="T107" s="3"/>
      <c r="U107" s="6"/>
      <c r="V107" s="3"/>
      <c r="W107" s="6"/>
      <c r="X107" s="3"/>
      <c r="Y107" s="6"/>
      <c r="Z107" s="3"/>
      <c r="AA107" s="6"/>
      <c r="AB107" s="3"/>
      <c r="AC107" s="6"/>
      <c r="AD107" s="3"/>
      <c r="AE107" s="6"/>
      <c r="AF107" s="3"/>
      <c r="AG107" s="6"/>
      <c r="AH107" s="3"/>
      <c r="AI107" s="6"/>
      <c r="AJ107" s="3"/>
      <c r="AK107" s="6"/>
      <c r="AL107" s="22"/>
      <c r="AM107" s="5"/>
      <c r="AN107" s="4509"/>
      <c r="AO107" s="4074"/>
      <c r="AP107" s="2379"/>
      <c r="AQ107" s="30"/>
      <c r="AR107" s="2379"/>
      <c r="AS107" s="30"/>
      <c r="AT107" s="6"/>
      <c r="AU107" s="6"/>
      <c r="AV107" s="170" t="str">
        <f t="shared" si="35"/>
        <v/>
      </c>
      <c r="CC107" s="2553" t="str">
        <f t="shared" si="36"/>
        <v/>
      </c>
      <c r="CD107" s="2553" t="str">
        <f t="shared" si="37"/>
        <v/>
      </c>
      <c r="CE107" s="2553" t="str">
        <f t="shared" si="38"/>
        <v/>
      </c>
      <c r="CF107" s="2553" t="str">
        <f t="shared" si="39"/>
        <v/>
      </c>
      <c r="CG107" s="2553"/>
      <c r="CH107" s="2553"/>
      <c r="CI107" s="6042"/>
      <c r="CK107" s="2554">
        <f t="shared" si="40"/>
        <v>0</v>
      </c>
      <c r="CL107" s="2554">
        <f t="shared" si="41"/>
        <v>0</v>
      </c>
      <c r="CM107" s="2554">
        <f t="shared" si="42"/>
        <v>0</v>
      </c>
      <c r="CN107" s="2554">
        <f t="shared" si="43"/>
        <v>0</v>
      </c>
      <c r="CO107" s="6042"/>
    </row>
    <row r="108" spans="1:93" ht="15" customHeight="1" x14ac:dyDescent="0.25">
      <c r="A108" s="7945" t="s">
        <v>24</v>
      </c>
      <c r="B108" s="7928"/>
      <c r="C108" s="2617">
        <f t="shared" ref="C108:AU108" si="46">SUM(C99:C107)</f>
        <v>0</v>
      </c>
      <c r="D108" s="2618">
        <f t="shared" si="46"/>
        <v>0</v>
      </c>
      <c r="E108" s="1626">
        <f t="shared" si="46"/>
        <v>0</v>
      </c>
      <c r="F108" s="2619">
        <f t="shared" si="46"/>
        <v>0</v>
      </c>
      <c r="G108" s="2620">
        <f t="shared" si="46"/>
        <v>0</v>
      </c>
      <c r="H108" s="2619">
        <f t="shared" si="46"/>
        <v>0</v>
      </c>
      <c r="I108" s="2620">
        <f t="shared" si="46"/>
        <v>0</v>
      </c>
      <c r="J108" s="1307">
        <f t="shared" si="46"/>
        <v>0</v>
      </c>
      <c r="K108" s="2621">
        <f t="shared" si="46"/>
        <v>0</v>
      </c>
      <c r="L108" s="1307">
        <f t="shared" si="46"/>
        <v>0</v>
      </c>
      <c r="M108" s="2621">
        <f t="shared" si="46"/>
        <v>0</v>
      </c>
      <c r="N108" s="1307">
        <f t="shared" si="46"/>
        <v>0</v>
      </c>
      <c r="O108" s="2621">
        <f t="shared" si="46"/>
        <v>0</v>
      </c>
      <c r="P108" s="1307">
        <f t="shared" si="46"/>
        <v>0</v>
      </c>
      <c r="Q108" s="2621">
        <f t="shared" si="46"/>
        <v>0</v>
      </c>
      <c r="R108" s="1307">
        <f t="shared" si="46"/>
        <v>0</v>
      </c>
      <c r="S108" s="2621">
        <f t="shared" si="46"/>
        <v>0</v>
      </c>
      <c r="T108" s="1307">
        <f t="shared" si="46"/>
        <v>0</v>
      </c>
      <c r="U108" s="2621">
        <f t="shared" si="46"/>
        <v>0</v>
      </c>
      <c r="V108" s="1307">
        <f t="shared" si="46"/>
        <v>0</v>
      </c>
      <c r="W108" s="2621">
        <f t="shared" si="46"/>
        <v>0</v>
      </c>
      <c r="X108" s="1307">
        <f t="shared" si="46"/>
        <v>0</v>
      </c>
      <c r="Y108" s="2621">
        <f t="shared" si="46"/>
        <v>0</v>
      </c>
      <c r="Z108" s="1307">
        <f t="shared" si="46"/>
        <v>0</v>
      </c>
      <c r="AA108" s="2621">
        <f t="shared" si="46"/>
        <v>0</v>
      </c>
      <c r="AB108" s="1307">
        <f t="shared" si="46"/>
        <v>0</v>
      </c>
      <c r="AC108" s="2621">
        <f t="shared" si="46"/>
        <v>0</v>
      </c>
      <c r="AD108" s="1307">
        <f t="shared" si="46"/>
        <v>0</v>
      </c>
      <c r="AE108" s="2621">
        <f t="shared" si="46"/>
        <v>0</v>
      </c>
      <c r="AF108" s="1307">
        <f t="shared" si="46"/>
        <v>0</v>
      </c>
      <c r="AG108" s="2621">
        <f t="shared" si="46"/>
        <v>0</v>
      </c>
      <c r="AH108" s="1307">
        <f t="shared" si="46"/>
        <v>0</v>
      </c>
      <c r="AI108" s="2621">
        <f t="shared" si="46"/>
        <v>0</v>
      </c>
      <c r="AJ108" s="1307">
        <f t="shared" si="46"/>
        <v>0</v>
      </c>
      <c r="AK108" s="2621">
        <f t="shared" si="46"/>
        <v>0</v>
      </c>
      <c r="AL108" s="1312">
        <f t="shared" si="46"/>
        <v>0</v>
      </c>
      <c r="AM108" s="2622">
        <f t="shared" si="46"/>
        <v>0</v>
      </c>
      <c r="AN108" s="4510">
        <f>SUM(AN99:AN107)</f>
        <v>0</v>
      </c>
      <c r="AO108" s="4511">
        <f>SUM(AO99:AO107)</f>
        <v>0</v>
      </c>
      <c r="AP108" s="4503">
        <f t="shared" si="46"/>
        <v>0</v>
      </c>
      <c r="AQ108" s="2459">
        <f t="shared" si="46"/>
        <v>0</v>
      </c>
      <c r="AR108" s="2623">
        <f t="shared" si="46"/>
        <v>0</v>
      </c>
      <c r="AS108" s="2459">
        <f t="shared" si="46"/>
        <v>0</v>
      </c>
      <c r="AT108" s="2620">
        <f t="shared" si="46"/>
        <v>0</v>
      </c>
      <c r="AU108" s="2620">
        <f t="shared" si="46"/>
        <v>0</v>
      </c>
      <c r="CC108" s="170"/>
      <c r="CD108" s="170"/>
      <c r="CE108" s="170"/>
      <c r="CF108" s="170"/>
      <c r="CG108" s="170"/>
      <c r="CH108" s="170"/>
      <c r="CI108" s="170"/>
      <c r="CJ108" s="170"/>
      <c r="CK108" s="170"/>
      <c r="CL108" s="170"/>
      <c r="CM108" s="170"/>
    </row>
    <row r="109" spans="1:93" s="1134" customFormat="1" ht="18" customHeight="1" x14ac:dyDescent="0.15">
      <c r="A109" s="2614" t="s">
        <v>1355</v>
      </c>
      <c r="CC109" s="170"/>
      <c r="CD109" s="170"/>
      <c r="CE109" s="170"/>
      <c r="CF109" s="170"/>
      <c r="CG109" s="170"/>
      <c r="CH109" s="170"/>
      <c r="CI109" s="170"/>
      <c r="CJ109" s="170"/>
      <c r="CK109" s="170"/>
      <c r="CL109" s="170"/>
      <c r="CM109" s="170"/>
    </row>
    <row r="110" spans="1:93" s="1134" customFormat="1" ht="18" customHeight="1" x14ac:dyDescent="0.15">
      <c r="A110" s="8567" t="s">
        <v>1356</v>
      </c>
      <c r="B110" s="8567"/>
      <c r="C110" s="8567"/>
      <c r="D110" s="8567"/>
      <c r="CC110" s="170"/>
      <c r="CD110" s="170"/>
      <c r="CE110" s="170"/>
      <c r="CF110" s="170"/>
      <c r="CG110" s="170"/>
      <c r="CH110" s="170"/>
      <c r="CI110" s="170"/>
      <c r="CJ110" s="170"/>
      <c r="CK110" s="170"/>
      <c r="CL110" s="170"/>
      <c r="CM110" s="170"/>
    </row>
    <row r="111" spans="1:93" s="170" customFormat="1" ht="15" customHeight="1" x14ac:dyDescent="0.15">
      <c r="A111" s="7790" t="s">
        <v>1357</v>
      </c>
      <c r="B111" s="7945" t="s">
        <v>24</v>
      </c>
      <c r="C111" s="7937"/>
      <c r="D111" s="7928"/>
      <c r="E111" s="7945" t="s">
        <v>12</v>
      </c>
      <c r="F111" s="7937"/>
      <c r="G111" s="7937"/>
      <c r="H111" s="7937"/>
      <c r="I111" s="7937"/>
      <c r="J111" s="7937"/>
      <c r="K111" s="7937"/>
      <c r="L111" s="7937"/>
      <c r="M111" s="7937"/>
      <c r="N111" s="7937"/>
      <c r="O111" s="7937"/>
      <c r="P111" s="8607"/>
      <c r="Q111" s="8608" t="s">
        <v>327</v>
      </c>
      <c r="R111" s="6528" t="s">
        <v>1358</v>
      </c>
      <c r="S111" s="6528" t="s">
        <v>1359</v>
      </c>
      <c r="T111" s="6528" t="s">
        <v>49</v>
      </c>
      <c r="U111" s="6528" t="s">
        <v>45</v>
      </c>
      <c r="V111" s="6528" t="s">
        <v>2</v>
      </c>
      <c r="W111" s="6528" t="s">
        <v>3</v>
      </c>
    </row>
    <row r="112" spans="1:93" s="170" customFormat="1" ht="27.75" customHeight="1" x14ac:dyDescent="0.15">
      <c r="A112" s="8565"/>
      <c r="B112" s="6397" t="s">
        <v>50</v>
      </c>
      <c r="C112" s="4424" t="s">
        <v>22</v>
      </c>
      <c r="D112" s="4548" t="s">
        <v>27</v>
      </c>
      <c r="E112" s="1313" t="s">
        <v>1360</v>
      </c>
      <c r="F112" s="1639" t="s">
        <v>1361</v>
      </c>
      <c r="G112" s="1639" t="s">
        <v>1362</v>
      </c>
      <c r="H112" s="1639" t="s">
        <v>1363</v>
      </c>
      <c r="I112" s="1639" t="s">
        <v>1364</v>
      </c>
      <c r="J112" s="1639" t="s">
        <v>1365</v>
      </c>
      <c r="K112" s="1639" t="s">
        <v>1366</v>
      </c>
      <c r="L112" s="1639" t="s">
        <v>1367</v>
      </c>
      <c r="M112" s="1639" t="s">
        <v>1368</v>
      </c>
      <c r="N112" s="1639" t="s">
        <v>1369</v>
      </c>
      <c r="O112" s="1639" t="s">
        <v>1370</v>
      </c>
      <c r="P112" s="2624" t="s">
        <v>1371</v>
      </c>
      <c r="Q112" s="7057"/>
      <c r="R112" s="8605"/>
      <c r="S112" s="8605"/>
      <c r="T112" s="8605"/>
      <c r="U112" s="8605"/>
      <c r="V112" s="8605"/>
      <c r="W112" s="8605"/>
    </row>
    <row r="113" spans="1:96" s="170" customFormat="1" ht="15" customHeight="1" x14ac:dyDescent="0.15">
      <c r="A113" s="1109" t="s">
        <v>1372</v>
      </c>
      <c r="B113" s="1640">
        <f>SUM(E113:P113)</f>
        <v>0</v>
      </c>
      <c r="C113" s="1321"/>
      <c r="D113" s="1320"/>
      <c r="E113" s="1318"/>
      <c r="F113" s="1487"/>
      <c r="G113" s="1487"/>
      <c r="H113" s="1487"/>
      <c r="I113" s="1487"/>
      <c r="J113" s="1487"/>
      <c r="K113" s="1487"/>
      <c r="L113" s="1487"/>
      <c r="M113" s="1487"/>
      <c r="N113" s="1487"/>
      <c r="O113" s="1487"/>
      <c r="P113" s="1322"/>
      <c r="Q113" s="1480"/>
      <c r="R113" s="4544"/>
      <c r="S113" s="4544"/>
      <c r="T113" s="4544"/>
      <c r="U113" s="4544"/>
      <c r="V113" s="4544"/>
      <c r="W113" s="4544"/>
      <c r="X113" s="170" t="str">
        <f>CB113&amp;CC113&amp;CD113&amp;CE113&amp;CF113&amp;CG113&amp;CH113&amp;CI113</f>
        <v/>
      </c>
      <c r="CB113" s="2553" t="str">
        <f>IF((C113+D113)&lt;&gt;B113,"  * Las atenciones según Sexo (Hombres/Mujeres) deben ser igual al Total de atenciones","")</f>
        <v/>
      </c>
      <c r="CC113" s="2553" t="str">
        <f>IF(AND(D113&gt;0,Q113="")," * No olvide digitar Embarazadas. Digite cero si no tiene.",IF(Q113&gt;D113," * La variable Embarazadas no puede ser mayor al Total.",""))</f>
        <v/>
      </c>
      <c r="CD113" s="2553" t="str">
        <f>IF(AND(O113&gt;0,R113="")," * No olvide digitar la variable 60 años (incluído en grupos de 20-64 años). Digite cero si no tiene.",IF(R113&gt;O113," * La variable 60 años (incluído en grupos de 20-64 años) no puede ser mayor al rango etario 20-64 años.",""))</f>
        <v/>
      </c>
      <c r="CE113" s="2553" t="str">
        <f>IF(AND(B113&gt;0,S113="")," * No olvide digitar Usuarios en situación de discapacidad. Digite cero si no tiene.",IF(S113&gt;B113," * La variable Usuarios en situación de discapacidad no puede ser mayor al Total.",""))</f>
        <v/>
      </c>
      <c r="CF113" s="2553" t="str">
        <f>IF(AND(B113&gt;0,T113="")," * No olvide digitar Niños, niñas, adolescentes y jóvenes SENAME. Digite cero si no tiene.",IF(T113&gt;B113," * La variable Niños, niñas, adolescentes y jóvenes SENAME no puede ser mayor al Total.",""))</f>
        <v/>
      </c>
      <c r="CG113" s="2553" t="str">
        <f>IF(AND(B113&gt;0,U113="")," * No olvide digitar Niños, niñas, adolescentes y jóvenes Mejor niñez. Digite cero si no tiene.",IF(U113&gt;B113," * La variable Niños, niñas, adolescentes y jóvenes Mejor niñez no puede ser mayor al Total.",""))</f>
        <v/>
      </c>
      <c r="CH113" s="2553" t="str">
        <f>IF(AND(B113&gt;0,V113="")," * No olvide digitar Pueblos originarios. Digite cero si no tiene.",IF(V113&gt;B113," * La variable Pueblos originarios no puede ser mayor al Total.",""))</f>
        <v/>
      </c>
      <c r="CI113" s="2553" t="str">
        <f>IF(AND(B113&gt;0,W113="")," * No olvide digitar Migrantes. Digite cero si no tiene.",IF(W113&gt;B113," * La variable Migrantes no puede ser mayor al Total.",""))</f>
        <v/>
      </c>
      <c r="CK113" s="2554">
        <f>IF(AND(D113&gt;0,Q113=""),1,IF(Q113&gt;D113,1,0))</f>
        <v>0</v>
      </c>
      <c r="CL113" s="2554">
        <f>IF(AND(O113&gt;0,R113=""),1,IF(R113&gt;O113,1,0))</f>
        <v>0</v>
      </c>
      <c r="CM113" s="2554">
        <f>IF(AND(B113&gt;0,S113=""),1,IF(S113&gt;B113,1,0))</f>
        <v>0</v>
      </c>
      <c r="CN113" s="2554">
        <f>IF(AND(B113&gt;0,T113=""),1,IF(T113&gt;B113,1,0))</f>
        <v>0</v>
      </c>
      <c r="CO113" s="2554">
        <f>IF(AND(B113&gt;0,U113=""),1,IF(U113&gt;B113,1,0))</f>
        <v>0</v>
      </c>
      <c r="CP113" s="2554">
        <f>IF(AND(B113&gt;0,V113=""),1,IF(V113&gt;B113,1,0))</f>
        <v>0</v>
      </c>
      <c r="CQ113" s="2554">
        <f>IF(AND(B113&gt;0,W113=""),1,IF(W113&gt;B113,1,0))</f>
        <v>0</v>
      </c>
      <c r="CR113" s="2554">
        <f>IF((C113+D113)&lt;&gt;B113,1,0)</f>
        <v>0</v>
      </c>
    </row>
    <row r="114" spans="1:96" s="170" customFormat="1" ht="15" customHeight="1" x14ac:dyDescent="0.15">
      <c r="A114" s="1109" t="s">
        <v>1373</v>
      </c>
      <c r="B114" s="1631">
        <f>SUM(E114:P114)</f>
        <v>0</v>
      </c>
      <c r="C114" s="1321"/>
      <c r="D114" s="1320"/>
      <c r="E114" s="1318"/>
      <c r="F114" s="1487"/>
      <c r="G114" s="1487"/>
      <c r="H114" s="1487"/>
      <c r="I114" s="1487"/>
      <c r="J114" s="1487"/>
      <c r="K114" s="1487"/>
      <c r="L114" s="1487"/>
      <c r="M114" s="1487"/>
      <c r="N114" s="1487"/>
      <c r="O114" s="1487"/>
      <c r="P114" s="1322"/>
      <c r="Q114" s="1480"/>
      <c r="R114" s="4544"/>
      <c r="S114" s="4544"/>
      <c r="T114" s="4544"/>
      <c r="U114" s="4544"/>
      <c r="V114" s="4544"/>
      <c r="W114" s="4544"/>
      <c r="X114" s="170" t="str">
        <f t="shared" ref="X114:X115" si="47">CB114&amp;CC114&amp;CD114&amp;CE114&amp;CF114&amp;CG114&amp;CH114&amp;CI114</f>
        <v/>
      </c>
      <c r="CB114" s="2553" t="str">
        <f t="shared" ref="CB114:CB115" si="48">IF((C114+D114)&lt;&gt;B114,"  * Las atenciones según Sexo (Hombres/Mujeres) deben ser igual al Total de atenciones","")</f>
        <v/>
      </c>
      <c r="CC114" s="2553" t="str">
        <f t="shared" ref="CC114:CC115" si="49">IF(AND(D114&gt;0,Q114="")," * No olvide digitar Embarazadas. Digite cero si no tiene.",IF(Q114&gt;D114," * La variable Embarazadas no puede ser mayor al Total.",""))</f>
        <v/>
      </c>
      <c r="CD114" s="2553" t="str">
        <f t="shared" ref="CD114:CD115" si="50">IF(AND(O114&gt;0,R114="")," * No olvide digitar la variable 60 años (incluído en grupos de 20-64 años). Digite cero si no tiene.",IF(R114&gt;O114," * La variable 60 años (incluído en grupos de 20-64 años) no puede ser mayor al rango etario 20-64 años.",""))</f>
        <v/>
      </c>
      <c r="CE114" s="2553" t="str">
        <f t="shared" ref="CE114:CE115" si="51">IF(AND(B114&gt;0,S114="")," * No olvide digitar Usuarios en situación de discapacidad. Digite cero si no tiene.",IF(S114&gt;B114," * La variable Usuarios en situación de discapacidad no puede ser mayor al Total.",""))</f>
        <v/>
      </c>
      <c r="CF114" s="2553" t="str">
        <f t="shared" ref="CF114:CF115" si="52">IF(AND(B114&gt;0,T114="")," * No olvide digitar Niños, niñas, adolescentes y jóvenes SENAME. Digite cero si no tiene.",IF(T114&gt;B114," * La variable Niños, niñas, adolescentes y jóvenes SENAME no puede ser mayor al Total.",""))</f>
        <v/>
      </c>
      <c r="CG114" s="2553" t="str">
        <f t="shared" ref="CG114:CG115" si="53">IF(AND(B114&gt;0,U114="")," * No olvide digitar Niños, niñas, adolescentes y jóvenes Mejor niñez. Digite cero si no tiene.",IF(U114&gt;B114," * La variable Niños, niñas, adolescentes y jóvenes Mejor niñez no puede ser mayor al Total.",""))</f>
        <v/>
      </c>
      <c r="CH114" s="2553" t="str">
        <f t="shared" ref="CH114:CH115" si="54">IF(AND(B114&gt;0,V114="")," * No olvide digitar Pueblos originarios. Digite cero si no tiene.",IF(V114&gt;B114," * La variable Pueblos originarios no puede ser mayor al Total.",""))</f>
        <v/>
      </c>
      <c r="CI114" s="2553" t="str">
        <f t="shared" ref="CI114:CI115" si="55">IF(AND(B114&gt;0,W114="")," * No olvide digitar Migrantes. Digite cero si no tiene.",IF(W114&gt;B114," * La variable Migrantes no puede ser mayor al Total.",""))</f>
        <v/>
      </c>
      <c r="CK114" s="2554">
        <f t="shared" ref="CK114:CK115" si="56">IF(AND(D114&gt;0,Q114=""),1,IF(Q114&gt;D114,1,0))</f>
        <v>0</v>
      </c>
      <c r="CL114" s="2554">
        <f t="shared" ref="CL114:CL115" si="57">IF(AND(O114&gt;0,R114=""),1,IF(R114&gt;O114,1,0))</f>
        <v>0</v>
      </c>
      <c r="CM114" s="2554">
        <f t="shared" ref="CM114:CM115" si="58">IF(AND(B114&gt;0,S114=""),1,IF(S114&gt;B114,1,0))</f>
        <v>0</v>
      </c>
      <c r="CN114" s="2554">
        <f t="shared" ref="CN114:CN115" si="59">IF(AND(B114&gt;0,T114=""),1,IF(T114&gt;B114,1,0))</f>
        <v>0</v>
      </c>
      <c r="CO114" s="2554">
        <f t="shared" ref="CO114:CO115" si="60">IF(AND(B114&gt;0,U114=""),1,IF(U114&gt;B114,1,0))</f>
        <v>0</v>
      </c>
      <c r="CP114" s="2554">
        <f t="shared" ref="CP114:CP115" si="61">IF(AND(B114&gt;0,V114=""),1,IF(V114&gt;B114,1,0))</f>
        <v>0</v>
      </c>
      <c r="CQ114" s="2554">
        <f t="shared" ref="CQ114:CQ115" si="62">IF(AND(B114&gt;0,W114=""),1,IF(W114&gt;B114,1,0))</f>
        <v>0</v>
      </c>
      <c r="CR114" s="2554">
        <f t="shared" ref="CR114:CR115" si="63">IF((C114+D114)&lt;&gt;B114,1,0)</f>
        <v>0</v>
      </c>
    </row>
    <row r="115" spans="1:96" s="170" customFormat="1" ht="15" customHeight="1" x14ac:dyDescent="0.15">
      <c r="A115" s="1109" t="s">
        <v>1374</v>
      </c>
      <c r="B115" s="1637">
        <f>SUM(E115:P115)</f>
        <v>0</v>
      </c>
      <c r="C115" s="1321"/>
      <c r="D115" s="1320"/>
      <c r="E115" s="1318"/>
      <c r="F115" s="1487"/>
      <c r="G115" s="1487"/>
      <c r="H115" s="1487"/>
      <c r="I115" s="1487"/>
      <c r="J115" s="1487"/>
      <c r="K115" s="1487"/>
      <c r="L115" s="1487"/>
      <c r="M115" s="1487"/>
      <c r="N115" s="1487"/>
      <c r="O115" s="1487"/>
      <c r="P115" s="1322"/>
      <c r="Q115" s="1480"/>
      <c r="R115" s="4544"/>
      <c r="S115" s="4544"/>
      <c r="T115" s="4544"/>
      <c r="U115" s="4544"/>
      <c r="V115" s="4544"/>
      <c r="W115" s="4544"/>
      <c r="X115" s="170" t="str">
        <f t="shared" si="47"/>
        <v/>
      </c>
      <c r="CB115" s="2553" t="str">
        <f t="shared" si="48"/>
        <v/>
      </c>
      <c r="CC115" s="2553" t="str">
        <f t="shared" si="49"/>
        <v/>
      </c>
      <c r="CD115" s="2553" t="str">
        <f t="shared" si="50"/>
        <v/>
      </c>
      <c r="CE115" s="2553" t="str">
        <f t="shared" si="51"/>
        <v/>
      </c>
      <c r="CF115" s="2553" t="str">
        <f t="shared" si="52"/>
        <v/>
      </c>
      <c r="CG115" s="2553" t="str">
        <f t="shared" si="53"/>
        <v/>
      </c>
      <c r="CH115" s="2553" t="str">
        <f t="shared" si="54"/>
        <v/>
      </c>
      <c r="CI115" s="2553" t="str">
        <f t="shared" si="55"/>
        <v/>
      </c>
      <c r="CK115" s="2554">
        <f t="shared" si="56"/>
        <v>0</v>
      </c>
      <c r="CL115" s="2554">
        <f t="shared" si="57"/>
        <v>0</v>
      </c>
      <c r="CM115" s="2554">
        <f t="shared" si="58"/>
        <v>0</v>
      </c>
      <c r="CN115" s="2554">
        <f t="shared" si="59"/>
        <v>0</v>
      </c>
      <c r="CO115" s="2554">
        <f t="shared" si="60"/>
        <v>0</v>
      </c>
      <c r="CP115" s="2554">
        <f t="shared" si="61"/>
        <v>0</v>
      </c>
      <c r="CQ115" s="2554">
        <f t="shared" si="62"/>
        <v>0</v>
      </c>
      <c r="CR115" s="2554">
        <f t="shared" si="63"/>
        <v>0</v>
      </c>
    </row>
    <row r="116" spans="1:96" s="170" customFormat="1" ht="15" customHeight="1" x14ac:dyDescent="0.15">
      <c r="A116" s="1457" t="s">
        <v>24</v>
      </c>
      <c r="B116" s="2625">
        <f t="shared" ref="B116:W116" si="64">SUM(B113:B115)</f>
        <v>0</v>
      </c>
      <c r="C116" s="4547">
        <f t="shared" si="64"/>
        <v>0</v>
      </c>
      <c r="D116" s="4549">
        <f t="shared" si="64"/>
        <v>0</v>
      </c>
      <c r="E116" s="1177">
        <f t="shared" si="64"/>
        <v>0</v>
      </c>
      <c r="F116" s="2626">
        <f t="shared" si="64"/>
        <v>0</v>
      </c>
      <c r="G116" s="2626">
        <f t="shared" si="64"/>
        <v>0</v>
      </c>
      <c r="H116" s="2626">
        <f t="shared" si="64"/>
        <v>0</v>
      </c>
      <c r="I116" s="2626">
        <f t="shared" si="64"/>
        <v>0</v>
      </c>
      <c r="J116" s="2626">
        <f t="shared" si="64"/>
        <v>0</v>
      </c>
      <c r="K116" s="2626">
        <f t="shared" si="64"/>
        <v>0</v>
      </c>
      <c r="L116" s="2626">
        <f t="shared" si="64"/>
        <v>0</v>
      </c>
      <c r="M116" s="2626">
        <f t="shared" si="64"/>
        <v>0</v>
      </c>
      <c r="N116" s="2626">
        <f t="shared" si="64"/>
        <v>0</v>
      </c>
      <c r="O116" s="2626">
        <f t="shared" si="64"/>
        <v>0</v>
      </c>
      <c r="P116" s="2627">
        <f t="shared" si="64"/>
        <v>0</v>
      </c>
      <c r="Q116" s="4546">
        <f t="shared" si="64"/>
        <v>0</v>
      </c>
      <c r="R116" s="4545">
        <f t="shared" si="64"/>
        <v>0</v>
      </c>
      <c r="S116" s="4545">
        <f t="shared" si="64"/>
        <v>0</v>
      </c>
      <c r="T116" s="4545">
        <f>SUM(T113:T115)</f>
        <v>0</v>
      </c>
      <c r="U116" s="4545">
        <f t="shared" si="64"/>
        <v>0</v>
      </c>
      <c r="V116" s="4545">
        <f t="shared" si="64"/>
        <v>0</v>
      </c>
      <c r="W116" s="4545">
        <f t="shared" si="64"/>
        <v>0</v>
      </c>
    </row>
    <row r="117" spans="1:96" s="1134" customFormat="1" ht="18" customHeight="1" x14ac:dyDescent="0.15">
      <c r="A117" s="8606" t="s">
        <v>1375</v>
      </c>
      <c r="B117" s="8606"/>
      <c r="C117" s="8606"/>
      <c r="D117" s="8606"/>
      <c r="CC117" s="170"/>
      <c r="CD117" s="170"/>
      <c r="CE117" s="170"/>
      <c r="CF117" s="170"/>
      <c r="CG117" s="170"/>
      <c r="CH117" s="170"/>
      <c r="CI117" s="170"/>
      <c r="CJ117" s="170"/>
      <c r="CK117" s="170"/>
      <c r="CL117" s="170"/>
      <c r="CM117" s="170"/>
    </row>
    <row r="118" spans="1:96" x14ac:dyDescent="0.25">
      <c r="A118" s="7790" t="s">
        <v>1357</v>
      </c>
      <c r="B118" s="7945" t="s">
        <v>24</v>
      </c>
      <c r="C118" s="7937"/>
      <c r="D118" s="7928"/>
      <c r="E118" s="7945" t="s">
        <v>12</v>
      </c>
      <c r="F118" s="7937"/>
      <c r="G118" s="7937"/>
      <c r="H118" s="7937"/>
      <c r="I118" s="7937"/>
      <c r="J118" s="7937"/>
      <c r="K118" s="7937"/>
      <c r="L118" s="8607"/>
      <c r="M118" s="8608" t="s">
        <v>1376</v>
      </c>
      <c r="N118" s="6528" t="s">
        <v>327</v>
      </c>
      <c r="O118" s="6528" t="s">
        <v>67</v>
      </c>
      <c r="P118" s="6528" t="s">
        <v>770</v>
      </c>
      <c r="Q118" s="6528" t="s">
        <v>1377</v>
      </c>
      <c r="R118" s="6528" t="s">
        <v>1378</v>
      </c>
      <c r="S118" s="6528" t="s">
        <v>2</v>
      </c>
      <c r="T118" s="6528" t="s">
        <v>3</v>
      </c>
      <c r="CC118" s="170"/>
      <c r="CD118" s="170"/>
      <c r="CE118" s="170"/>
      <c r="CF118" s="170"/>
      <c r="CG118" s="170"/>
      <c r="CH118" s="170"/>
      <c r="CI118" s="170"/>
      <c r="CJ118" s="170"/>
      <c r="CK118" s="170"/>
      <c r="CL118" s="170"/>
      <c r="CM118" s="170"/>
    </row>
    <row r="119" spans="1:96" ht="33" customHeight="1" x14ac:dyDescent="0.25">
      <c r="A119" s="8565"/>
      <c r="B119" s="6398" t="s">
        <v>50</v>
      </c>
      <c r="C119" s="4550" t="s">
        <v>22</v>
      </c>
      <c r="D119" s="4548" t="s">
        <v>27</v>
      </c>
      <c r="E119" s="1313" t="s">
        <v>3751</v>
      </c>
      <c r="F119" s="1639" t="s">
        <v>688</v>
      </c>
      <c r="G119" s="1639" t="s">
        <v>1379</v>
      </c>
      <c r="H119" s="1639" t="s">
        <v>1380</v>
      </c>
      <c r="I119" s="1639" t="s">
        <v>568</v>
      </c>
      <c r="J119" s="1639" t="s">
        <v>1381</v>
      </c>
      <c r="K119" s="1639" t="s">
        <v>745</v>
      </c>
      <c r="L119" s="2624" t="s">
        <v>1371</v>
      </c>
      <c r="M119" s="7057"/>
      <c r="N119" s="8605"/>
      <c r="O119" s="8605"/>
      <c r="P119" s="8605"/>
      <c r="Q119" s="8605"/>
      <c r="R119" s="8605"/>
      <c r="S119" s="8605"/>
      <c r="T119" s="8605"/>
      <c r="CC119" s="170"/>
      <c r="CD119" s="170"/>
      <c r="CE119" s="170"/>
      <c r="CF119" s="170"/>
      <c r="CG119" s="170"/>
      <c r="CH119" s="170"/>
      <c r="CI119" s="170"/>
      <c r="CJ119" s="170"/>
      <c r="CK119" s="170"/>
      <c r="CL119" s="170"/>
      <c r="CM119" s="170"/>
    </row>
    <row r="120" spans="1:96" ht="15" customHeight="1" x14ac:dyDescent="0.25">
      <c r="A120" s="1109" t="s">
        <v>1382</v>
      </c>
      <c r="B120" s="1631">
        <f>SUM(E120:L120)</f>
        <v>0</v>
      </c>
      <c r="C120" s="1321"/>
      <c r="D120" s="1320"/>
      <c r="E120" s="1318"/>
      <c r="F120" s="1487"/>
      <c r="G120" s="1487"/>
      <c r="H120" s="1487"/>
      <c r="I120" s="1487"/>
      <c r="J120" s="1487"/>
      <c r="K120" s="1487"/>
      <c r="L120" s="1322"/>
      <c r="M120" s="1480"/>
      <c r="N120" s="4544"/>
      <c r="O120" s="4544"/>
      <c r="P120" s="4544"/>
      <c r="Q120" s="4544"/>
      <c r="R120" s="4544"/>
      <c r="S120" s="4544"/>
      <c r="T120" s="4544"/>
      <c r="U120" t="str">
        <f>CC120&amp;CD120&amp;CE120&amp;CF120&amp;CG120&amp;CH120&amp;CI120&amp;CJ120</f>
        <v/>
      </c>
      <c r="CC120" s="2553" t="str">
        <f>IF((C120+D120)&lt;&gt;B120,"  * Las atenciones según Sexo (Hombres/Mujeres) deben ser igual al Total de atenciones","")</f>
        <v/>
      </c>
      <c r="CD120" s="2553" t="str">
        <f>IF(AND(D120&gt;0,N120="")," * No olvide digitar Embarazadas. Digite cero si no tiene.",IF(N120&gt;D120," * La variable Embarazadas no puede ser mayor al Total.",""))</f>
        <v/>
      </c>
      <c r="CE120" s="2553" t="str">
        <f>IF(AND(B120&gt;0,O120="")," * No olvide digitar Beneficiarios.",IF(O120&gt;B120," * Beneficiarios No puede ser mayor al Total.",""))</f>
        <v/>
      </c>
      <c r="CF120" s="2553" t="str">
        <f>IF(AND(B120&gt;0,P120="")," * No olvide digitar Usuarios con discapacidad. Digite cero si no tiene.",IF(P120&gt;B120," * Usuarios con discapacidad No puede ser mayor al Total.",""))</f>
        <v/>
      </c>
      <c r="CG120" s="2553" t="str">
        <f>IF(AND(B120&gt;0,Q120="")," * No olvide digitar Niños, niñas, adolescentes y jóvenes SENAME. Digite cero si no tiene.",IF(Q120&gt;B120," * Niños, niñas, adolescentes y jóvenes SENAME No puede ser mayor al Total.",""))</f>
        <v/>
      </c>
      <c r="CH120" s="2553" t="str">
        <f>IF(AND(B120&gt;0,R120="")," * No olvide digitar Niños, niñas, adolescentes y jóvenes Mejor Niñez. Digite cero si no tiene.",IF(R120&gt;B120," * Niños, niñas, adolescentes y jóvenes Mejor niñez No puede ser mayor al Total.",""))</f>
        <v/>
      </c>
      <c r="CI120" s="2553" t="str">
        <f>IF(AND(B120&gt;0,S120="")," * No olvide digitar Pueblos originarios. Digite cero si no tiene.",IF(S120&gt;B120," * Pueblos originarios No puede ser mayor al Total.",""))</f>
        <v/>
      </c>
      <c r="CJ120" s="2553" t="str">
        <f>IF(AND(B120&gt;0,T120="")," * No olvide digitar Migrantes. Digite cero si no tiene.",IF(T120&gt;B120," * Migrantes No puede ser mayor al Total.",""))</f>
        <v/>
      </c>
      <c r="CK120" s="1793">
        <f>IF((C120+D120)&lt;&gt;B120,1,0)</f>
        <v>0</v>
      </c>
      <c r="CL120" s="2554">
        <f>IF(AND(D120&gt;0,N120=""),1,IF(N120&gt;B120,1,0))</f>
        <v>0</v>
      </c>
      <c r="CM120" s="2554">
        <f>IF(AND(B120&gt;0,O120=""),1,IF(O120&gt;B120,1,0))</f>
        <v>0</v>
      </c>
      <c r="CN120" s="2554">
        <f>IF(AND(B120&gt;0,P120=""),1,IF(P120&gt;B120,1,0))</f>
        <v>0</v>
      </c>
      <c r="CO120" s="2554">
        <f>IF(AND(B120&gt;0,Q120=""),1,IF(Q120&gt;B120,1,0))</f>
        <v>0</v>
      </c>
      <c r="CP120" s="2554">
        <f>IF(AND(B120&gt;0,R120=""),1,IF(R120&gt;B120,1,0))</f>
        <v>0</v>
      </c>
      <c r="CQ120" s="2554">
        <f>IF(AND(B120&gt;0,S120=""),1,IF(S120&gt;B120,1,0))</f>
        <v>0</v>
      </c>
      <c r="CR120" s="2554">
        <f>IF(AND(B120&gt;0,T120=""),1,IF(T120&gt;B120,1,0))</f>
        <v>0</v>
      </c>
    </row>
    <row r="121" spans="1:96" ht="15" customHeight="1" x14ac:dyDescent="0.25">
      <c r="A121" s="1109" t="s">
        <v>1383</v>
      </c>
      <c r="B121" s="1631">
        <f>SUM(E121:L121)</f>
        <v>0</v>
      </c>
      <c r="C121" s="4529"/>
      <c r="D121" s="4069"/>
      <c r="E121" s="1113"/>
      <c r="F121" s="1476"/>
      <c r="G121" s="1476"/>
      <c r="H121" s="1476"/>
      <c r="I121" s="1476"/>
      <c r="J121" s="1476"/>
      <c r="K121" s="1476"/>
      <c r="L121" s="1118"/>
      <c r="M121" s="1480"/>
      <c r="N121" s="4544"/>
      <c r="O121" s="4544"/>
      <c r="P121" s="4544"/>
      <c r="Q121" s="4544"/>
      <c r="R121" s="4544"/>
      <c r="S121" s="4544"/>
      <c r="T121" s="4544"/>
      <c r="U121" t="str">
        <f>CC121&amp;CD121&amp;CE121&amp;CF121&amp;CG121&amp;CH121&amp;CI121&amp;CJ121</f>
        <v/>
      </c>
      <c r="CC121" s="2553" t="str">
        <f t="shared" ref="CC121" si="65">IF((C121+D121)&lt;&gt;B121,"  * Las atenciones según Sexo (Hombres/Mujeres) deben ser igual al Total de atenciones","")</f>
        <v/>
      </c>
      <c r="CD121" s="2553" t="str">
        <f>IF(AND(D121&gt;0,N121="")," * No olvide digitar Embarazadas. Digite cero si no tiene.",IF(N121&gt;D121," * La variable Embarazadas no puede ser mayor al Total.",""))</f>
        <v/>
      </c>
      <c r="CE121" s="2553" t="str">
        <f>IF(AND(B121&gt;0,O121="")," * No olvide digitar Beneficiarios.",IF(O121&gt;B121," * Beneficiarios No puede ser mayor al Total.",""))</f>
        <v/>
      </c>
      <c r="CF121" s="2553" t="str">
        <f>IF(AND(B121&gt;0,P121="")," * No olvide digitar Usuarios con discapacidad. Digite cero si no tiene.",IF(P121&gt;B121," * Usuarios con discapacidad No puede ser mayor al Total.",""))</f>
        <v/>
      </c>
      <c r="CG121" s="2553" t="str">
        <f>IF(AND(B121&gt;0,Q121="")," * No olvide digitar Niños, niñas, adolescentes y jóvenes SENAME. Digite cero si no tiene.",IF(Q121&gt;B121," * Niños, niñas, adolescentes y jóvenes SENAME No puede ser mayor al Total.",""))</f>
        <v/>
      </c>
      <c r="CH121" s="2553" t="str">
        <f>IF(AND(B121&gt;0,R121="")," * No olvide digitar Niños, niñas, adolescentes y jóvenes Mejor Niñez. Digite cero si no tiene.",IF(R121&gt;B121," * Niños, niñas, adolescentes y jóvenes Mejor niñez No puede ser mayor al Total.",""))</f>
        <v/>
      </c>
      <c r="CI121" s="2553" t="str">
        <f>IF(AND(B121&gt;0,S121="")," * No olvide digitar Pueblos originarios. Digite cero si no tiene.",IF(S121&gt;B121," * Pueblos originarios No puede ser mayor al Total.",""))</f>
        <v/>
      </c>
      <c r="CJ121" s="2553" t="str">
        <f>IF(AND(B121&gt;0,T121="")," * No olvide digitar Migrantes. Digite cero si no tiene.",IF(T121&gt;B121," * Migrantes No puede ser mayor al Total.",""))</f>
        <v/>
      </c>
      <c r="CK121" s="1793">
        <f>IF((C121+D121)&lt;&gt;B121,1,0)</f>
        <v>0</v>
      </c>
      <c r="CL121" s="2554">
        <f>IF(AND(D121&gt;0,N121=""),1,IF(N121&gt;B121,1,0))</f>
        <v>0</v>
      </c>
      <c r="CM121" s="2554">
        <f>IF(AND(B121&gt;0,O121=""),1,IF(O121&gt;B121,1,0))</f>
        <v>0</v>
      </c>
      <c r="CN121" s="2554">
        <f>IF(AND(B121&gt;0,P121=""),1,IF(P121&gt;B121,1,0))</f>
        <v>0</v>
      </c>
      <c r="CO121" s="2554">
        <f>IF(AND(B121&gt;0,Q121=""),1,IF(Q121&gt;B121,1,0))</f>
        <v>0</v>
      </c>
      <c r="CP121" s="2554">
        <f>IF(AND(B121&gt;0,R121=""),1,IF(R121&gt;B121,1,0))</f>
        <v>0</v>
      </c>
      <c r="CQ121" s="2554">
        <f>IF(AND(B121&gt;0,S121=""),1,IF(S121&gt;B121,1,0))</f>
        <v>0</v>
      </c>
      <c r="CR121" s="2554">
        <f>IF(AND(B121&gt;0,T121=""),1,IF(T121&gt;B121,1,0))</f>
        <v>0</v>
      </c>
    </row>
    <row r="122" spans="1:96" ht="15" customHeight="1" x14ac:dyDescent="0.25">
      <c r="A122" s="1456" t="s">
        <v>24</v>
      </c>
      <c r="B122" s="2625">
        <f t="shared" ref="B122:T122" si="66">SUM(B120:B121)</f>
        <v>0</v>
      </c>
      <c r="C122" s="4551">
        <f t="shared" si="66"/>
        <v>0</v>
      </c>
      <c r="D122" s="4549">
        <f t="shared" si="66"/>
        <v>0</v>
      </c>
      <c r="E122" s="1177">
        <f t="shared" si="66"/>
        <v>0</v>
      </c>
      <c r="F122" s="2626">
        <f t="shared" si="66"/>
        <v>0</v>
      </c>
      <c r="G122" s="2626">
        <f t="shared" si="66"/>
        <v>0</v>
      </c>
      <c r="H122" s="2626">
        <f t="shared" si="66"/>
        <v>0</v>
      </c>
      <c r="I122" s="2626">
        <f t="shared" si="66"/>
        <v>0</v>
      </c>
      <c r="J122" s="2626">
        <f t="shared" si="66"/>
        <v>0</v>
      </c>
      <c r="K122" s="2626">
        <f t="shared" si="66"/>
        <v>0</v>
      </c>
      <c r="L122" s="2627">
        <f t="shared" si="66"/>
        <v>0</v>
      </c>
      <c r="M122" s="4546">
        <f t="shared" si="66"/>
        <v>0</v>
      </c>
      <c r="N122" s="4545">
        <f t="shared" si="66"/>
        <v>0</v>
      </c>
      <c r="O122" s="4545">
        <f t="shared" si="66"/>
        <v>0</v>
      </c>
      <c r="P122" s="4545">
        <f t="shared" si="66"/>
        <v>0</v>
      </c>
      <c r="Q122" s="4545">
        <f t="shared" si="66"/>
        <v>0</v>
      </c>
      <c r="R122" s="4545">
        <f>SUM(R120:R121)</f>
        <v>0</v>
      </c>
      <c r="S122" s="4545">
        <f t="shared" si="66"/>
        <v>0</v>
      </c>
      <c r="T122" s="4545">
        <f t="shared" si="66"/>
        <v>0</v>
      </c>
      <c r="CC122" s="170"/>
      <c r="CD122" s="170"/>
      <c r="CE122" s="170"/>
      <c r="CF122" s="170"/>
      <c r="CG122" s="170"/>
      <c r="CH122" s="170"/>
      <c r="CI122" s="170"/>
      <c r="CJ122" s="170"/>
      <c r="CK122" s="170"/>
      <c r="CL122" s="170"/>
      <c r="CM122" s="170"/>
    </row>
    <row r="123" spans="1:96" s="1134" customFormat="1" ht="18" customHeight="1" x14ac:dyDescent="0.15">
      <c r="A123" s="8585" t="s">
        <v>1384</v>
      </c>
      <c r="B123" s="8585"/>
      <c r="CC123" s="170"/>
      <c r="CD123" s="170"/>
      <c r="CE123" s="170"/>
      <c r="CF123" s="170"/>
      <c r="CG123" s="170"/>
      <c r="CH123" s="170"/>
      <c r="CI123" s="170"/>
      <c r="CJ123" s="170"/>
      <c r="CK123" s="170"/>
      <c r="CL123" s="170"/>
      <c r="CM123" s="170"/>
    </row>
    <row r="124" spans="1:96" s="1134" customFormat="1" ht="18" customHeight="1" x14ac:dyDescent="0.15">
      <c r="A124" s="8585" t="s">
        <v>1385</v>
      </c>
      <c r="B124" s="8585"/>
      <c r="CC124" s="170"/>
      <c r="CD124" s="170"/>
      <c r="CE124" s="170"/>
      <c r="CF124" s="170"/>
      <c r="CG124" s="170"/>
      <c r="CH124" s="170"/>
      <c r="CI124" s="170"/>
      <c r="CJ124" s="170"/>
      <c r="CK124" s="170"/>
      <c r="CL124" s="170"/>
      <c r="CM124" s="170"/>
    </row>
    <row r="125" spans="1:96" s="170" customFormat="1" ht="15" customHeight="1" x14ac:dyDescent="0.15">
      <c r="A125" s="8613" t="s">
        <v>1386</v>
      </c>
      <c r="B125" s="8613" t="s">
        <v>1387</v>
      </c>
      <c r="C125" s="7935" t="s">
        <v>12</v>
      </c>
      <c r="D125" s="7934"/>
      <c r="E125" s="7934"/>
      <c r="F125" s="7934"/>
      <c r="G125" s="7934"/>
      <c r="H125" s="7934"/>
      <c r="I125" s="7934"/>
      <c r="J125" s="7934"/>
      <c r="K125" s="7934"/>
      <c r="L125" s="7934"/>
      <c r="M125" s="7934"/>
      <c r="N125" s="7934"/>
      <c r="O125" s="7934"/>
      <c r="P125" s="7934"/>
      <c r="Q125" s="7934"/>
      <c r="R125" s="7934"/>
      <c r="S125" s="8473"/>
      <c r="T125" s="8614" t="s">
        <v>523</v>
      </c>
      <c r="U125" s="8615"/>
      <c r="V125" s="7942" t="s">
        <v>1388</v>
      </c>
      <c r="W125" s="8609" t="s">
        <v>1389</v>
      </c>
      <c r="X125" s="8609" t="s">
        <v>2</v>
      </c>
      <c r="Y125" s="8609" t="s">
        <v>3</v>
      </c>
      <c r="Z125" s="6528" t="s">
        <v>68</v>
      </c>
      <c r="AA125" s="8611" t="s">
        <v>17</v>
      </c>
    </row>
    <row r="126" spans="1:96" s="170" customFormat="1" ht="36.75" customHeight="1" x14ac:dyDescent="0.15">
      <c r="A126" s="8613"/>
      <c r="B126" s="8613"/>
      <c r="C126" s="1313" t="s">
        <v>36</v>
      </c>
      <c r="D126" s="1639" t="s">
        <v>37</v>
      </c>
      <c r="E126" s="1315" t="s">
        <v>1315</v>
      </c>
      <c r="F126" s="1639" t="s">
        <v>4</v>
      </c>
      <c r="G126" s="1605" t="s">
        <v>5</v>
      </c>
      <c r="H126" s="1605" t="s">
        <v>6</v>
      </c>
      <c r="I126" s="1605" t="s">
        <v>7</v>
      </c>
      <c r="J126" s="1605" t="s">
        <v>8</v>
      </c>
      <c r="K126" s="1605" t="s">
        <v>9</v>
      </c>
      <c r="L126" s="1605" t="s">
        <v>10</v>
      </c>
      <c r="M126" s="1605" t="s">
        <v>11</v>
      </c>
      <c r="N126" s="1605" t="s">
        <v>18</v>
      </c>
      <c r="O126" s="1605" t="s">
        <v>19</v>
      </c>
      <c r="P126" s="1605" t="s">
        <v>20</v>
      </c>
      <c r="Q126" s="1605" t="s">
        <v>70</v>
      </c>
      <c r="R126" s="1605" t="s">
        <v>71</v>
      </c>
      <c r="S126" s="4530" t="s">
        <v>32</v>
      </c>
      <c r="T126" s="4533" t="s">
        <v>22</v>
      </c>
      <c r="U126" s="4534" t="s">
        <v>27</v>
      </c>
      <c r="V126" s="7943"/>
      <c r="W126" s="8610"/>
      <c r="X126" s="8610"/>
      <c r="Y126" s="8610"/>
      <c r="Z126" s="8605"/>
      <c r="AA126" s="8612"/>
    </row>
    <row r="127" spans="1:96" s="170" customFormat="1" ht="15" customHeight="1" x14ac:dyDescent="0.15">
      <c r="A127" s="1642" t="s">
        <v>1390</v>
      </c>
      <c r="B127" s="1643">
        <f>SUM(C127:S127)</f>
        <v>0</v>
      </c>
      <c r="C127" s="1644"/>
      <c r="D127" s="1645"/>
      <c r="E127" s="1645"/>
      <c r="F127" s="1645"/>
      <c r="G127" s="1645"/>
      <c r="H127" s="1645"/>
      <c r="I127" s="1645"/>
      <c r="J127" s="1645"/>
      <c r="K127" s="1645"/>
      <c r="L127" s="1645"/>
      <c r="M127" s="1645"/>
      <c r="N127" s="1645"/>
      <c r="O127" s="1645"/>
      <c r="P127" s="1645"/>
      <c r="Q127" s="1645"/>
      <c r="R127" s="1645"/>
      <c r="S127" s="4531"/>
      <c r="T127" s="4535"/>
      <c r="U127" s="1648"/>
      <c r="V127" s="1649"/>
      <c r="W127" s="4540"/>
      <c r="X127" s="4540"/>
      <c r="Y127" s="4540"/>
      <c r="Z127" s="4542"/>
      <c r="AA127" s="1646"/>
      <c r="AB127" s="170" t="str">
        <f>CC127&amp;CD127&amp;CE127&amp;CF127&amp;CG127&amp;CH127&amp;CI127</f>
        <v/>
      </c>
      <c r="CC127" s="2553" t="str">
        <f>IF((T127+U127)&lt;&gt;B127,"  * Las acciones según Sexo (Hombres/Mujeres) deben ser igual al Total de acciones","")</f>
        <v/>
      </c>
      <c r="CD127" s="2553" t="str">
        <f>IF(AND(B127&gt;0,V127="")," * No olvide digitar Niños, Niñas, adolescentes y jóvenes SENAME. Digite cero si no tiene.",IF(V127&gt;B127," * Niños, Niñas, adolescentes y jóvenes SENAME No puede ser mayor que el Total.",""))</f>
        <v/>
      </c>
      <c r="CE127" s="2553" t="str">
        <f>IF(AND(B127&gt;0,W127="")," * No olvide digitar Niños, Niñas, adolescentes y jóvenes Mejor Niñez. Digite cero si no tiene.",IF(W127&gt;B127," * Niños, Niñas, adolescentes y jóvenes Mejor Niñez No puede ser mayor que el Total.",""))</f>
        <v/>
      </c>
      <c r="CF127" s="2553" t="str">
        <f>IF(AND(B127&gt;0,X127="")," * No olvide digitar Pueblos Originarios. Digite cero si no tiene.",IF(X127&gt;B127," * Pueblos originarios No puede ser mayor que el Total.",""))</f>
        <v/>
      </c>
      <c r="CG127" s="2553" t="str">
        <f>IF(AND(B127&gt;0,Y127="")," * No olvide digitar Migrantes. Digite cero si no tiene.",IF(Y127&gt;B127," * Migrantes No puede ser mayor que el Total.",""))</f>
        <v/>
      </c>
      <c r="CH127" s="2553" t="str">
        <f>IF(AND(B127&gt;0,Z127="")," * No olvide digitar el campo  Demencia. Digite cero si no tiene.",IF(Z127&gt;B127," * El campo Demencia No puede ser mayor que el Total.",""))</f>
        <v/>
      </c>
      <c r="CI127" s="2553" t="str">
        <f>IF(AND(B127&gt;0,AA127="")," * No olvide digitar el campo Espacios Amigables/Adolescentes. Digite cero si no tiene.",IF(AA127&gt;B127," * El campo Espacios Amigables/Adolescente No puede ser mayor que el Total.",""))</f>
        <v/>
      </c>
      <c r="CK127" s="2554">
        <f>IF((T127+U127)&lt;&gt;B127,1,0)</f>
        <v>0</v>
      </c>
      <c r="CL127" s="2554">
        <f>IF(AND(B127&gt;0,V127=""),1,IF(V127&gt;B127,1,0))</f>
        <v>0</v>
      </c>
      <c r="CM127" s="2554">
        <f>IF(AND(B127&gt;0,W127=""),1,IF(W127&gt;B127,1,0))</f>
        <v>0</v>
      </c>
      <c r="CN127" s="2554">
        <f>IF(AND(B127&gt;0,X127=""),1,IF(X127&gt;B127,1,0))</f>
        <v>0</v>
      </c>
      <c r="CO127" s="2554">
        <f>IF(AND(B127&gt;0,Y127=""),1,IF(Y127&gt;B127,1,0))</f>
        <v>0</v>
      </c>
      <c r="CP127" s="2554">
        <f>IF(AND(B127&gt;0,Z127=""),1,IF(Z127&gt;B127,1,0))</f>
        <v>0</v>
      </c>
      <c r="CQ127" s="2554">
        <f>IF(AND(B127&gt;0,AA127=""),1,IF(AA127&gt;B127,1,0))</f>
        <v>0</v>
      </c>
    </row>
    <row r="128" spans="1:96" s="170" customFormat="1" ht="15" customHeight="1" x14ac:dyDescent="0.15">
      <c r="A128" s="1271" t="s">
        <v>1391</v>
      </c>
      <c r="B128" s="1651">
        <f>SUM(C128:S128)</f>
        <v>0</v>
      </c>
      <c r="C128" s="1644"/>
      <c r="D128" s="1645"/>
      <c r="E128" s="1645"/>
      <c r="F128" s="1645"/>
      <c r="G128" s="1645"/>
      <c r="H128" s="1645"/>
      <c r="I128" s="1645"/>
      <c r="J128" s="1645"/>
      <c r="K128" s="1645"/>
      <c r="L128" s="1645"/>
      <c r="M128" s="1645"/>
      <c r="N128" s="1645"/>
      <c r="O128" s="1645"/>
      <c r="P128" s="1645"/>
      <c r="Q128" s="1645"/>
      <c r="R128" s="1645"/>
      <c r="S128" s="4531"/>
      <c r="T128" s="4536"/>
      <c r="U128" s="4537"/>
      <c r="V128" s="1649"/>
      <c r="W128" s="4540"/>
      <c r="X128" s="4540"/>
      <c r="Y128" s="4540"/>
      <c r="Z128" s="4542"/>
      <c r="AA128" s="1646"/>
      <c r="AB128" s="170" t="str">
        <f t="shared" ref="AB128:AB129" si="67">CC128&amp;CD128&amp;CE128&amp;CF128&amp;CG128&amp;CH128&amp;CI128</f>
        <v/>
      </c>
      <c r="CC128" s="2553" t="str">
        <f t="shared" ref="CC128:CC129" si="68">IF((T128+U128)&lt;&gt;B128,"  * Las acciones según Sexo (Hombres/Mujeres) deben ser igual al Total de acciones","")</f>
        <v/>
      </c>
      <c r="CD128" s="2553" t="str">
        <f t="shared" ref="CD128:CD129" si="69">IF(AND(B128&gt;0,V128="")," * No olvide digitar Niños, Niñas, adolescentes y jóvenes SENAME. Digite cero si no tiene.",IF(V128&gt;B128," * Niños, Niñas, adolescentes y jóvenes SENAME No puede ser mayor que el Total.",""))</f>
        <v/>
      </c>
      <c r="CE128" s="2553" t="str">
        <f t="shared" ref="CE128:CE129" si="70">IF(AND(B128&gt;0,W128="")," * No olvide digitar Niños, Niñas, adolescentes y jóvenes Mejor Niñez. Digite cero si no tiene.",IF(W128&gt;B128," * Niños, Niñas, adolescentes y jóvenes Mejor Niñez No puede ser mayor que el Total.",""))</f>
        <v/>
      </c>
      <c r="CF128" s="2553" t="str">
        <f t="shared" ref="CF128:CF129" si="71">IF(AND(B128&gt;0,X128="")," * No olvide digitar Pueblos Originarios. Digite cero si no tiene.",IF(X128&gt;B128," * Pueblos originarios No puede ser mayor que el Total.",""))</f>
        <v/>
      </c>
      <c r="CG128" s="2553" t="str">
        <f t="shared" ref="CG128:CG129" si="72">IF(AND(B128&gt;0,Y128="")," * No olvide digitar Migrantes. Digite cero si no tiene.",IF(Y128&gt;B128," * Migrantes No puede ser mayor que el Total.",""))</f>
        <v/>
      </c>
      <c r="CH128" s="2553" t="str">
        <f t="shared" ref="CH128:CH129" si="73">IF(AND(B128&gt;0,Z128="")," * No olvide digitar el campo  Demencia. Digite cero si no tiene.",IF(Z128&gt;B128," * El campo Demencia No puede ser mayor que el Total.",""))</f>
        <v/>
      </c>
      <c r="CI128" s="2553" t="str">
        <f t="shared" ref="CI128:CI129" si="74">IF(AND(B128&gt;0,AA128="")," * No olvide digitar el campo Espacios Amigables/Adolescentes. Digite cero si no tiene.",IF(AA128&gt;B128," * El campo Espacios Amigables/Adolescente No puede ser mayor que el Total.",""))</f>
        <v/>
      </c>
      <c r="CK128" s="2554">
        <f t="shared" ref="CK128:CK129" si="75">IF((T128+U128)&lt;&gt;B128,1,0)</f>
        <v>0</v>
      </c>
      <c r="CL128" s="2554">
        <f t="shared" ref="CL128:CL129" si="76">IF(AND(B128&gt;0,V128=""),1,IF(V128&gt;B128,1,0))</f>
        <v>0</v>
      </c>
      <c r="CM128" s="2554">
        <f t="shared" ref="CM128:CM129" si="77">IF(AND(B128&gt;0,W128=""),1,IF(W128&gt;B128,1,0))</f>
        <v>0</v>
      </c>
      <c r="CN128" s="2554">
        <f t="shared" ref="CN128:CN129" si="78">IF(AND(B128&gt;0,X128=""),1,IF(X128&gt;B128,1,0))</f>
        <v>0</v>
      </c>
      <c r="CO128" s="2554">
        <f t="shared" ref="CO128:CO129" si="79">IF(AND(B128&gt;0,Y128=""),1,IF(Y128&gt;B128,1,0))</f>
        <v>0</v>
      </c>
      <c r="CP128" s="2554">
        <f t="shared" ref="CP128:CP129" si="80">IF(AND(B128&gt;0,Z128=""),1,IF(Z128&gt;B128,1,0))</f>
        <v>0</v>
      </c>
      <c r="CQ128" s="2554">
        <f t="shared" ref="CQ128:CQ129" si="81">IF(AND(B128&gt;0,AA128=""),1,IF(AA128&gt;B128,1,0))</f>
        <v>0</v>
      </c>
    </row>
    <row r="129" spans="1:95" s="170" customFormat="1" ht="15" customHeight="1" x14ac:dyDescent="0.15">
      <c r="A129" s="1652" t="s">
        <v>1392</v>
      </c>
      <c r="B129" s="1653">
        <f>SUM(C129:S129)</f>
        <v>0</v>
      </c>
      <c r="C129" s="1654"/>
      <c r="D129" s="1655"/>
      <c r="E129" s="1655"/>
      <c r="F129" s="1655"/>
      <c r="G129" s="1655"/>
      <c r="H129" s="1655"/>
      <c r="I129" s="1655"/>
      <c r="J129" s="1655"/>
      <c r="K129" s="1655"/>
      <c r="L129" s="1655"/>
      <c r="M129" s="1655"/>
      <c r="N129" s="1655"/>
      <c r="O129" s="1655"/>
      <c r="P129" s="1655"/>
      <c r="Q129" s="1655"/>
      <c r="R129" s="1655"/>
      <c r="S129" s="4532"/>
      <c r="T129" s="4538"/>
      <c r="U129" s="4539"/>
      <c r="V129" s="1657"/>
      <c r="W129" s="4541"/>
      <c r="X129" s="4541"/>
      <c r="Y129" s="4541"/>
      <c r="Z129" s="4543"/>
      <c r="AA129" s="1656"/>
      <c r="AB129" s="170" t="str">
        <f t="shared" si="67"/>
        <v/>
      </c>
      <c r="CC129" s="2553" t="str">
        <f t="shared" si="68"/>
        <v/>
      </c>
      <c r="CD129" s="2553" t="str">
        <f t="shared" si="69"/>
        <v/>
      </c>
      <c r="CE129" s="2553" t="str">
        <f t="shared" si="70"/>
        <v/>
      </c>
      <c r="CF129" s="2553" t="str">
        <f t="shared" si="71"/>
        <v/>
      </c>
      <c r="CG129" s="2553" t="str">
        <f t="shared" si="72"/>
        <v/>
      </c>
      <c r="CH129" s="2553" t="str">
        <f t="shared" si="73"/>
        <v/>
      </c>
      <c r="CI129" s="2553" t="str">
        <f t="shared" si="74"/>
        <v/>
      </c>
      <c r="CK129" s="2554">
        <f t="shared" si="75"/>
        <v>0</v>
      </c>
      <c r="CL129" s="2554">
        <f t="shared" si="76"/>
        <v>0</v>
      </c>
      <c r="CM129" s="2554">
        <f t="shared" si="77"/>
        <v>0</v>
      </c>
      <c r="CN129" s="2554">
        <f t="shared" si="78"/>
        <v>0</v>
      </c>
      <c r="CO129" s="2554">
        <f t="shared" si="79"/>
        <v>0</v>
      </c>
      <c r="CP129" s="2554">
        <f t="shared" si="80"/>
        <v>0</v>
      </c>
      <c r="CQ129" s="2554">
        <f t="shared" si="81"/>
        <v>0</v>
      </c>
    </row>
    <row r="130" spans="1:95" s="1134" customFormat="1" ht="18" customHeight="1" x14ac:dyDescent="0.15">
      <c r="A130" s="8585" t="s">
        <v>1393</v>
      </c>
      <c r="B130" s="8585"/>
      <c r="CC130" s="170"/>
      <c r="CD130" s="170"/>
      <c r="CE130" s="170"/>
      <c r="CF130" s="170"/>
      <c r="CG130" s="170"/>
      <c r="CH130" s="170"/>
      <c r="CI130" s="170"/>
      <c r="CJ130" s="170"/>
      <c r="CK130" s="170"/>
      <c r="CL130" s="170"/>
      <c r="CM130" s="170"/>
    </row>
    <row r="131" spans="1:95" s="170" customFormat="1" ht="15" customHeight="1" x14ac:dyDescent="0.15">
      <c r="A131" s="7955" t="s">
        <v>137</v>
      </c>
      <c r="B131" s="7955" t="s">
        <v>61</v>
      </c>
      <c r="C131" s="7884" t="s">
        <v>24</v>
      </c>
      <c r="D131" s="6940"/>
      <c r="E131" s="7879"/>
      <c r="F131" s="7935" t="s">
        <v>30</v>
      </c>
      <c r="G131" s="7934"/>
      <c r="H131" s="7934"/>
      <c r="I131" s="7934"/>
      <c r="J131" s="7934"/>
      <c r="K131" s="7934"/>
      <c r="L131" s="7934"/>
      <c r="M131" s="7934"/>
      <c r="N131" s="7934"/>
      <c r="O131" s="7934"/>
      <c r="P131" s="7934"/>
      <c r="Q131" s="7934"/>
      <c r="R131" s="7934"/>
      <c r="S131" s="7934"/>
      <c r="T131" s="7934"/>
      <c r="U131" s="7934"/>
      <c r="V131" s="7934"/>
      <c r="W131" s="7934"/>
      <c r="X131" s="7934"/>
      <c r="Y131" s="7934"/>
      <c r="Z131" s="7934"/>
      <c r="AA131" s="7934"/>
      <c r="AB131" s="7934"/>
      <c r="AC131" s="7934"/>
      <c r="AD131" s="7934"/>
      <c r="AE131" s="7934"/>
      <c r="AF131" s="7934"/>
      <c r="AG131" s="7934"/>
      <c r="AH131" s="7934"/>
      <c r="AI131" s="7934"/>
      <c r="AJ131" s="7934"/>
      <c r="AK131" s="7934"/>
      <c r="AL131" s="7934"/>
      <c r="AM131" s="8473"/>
      <c r="AN131" s="8608" t="s">
        <v>45</v>
      </c>
      <c r="AO131" s="8609" t="s">
        <v>2</v>
      </c>
      <c r="AP131" s="8609" t="s">
        <v>3</v>
      </c>
      <c r="AQ131" s="8609" t="s">
        <v>68</v>
      </c>
      <c r="AR131" s="8609" t="s">
        <v>17</v>
      </c>
    </row>
    <row r="132" spans="1:95" s="170" customFormat="1" ht="15" customHeight="1" x14ac:dyDescent="0.15">
      <c r="A132" s="7956"/>
      <c r="B132" s="7956"/>
      <c r="C132" s="8596"/>
      <c r="D132" s="8617"/>
      <c r="E132" s="7933"/>
      <c r="F132" s="7945" t="s">
        <v>36</v>
      </c>
      <c r="G132" s="7928"/>
      <c r="H132" s="7945" t="s">
        <v>37</v>
      </c>
      <c r="I132" s="7928"/>
      <c r="J132" s="7945" t="s">
        <v>38</v>
      </c>
      <c r="K132" s="7928"/>
      <c r="L132" s="7945" t="s">
        <v>4</v>
      </c>
      <c r="M132" s="7937"/>
      <c r="N132" s="7945" t="s">
        <v>5</v>
      </c>
      <c r="O132" s="7928"/>
      <c r="P132" s="7935" t="s">
        <v>6</v>
      </c>
      <c r="Q132" s="7936"/>
      <c r="R132" s="7935" t="s">
        <v>7</v>
      </c>
      <c r="S132" s="7936"/>
      <c r="T132" s="7935" t="s">
        <v>8</v>
      </c>
      <c r="U132" s="7936"/>
      <c r="V132" s="7935" t="s">
        <v>9</v>
      </c>
      <c r="W132" s="7936"/>
      <c r="X132" s="7935" t="s">
        <v>10</v>
      </c>
      <c r="Y132" s="7936"/>
      <c r="Z132" s="7935" t="s">
        <v>11</v>
      </c>
      <c r="AA132" s="7936"/>
      <c r="AB132" s="7935" t="s">
        <v>18</v>
      </c>
      <c r="AC132" s="7936"/>
      <c r="AD132" s="7935" t="s">
        <v>19</v>
      </c>
      <c r="AE132" s="7936"/>
      <c r="AF132" s="7935" t="s">
        <v>20</v>
      </c>
      <c r="AG132" s="7936"/>
      <c r="AH132" s="7935" t="s">
        <v>70</v>
      </c>
      <c r="AI132" s="7936"/>
      <c r="AJ132" s="7935" t="s">
        <v>71</v>
      </c>
      <c r="AK132" s="7936"/>
      <c r="AL132" s="7935" t="s">
        <v>32</v>
      </c>
      <c r="AM132" s="8473"/>
      <c r="AN132" s="7073"/>
      <c r="AO132" s="6968"/>
      <c r="AP132" s="6968"/>
      <c r="AQ132" s="6968"/>
      <c r="AR132" s="6968"/>
    </row>
    <row r="133" spans="1:95" s="170" customFormat="1" ht="15" customHeight="1" x14ac:dyDescent="0.15">
      <c r="A133" s="8616"/>
      <c r="B133" s="8616"/>
      <c r="C133" s="1183" t="s">
        <v>26</v>
      </c>
      <c r="D133" s="1315" t="s">
        <v>22</v>
      </c>
      <c r="E133" s="1314" t="s">
        <v>27</v>
      </c>
      <c r="F133" s="1313" t="s">
        <v>22</v>
      </c>
      <c r="G133" s="1314" t="s">
        <v>27</v>
      </c>
      <c r="H133" s="1313" t="s">
        <v>22</v>
      </c>
      <c r="I133" s="1314" t="s">
        <v>27</v>
      </c>
      <c r="J133" s="1313" t="s">
        <v>22</v>
      </c>
      <c r="K133" s="1314" t="s">
        <v>27</v>
      </c>
      <c r="L133" s="1315" t="s">
        <v>22</v>
      </c>
      <c r="M133" s="2628" t="s">
        <v>27</v>
      </c>
      <c r="N133" s="1313" t="s">
        <v>22</v>
      </c>
      <c r="O133" s="2629" t="s">
        <v>27</v>
      </c>
      <c r="P133" s="1313" t="s">
        <v>22</v>
      </c>
      <c r="Q133" s="2629" t="s">
        <v>27</v>
      </c>
      <c r="R133" s="1315" t="s">
        <v>22</v>
      </c>
      <c r="S133" s="2629" t="s">
        <v>27</v>
      </c>
      <c r="T133" s="1315" t="s">
        <v>22</v>
      </c>
      <c r="U133" s="2629" t="s">
        <v>27</v>
      </c>
      <c r="V133" s="1313" t="s">
        <v>22</v>
      </c>
      <c r="W133" s="2629" t="s">
        <v>27</v>
      </c>
      <c r="X133" s="1315" t="s">
        <v>22</v>
      </c>
      <c r="Y133" s="2629" t="s">
        <v>27</v>
      </c>
      <c r="Z133" s="1315" t="s">
        <v>22</v>
      </c>
      <c r="AA133" s="2629" t="s">
        <v>27</v>
      </c>
      <c r="AB133" s="1315" t="s">
        <v>22</v>
      </c>
      <c r="AC133" s="2629" t="s">
        <v>27</v>
      </c>
      <c r="AD133" s="1315" t="s">
        <v>22</v>
      </c>
      <c r="AE133" s="2629" t="s">
        <v>27</v>
      </c>
      <c r="AF133" s="1315" t="s">
        <v>22</v>
      </c>
      <c r="AG133" s="2629" t="s">
        <v>27</v>
      </c>
      <c r="AH133" s="1315" t="s">
        <v>22</v>
      </c>
      <c r="AI133" s="2629" t="s">
        <v>27</v>
      </c>
      <c r="AJ133" s="1315" t="s">
        <v>22</v>
      </c>
      <c r="AK133" s="2629" t="s">
        <v>27</v>
      </c>
      <c r="AL133" s="1315" t="s">
        <v>22</v>
      </c>
      <c r="AM133" s="4460" t="s">
        <v>27</v>
      </c>
      <c r="AN133" s="7057"/>
      <c r="AO133" s="8610"/>
      <c r="AP133" s="8610"/>
      <c r="AQ133" s="8610"/>
      <c r="AR133" s="8610"/>
    </row>
    <row r="134" spans="1:95" s="170" customFormat="1" ht="15" customHeight="1" x14ac:dyDescent="0.15">
      <c r="A134" s="7043" t="s">
        <v>1394</v>
      </c>
      <c r="B134" s="5826" t="s">
        <v>74</v>
      </c>
      <c r="C134" s="5827">
        <f t="shared" ref="C134:C155" si="82">SUM(D134:E134)</f>
        <v>0</v>
      </c>
      <c r="D134" s="5828">
        <f t="shared" ref="D134:E143" si="83">SUM(F134+H134+J134+L134+N134+P134+R134+T134+V134+X134+Z134+AB134+AD134+AF134+AH134+AJ134+AL134)</f>
        <v>0</v>
      </c>
      <c r="E134" s="5829">
        <f t="shared" si="83"/>
        <v>0</v>
      </c>
      <c r="F134" s="5830"/>
      <c r="G134" s="5831"/>
      <c r="H134" s="5830"/>
      <c r="I134" s="5831"/>
      <c r="J134" s="5830"/>
      <c r="K134" s="5831"/>
      <c r="L134" s="5832"/>
      <c r="M134" s="5833"/>
      <c r="N134" s="5830"/>
      <c r="O134" s="5834"/>
      <c r="P134" s="5830"/>
      <c r="Q134" s="5834"/>
      <c r="R134" s="5832"/>
      <c r="S134" s="5834"/>
      <c r="T134" s="5832"/>
      <c r="U134" s="5834"/>
      <c r="V134" s="5830"/>
      <c r="W134" s="5831"/>
      <c r="X134" s="5832"/>
      <c r="Y134" s="5831"/>
      <c r="Z134" s="5832"/>
      <c r="AA134" s="5834"/>
      <c r="AB134" s="5832"/>
      <c r="AC134" s="5834"/>
      <c r="AD134" s="5832"/>
      <c r="AE134" s="5834"/>
      <c r="AF134" s="5832"/>
      <c r="AG134" s="5834"/>
      <c r="AH134" s="5832"/>
      <c r="AI134" s="5834"/>
      <c r="AJ134" s="5832"/>
      <c r="AK134" s="5834"/>
      <c r="AL134" s="5832"/>
      <c r="AM134" s="5833"/>
      <c r="AN134" s="5835"/>
      <c r="AO134" s="5834"/>
      <c r="AP134" s="5834"/>
      <c r="AQ134" s="5834"/>
      <c r="AR134" s="5834"/>
      <c r="AS134" s="170" t="str">
        <f>CC134&amp;CD134&amp;CE134&amp;CF134&amp;CG134</f>
        <v/>
      </c>
      <c r="CC134" s="2553" t="str">
        <f t="shared" ref="CC134:CC143" si="84">IF(AND(C134&gt;0,AN134="")," * No olvide digitar Niños, Niñas, Adolescentes y Jóvenes Mejor Niñez. Digite Cero si no tiene",IF(AN134&gt;C134," * Niños, Niñas, Adolescentes y Jóvenes Mejor Niñez No puede ser mayor al Total.",""))</f>
        <v/>
      </c>
      <c r="CD134" s="2553" t="str">
        <f>IF(AND(C134&gt;0,AO134="")," * No olvide digitar la variable Pueblos originarios. Digite cero si no tiene",IF(AO134&gt;C134," * La variable Pueblos Originarios No puede ser mayor al Total.",""))</f>
        <v/>
      </c>
      <c r="CE134" s="2553" t="str">
        <f>IF(AND(C134&gt;0,AP134="")," * No olvide digitar la variable Migrantes. Digite cero si no tiene.",IF(AP134&gt;C134," * La variable Migrantes No puede ser mayor al Total.",""))</f>
        <v/>
      </c>
      <c r="CF134" s="2553" t="str">
        <f>IF(AND(C134&gt;0,AQ134="")," * No olvide digitar la variable Demencia. Digite cero si no tiene.",IF(AQ134&gt;C134," * La variable Demencia No puede ser mayor al Total.",""))</f>
        <v/>
      </c>
      <c r="CG134" s="2553" t="str">
        <f>IF(AND(C134&gt;0,AR134="")," * No olvide digitar la variable Espacios Amigables/Adolescentes. Digite cero si no tiene.",IF(AR134&gt;C134," * La variable Espacios Amigables/adolescentes No puede ser mayor al Total.",""))</f>
        <v/>
      </c>
      <c r="CH134" s="6042"/>
      <c r="CI134" s="6042"/>
      <c r="CK134" s="2554">
        <f>IF(AND(C134&gt;0,AN134=""),1,IF(AN134&gt;C134,1,0))</f>
        <v>0</v>
      </c>
      <c r="CL134" s="2554">
        <f>IF(AND(C134&gt;0,AO134=""),1,IF(AO134&gt;C134,1,0))</f>
        <v>0</v>
      </c>
      <c r="CM134" s="2554">
        <f>IF(AND(C134&gt;0,AP134=""),1,IF(AP134&gt;C134,1,0))</f>
        <v>0</v>
      </c>
      <c r="CN134" s="2554">
        <f>IF(AND(C134&gt;0,AQ134=""),1,IF(AQ134&gt;C134,1,0))</f>
        <v>0</v>
      </c>
      <c r="CO134" s="2554">
        <f>IF(AND(C134&gt;0,AR134=""),1,IF(AR134&gt;C134,1,0))</f>
        <v>0</v>
      </c>
    </row>
    <row r="135" spans="1:95" s="170" customFormat="1" ht="15" customHeight="1" x14ac:dyDescent="0.15">
      <c r="A135" s="7044"/>
      <c r="B135" s="5010" t="s">
        <v>75</v>
      </c>
      <c r="C135" s="1660">
        <f t="shared" si="82"/>
        <v>0</v>
      </c>
      <c r="D135" s="5836">
        <f t="shared" si="83"/>
        <v>0</v>
      </c>
      <c r="E135" s="5837">
        <f t="shared" si="83"/>
        <v>0</v>
      </c>
      <c r="F135" s="1644"/>
      <c r="G135" s="4542"/>
      <c r="H135" s="1644"/>
      <c r="I135" s="4542"/>
      <c r="J135" s="1644"/>
      <c r="K135" s="4542"/>
      <c r="L135" s="5838"/>
      <c r="M135" s="5839"/>
      <c r="N135" s="1644"/>
      <c r="O135" s="4516"/>
      <c r="P135" s="1644"/>
      <c r="Q135" s="4516"/>
      <c r="R135" s="5838"/>
      <c r="S135" s="4516"/>
      <c r="T135" s="5838"/>
      <c r="U135" s="4516"/>
      <c r="V135" s="1644"/>
      <c r="W135" s="4542"/>
      <c r="X135" s="5838"/>
      <c r="Y135" s="4542"/>
      <c r="Z135" s="5838"/>
      <c r="AA135" s="4516"/>
      <c r="AB135" s="5838"/>
      <c r="AC135" s="4516"/>
      <c r="AD135" s="5838"/>
      <c r="AE135" s="4516"/>
      <c r="AF135" s="5838"/>
      <c r="AG135" s="4516"/>
      <c r="AH135" s="5838"/>
      <c r="AI135" s="4516"/>
      <c r="AJ135" s="5838"/>
      <c r="AK135" s="4516"/>
      <c r="AL135" s="5838"/>
      <c r="AM135" s="5839"/>
      <c r="AN135" s="4515"/>
      <c r="AO135" s="4516"/>
      <c r="AP135" s="4516"/>
      <c r="AQ135" s="4516"/>
      <c r="AR135" s="4516"/>
      <c r="AS135" s="170" t="str">
        <f t="shared" ref="AS135:AS154" si="85">CC135&amp;CD135&amp;CE135&amp;CF135&amp;CG135</f>
        <v/>
      </c>
      <c r="CC135" s="2553" t="str">
        <f t="shared" si="84"/>
        <v/>
      </c>
      <c r="CD135" s="2553" t="str">
        <f t="shared" ref="CD135:CD143" si="86">IF(AND(C135&gt;0,AO135="")," * No olvide digitar la variable Pueblos originarios. Digite cero si no tiene",IF(AO135&gt;C135," * La variable Pueblos Originarios No puede ser mayor al Total.",""))</f>
        <v/>
      </c>
      <c r="CE135" s="2553" t="str">
        <f t="shared" ref="CE135:CE143" si="87">IF(AND(C135&gt;0,AP135="")," * No olvide digitar la variable Migrantes. Digite cero si no tiene.",IF(AP135&gt;C135," * La variable Migrantes No puede ser mayor al Total.",""))</f>
        <v/>
      </c>
      <c r="CF135" s="2553" t="str">
        <f t="shared" ref="CF135:CF143" si="88">IF(AND(C135&gt;0,AQ135="")," * No olvide digitar la variable Demencia. Digite cero si no tiene.",IF(AQ135&gt;C135," * La variable Demencia No puede ser mayor al Total.",""))</f>
        <v/>
      </c>
      <c r="CG135" s="2553" t="str">
        <f t="shared" ref="CG135:CG143" si="89">IF(AND(C135&gt;0,AR135="")," * No olvide digitar la variable Espacios Amigables/Adolescentes. Digite cero si no tiene.",IF(AR135&gt;C135," * La variable Espacios Amigables/adolescentes No puede ser mayor al Total.",""))</f>
        <v/>
      </c>
      <c r="CH135" s="6042"/>
      <c r="CI135" s="6042"/>
      <c r="CK135" s="2554">
        <f t="shared" ref="CK135:CK154" si="90">IF(AND(C135&gt;0,AN135=""),1,IF(AN135&gt;C135,1,0))</f>
        <v>0</v>
      </c>
      <c r="CL135" s="2554">
        <f t="shared" ref="CL135:CL154" si="91">IF(AND(C135&gt;0,AO135=""),1,IF(AO135&gt;C135,1,0))</f>
        <v>0</v>
      </c>
      <c r="CM135" s="2554">
        <f t="shared" ref="CM135:CM154" si="92">IF(AND(C135&gt;0,AP135=""),1,IF(AP135&gt;C135,1,0))</f>
        <v>0</v>
      </c>
      <c r="CN135" s="2554">
        <f t="shared" ref="CN135:CN154" si="93">IF(AND(C135&gt;0,AQ135=""),1,IF(AQ135&gt;C135,1,0))</f>
        <v>0</v>
      </c>
      <c r="CO135" s="2554">
        <f t="shared" ref="CO135:CO154" si="94">IF(AND(C135&gt;0,AR135=""),1,IF(AR135&gt;C135,1,0))</f>
        <v>0</v>
      </c>
    </row>
    <row r="136" spans="1:95" s="170" customFormat="1" ht="15" customHeight="1" x14ac:dyDescent="0.15">
      <c r="A136" s="7044"/>
      <c r="B136" s="5010" t="s">
        <v>76</v>
      </c>
      <c r="C136" s="1660">
        <f t="shared" si="82"/>
        <v>0</v>
      </c>
      <c r="D136" s="5836">
        <f t="shared" si="83"/>
        <v>0</v>
      </c>
      <c r="E136" s="5837">
        <f t="shared" si="83"/>
        <v>0</v>
      </c>
      <c r="F136" s="1644"/>
      <c r="G136" s="4542"/>
      <c r="H136" s="1644"/>
      <c r="I136" s="4542"/>
      <c r="J136" s="1644"/>
      <c r="K136" s="4542"/>
      <c r="L136" s="5838"/>
      <c r="M136" s="5839"/>
      <c r="N136" s="1644"/>
      <c r="O136" s="4516"/>
      <c r="P136" s="1644"/>
      <c r="Q136" s="4516"/>
      <c r="R136" s="5838"/>
      <c r="S136" s="4516"/>
      <c r="T136" s="5838"/>
      <c r="U136" s="4516"/>
      <c r="V136" s="1644"/>
      <c r="W136" s="4542"/>
      <c r="X136" s="5838"/>
      <c r="Y136" s="4542"/>
      <c r="Z136" s="5838"/>
      <c r="AA136" s="4516"/>
      <c r="AB136" s="5838"/>
      <c r="AC136" s="4516"/>
      <c r="AD136" s="5838"/>
      <c r="AE136" s="4516"/>
      <c r="AF136" s="5838"/>
      <c r="AG136" s="4516"/>
      <c r="AH136" s="5838"/>
      <c r="AI136" s="4516"/>
      <c r="AJ136" s="5838"/>
      <c r="AK136" s="4516"/>
      <c r="AL136" s="5838"/>
      <c r="AM136" s="5839"/>
      <c r="AN136" s="4515"/>
      <c r="AO136" s="4516"/>
      <c r="AP136" s="4516"/>
      <c r="AQ136" s="4516"/>
      <c r="AR136" s="4516"/>
      <c r="AS136" s="170" t="str">
        <f t="shared" si="85"/>
        <v/>
      </c>
      <c r="CC136" s="2553" t="str">
        <f t="shared" si="84"/>
        <v/>
      </c>
      <c r="CD136" s="2553" t="str">
        <f t="shared" si="86"/>
        <v/>
      </c>
      <c r="CE136" s="2553" t="str">
        <f t="shared" si="87"/>
        <v/>
      </c>
      <c r="CF136" s="2553" t="str">
        <f t="shared" si="88"/>
        <v/>
      </c>
      <c r="CG136" s="2553" t="str">
        <f t="shared" si="89"/>
        <v/>
      </c>
      <c r="CH136" s="6042"/>
      <c r="CI136" s="6042"/>
      <c r="CK136" s="2554">
        <f t="shared" si="90"/>
        <v>0</v>
      </c>
      <c r="CL136" s="2554">
        <f t="shared" si="91"/>
        <v>0</v>
      </c>
      <c r="CM136" s="2554">
        <f t="shared" si="92"/>
        <v>0</v>
      </c>
      <c r="CN136" s="2554">
        <f t="shared" si="93"/>
        <v>0</v>
      </c>
      <c r="CO136" s="2554">
        <f t="shared" si="94"/>
        <v>0</v>
      </c>
    </row>
    <row r="137" spans="1:95" s="170" customFormat="1" ht="15" customHeight="1" x14ac:dyDescent="0.15">
      <c r="A137" s="7044"/>
      <c r="B137" s="5010" t="s">
        <v>1316</v>
      </c>
      <c r="C137" s="1660">
        <f t="shared" si="82"/>
        <v>0</v>
      </c>
      <c r="D137" s="5836">
        <f t="shared" si="83"/>
        <v>0</v>
      </c>
      <c r="E137" s="5837">
        <f t="shared" si="83"/>
        <v>0</v>
      </c>
      <c r="F137" s="1644"/>
      <c r="G137" s="4542"/>
      <c r="H137" s="1644"/>
      <c r="I137" s="4542"/>
      <c r="J137" s="1644"/>
      <c r="K137" s="4542"/>
      <c r="L137" s="5838"/>
      <c r="M137" s="5839"/>
      <c r="N137" s="1644"/>
      <c r="O137" s="4516"/>
      <c r="P137" s="1644"/>
      <c r="Q137" s="4516"/>
      <c r="R137" s="5838"/>
      <c r="S137" s="4516"/>
      <c r="T137" s="5838"/>
      <c r="U137" s="4516"/>
      <c r="V137" s="1644"/>
      <c r="W137" s="4542"/>
      <c r="X137" s="5838"/>
      <c r="Y137" s="4542"/>
      <c r="Z137" s="5838"/>
      <c r="AA137" s="4516"/>
      <c r="AB137" s="5838"/>
      <c r="AC137" s="4516"/>
      <c r="AD137" s="5838"/>
      <c r="AE137" s="4516"/>
      <c r="AF137" s="5838"/>
      <c r="AG137" s="4516"/>
      <c r="AH137" s="5838"/>
      <c r="AI137" s="4516"/>
      <c r="AJ137" s="5838"/>
      <c r="AK137" s="4516"/>
      <c r="AL137" s="5838"/>
      <c r="AM137" s="5839"/>
      <c r="AN137" s="4515"/>
      <c r="AO137" s="4516"/>
      <c r="AP137" s="4516"/>
      <c r="AQ137" s="4516"/>
      <c r="AR137" s="4516"/>
      <c r="AS137" s="170" t="str">
        <f t="shared" si="85"/>
        <v/>
      </c>
      <c r="CC137" s="2553" t="str">
        <f t="shared" si="84"/>
        <v/>
      </c>
      <c r="CD137" s="2553" t="str">
        <f t="shared" si="86"/>
        <v/>
      </c>
      <c r="CE137" s="2553" t="str">
        <f t="shared" si="87"/>
        <v/>
      </c>
      <c r="CF137" s="2553" t="str">
        <f t="shared" si="88"/>
        <v/>
      </c>
      <c r="CG137" s="2553" t="str">
        <f t="shared" si="89"/>
        <v/>
      </c>
      <c r="CH137" s="6042"/>
      <c r="CI137" s="6042"/>
      <c r="CK137" s="2554">
        <f t="shared" si="90"/>
        <v>0</v>
      </c>
      <c r="CL137" s="2554">
        <f t="shared" si="91"/>
        <v>0</v>
      </c>
      <c r="CM137" s="2554">
        <f t="shared" si="92"/>
        <v>0</v>
      </c>
      <c r="CN137" s="2554">
        <f t="shared" si="93"/>
        <v>0</v>
      </c>
      <c r="CO137" s="2554">
        <f t="shared" si="94"/>
        <v>0</v>
      </c>
    </row>
    <row r="138" spans="1:95" s="170" customFormat="1" ht="15" customHeight="1" x14ac:dyDescent="0.15">
      <c r="A138" s="7044"/>
      <c r="B138" s="5010" t="s">
        <v>62</v>
      </c>
      <c r="C138" s="1660">
        <f t="shared" si="82"/>
        <v>0</v>
      </c>
      <c r="D138" s="5836">
        <f t="shared" si="83"/>
        <v>0</v>
      </c>
      <c r="E138" s="5837">
        <f t="shared" si="83"/>
        <v>0</v>
      </c>
      <c r="F138" s="1644"/>
      <c r="G138" s="4542"/>
      <c r="H138" s="1644"/>
      <c r="I138" s="4542"/>
      <c r="J138" s="1644"/>
      <c r="K138" s="4542"/>
      <c r="L138" s="5838"/>
      <c r="M138" s="5839"/>
      <c r="N138" s="1644"/>
      <c r="O138" s="4516"/>
      <c r="P138" s="1644"/>
      <c r="Q138" s="4516"/>
      <c r="R138" s="5838"/>
      <c r="S138" s="4516"/>
      <c r="T138" s="5838"/>
      <c r="U138" s="4516"/>
      <c r="V138" s="1644"/>
      <c r="W138" s="4542"/>
      <c r="X138" s="5838"/>
      <c r="Y138" s="4542"/>
      <c r="Z138" s="5838"/>
      <c r="AA138" s="4516"/>
      <c r="AB138" s="5838"/>
      <c r="AC138" s="4516"/>
      <c r="AD138" s="5838"/>
      <c r="AE138" s="4516"/>
      <c r="AF138" s="5838"/>
      <c r="AG138" s="4516"/>
      <c r="AH138" s="5838"/>
      <c r="AI138" s="4516"/>
      <c r="AJ138" s="5838"/>
      <c r="AK138" s="4516"/>
      <c r="AL138" s="5838"/>
      <c r="AM138" s="5839"/>
      <c r="AN138" s="4515"/>
      <c r="AO138" s="4516"/>
      <c r="AP138" s="4516"/>
      <c r="AQ138" s="4516"/>
      <c r="AR138" s="4516"/>
      <c r="AS138" s="170" t="str">
        <f t="shared" si="85"/>
        <v/>
      </c>
      <c r="CC138" s="2553" t="str">
        <f t="shared" si="84"/>
        <v/>
      </c>
      <c r="CD138" s="2553" t="str">
        <f t="shared" si="86"/>
        <v/>
      </c>
      <c r="CE138" s="2553" t="str">
        <f t="shared" si="87"/>
        <v/>
      </c>
      <c r="CF138" s="2553" t="str">
        <f t="shared" si="88"/>
        <v/>
      </c>
      <c r="CG138" s="2553" t="str">
        <f t="shared" si="89"/>
        <v/>
      </c>
      <c r="CH138" s="6042"/>
      <c r="CI138" s="6042"/>
      <c r="CK138" s="2554">
        <f t="shared" si="90"/>
        <v>0</v>
      </c>
      <c r="CL138" s="2554">
        <f t="shared" si="91"/>
        <v>0</v>
      </c>
      <c r="CM138" s="2554">
        <f t="shared" si="92"/>
        <v>0</v>
      </c>
      <c r="CN138" s="2554">
        <f t="shared" si="93"/>
        <v>0</v>
      </c>
      <c r="CO138" s="2554">
        <f t="shared" si="94"/>
        <v>0</v>
      </c>
    </row>
    <row r="139" spans="1:95" s="170" customFormat="1" ht="15" customHeight="1" x14ac:dyDescent="0.15">
      <c r="A139" s="7044"/>
      <c r="B139" s="5010" t="s">
        <v>123</v>
      </c>
      <c r="C139" s="1660">
        <f t="shared" si="82"/>
        <v>0</v>
      </c>
      <c r="D139" s="5836">
        <f t="shared" si="83"/>
        <v>0</v>
      </c>
      <c r="E139" s="5837">
        <f t="shared" si="83"/>
        <v>0</v>
      </c>
      <c r="F139" s="1644"/>
      <c r="G139" s="4542"/>
      <c r="H139" s="1644"/>
      <c r="I139" s="4542"/>
      <c r="J139" s="1644"/>
      <c r="K139" s="4542"/>
      <c r="L139" s="5838"/>
      <c r="M139" s="5839"/>
      <c r="N139" s="1644"/>
      <c r="O139" s="4516"/>
      <c r="P139" s="1644"/>
      <c r="Q139" s="4516"/>
      <c r="R139" s="5838"/>
      <c r="S139" s="4516"/>
      <c r="T139" s="5838"/>
      <c r="U139" s="4516"/>
      <c r="V139" s="1644"/>
      <c r="W139" s="4542"/>
      <c r="X139" s="5838"/>
      <c r="Y139" s="4542"/>
      <c r="Z139" s="5838"/>
      <c r="AA139" s="4516"/>
      <c r="AB139" s="5838"/>
      <c r="AC139" s="4516"/>
      <c r="AD139" s="5838"/>
      <c r="AE139" s="4516"/>
      <c r="AF139" s="5838"/>
      <c r="AG139" s="4516"/>
      <c r="AH139" s="5838"/>
      <c r="AI139" s="4516"/>
      <c r="AJ139" s="5838"/>
      <c r="AK139" s="4516"/>
      <c r="AL139" s="5838"/>
      <c r="AM139" s="5839"/>
      <c r="AN139" s="4515"/>
      <c r="AO139" s="4516"/>
      <c r="AP139" s="4516"/>
      <c r="AQ139" s="4516"/>
      <c r="AR139" s="4516"/>
      <c r="AS139" s="170" t="str">
        <f t="shared" si="85"/>
        <v/>
      </c>
      <c r="CC139" s="2553" t="str">
        <f t="shared" si="84"/>
        <v/>
      </c>
      <c r="CD139" s="2553" t="str">
        <f t="shared" si="86"/>
        <v/>
      </c>
      <c r="CE139" s="2553" t="str">
        <f t="shared" si="87"/>
        <v/>
      </c>
      <c r="CF139" s="2553" t="str">
        <f t="shared" si="88"/>
        <v/>
      </c>
      <c r="CG139" s="2553" t="str">
        <f t="shared" si="89"/>
        <v/>
      </c>
      <c r="CH139" s="6042"/>
      <c r="CI139" s="6042"/>
      <c r="CK139" s="2554">
        <f t="shared" si="90"/>
        <v>0</v>
      </c>
      <c r="CL139" s="2554">
        <f t="shared" si="91"/>
        <v>0</v>
      </c>
      <c r="CM139" s="2554">
        <f t="shared" si="92"/>
        <v>0</v>
      </c>
      <c r="CN139" s="2554">
        <f t="shared" si="93"/>
        <v>0</v>
      </c>
      <c r="CO139" s="2554">
        <f t="shared" si="94"/>
        <v>0</v>
      </c>
    </row>
    <row r="140" spans="1:95" s="170" customFormat="1" ht="15" customHeight="1" x14ac:dyDescent="0.15">
      <c r="A140" s="7044"/>
      <c r="B140" s="5010" t="s">
        <v>79</v>
      </c>
      <c r="C140" s="1660">
        <f t="shared" si="82"/>
        <v>0</v>
      </c>
      <c r="D140" s="5836">
        <f t="shared" si="83"/>
        <v>0</v>
      </c>
      <c r="E140" s="5837">
        <f t="shared" si="83"/>
        <v>0</v>
      </c>
      <c r="F140" s="1644"/>
      <c r="G140" s="4542"/>
      <c r="H140" s="1644"/>
      <c r="I140" s="4542"/>
      <c r="J140" s="1644"/>
      <c r="K140" s="4542"/>
      <c r="L140" s="5838"/>
      <c r="M140" s="5839"/>
      <c r="N140" s="1644"/>
      <c r="O140" s="4516"/>
      <c r="P140" s="1644"/>
      <c r="Q140" s="4516"/>
      <c r="R140" s="5838"/>
      <c r="S140" s="4516"/>
      <c r="T140" s="5838"/>
      <c r="U140" s="4516"/>
      <c r="V140" s="1644"/>
      <c r="W140" s="4542"/>
      <c r="X140" s="5838"/>
      <c r="Y140" s="4542"/>
      <c r="Z140" s="5838"/>
      <c r="AA140" s="4516"/>
      <c r="AB140" s="5838"/>
      <c r="AC140" s="4516"/>
      <c r="AD140" s="5838"/>
      <c r="AE140" s="4516"/>
      <c r="AF140" s="5838"/>
      <c r="AG140" s="4516"/>
      <c r="AH140" s="5838"/>
      <c r="AI140" s="4516"/>
      <c r="AJ140" s="5838"/>
      <c r="AK140" s="4516"/>
      <c r="AL140" s="5838"/>
      <c r="AM140" s="5839"/>
      <c r="AN140" s="4515"/>
      <c r="AO140" s="4516"/>
      <c r="AP140" s="4516"/>
      <c r="AQ140" s="4516"/>
      <c r="AR140" s="4516"/>
      <c r="AS140" s="170" t="str">
        <f t="shared" si="85"/>
        <v/>
      </c>
      <c r="CC140" s="2553" t="str">
        <f t="shared" si="84"/>
        <v/>
      </c>
      <c r="CD140" s="2553" t="str">
        <f t="shared" si="86"/>
        <v/>
      </c>
      <c r="CE140" s="2553" t="str">
        <f t="shared" si="87"/>
        <v/>
      </c>
      <c r="CF140" s="2553" t="str">
        <f t="shared" si="88"/>
        <v/>
      </c>
      <c r="CG140" s="2553" t="str">
        <f t="shared" si="89"/>
        <v/>
      </c>
      <c r="CH140" s="6042"/>
      <c r="CI140" s="6042"/>
      <c r="CK140" s="2554">
        <f t="shared" si="90"/>
        <v>0</v>
      </c>
      <c r="CL140" s="2554">
        <f t="shared" si="91"/>
        <v>0</v>
      </c>
      <c r="CM140" s="2554">
        <f t="shared" si="92"/>
        <v>0</v>
      </c>
      <c r="CN140" s="2554">
        <f t="shared" si="93"/>
        <v>0</v>
      </c>
      <c r="CO140" s="2554">
        <f t="shared" si="94"/>
        <v>0</v>
      </c>
    </row>
    <row r="141" spans="1:95" s="170" customFormat="1" ht="21" x14ac:dyDescent="0.15">
      <c r="A141" s="7044"/>
      <c r="B141" s="5010" t="s">
        <v>1395</v>
      </c>
      <c r="C141" s="1660">
        <f t="shared" si="82"/>
        <v>0</v>
      </c>
      <c r="D141" s="5836">
        <f t="shared" si="83"/>
        <v>0</v>
      </c>
      <c r="E141" s="5837">
        <f t="shared" si="83"/>
        <v>0</v>
      </c>
      <c r="F141" s="1644"/>
      <c r="G141" s="4542"/>
      <c r="H141" s="1644"/>
      <c r="I141" s="4542"/>
      <c r="J141" s="1644"/>
      <c r="K141" s="4542"/>
      <c r="L141" s="5838"/>
      <c r="M141" s="5839"/>
      <c r="N141" s="1644"/>
      <c r="O141" s="4516"/>
      <c r="P141" s="1644"/>
      <c r="Q141" s="4516"/>
      <c r="R141" s="5838"/>
      <c r="S141" s="4516"/>
      <c r="T141" s="5838"/>
      <c r="U141" s="4516"/>
      <c r="V141" s="1644"/>
      <c r="W141" s="4542"/>
      <c r="X141" s="5838"/>
      <c r="Y141" s="4542"/>
      <c r="Z141" s="5838"/>
      <c r="AA141" s="4516"/>
      <c r="AB141" s="5838"/>
      <c r="AC141" s="4516"/>
      <c r="AD141" s="5838"/>
      <c r="AE141" s="4516"/>
      <c r="AF141" s="5838"/>
      <c r="AG141" s="4516"/>
      <c r="AH141" s="5838"/>
      <c r="AI141" s="4516"/>
      <c r="AJ141" s="5838"/>
      <c r="AK141" s="4516"/>
      <c r="AL141" s="5838"/>
      <c r="AM141" s="5839"/>
      <c r="AN141" s="4515"/>
      <c r="AO141" s="4516"/>
      <c r="AP141" s="4516"/>
      <c r="AQ141" s="4516"/>
      <c r="AR141" s="4516"/>
      <c r="AS141" s="170" t="str">
        <f t="shared" si="85"/>
        <v/>
      </c>
      <c r="CC141" s="2553" t="str">
        <f t="shared" si="84"/>
        <v/>
      </c>
      <c r="CD141" s="2553" t="str">
        <f t="shared" si="86"/>
        <v/>
      </c>
      <c r="CE141" s="2553" t="str">
        <f t="shared" si="87"/>
        <v/>
      </c>
      <c r="CF141" s="2553" t="str">
        <f t="shared" si="88"/>
        <v/>
      </c>
      <c r="CG141" s="2553" t="str">
        <f t="shared" si="89"/>
        <v/>
      </c>
      <c r="CH141" s="6042"/>
      <c r="CI141" s="6042"/>
      <c r="CK141" s="2554">
        <f t="shared" si="90"/>
        <v>0</v>
      </c>
      <c r="CL141" s="2554">
        <f t="shared" si="91"/>
        <v>0</v>
      </c>
      <c r="CM141" s="2554">
        <f t="shared" si="92"/>
        <v>0</v>
      </c>
      <c r="CN141" s="2554">
        <f t="shared" si="93"/>
        <v>0</v>
      </c>
      <c r="CO141" s="2554">
        <f t="shared" si="94"/>
        <v>0</v>
      </c>
    </row>
    <row r="142" spans="1:95" s="170" customFormat="1" ht="15" customHeight="1" x14ac:dyDescent="0.15">
      <c r="A142" s="7044"/>
      <c r="B142" s="5010" t="s">
        <v>81</v>
      </c>
      <c r="C142" s="1660">
        <f t="shared" si="82"/>
        <v>0</v>
      </c>
      <c r="D142" s="5836">
        <f t="shared" si="83"/>
        <v>0</v>
      </c>
      <c r="E142" s="5837">
        <f t="shared" si="83"/>
        <v>0</v>
      </c>
      <c r="F142" s="1644"/>
      <c r="G142" s="4542"/>
      <c r="H142" s="1644"/>
      <c r="I142" s="4542"/>
      <c r="J142" s="1644"/>
      <c r="K142" s="4542"/>
      <c r="L142" s="5838"/>
      <c r="M142" s="5839"/>
      <c r="N142" s="1644"/>
      <c r="O142" s="4516"/>
      <c r="P142" s="1644"/>
      <c r="Q142" s="4516"/>
      <c r="R142" s="5838"/>
      <c r="S142" s="4516"/>
      <c r="T142" s="5838"/>
      <c r="U142" s="4516"/>
      <c r="V142" s="1644"/>
      <c r="W142" s="4542"/>
      <c r="X142" s="5838"/>
      <c r="Y142" s="4542"/>
      <c r="Z142" s="5838"/>
      <c r="AA142" s="4516"/>
      <c r="AB142" s="5838"/>
      <c r="AC142" s="4516"/>
      <c r="AD142" s="5838"/>
      <c r="AE142" s="4516"/>
      <c r="AF142" s="5838"/>
      <c r="AG142" s="4516"/>
      <c r="AH142" s="5838"/>
      <c r="AI142" s="4516"/>
      <c r="AJ142" s="5838"/>
      <c r="AK142" s="4516"/>
      <c r="AL142" s="5838"/>
      <c r="AM142" s="5839"/>
      <c r="AN142" s="4515"/>
      <c r="AO142" s="4516"/>
      <c r="AP142" s="4516"/>
      <c r="AQ142" s="4516"/>
      <c r="AR142" s="4516"/>
      <c r="AS142" s="170" t="str">
        <f t="shared" si="85"/>
        <v/>
      </c>
      <c r="CC142" s="2553" t="str">
        <f t="shared" si="84"/>
        <v/>
      </c>
      <c r="CD142" s="2553" t="str">
        <f t="shared" si="86"/>
        <v/>
      </c>
      <c r="CE142" s="2553" t="str">
        <f t="shared" si="87"/>
        <v/>
      </c>
      <c r="CF142" s="2553" t="str">
        <f t="shared" si="88"/>
        <v/>
      </c>
      <c r="CG142" s="2553" t="str">
        <f t="shared" si="89"/>
        <v/>
      </c>
      <c r="CH142" s="6042"/>
      <c r="CI142" s="6042"/>
      <c r="CK142" s="2554">
        <f t="shared" si="90"/>
        <v>0</v>
      </c>
      <c r="CL142" s="2554">
        <f t="shared" si="91"/>
        <v>0</v>
      </c>
      <c r="CM142" s="2554">
        <f t="shared" si="92"/>
        <v>0</v>
      </c>
      <c r="CN142" s="2554">
        <f t="shared" si="93"/>
        <v>0</v>
      </c>
      <c r="CO142" s="2554">
        <f t="shared" si="94"/>
        <v>0</v>
      </c>
    </row>
    <row r="143" spans="1:95" s="170" customFormat="1" ht="21" x14ac:dyDescent="0.15">
      <c r="A143" s="7044"/>
      <c r="B143" s="1218" t="s">
        <v>82</v>
      </c>
      <c r="C143" s="5840">
        <f t="shared" si="82"/>
        <v>0</v>
      </c>
      <c r="D143" s="5841">
        <f t="shared" si="83"/>
        <v>0</v>
      </c>
      <c r="E143" s="5842">
        <f t="shared" si="83"/>
        <v>0</v>
      </c>
      <c r="F143" s="5843"/>
      <c r="G143" s="5844"/>
      <c r="H143" s="5843"/>
      <c r="I143" s="5844"/>
      <c r="J143" s="5843"/>
      <c r="K143" s="5844"/>
      <c r="L143" s="1670"/>
      <c r="M143" s="4513"/>
      <c r="N143" s="5843"/>
      <c r="O143" s="4518"/>
      <c r="P143" s="5843"/>
      <c r="Q143" s="4518"/>
      <c r="R143" s="1670"/>
      <c r="S143" s="4518"/>
      <c r="T143" s="1670"/>
      <c r="U143" s="4518"/>
      <c r="V143" s="5843"/>
      <c r="W143" s="5844"/>
      <c r="X143" s="1670"/>
      <c r="Y143" s="5844"/>
      <c r="Z143" s="1670"/>
      <c r="AA143" s="4518"/>
      <c r="AB143" s="1670"/>
      <c r="AC143" s="4518"/>
      <c r="AD143" s="1670"/>
      <c r="AE143" s="4518"/>
      <c r="AF143" s="1670"/>
      <c r="AG143" s="4518"/>
      <c r="AH143" s="1670"/>
      <c r="AI143" s="4518"/>
      <c r="AJ143" s="1670"/>
      <c r="AK143" s="4518"/>
      <c r="AL143" s="1670"/>
      <c r="AM143" s="4513"/>
      <c r="AN143" s="4517"/>
      <c r="AO143" s="4518"/>
      <c r="AP143" s="4518"/>
      <c r="AQ143" s="4518"/>
      <c r="AR143" s="4518"/>
      <c r="AS143" s="170" t="str">
        <f t="shared" si="85"/>
        <v/>
      </c>
      <c r="CC143" s="2553" t="str">
        <f t="shared" si="84"/>
        <v/>
      </c>
      <c r="CD143" s="2553" t="str">
        <f t="shared" si="86"/>
        <v/>
      </c>
      <c r="CE143" s="2553" t="str">
        <f t="shared" si="87"/>
        <v/>
      </c>
      <c r="CF143" s="2553" t="str">
        <f t="shared" si="88"/>
        <v/>
      </c>
      <c r="CG143" s="2553" t="str">
        <f t="shared" si="89"/>
        <v/>
      </c>
      <c r="CH143" s="6042"/>
      <c r="CI143" s="6042"/>
      <c r="CK143" s="2554">
        <f t="shared" si="90"/>
        <v>0</v>
      </c>
      <c r="CL143" s="2554">
        <f t="shared" si="91"/>
        <v>0</v>
      </c>
      <c r="CM143" s="2554">
        <f t="shared" si="92"/>
        <v>0</v>
      </c>
      <c r="CN143" s="2554">
        <f t="shared" si="93"/>
        <v>0</v>
      </c>
      <c r="CO143" s="2554">
        <f t="shared" si="94"/>
        <v>0</v>
      </c>
    </row>
    <row r="144" spans="1:95" s="170" customFormat="1" ht="15" customHeight="1" x14ac:dyDescent="0.15">
      <c r="A144" s="7045"/>
      <c r="B144" s="5845" t="s">
        <v>24</v>
      </c>
      <c r="C144" s="5846">
        <f t="shared" si="82"/>
        <v>0</v>
      </c>
      <c r="D144" s="5847">
        <f t="shared" ref="D144:AQ144" si="95">SUM(D134:D143)</f>
        <v>0</v>
      </c>
      <c r="E144" s="5848">
        <f t="shared" si="95"/>
        <v>0</v>
      </c>
      <c r="F144" s="5849">
        <f t="shared" si="95"/>
        <v>0</v>
      </c>
      <c r="G144" s="5850">
        <f t="shared" si="95"/>
        <v>0</v>
      </c>
      <c r="H144" s="5849">
        <f t="shared" si="95"/>
        <v>0</v>
      </c>
      <c r="I144" s="5850">
        <f t="shared" si="95"/>
        <v>0</v>
      </c>
      <c r="J144" s="5849">
        <f t="shared" si="95"/>
        <v>0</v>
      </c>
      <c r="K144" s="5850">
        <f t="shared" si="95"/>
        <v>0</v>
      </c>
      <c r="L144" s="5851">
        <f t="shared" si="95"/>
        <v>0</v>
      </c>
      <c r="M144" s="5852">
        <f t="shared" si="95"/>
        <v>0</v>
      </c>
      <c r="N144" s="5849">
        <f t="shared" si="95"/>
        <v>0</v>
      </c>
      <c r="O144" s="5853">
        <f t="shared" si="95"/>
        <v>0</v>
      </c>
      <c r="P144" s="5849">
        <f t="shared" si="95"/>
        <v>0</v>
      </c>
      <c r="Q144" s="5853">
        <f t="shared" si="95"/>
        <v>0</v>
      </c>
      <c r="R144" s="5854">
        <f t="shared" si="95"/>
        <v>0</v>
      </c>
      <c r="S144" s="5853">
        <f t="shared" si="95"/>
        <v>0</v>
      </c>
      <c r="T144" s="5849">
        <f t="shared" si="95"/>
        <v>0</v>
      </c>
      <c r="U144" s="5850">
        <f t="shared" si="95"/>
        <v>0</v>
      </c>
      <c r="V144" s="5855">
        <f t="shared" si="95"/>
        <v>0</v>
      </c>
      <c r="W144" s="5853">
        <f t="shared" si="95"/>
        <v>0</v>
      </c>
      <c r="X144" s="5851">
        <f t="shared" si="95"/>
        <v>0</v>
      </c>
      <c r="Y144" s="5850">
        <f t="shared" si="95"/>
        <v>0</v>
      </c>
      <c r="Z144" s="5855">
        <f t="shared" si="95"/>
        <v>0</v>
      </c>
      <c r="AA144" s="5850">
        <f t="shared" si="95"/>
        <v>0</v>
      </c>
      <c r="AB144" s="5855">
        <f t="shared" si="95"/>
        <v>0</v>
      </c>
      <c r="AC144" s="5850">
        <f t="shared" si="95"/>
        <v>0</v>
      </c>
      <c r="AD144" s="5855">
        <f t="shared" si="95"/>
        <v>0</v>
      </c>
      <c r="AE144" s="5850">
        <f t="shared" si="95"/>
        <v>0</v>
      </c>
      <c r="AF144" s="5855">
        <f t="shared" si="95"/>
        <v>0</v>
      </c>
      <c r="AG144" s="5850">
        <f t="shared" si="95"/>
        <v>0</v>
      </c>
      <c r="AH144" s="5855">
        <f t="shared" si="95"/>
        <v>0</v>
      </c>
      <c r="AI144" s="5850">
        <f t="shared" si="95"/>
        <v>0</v>
      </c>
      <c r="AJ144" s="5855">
        <f t="shared" si="95"/>
        <v>0</v>
      </c>
      <c r="AK144" s="5850">
        <f t="shared" si="95"/>
        <v>0</v>
      </c>
      <c r="AL144" s="5855">
        <f t="shared" si="95"/>
        <v>0</v>
      </c>
      <c r="AM144" s="5854">
        <f t="shared" si="95"/>
        <v>0</v>
      </c>
      <c r="AN144" s="5856">
        <f t="shared" si="95"/>
        <v>0</v>
      </c>
      <c r="AO144" s="5850">
        <f t="shared" si="95"/>
        <v>0</v>
      </c>
      <c r="AP144" s="5850">
        <f t="shared" si="95"/>
        <v>0</v>
      </c>
      <c r="AQ144" s="5850">
        <f t="shared" si="95"/>
        <v>0</v>
      </c>
      <c r="AR144" s="5850">
        <f>SUM(AR134:AR143)</f>
        <v>0</v>
      </c>
    </row>
    <row r="145" spans="1:93" s="170" customFormat="1" ht="15" customHeight="1" x14ac:dyDescent="0.15">
      <c r="A145" s="7044" t="s">
        <v>1396</v>
      </c>
      <c r="B145" s="1394" t="s">
        <v>74</v>
      </c>
      <c r="C145" s="1673">
        <f t="shared" si="82"/>
        <v>0</v>
      </c>
      <c r="D145" s="5820">
        <f t="shared" ref="D145:E154" si="96">SUM(F145+H145+J145+L145+N145+P145+R145+T145+V145+X145+Z145+AB145+AD145+AF145+AH145+AJ145+AL145)</f>
        <v>0</v>
      </c>
      <c r="E145" s="5821">
        <f t="shared" si="96"/>
        <v>0</v>
      </c>
      <c r="F145" s="1647"/>
      <c r="G145" s="5822"/>
      <c r="H145" s="1647"/>
      <c r="I145" s="5822"/>
      <c r="J145" s="1647"/>
      <c r="K145" s="5822"/>
      <c r="L145" s="1674"/>
      <c r="M145" s="5823"/>
      <c r="N145" s="1647"/>
      <c r="O145" s="5824"/>
      <c r="P145" s="1647"/>
      <c r="Q145" s="5824"/>
      <c r="R145" s="1674"/>
      <c r="S145" s="5824"/>
      <c r="T145" s="1674"/>
      <c r="U145" s="5824"/>
      <c r="V145" s="1647"/>
      <c r="W145" s="5822"/>
      <c r="X145" s="1674"/>
      <c r="Y145" s="5822"/>
      <c r="Z145" s="1674"/>
      <c r="AA145" s="5824"/>
      <c r="AB145" s="1674"/>
      <c r="AC145" s="5824"/>
      <c r="AD145" s="1674"/>
      <c r="AE145" s="5824"/>
      <c r="AF145" s="1674"/>
      <c r="AG145" s="5824"/>
      <c r="AH145" s="1674"/>
      <c r="AI145" s="5824"/>
      <c r="AJ145" s="1674"/>
      <c r="AK145" s="5824"/>
      <c r="AL145" s="1674"/>
      <c r="AM145" s="5823"/>
      <c r="AN145" s="5825"/>
      <c r="AO145" s="5824"/>
      <c r="AP145" s="5824"/>
      <c r="AQ145" s="5824"/>
      <c r="AR145" s="5824"/>
      <c r="AS145" s="170" t="str">
        <f t="shared" si="85"/>
        <v/>
      </c>
      <c r="CC145" s="2553" t="str">
        <f>IF(AND(C145&gt;0,AN145="")," * No olvide digitar Niños, Niñas, Adolescentes y Jóvenes Mejor Niñez. Digite Cero si no tiene",IF(AN145&gt;C145," * Niños, Niñas, Adolescentes y Jóvenes Mejor Niñez No puede ser mayor al Total.",""))</f>
        <v/>
      </c>
      <c r="CD145" s="2553" t="str">
        <f>IF(AND(C145&gt;0,AO145="")," * No olvide digitar la variable Pueblos originarios. Digite cero si no tiene",IF(AO145&gt;C145," * La variable Pueblos Originarios No puede ser mayor al Total.",""))</f>
        <v/>
      </c>
      <c r="CE145" s="2553" t="str">
        <f>IF(AND(C145&gt;0,AP145="")," * No olvide digitar la variable Migrantes. Digite cero si no tiene.",IF(AP145&gt;C145," * La variable Migrantes No puede ser mayor al Total.",""))</f>
        <v/>
      </c>
      <c r="CF145" s="2553" t="str">
        <f>IF(AND(C145&gt;0,AQ145="")," * No olvide digitar la variable Demencia. Digite cero si no tiene.",IF(AQ145&gt;C145," * La variable Demencia No puede ser mayor al Total.",""))</f>
        <v/>
      </c>
      <c r="CG145" s="2553" t="str">
        <f>IF(AND(C145&gt;0,AR145="")," * No olvide digitar la variable Espacios Amigables/Adolescentes. Digite cero si no tiene.",IF(AR145&gt;C145," * La variable Espacios Amigables/adolescentes No puede ser mayor al Total.",""))</f>
        <v/>
      </c>
      <c r="CH145" s="6042"/>
      <c r="CI145" s="6042"/>
      <c r="CK145" s="2554">
        <f t="shared" si="90"/>
        <v>0</v>
      </c>
      <c r="CL145" s="2554">
        <f t="shared" si="91"/>
        <v>0</v>
      </c>
      <c r="CM145" s="2554">
        <f t="shared" si="92"/>
        <v>0</v>
      </c>
      <c r="CN145" s="2554">
        <f t="shared" si="93"/>
        <v>0</v>
      </c>
      <c r="CO145" s="2554">
        <f t="shared" si="94"/>
        <v>0</v>
      </c>
    </row>
    <row r="146" spans="1:93" s="170" customFormat="1" ht="15" customHeight="1" x14ac:dyDescent="0.15">
      <c r="A146" s="7900"/>
      <c r="B146" s="1157" t="s">
        <v>75</v>
      </c>
      <c r="C146" s="1660">
        <f t="shared" si="82"/>
        <v>0</v>
      </c>
      <c r="D146" s="1661">
        <f t="shared" si="96"/>
        <v>0</v>
      </c>
      <c r="E146" s="1662">
        <f t="shared" si="96"/>
        <v>0</v>
      </c>
      <c r="F146" s="1644"/>
      <c r="G146" s="1646"/>
      <c r="H146" s="1644"/>
      <c r="I146" s="1646"/>
      <c r="J146" s="1644"/>
      <c r="K146" s="1646"/>
      <c r="L146" s="1650"/>
      <c r="M146" s="1663"/>
      <c r="N146" s="1644"/>
      <c r="O146" s="1664"/>
      <c r="P146" s="1644"/>
      <c r="Q146" s="1664"/>
      <c r="R146" s="1650"/>
      <c r="S146" s="1664"/>
      <c r="T146" s="1650"/>
      <c r="U146" s="1664"/>
      <c r="V146" s="1644"/>
      <c r="W146" s="1646"/>
      <c r="X146" s="1650"/>
      <c r="Y146" s="1646"/>
      <c r="Z146" s="1650"/>
      <c r="AA146" s="1664"/>
      <c r="AB146" s="1650"/>
      <c r="AC146" s="1664"/>
      <c r="AD146" s="1650"/>
      <c r="AE146" s="1664"/>
      <c r="AF146" s="1650"/>
      <c r="AG146" s="1664"/>
      <c r="AH146" s="1650"/>
      <c r="AI146" s="1664"/>
      <c r="AJ146" s="1650"/>
      <c r="AK146" s="1664"/>
      <c r="AL146" s="1650"/>
      <c r="AM146" s="4512"/>
      <c r="AN146" s="4515"/>
      <c r="AO146" s="4516"/>
      <c r="AP146" s="4516"/>
      <c r="AQ146" s="4516"/>
      <c r="AR146" s="4516"/>
      <c r="AS146" s="170" t="str">
        <f t="shared" si="85"/>
        <v/>
      </c>
      <c r="CC146" s="2553" t="str">
        <f t="shared" ref="CC146:CC154" si="97">IF(AND(C146&gt;0,AN146="")," * No olvide digitar Niños, Niñas, Adolescentes y Jóvenes Mejor Niñez. Digite Cero si no tiene",IF(AN146&gt;C146," * Niños, Niñas, Adolescentes y Jóvenes Mejor Niñez No puede ser mayor al Total.",""))</f>
        <v/>
      </c>
      <c r="CD146" s="2553" t="str">
        <f t="shared" ref="CD146:CD154" si="98">IF(AND(C146&gt;0,AO146="")," * No olvide digitar la variable Pueblos originarios. Digite cero si no tiene",IF(AO146&gt;C146," * La variable Pueblos Originarios No puede ser mayor al Total.",""))</f>
        <v/>
      </c>
      <c r="CE146" s="2553" t="str">
        <f t="shared" ref="CE146:CE154" si="99">IF(AND(C146&gt;0,AP146="")," * No olvide digitar la variable Migrantes. Digite cero si no tiene.",IF(AP146&gt;C146," * La variable Migrantes No puede ser mayor al Total.",""))</f>
        <v/>
      </c>
      <c r="CF146" s="2553" t="str">
        <f t="shared" ref="CF146:CF154" si="100">IF(AND(C146&gt;0,AQ146="")," * No olvide digitar la variable Demencia. Digite cero si no tiene.",IF(AQ146&gt;C146," * La variable Demencia No puede ser mayor al Total.",""))</f>
        <v/>
      </c>
      <c r="CG146" s="2553" t="str">
        <f t="shared" ref="CG146:CG154" si="101">IF(AND(C146&gt;0,AR146="")," * No olvide digitar la variable Espacios Amigables/Adolescentes. Digite cero si no tiene.",IF(AR146&gt;C146," * La variable Espacios Amigables/adolescentes No puede ser mayor al Total.",""))</f>
        <v/>
      </c>
      <c r="CH146" s="6042"/>
      <c r="CI146" s="6042"/>
      <c r="CK146" s="2554">
        <f t="shared" si="90"/>
        <v>0</v>
      </c>
      <c r="CL146" s="2554">
        <f t="shared" si="91"/>
        <v>0</v>
      </c>
      <c r="CM146" s="2554">
        <f t="shared" si="92"/>
        <v>0</v>
      </c>
      <c r="CN146" s="2554">
        <f t="shared" si="93"/>
        <v>0</v>
      </c>
      <c r="CO146" s="2554">
        <f t="shared" si="94"/>
        <v>0</v>
      </c>
    </row>
    <row r="147" spans="1:93" s="170" customFormat="1" ht="15" customHeight="1" x14ac:dyDescent="0.15">
      <c r="A147" s="7900"/>
      <c r="B147" s="1157" t="s">
        <v>76</v>
      </c>
      <c r="C147" s="1660">
        <f t="shared" si="82"/>
        <v>0</v>
      </c>
      <c r="D147" s="1661">
        <f t="shared" si="96"/>
        <v>0</v>
      </c>
      <c r="E147" s="1662">
        <f t="shared" si="96"/>
        <v>0</v>
      </c>
      <c r="F147" s="1644"/>
      <c r="G147" s="1646"/>
      <c r="H147" s="1644"/>
      <c r="I147" s="1646"/>
      <c r="J147" s="1644"/>
      <c r="K147" s="1646"/>
      <c r="L147" s="1650"/>
      <c r="M147" s="1663"/>
      <c r="N147" s="1644"/>
      <c r="O147" s="1664"/>
      <c r="P147" s="1644"/>
      <c r="Q147" s="1664"/>
      <c r="R147" s="1650"/>
      <c r="S147" s="1664"/>
      <c r="T147" s="1650"/>
      <c r="U147" s="1664"/>
      <c r="V147" s="1644"/>
      <c r="W147" s="1646"/>
      <c r="X147" s="1650"/>
      <c r="Y147" s="1646"/>
      <c r="Z147" s="1650"/>
      <c r="AA147" s="1664"/>
      <c r="AB147" s="1650"/>
      <c r="AC147" s="1664"/>
      <c r="AD147" s="1650"/>
      <c r="AE147" s="1664"/>
      <c r="AF147" s="1650"/>
      <c r="AG147" s="1664"/>
      <c r="AH147" s="1650"/>
      <c r="AI147" s="1664"/>
      <c r="AJ147" s="1650"/>
      <c r="AK147" s="1664"/>
      <c r="AL147" s="1650"/>
      <c r="AM147" s="4512"/>
      <c r="AN147" s="4515"/>
      <c r="AO147" s="4516"/>
      <c r="AP147" s="4516"/>
      <c r="AQ147" s="4516"/>
      <c r="AR147" s="4516"/>
      <c r="AS147" s="170" t="str">
        <f t="shared" si="85"/>
        <v/>
      </c>
      <c r="CC147" s="2553" t="str">
        <f t="shared" si="97"/>
        <v/>
      </c>
      <c r="CD147" s="2553" t="str">
        <f t="shared" si="98"/>
        <v/>
      </c>
      <c r="CE147" s="2553" t="str">
        <f t="shared" si="99"/>
        <v/>
      </c>
      <c r="CF147" s="2553" t="str">
        <f t="shared" si="100"/>
        <v/>
      </c>
      <c r="CG147" s="2553" t="str">
        <f t="shared" si="101"/>
        <v/>
      </c>
      <c r="CH147" s="6042"/>
      <c r="CI147" s="6042"/>
      <c r="CK147" s="2554">
        <f t="shared" si="90"/>
        <v>0</v>
      </c>
      <c r="CL147" s="2554">
        <f t="shared" si="91"/>
        <v>0</v>
      </c>
      <c r="CM147" s="2554">
        <f t="shared" si="92"/>
        <v>0</v>
      </c>
      <c r="CN147" s="2554">
        <f t="shared" si="93"/>
        <v>0</v>
      </c>
      <c r="CO147" s="2554">
        <f t="shared" si="94"/>
        <v>0</v>
      </c>
    </row>
    <row r="148" spans="1:93" s="170" customFormat="1" ht="15" customHeight="1" x14ac:dyDescent="0.15">
      <c r="A148" s="7900"/>
      <c r="B148" s="1157" t="s">
        <v>1316</v>
      </c>
      <c r="C148" s="1660">
        <f t="shared" si="82"/>
        <v>0</v>
      </c>
      <c r="D148" s="1661">
        <f>SUM(F148+H148+J148+L148+N148+P148+R148+T148+V148+X148+Z148+AB148+AD148+AF148+AH148+AJ148+AL148)</f>
        <v>0</v>
      </c>
      <c r="E148" s="1662">
        <f t="shared" si="96"/>
        <v>0</v>
      </c>
      <c r="F148" s="1644"/>
      <c r="G148" s="1646"/>
      <c r="H148" s="1644"/>
      <c r="I148" s="1646"/>
      <c r="J148" s="1644"/>
      <c r="K148" s="1646"/>
      <c r="L148" s="1650"/>
      <c r="M148" s="1663"/>
      <c r="N148" s="1644"/>
      <c r="O148" s="1664"/>
      <c r="P148" s="1644"/>
      <c r="Q148" s="1664"/>
      <c r="R148" s="1650"/>
      <c r="S148" s="1664"/>
      <c r="T148" s="1650"/>
      <c r="U148" s="1664"/>
      <c r="V148" s="1644"/>
      <c r="W148" s="1646"/>
      <c r="X148" s="1650"/>
      <c r="Y148" s="1646"/>
      <c r="Z148" s="1650"/>
      <c r="AA148" s="1664"/>
      <c r="AB148" s="1650"/>
      <c r="AC148" s="1664"/>
      <c r="AD148" s="1650"/>
      <c r="AE148" s="1664"/>
      <c r="AF148" s="1650"/>
      <c r="AG148" s="1664"/>
      <c r="AH148" s="1650"/>
      <c r="AI148" s="1664"/>
      <c r="AJ148" s="1650"/>
      <c r="AK148" s="1664"/>
      <c r="AL148" s="1650"/>
      <c r="AM148" s="4512"/>
      <c r="AN148" s="4515"/>
      <c r="AO148" s="4516"/>
      <c r="AP148" s="4516"/>
      <c r="AQ148" s="4516"/>
      <c r="AR148" s="4516"/>
      <c r="AS148" s="170" t="str">
        <f t="shared" si="85"/>
        <v/>
      </c>
      <c r="CC148" s="2553" t="str">
        <f t="shared" si="97"/>
        <v/>
      </c>
      <c r="CD148" s="2553" t="str">
        <f t="shared" si="98"/>
        <v/>
      </c>
      <c r="CE148" s="2553" t="str">
        <f t="shared" si="99"/>
        <v/>
      </c>
      <c r="CF148" s="2553" t="str">
        <f t="shared" si="100"/>
        <v/>
      </c>
      <c r="CG148" s="2553" t="str">
        <f t="shared" si="101"/>
        <v/>
      </c>
      <c r="CH148" s="6042"/>
      <c r="CI148" s="6042"/>
      <c r="CK148" s="2554">
        <f t="shared" si="90"/>
        <v>0</v>
      </c>
      <c r="CL148" s="2554">
        <f t="shared" si="91"/>
        <v>0</v>
      </c>
      <c r="CM148" s="2554">
        <f t="shared" si="92"/>
        <v>0</v>
      </c>
      <c r="CN148" s="2554">
        <f t="shared" si="93"/>
        <v>0</v>
      </c>
      <c r="CO148" s="2554">
        <f t="shared" si="94"/>
        <v>0</v>
      </c>
    </row>
    <row r="149" spans="1:93" s="170" customFormat="1" ht="15" customHeight="1" x14ac:dyDescent="0.15">
      <c r="A149" s="7900"/>
      <c r="B149" s="1157" t="s">
        <v>62</v>
      </c>
      <c r="C149" s="1660">
        <f t="shared" si="82"/>
        <v>0</v>
      </c>
      <c r="D149" s="1661">
        <f>SUM(F149+H149+J149+L149+N149+P149+R149+T149+V149+X149+Z149+AB149+AD149+AF149+AH149+AJ149+AL149)</f>
        <v>0</v>
      </c>
      <c r="E149" s="1662">
        <f t="shared" si="96"/>
        <v>0</v>
      </c>
      <c r="F149" s="1644"/>
      <c r="G149" s="1646"/>
      <c r="H149" s="1644"/>
      <c r="I149" s="1646"/>
      <c r="J149" s="1644"/>
      <c r="K149" s="1646"/>
      <c r="L149" s="1650"/>
      <c r="M149" s="1663"/>
      <c r="N149" s="1644"/>
      <c r="O149" s="1664"/>
      <c r="P149" s="1644"/>
      <c r="Q149" s="1664"/>
      <c r="R149" s="1650"/>
      <c r="S149" s="1664"/>
      <c r="T149" s="1650"/>
      <c r="U149" s="1664"/>
      <c r="V149" s="1644"/>
      <c r="W149" s="1646"/>
      <c r="X149" s="1650"/>
      <c r="Y149" s="1646"/>
      <c r="Z149" s="1650"/>
      <c r="AA149" s="1664"/>
      <c r="AB149" s="1650"/>
      <c r="AC149" s="1664"/>
      <c r="AD149" s="1650"/>
      <c r="AE149" s="1664"/>
      <c r="AF149" s="1650"/>
      <c r="AG149" s="1664"/>
      <c r="AH149" s="1650"/>
      <c r="AI149" s="1664"/>
      <c r="AJ149" s="1650"/>
      <c r="AK149" s="1664"/>
      <c r="AL149" s="1650"/>
      <c r="AM149" s="4512"/>
      <c r="AN149" s="4515"/>
      <c r="AO149" s="4516"/>
      <c r="AP149" s="4516"/>
      <c r="AQ149" s="4516"/>
      <c r="AR149" s="4516"/>
      <c r="AS149" s="170" t="str">
        <f t="shared" si="85"/>
        <v/>
      </c>
      <c r="CC149" s="2553" t="str">
        <f t="shared" si="97"/>
        <v/>
      </c>
      <c r="CD149" s="2553" t="str">
        <f t="shared" si="98"/>
        <v/>
      </c>
      <c r="CE149" s="2553" t="str">
        <f t="shared" si="99"/>
        <v/>
      </c>
      <c r="CF149" s="2553" t="str">
        <f t="shared" si="100"/>
        <v/>
      </c>
      <c r="CG149" s="2553" t="str">
        <f t="shared" si="101"/>
        <v/>
      </c>
      <c r="CH149" s="6042"/>
      <c r="CI149" s="6042"/>
      <c r="CK149" s="2554">
        <f t="shared" si="90"/>
        <v>0</v>
      </c>
      <c r="CL149" s="2554">
        <f t="shared" si="91"/>
        <v>0</v>
      </c>
      <c r="CM149" s="2554">
        <f t="shared" si="92"/>
        <v>0</v>
      </c>
      <c r="CN149" s="2554">
        <f t="shared" si="93"/>
        <v>0</v>
      </c>
      <c r="CO149" s="2554">
        <f t="shared" si="94"/>
        <v>0</v>
      </c>
    </row>
    <row r="150" spans="1:93" s="170" customFormat="1" ht="15" customHeight="1" x14ac:dyDescent="0.15">
      <c r="A150" s="7900"/>
      <c r="B150" s="1157" t="s">
        <v>123</v>
      </c>
      <c r="C150" s="1660">
        <f t="shared" si="82"/>
        <v>0</v>
      </c>
      <c r="D150" s="1661">
        <f t="shared" si="96"/>
        <v>0</v>
      </c>
      <c r="E150" s="1662">
        <f t="shared" si="96"/>
        <v>0</v>
      </c>
      <c r="F150" s="1644"/>
      <c r="G150" s="1646"/>
      <c r="H150" s="1644"/>
      <c r="I150" s="1646"/>
      <c r="J150" s="1644"/>
      <c r="K150" s="1646"/>
      <c r="L150" s="1650"/>
      <c r="M150" s="1663"/>
      <c r="N150" s="1644"/>
      <c r="O150" s="1664"/>
      <c r="P150" s="1644"/>
      <c r="Q150" s="1664"/>
      <c r="R150" s="1650"/>
      <c r="S150" s="1664"/>
      <c r="T150" s="1650"/>
      <c r="U150" s="1664"/>
      <c r="V150" s="1644"/>
      <c r="W150" s="1646"/>
      <c r="X150" s="1650"/>
      <c r="Y150" s="1646"/>
      <c r="Z150" s="1650"/>
      <c r="AA150" s="1664"/>
      <c r="AB150" s="1650"/>
      <c r="AC150" s="1664"/>
      <c r="AD150" s="1650"/>
      <c r="AE150" s="1664"/>
      <c r="AF150" s="1650"/>
      <c r="AG150" s="1664"/>
      <c r="AH150" s="1650"/>
      <c r="AI150" s="1664"/>
      <c r="AJ150" s="1650"/>
      <c r="AK150" s="1664"/>
      <c r="AL150" s="1650"/>
      <c r="AM150" s="4512"/>
      <c r="AN150" s="4515"/>
      <c r="AO150" s="4516"/>
      <c r="AP150" s="4516"/>
      <c r="AQ150" s="4516"/>
      <c r="AR150" s="4516"/>
      <c r="AS150" s="170" t="str">
        <f t="shared" si="85"/>
        <v/>
      </c>
      <c r="CC150" s="2553" t="str">
        <f t="shared" si="97"/>
        <v/>
      </c>
      <c r="CD150" s="2553" t="str">
        <f t="shared" si="98"/>
        <v/>
      </c>
      <c r="CE150" s="2553" t="str">
        <f t="shared" si="99"/>
        <v/>
      </c>
      <c r="CF150" s="2553" t="str">
        <f t="shared" si="100"/>
        <v/>
      </c>
      <c r="CG150" s="2553" t="str">
        <f t="shared" si="101"/>
        <v/>
      </c>
      <c r="CH150" s="6042"/>
      <c r="CI150" s="6042"/>
      <c r="CK150" s="2554">
        <f t="shared" si="90"/>
        <v>0</v>
      </c>
      <c r="CL150" s="2554">
        <f t="shared" si="91"/>
        <v>0</v>
      </c>
      <c r="CM150" s="2554">
        <f t="shared" si="92"/>
        <v>0</v>
      </c>
      <c r="CN150" s="2554">
        <f t="shared" si="93"/>
        <v>0</v>
      </c>
      <c r="CO150" s="2554">
        <f t="shared" si="94"/>
        <v>0</v>
      </c>
    </row>
    <row r="151" spans="1:93" s="170" customFormat="1" ht="15" customHeight="1" x14ac:dyDescent="0.15">
      <c r="A151" s="7900"/>
      <c r="B151" s="1157" t="s">
        <v>79</v>
      </c>
      <c r="C151" s="1660">
        <f t="shared" si="82"/>
        <v>0</v>
      </c>
      <c r="D151" s="1661">
        <f t="shared" si="96"/>
        <v>0</v>
      </c>
      <c r="E151" s="1662">
        <f t="shared" si="96"/>
        <v>0</v>
      </c>
      <c r="F151" s="1644"/>
      <c r="G151" s="1646"/>
      <c r="H151" s="1644"/>
      <c r="I151" s="1646"/>
      <c r="J151" s="1644"/>
      <c r="K151" s="1646"/>
      <c r="L151" s="1650"/>
      <c r="M151" s="1663"/>
      <c r="N151" s="1644"/>
      <c r="O151" s="1664"/>
      <c r="P151" s="1644"/>
      <c r="Q151" s="1664"/>
      <c r="R151" s="1650"/>
      <c r="S151" s="1664"/>
      <c r="T151" s="1650"/>
      <c r="U151" s="1664"/>
      <c r="V151" s="1644"/>
      <c r="W151" s="1646"/>
      <c r="X151" s="1650"/>
      <c r="Y151" s="1646"/>
      <c r="Z151" s="1650"/>
      <c r="AA151" s="1664"/>
      <c r="AB151" s="1650"/>
      <c r="AC151" s="1664"/>
      <c r="AD151" s="1650"/>
      <c r="AE151" s="1664"/>
      <c r="AF151" s="1650"/>
      <c r="AG151" s="1664"/>
      <c r="AH151" s="1650"/>
      <c r="AI151" s="1664"/>
      <c r="AJ151" s="1650"/>
      <c r="AK151" s="1664"/>
      <c r="AL151" s="1650"/>
      <c r="AM151" s="4512"/>
      <c r="AN151" s="4515"/>
      <c r="AO151" s="4516"/>
      <c r="AP151" s="4516"/>
      <c r="AQ151" s="4516"/>
      <c r="AR151" s="4516"/>
      <c r="AS151" s="170" t="str">
        <f t="shared" si="85"/>
        <v/>
      </c>
      <c r="CC151" s="2553" t="str">
        <f t="shared" si="97"/>
        <v/>
      </c>
      <c r="CD151" s="2553" t="str">
        <f t="shared" si="98"/>
        <v/>
      </c>
      <c r="CE151" s="2553" t="str">
        <f t="shared" si="99"/>
        <v/>
      </c>
      <c r="CF151" s="2553" t="str">
        <f t="shared" si="100"/>
        <v/>
      </c>
      <c r="CG151" s="2553" t="str">
        <f t="shared" si="101"/>
        <v/>
      </c>
      <c r="CH151" s="6042"/>
      <c r="CI151" s="6042"/>
      <c r="CK151" s="2554">
        <f t="shared" si="90"/>
        <v>0</v>
      </c>
      <c r="CL151" s="2554">
        <f t="shared" si="91"/>
        <v>0</v>
      </c>
      <c r="CM151" s="2554">
        <f t="shared" si="92"/>
        <v>0</v>
      </c>
      <c r="CN151" s="2554">
        <f t="shared" si="93"/>
        <v>0</v>
      </c>
      <c r="CO151" s="2554">
        <f t="shared" si="94"/>
        <v>0</v>
      </c>
    </row>
    <row r="152" spans="1:93" s="170" customFormat="1" ht="21" x14ac:dyDescent="0.15">
      <c r="A152" s="7900"/>
      <c r="B152" s="1157" t="s">
        <v>1395</v>
      </c>
      <c r="C152" s="1660">
        <f t="shared" si="82"/>
        <v>0</v>
      </c>
      <c r="D152" s="1661">
        <f t="shared" si="96"/>
        <v>0</v>
      </c>
      <c r="E152" s="1662">
        <f t="shared" si="96"/>
        <v>0</v>
      </c>
      <c r="F152" s="1644"/>
      <c r="G152" s="1646"/>
      <c r="H152" s="1644"/>
      <c r="I152" s="1646"/>
      <c r="J152" s="1644"/>
      <c r="K152" s="1646"/>
      <c r="L152" s="1650"/>
      <c r="M152" s="1663"/>
      <c r="N152" s="1644"/>
      <c r="O152" s="1664"/>
      <c r="P152" s="1644"/>
      <c r="Q152" s="1664"/>
      <c r="R152" s="1650"/>
      <c r="S152" s="1664"/>
      <c r="T152" s="1650"/>
      <c r="U152" s="1664"/>
      <c r="V152" s="1644"/>
      <c r="W152" s="1646"/>
      <c r="X152" s="1650"/>
      <c r="Y152" s="1646"/>
      <c r="Z152" s="1650"/>
      <c r="AA152" s="1664"/>
      <c r="AB152" s="1650"/>
      <c r="AC152" s="1664"/>
      <c r="AD152" s="1650"/>
      <c r="AE152" s="1664"/>
      <c r="AF152" s="1650"/>
      <c r="AG152" s="1664"/>
      <c r="AH152" s="1650"/>
      <c r="AI152" s="1664"/>
      <c r="AJ152" s="1650"/>
      <c r="AK152" s="1664"/>
      <c r="AL152" s="1650"/>
      <c r="AM152" s="4512"/>
      <c r="AN152" s="4515"/>
      <c r="AO152" s="4516"/>
      <c r="AP152" s="4516"/>
      <c r="AQ152" s="4516"/>
      <c r="AR152" s="4516"/>
      <c r="AS152" s="170" t="str">
        <f t="shared" si="85"/>
        <v/>
      </c>
      <c r="CC152" s="2553" t="str">
        <f t="shared" si="97"/>
        <v/>
      </c>
      <c r="CD152" s="2553" t="str">
        <f t="shared" si="98"/>
        <v/>
      </c>
      <c r="CE152" s="2553" t="str">
        <f t="shared" si="99"/>
        <v/>
      </c>
      <c r="CF152" s="2553" t="str">
        <f t="shared" si="100"/>
        <v/>
      </c>
      <c r="CG152" s="2553" t="str">
        <f t="shared" si="101"/>
        <v/>
      </c>
      <c r="CH152" s="6042"/>
      <c r="CI152" s="6042"/>
      <c r="CK152" s="2554">
        <f t="shared" si="90"/>
        <v>0</v>
      </c>
      <c r="CL152" s="2554">
        <f t="shared" si="91"/>
        <v>0</v>
      </c>
      <c r="CM152" s="2554">
        <f t="shared" si="92"/>
        <v>0</v>
      </c>
      <c r="CN152" s="2554">
        <f t="shared" si="93"/>
        <v>0</v>
      </c>
      <c r="CO152" s="2554">
        <f t="shared" si="94"/>
        <v>0</v>
      </c>
    </row>
    <row r="153" spans="1:93" s="170" customFormat="1" ht="15" customHeight="1" x14ac:dyDescent="0.15">
      <c r="A153" s="7900"/>
      <c r="B153" s="1157" t="s">
        <v>81</v>
      </c>
      <c r="C153" s="1660">
        <f t="shared" si="82"/>
        <v>0</v>
      </c>
      <c r="D153" s="1661">
        <f t="shared" si="96"/>
        <v>0</v>
      </c>
      <c r="E153" s="1662">
        <f t="shared" si="96"/>
        <v>0</v>
      </c>
      <c r="F153" s="1644"/>
      <c r="G153" s="1646"/>
      <c r="H153" s="1644"/>
      <c r="I153" s="1646"/>
      <c r="J153" s="1644"/>
      <c r="K153" s="1646"/>
      <c r="L153" s="1650"/>
      <c r="M153" s="1663"/>
      <c r="N153" s="1644"/>
      <c r="O153" s="1664"/>
      <c r="P153" s="1644"/>
      <c r="Q153" s="1664"/>
      <c r="R153" s="1650"/>
      <c r="S153" s="1664"/>
      <c r="T153" s="1650"/>
      <c r="U153" s="1664"/>
      <c r="V153" s="1644"/>
      <c r="W153" s="1646"/>
      <c r="X153" s="1650"/>
      <c r="Y153" s="1646"/>
      <c r="Z153" s="1650"/>
      <c r="AA153" s="1664"/>
      <c r="AB153" s="1650"/>
      <c r="AC153" s="1664"/>
      <c r="AD153" s="1650"/>
      <c r="AE153" s="1664"/>
      <c r="AF153" s="1650"/>
      <c r="AG153" s="1664"/>
      <c r="AH153" s="1650"/>
      <c r="AI153" s="1664"/>
      <c r="AJ153" s="1650"/>
      <c r="AK153" s="1664"/>
      <c r="AL153" s="1650"/>
      <c r="AM153" s="4512"/>
      <c r="AN153" s="4515"/>
      <c r="AO153" s="4516"/>
      <c r="AP153" s="4516"/>
      <c r="AQ153" s="4516"/>
      <c r="AR153" s="4516"/>
      <c r="AS153" s="170" t="str">
        <f t="shared" si="85"/>
        <v/>
      </c>
      <c r="CC153" s="2553" t="str">
        <f t="shared" si="97"/>
        <v/>
      </c>
      <c r="CD153" s="2553" t="str">
        <f t="shared" si="98"/>
        <v/>
      </c>
      <c r="CE153" s="2553" t="str">
        <f t="shared" si="99"/>
        <v/>
      </c>
      <c r="CF153" s="2553" t="str">
        <f t="shared" si="100"/>
        <v/>
      </c>
      <c r="CG153" s="2553" t="str">
        <f t="shared" si="101"/>
        <v/>
      </c>
      <c r="CH153" s="6042"/>
      <c r="CI153" s="6042"/>
      <c r="CK153" s="2554">
        <f t="shared" si="90"/>
        <v>0</v>
      </c>
      <c r="CL153" s="2554">
        <f t="shared" si="91"/>
        <v>0</v>
      </c>
      <c r="CM153" s="2554">
        <f t="shared" si="92"/>
        <v>0</v>
      </c>
      <c r="CN153" s="2554">
        <f t="shared" si="93"/>
        <v>0</v>
      </c>
      <c r="CO153" s="2554">
        <f t="shared" si="94"/>
        <v>0</v>
      </c>
    </row>
    <row r="154" spans="1:93" s="170" customFormat="1" ht="21" x14ac:dyDescent="0.15">
      <c r="A154" s="7900"/>
      <c r="B154" s="1361" t="s">
        <v>82</v>
      </c>
      <c r="C154" s="1665">
        <f t="shared" si="82"/>
        <v>0</v>
      </c>
      <c r="D154" s="1666">
        <f t="shared" si="96"/>
        <v>0</v>
      </c>
      <c r="E154" s="1667">
        <f t="shared" si="96"/>
        <v>0</v>
      </c>
      <c r="F154" s="1668"/>
      <c r="G154" s="1669"/>
      <c r="H154" s="1668"/>
      <c r="I154" s="1669"/>
      <c r="J154" s="1668"/>
      <c r="K154" s="1669"/>
      <c r="L154" s="1670"/>
      <c r="M154" s="1671"/>
      <c r="N154" s="1668"/>
      <c r="O154" s="1672"/>
      <c r="P154" s="1668"/>
      <c r="Q154" s="1672"/>
      <c r="R154" s="1670"/>
      <c r="S154" s="1672"/>
      <c r="T154" s="1670"/>
      <c r="U154" s="1672"/>
      <c r="V154" s="1668"/>
      <c r="W154" s="1669"/>
      <c r="X154" s="1670"/>
      <c r="Y154" s="1669"/>
      <c r="Z154" s="1670"/>
      <c r="AA154" s="1672"/>
      <c r="AB154" s="1670"/>
      <c r="AC154" s="1672"/>
      <c r="AD154" s="1670"/>
      <c r="AE154" s="1672"/>
      <c r="AF154" s="1670"/>
      <c r="AG154" s="1672"/>
      <c r="AH154" s="1670"/>
      <c r="AI154" s="1672"/>
      <c r="AJ154" s="1670"/>
      <c r="AK154" s="1672"/>
      <c r="AL154" s="1670"/>
      <c r="AM154" s="4513"/>
      <c r="AN154" s="4517"/>
      <c r="AO154" s="4518"/>
      <c r="AP154" s="4518"/>
      <c r="AQ154" s="4518"/>
      <c r="AR154" s="4518"/>
      <c r="AS154" s="170" t="str">
        <f t="shared" si="85"/>
        <v/>
      </c>
      <c r="CC154" s="2553" t="str">
        <f t="shared" si="97"/>
        <v/>
      </c>
      <c r="CD154" s="2553" t="str">
        <f t="shared" si="98"/>
        <v/>
      </c>
      <c r="CE154" s="2553" t="str">
        <f t="shared" si="99"/>
        <v/>
      </c>
      <c r="CF154" s="2553" t="str">
        <f t="shared" si="100"/>
        <v/>
      </c>
      <c r="CG154" s="2553" t="str">
        <f t="shared" si="101"/>
        <v/>
      </c>
      <c r="CH154" s="6042"/>
      <c r="CI154" s="6042"/>
      <c r="CK154" s="2554">
        <f t="shared" si="90"/>
        <v>0</v>
      </c>
      <c r="CL154" s="2554">
        <f t="shared" si="91"/>
        <v>0</v>
      </c>
      <c r="CM154" s="2554">
        <f t="shared" si="92"/>
        <v>0</v>
      </c>
      <c r="CN154" s="2554">
        <f t="shared" si="93"/>
        <v>0</v>
      </c>
      <c r="CO154" s="2554">
        <f t="shared" si="94"/>
        <v>0</v>
      </c>
    </row>
    <row r="155" spans="1:93" s="170" customFormat="1" ht="15" customHeight="1" x14ac:dyDescent="0.15">
      <c r="A155" s="8249"/>
      <c r="B155" s="2611" t="s">
        <v>24</v>
      </c>
      <c r="C155" s="2630">
        <f t="shared" si="82"/>
        <v>0</v>
      </c>
      <c r="D155" s="2631">
        <f t="shared" ref="D155:AQ155" si="102">SUM(D145:D154)</f>
        <v>0</v>
      </c>
      <c r="E155" s="2632">
        <f t="shared" si="102"/>
        <v>0</v>
      </c>
      <c r="F155" s="2633">
        <f t="shared" si="102"/>
        <v>0</v>
      </c>
      <c r="G155" s="2634">
        <f t="shared" si="102"/>
        <v>0</v>
      </c>
      <c r="H155" s="2633">
        <f t="shared" si="102"/>
        <v>0</v>
      </c>
      <c r="I155" s="2634">
        <f t="shared" si="102"/>
        <v>0</v>
      </c>
      <c r="J155" s="2633">
        <f t="shared" si="102"/>
        <v>0</v>
      </c>
      <c r="K155" s="2634">
        <f t="shared" si="102"/>
        <v>0</v>
      </c>
      <c r="L155" s="2635">
        <f t="shared" si="102"/>
        <v>0</v>
      </c>
      <c r="M155" s="2636">
        <f t="shared" si="102"/>
        <v>0</v>
      </c>
      <c r="N155" s="2633">
        <f t="shared" si="102"/>
        <v>0</v>
      </c>
      <c r="O155" s="2637">
        <f t="shared" si="102"/>
        <v>0</v>
      </c>
      <c r="P155" s="2633">
        <f t="shared" si="102"/>
        <v>0</v>
      </c>
      <c r="Q155" s="2637">
        <f t="shared" si="102"/>
        <v>0</v>
      </c>
      <c r="R155" s="2638">
        <f t="shared" si="102"/>
        <v>0</v>
      </c>
      <c r="S155" s="2637">
        <f t="shared" si="102"/>
        <v>0</v>
      </c>
      <c r="T155" s="2633">
        <f t="shared" si="102"/>
        <v>0</v>
      </c>
      <c r="U155" s="2634">
        <f t="shared" si="102"/>
        <v>0</v>
      </c>
      <c r="V155" s="2639">
        <f t="shared" si="102"/>
        <v>0</v>
      </c>
      <c r="W155" s="2637">
        <f t="shared" si="102"/>
        <v>0</v>
      </c>
      <c r="X155" s="2635">
        <f t="shared" si="102"/>
        <v>0</v>
      </c>
      <c r="Y155" s="2634">
        <f t="shared" si="102"/>
        <v>0</v>
      </c>
      <c r="Z155" s="2639">
        <f t="shared" si="102"/>
        <v>0</v>
      </c>
      <c r="AA155" s="2634">
        <f t="shared" si="102"/>
        <v>0</v>
      </c>
      <c r="AB155" s="2639">
        <f t="shared" si="102"/>
        <v>0</v>
      </c>
      <c r="AC155" s="2634">
        <f t="shared" si="102"/>
        <v>0</v>
      </c>
      <c r="AD155" s="2639">
        <f t="shared" si="102"/>
        <v>0</v>
      </c>
      <c r="AE155" s="2634">
        <f t="shared" si="102"/>
        <v>0</v>
      </c>
      <c r="AF155" s="2639">
        <f t="shared" si="102"/>
        <v>0</v>
      </c>
      <c r="AG155" s="2634">
        <f t="shared" si="102"/>
        <v>0</v>
      </c>
      <c r="AH155" s="2639">
        <f t="shared" si="102"/>
        <v>0</v>
      </c>
      <c r="AI155" s="2634">
        <f t="shared" si="102"/>
        <v>0</v>
      </c>
      <c r="AJ155" s="2639">
        <f t="shared" si="102"/>
        <v>0</v>
      </c>
      <c r="AK155" s="2634">
        <f t="shared" si="102"/>
        <v>0</v>
      </c>
      <c r="AL155" s="2639">
        <f t="shared" si="102"/>
        <v>0</v>
      </c>
      <c r="AM155" s="4514">
        <f t="shared" si="102"/>
        <v>0</v>
      </c>
      <c r="AN155" s="4519">
        <f t="shared" si="102"/>
        <v>0</v>
      </c>
      <c r="AO155" s="4520">
        <f t="shared" si="102"/>
        <v>0</v>
      </c>
      <c r="AP155" s="4520">
        <f t="shared" si="102"/>
        <v>0</v>
      </c>
      <c r="AQ155" s="4520">
        <f t="shared" si="102"/>
        <v>0</v>
      </c>
      <c r="AR155" s="4520">
        <f>SUM(AR145:AR154)</f>
        <v>0</v>
      </c>
    </row>
    <row r="156" spans="1:93" s="1134" customFormat="1" ht="18" customHeight="1" x14ac:dyDescent="0.15">
      <c r="A156" s="1694" t="s">
        <v>1397</v>
      </c>
    </row>
    <row r="157" spans="1:93" ht="15" customHeight="1" x14ac:dyDescent="0.25">
      <c r="A157" s="7955" t="s">
        <v>1398</v>
      </c>
      <c r="B157" s="7955" t="s">
        <v>61</v>
      </c>
      <c r="C157" s="7884" t="s">
        <v>24</v>
      </c>
      <c r="D157" s="6940"/>
      <c r="E157" s="7879"/>
      <c r="F157" s="7945" t="s">
        <v>30</v>
      </c>
      <c r="G157" s="7937"/>
      <c r="H157" s="7937"/>
      <c r="I157" s="7937"/>
      <c r="J157" s="7937"/>
      <c r="K157" s="7937"/>
      <c r="L157" s="7937"/>
      <c r="M157" s="7937"/>
      <c r="N157" s="7937"/>
      <c r="O157" s="7937"/>
      <c r="P157" s="7937"/>
      <c r="Q157" s="7937"/>
      <c r="R157" s="7937"/>
      <c r="S157" s="7937"/>
      <c r="T157" s="7937"/>
      <c r="U157" s="7937"/>
      <c r="V157" s="7937"/>
      <c r="W157" s="7937"/>
      <c r="X157" s="7937"/>
      <c r="Y157" s="7937"/>
      <c r="Z157" s="7937"/>
      <c r="AA157" s="7937"/>
      <c r="AB157" s="7937"/>
      <c r="AC157" s="7937"/>
      <c r="AD157" s="7937"/>
      <c r="AE157" s="7937"/>
      <c r="AF157" s="7937"/>
      <c r="AG157" s="8607"/>
      <c r="AH157" s="7879" t="s">
        <v>2</v>
      </c>
      <c r="AI157" s="7879" t="s">
        <v>3</v>
      </c>
    </row>
    <row r="158" spans="1:93" ht="15" customHeight="1" x14ac:dyDescent="0.25">
      <c r="A158" s="7956"/>
      <c r="B158" s="7956"/>
      <c r="C158" s="8596"/>
      <c r="D158" s="8617"/>
      <c r="E158" s="7933"/>
      <c r="F158" s="7945" t="s">
        <v>4</v>
      </c>
      <c r="G158" s="7928"/>
      <c r="H158" s="7945" t="s">
        <v>5</v>
      </c>
      <c r="I158" s="7928"/>
      <c r="J158" s="7935" t="s">
        <v>6</v>
      </c>
      <c r="K158" s="7936"/>
      <c r="L158" s="7935" t="s">
        <v>7</v>
      </c>
      <c r="M158" s="7936"/>
      <c r="N158" s="7935" t="s">
        <v>8</v>
      </c>
      <c r="O158" s="7936"/>
      <c r="P158" s="7935" t="s">
        <v>9</v>
      </c>
      <c r="Q158" s="7936"/>
      <c r="R158" s="7935" t="s">
        <v>10</v>
      </c>
      <c r="S158" s="7936"/>
      <c r="T158" s="7935" t="s">
        <v>11</v>
      </c>
      <c r="U158" s="7936"/>
      <c r="V158" s="7935" t="s">
        <v>18</v>
      </c>
      <c r="W158" s="7936"/>
      <c r="X158" s="7935" t="s">
        <v>19</v>
      </c>
      <c r="Y158" s="7936"/>
      <c r="Z158" s="7935" t="s">
        <v>20</v>
      </c>
      <c r="AA158" s="7936"/>
      <c r="AB158" s="7935" t="s">
        <v>70</v>
      </c>
      <c r="AC158" s="7936"/>
      <c r="AD158" s="7935" t="s">
        <v>71</v>
      </c>
      <c r="AE158" s="7936"/>
      <c r="AF158" s="7935" t="s">
        <v>32</v>
      </c>
      <c r="AG158" s="7938"/>
      <c r="AH158" s="6924"/>
      <c r="AI158" s="6924"/>
    </row>
    <row r="159" spans="1:93" ht="15" customHeight="1" x14ac:dyDescent="0.25">
      <c r="A159" s="8616"/>
      <c r="B159" s="8616"/>
      <c r="C159" s="1183" t="s">
        <v>26</v>
      </c>
      <c r="D159" s="1315" t="s">
        <v>22</v>
      </c>
      <c r="E159" s="1314" t="s">
        <v>27</v>
      </c>
      <c r="F159" s="1313" t="s">
        <v>22</v>
      </c>
      <c r="G159" s="1314" t="s">
        <v>27</v>
      </c>
      <c r="H159" s="1313" t="s">
        <v>22</v>
      </c>
      <c r="I159" s="1314" t="s">
        <v>27</v>
      </c>
      <c r="J159" s="1313" t="s">
        <v>22</v>
      </c>
      <c r="K159" s="1314" t="s">
        <v>27</v>
      </c>
      <c r="L159" s="1313" t="s">
        <v>22</v>
      </c>
      <c r="M159" s="1314" t="s">
        <v>27</v>
      </c>
      <c r="N159" s="1313" t="s">
        <v>22</v>
      </c>
      <c r="O159" s="1314" t="s">
        <v>27</v>
      </c>
      <c r="P159" s="1313" t="s">
        <v>22</v>
      </c>
      <c r="Q159" s="1314" t="s">
        <v>27</v>
      </c>
      <c r="R159" s="1313" t="s">
        <v>22</v>
      </c>
      <c r="S159" s="1314" t="s">
        <v>27</v>
      </c>
      <c r="T159" s="1313" t="s">
        <v>22</v>
      </c>
      <c r="U159" s="1314" t="s">
        <v>27</v>
      </c>
      <c r="V159" s="1313" t="s">
        <v>22</v>
      </c>
      <c r="W159" s="1314" t="s">
        <v>27</v>
      </c>
      <c r="X159" s="1313" t="s">
        <v>22</v>
      </c>
      <c r="Y159" s="1314" t="s">
        <v>27</v>
      </c>
      <c r="Z159" s="1313" t="s">
        <v>22</v>
      </c>
      <c r="AA159" s="1314" t="s">
        <v>27</v>
      </c>
      <c r="AB159" s="1313" t="s">
        <v>22</v>
      </c>
      <c r="AC159" s="1314" t="s">
        <v>27</v>
      </c>
      <c r="AD159" s="1313" t="s">
        <v>22</v>
      </c>
      <c r="AE159" s="1314" t="s">
        <v>27</v>
      </c>
      <c r="AF159" s="1313" t="s">
        <v>22</v>
      </c>
      <c r="AG159" s="1316" t="s">
        <v>27</v>
      </c>
      <c r="AH159" s="7933"/>
      <c r="AI159" s="7933"/>
    </row>
    <row r="160" spans="1:93" ht="15" customHeight="1" x14ac:dyDescent="0.25">
      <c r="A160" s="7791" t="s">
        <v>1399</v>
      </c>
      <c r="B160" s="1615" t="s">
        <v>74</v>
      </c>
      <c r="C160" s="1676">
        <f t="shared" ref="C160:C167" si="103">SUM(D160:E160)</f>
        <v>0</v>
      </c>
      <c r="D160" s="1658">
        <f t="shared" ref="D160:E167" si="104">SUM(F160+H160+J160+L160+N160+P160+R160+T160+V160+X160+Z160+AB160+AD160+AF160)</f>
        <v>0</v>
      </c>
      <c r="E160" s="1659">
        <f t="shared" si="104"/>
        <v>0</v>
      </c>
      <c r="F160" s="1592"/>
      <c r="G160" s="1593"/>
      <c r="H160" s="1592"/>
      <c r="I160" s="1593"/>
      <c r="J160" s="1592"/>
      <c r="K160" s="1593"/>
      <c r="L160" s="1592"/>
      <c r="M160" s="1593"/>
      <c r="N160" s="1592"/>
      <c r="O160" s="1593"/>
      <c r="P160" s="1592"/>
      <c r="Q160" s="1593"/>
      <c r="R160" s="1592"/>
      <c r="S160" s="1593"/>
      <c r="T160" s="1592"/>
      <c r="U160" s="1593"/>
      <c r="V160" s="1592"/>
      <c r="W160" s="1593"/>
      <c r="X160" s="1592"/>
      <c r="Y160" s="1593"/>
      <c r="Z160" s="1592"/>
      <c r="AA160" s="1593"/>
      <c r="AB160" s="1592"/>
      <c r="AC160" s="1593"/>
      <c r="AD160" s="1592"/>
      <c r="AE160" s="1593"/>
      <c r="AF160" s="1592"/>
      <c r="AG160" s="1595"/>
      <c r="AH160" s="1620"/>
      <c r="AI160" s="1620"/>
      <c r="AJ160" t="str">
        <f t="shared" ref="AJ160:AJ167" si="105">CC160&amp;CD160&amp;CE160&amp;CF160</f>
        <v/>
      </c>
      <c r="CC160" s="2553" t="str">
        <f>IF(AND(C160&gt;0,AH160="")," * No olvide digitar La variable Pueblos originarios, Digite CERO si no tiene.",IF(AH160&gt;C160," * La variable Pueblos originarios No puede ser mayor al Total.",""))</f>
        <v/>
      </c>
      <c r="CD160" s="2553" t="str">
        <f>IF(AND(C160&gt;0,AI160="")," * No olvide digitar La variable Pueblos Migrantes, Digite CERO si no tiene.",IF(AI160&gt;C160," * La variable Migrantes No puede ser mayor al Total.",""))</f>
        <v/>
      </c>
      <c r="CE160" s="6042"/>
      <c r="CF160" s="6042"/>
      <c r="CG160" s="6042"/>
      <c r="CH160" s="6042"/>
      <c r="CI160" s="6042"/>
      <c r="CJ160" s="170"/>
      <c r="CK160" s="2554">
        <f>IF(AND(C160&gt;0,AH160=""),1,IF(AH160&gt;C160,1,0))</f>
        <v>0</v>
      </c>
      <c r="CL160" s="2554">
        <f>IF(AND(C160&gt;0,AI160=""),1,IF(AI160&gt;C160,1,0))</f>
        <v>0</v>
      </c>
      <c r="CM160" s="6042"/>
    </row>
    <row r="161" spans="1:91" ht="15" customHeight="1" x14ac:dyDescent="0.25">
      <c r="A161" s="7900"/>
      <c r="B161" s="1677" t="s">
        <v>76</v>
      </c>
      <c r="C161" s="1678">
        <f t="shared" si="103"/>
        <v>0</v>
      </c>
      <c r="D161" s="1661">
        <f t="shared" si="104"/>
        <v>0</v>
      </c>
      <c r="E161" s="1662">
        <f t="shared" si="104"/>
        <v>0</v>
      </c>
      <c r="F161" s="1113"/>
      <c r="G161" s="1117"/>
      <c r="H161" s="1113"/>
      <c r="I161" s="1117"/>
      <c r="J161" s="1113"/>
      <c r="K161" s="1117"/>
      <c r="L161" s="1113"/>
      <c r="M161" s="1117"/>
      <c r="N161" s="1113"/>
      <c r="O161" s="1117"/>
      <c r="P161" s="1113"/>
      <c r="Q161" s="1117"/>
      <c r="R161" s="1113"/>
      <c r="S161" s="1117"/>
      <c r="T161" s="1113"/>
      <c r="U161" s="1117"/>
      <c r="V161" s="1113"/>
      <c r="W161" s="1117"/>
      <c r="X161" s="1113"/>
      <c r="Y161" s="1117"/>
      <c r="Z161" s="1113"/>
      <c r="AA161" s="1117"/>
      <c r="AB161" s="1113"/>
      <c r="AC161" s="1117"/>
      <c r="AD161" s="1113"/>
      <c r="AE161" s="1117"/>
      <c r="AF161" s="1113"/>
      <c r="AG161" s="1118"/>
      <c r="AH161" s="8"/>
      <c r="AI161" s="8"/>
      <c r="AJ161" t="str">
        <f t="shared" si="105"/>
        <v/>
      </c>
      <c r="CC161" s="2553" t="str">
        <f t="shared" ref="CC161:CC167" si="106">IF(AND(C161&gt;0,AH161="")," * No olvide digitar La variable Pueblos originarios, Digite CERO si no tiene.",IF(AH161&gt;C161," * La variable Pueblos originarios No puede ser mayor al Total.",""))</f>
        <v/>
      </c>
      <c r="CD161" s="2553" t="str">
        <f t="shared" ref="CD161:CD167" si="107">IF(AND(C161&gt;0,AI161="")," * No olvide digitar La variable Pueblos Migrantes, Digite CERO si no tiene.",IF(AI161&gt;C161," * La variable Migrantes No puede ser mayor al Total.",""))</f>
        <v/>
      </c>
      <c r="CE161" s="6042"/>
      <c r="CF161" s="6042"/>
      <c r="CG161" s="6042"/>
      <c r="CH161" s="6042"/>
      <c r="CI161" s="6042"/>
      <c r="CJ161" s="170"/>
      <c r="CK161" s="2554">
        <f t="shared" ref="CK161:CK167" si="108">IF(AND(C161&gt;0,AH161=""),1,IF(AH161&gt;C161,1,0))</f>
        <v>0</v>
      </c>
      <c r="CL161" s="2554">
        <f t="shared" ref="CL161:CL167" si="109">IF(AND(C161&gt;0,AI161=""),1,IF(AI161&gt;C161,1,0))</f>
        <v>0</v>
      </c>
      <c r="CM161" s="6042"/>
    </row>
    <row r="162" spans="1:91" ht="15" customHeight="1" x14ac:dyDescent="0.25">
      <c r="A162" s="7900"/>
      <c r="B162" s="1123" t="s">
        <v>247</v>
      </c>
      <c r="C162" s="1678">
        <f t="shared" si="103"/>
        <v>0</v>
      </c>
      <c r="D162" s="1661">
        <f t="shared" si="104"/>
        <v>0</v>
      </c>
      <c r="E162" s="1662">
        <f t="shared" si="104"/>
        <v>0</v>
      </c>
      <c r="F162" s="1113"/>
      <c r="G162" s="1117"/>
      <c r="H162" s="1113"/>
      <c r="I162" s="1117"/>
      <c r="J162" s="1113"/>
      <c r="K162" s="1117"/>
      <c r="L162" s="1113"/>
      <c r="M162" s="1117"/>
      <c r="N162" s="1113"/>
      <c r="O162" s="1117"/>
      <c r="P162" s="1113"/>
      <c r="Q162" s="1117"/>
      <c r="R162" s="1113"/>
      <c r="S162" s="1117"/>
      <c r="T162" s="1113"/>
      <c r="U162" s="1117"/>
      <c r="V162" s="1113"/>
      <c r="W162" s="1117"/>
      <c r="X162" s="1113"/>
      <c r="Y162" s="1117"/>
      <c r="Z162" s="1113"/>
      <c r="AA162" s="1117"/>
      <c r="AB162" s="1113"/>
      <c r="AC162" s="1117"/>
      <c r="AD162" s="1113"/>
      <c r="AE162" s="1117"/>
      <c r="AF162" s="1113"/>
      <c r="AG162" s="1118"/>
      <c r="AH162" s="8"/>
      <c r="AI162" s="8"/>
      <c r="AJ162" t="str">
        <f t="shared" si="105"/>
        <v/>
      </c>
      <c r="CC162" s="2553" t="str">
        <f t="shared" si="106"/>
        <v/>
      </c>
      <c r="CD162" s="2553" t="str">
        <f t="shared" si="107"/>
        <v/>
      </c>
      <c r="CE162" s="6042"/>
      <c r="CF162" s="6042"/>
      <c r="CG162" s="6042"/>
      <c r="CH162" s="6042"/>
      <c r="CI162" s="6042"/>
      <c r="CJ162" s="170"/>
      <c r="CK162" s="2554">
        <f t="shared" si="108"/>
        <v>0</v>
      </c>
      <c r="CL162" s="2554">
        <f t="shared" si="109"/>
        <v>0</v>
      </c>
      <c r="CM162" s="6042"/>
    </row>
    <row r="163" spans="1:91" ht="15" customHeight="1" x14ac:dyDescent="0.25">
      <c r="A163" s="8249"/>
      <c r="B163" s="1124" t="s">
        <v>632</v>
      </c>
      <c r="C163" s="1679">
        <f t="shared" si="103"/>
        <v>0</v>
      </c>
      <c r="D163" s="1666">
        <f t="shared" si="104"/>
        <v>0</v>
      </c>
      <c r="E163" s="1667">
        <f t="shared" si="104"/>
        <v>0</v>
      </c>
      <c r="F163" s="3"/>
      <c r="G163" s="6"/>
      <c r="H163" s="3"/>
      <c r="I163" s="6"/>
      <c r="J163" s="3"/>
      <c r="K163" s="6"/>
      <c r="L163" s="3"/>
      <c r="M163" s="6"/>
      <c r="N163" s="3"/>
      <c r="O163" s="6"/>
      <c r="P163" s="3"/>
      <c r="Q163" s="6"/>
      <c r="R163" s="3"/>
      <c r="S163" s="6"/>
      <c r="T163" s="3"/>
      <c r="U163" s="6"/>
      <c r="V163" s="3"/>
      <c r="W163" s="6"/>
      <c r="X163" s="3"/>
      <c r="Y163" s="6"/>
      <c r="Z163" s="3"/>
      <c r="AA163" s="6"/>
      <c r="AB163" s="3"/>
      <c r="AC163" s="6"/>
      <c r="AD163" s="3"/>
      <c r="AE163" s="6"/>
      <c r="AF163" s="3"/>
      <c r="AG163" s="5"/>
      <c r="AH163" s="12"/>
      <c r="AI163" s="12"/>
      <c r="AJ163" t="str">
        <f t="shared" si="105"/>
        <v/>
      </c>
      <c r="CC163" s="2553" t="str">
        <f t="shared" si="106"/>
        <v/>
      </c>
      <c r="CD163" s="2553" t="str">
        <f t="shared" si="107"/>
        <v/>
      </c>
      <c r="CE163" s="6042"/>
      <c r="CF163" s="6042"/>
      <c r="CG163" s="6042"/>
      <c r="CH163" s="6042"/>
      <c r="CI163" s="6042"/>
      <c r="CJ163" s="170"/>
      <c r="CK163" s="2554">
        <f t="shared" si="108"/>
        <v>0</v>
      </c>
      <c r="CL163" s="2554">
        <f t="shared" si="109"/>
        <v>0</v>
      </c>
      <c r="CM163" s="6042"/>
    </row>
    <row r="164" spans="1:91" ht="15" customHeight="1" x14ac:dyDescent="0.25">
      <c r="A164" s="7791" t="s">
        <v>1400</v>
      </c>
      <c r="B164" s="1615" t="s">
        <v>74</v>
      </c>
      <c r="C164" s="1676">
        <f t="shared" si="103"/>
        <v>0</v>
      </c>
      <c r="D164" s="1658">
        <f t="shared" si="104"/>
        <v>0</v>
      </c>
      <c r="E164" s="1659">
        <f t="shared" si="104"/>
        <v>0</v>
      </c>
      <c r="F164" s="1592"/>
      <c r="G164" s="1593"/>
      <c r="H164" s="1592"/>
      <c r="I164" s="1593"/>
      <c r="J164" s="1592"/>
      <c r="K164" s="1593"/>
      <c r="L164" s="1592"/>
      <c r="M164" s="1593"/>
      <c r="N164" s="1592"/>
      <c r="O164" s="1593"/>
      <c r="P164" s="1592"/>
      <c r="Q164" s="1593"/>
      <c r="R164" s="1592"/>
      <c r="S164" s="1593"/>
      <c r="T164" s="1592"/>
      <c r="U164" s="1593"/>
      <c r="V164" s="1592"/>
      <c r="W164" s="1593"/>
      <c r="X164" s="1592"/>
      <c r="Y164" s="1593"/>
      <c r="Z164" s="1592"/>
      <c r="AA164" s="1593"/>
      <c r="AB164" s="1592"/>
      <c r="AC164" s="1593"/>
      <c r="AD164" s="1592"/>
      <c r="AE164" s="1593"/>
      <c r="AF164" s="1592"/>
      <c r="AG164" s="1595"/>
      <c r="AH164" s="1620"/>
      <c r="AI164" s="1620"/>
      <c r="AJ164" t="str">
        <f t="shared" si="105"/>
        <v/>
      </c>
      <c r="CC164" s="2553" t="str">
        <f t="shared" si="106"/>
        <v/>
      </c>
      <c r="CD164" s="2553" t="str">
        <f t="shared" si="107"/>
        <v/>
      </c>
      <c r="CE164" s="6042"/>
      <c r="CF164" s="6042"/>
      <c r="CG164" s="6042"/>
      <c r="CH164" s="6042"/>
      <c r="CI164" s="6042"/>
      <c r="CJ164" s="170"/>
      <c r="CK164" s="2554">
        <f t="shared" si="108"/>
        <v>0</v>
      </c>
      <c r="CL164" s="2554">
        <f t="shared" si="109"/>
        <v>0</v>
      </c>
      <c r="CM164" s="6042"/>
    </row>
    <row r="165" spans="1:91" ht="15" customHeight="1" x14ac:dyDescent="0.25">
      <c r="A165" s="7900"/>
      <c r="B165" s="1677" t="s">
        <v>76</v>
      </c>
      <c r="C165" s="1678">
        <f t="shared" si="103"/>
        <v>0</v>
      </c>
      <c r="D165" s="1661">
        <f t="shared" si="104"/>
        <v>0</v>
      </c>
      <c r="E165" s="1662">
        <f t="shared" si="104"/>
        <v>0</v>
      </c>
      <c r="F165" s="1113"/>
      <c r="G165" s="1117"/>
      <c r="H165" s="1113"/>
      <c r="I165" s="1117"/>
      <c r="J165" s="1113"/>
      <c r="K165" s="1117"/>
      <c r="L165" s="1113"/>
      <c r="M165" s="1117"/>
      <c r="N165" s="1113"/>
      <c r="O165" s="1117"/>
      <c r="P165" s="1113"/>
      <c r="Q165" s="1117"/>
      <c r="R165" s="1113"/>
      <c r="S165" s="1117"/>
      <c r="T165" s="1113"/>
      <c r="U165" s="1117"/>
      <c r="V165" s="1113"/>
      <c r="W165" s="1117"/>
      <c r="X165" s="1113"/>
      <c r="Y165" s="1117"/>
      <c r="Z165" s="1113"/>
      <c r="AA165" s="1117"/>
      <c r="AB165" s="1113"/>
      <c r="AC165" s="1117"/>
      <c r="AD165" s="1113"/>
      <c r="AE165" s="1117"/>
      <c r="AF165" s="1113"/>
      <c r="AG165" s="1118"/>
      <c r="AH165" s="8"/>
      <c r="AI165" s="8"/>
      <c r="AJ165" t="str">
        <f t="shared" si="105"/>
        <v/>
      </c>
      <c r="CC165" s="2553" t="str">
        <f t="shared" si="106"/>
        <v/>
      </c>
      <c r="CD165" s="2553" t="str">
        <f t="shared" si="107"/>
        <v/>
      </c>
      <c r="CE165" s="6042"/>
      <c r="CF165" s="6042"/>
      <c r="CG165" s="6042"/>
      <c r="CH165" s="6042"/>
      <c r="CI165" s="6042"/>
      <c r="CJ165" s="170"/>
      <c r="CK165" s="2554">
        <f t="shared" si="108"/>
        <v>0</v>
      </c>
      <c r="CL165" s="2554">
        <f t="shared" si="109"/>
        <v>0</v>
      </c>
      <c r="CM165" s="6042"/>
    </row>
    <row r="166" spans="1:91" ht="15" customHeight="1" x14ac:dyDescent="0.25">
      <c r="A166" s="7900"/>
      <c r="B166" s="1123" t="s">
        <v>247</v>
      </c>
      <c r="C166" s="1678">
        <f t="shared" si="103"/>
        <v>0</v>
      </c>
      <c r="D166" s="1661">
        <f t="shared" si="104"/>
        <v>0</v>
      </c>
      <c r="E166" s="1662">
        <f>SUM(G166+I166+K166+M166+O166+Q166+S166+U166+W166+Y166+AA166+AC166+AE166+AG166)</f>
        <v>0</v>
      </c>
      <c r="F166" s="1113"/>
      <c r="G166" s="1117"/>
      <c r="H166" s="1113"/>
      <c r="I166" s="1117"/>
      <c r="J166" s="1113"/>
      <c r="K166" s="1117"/>
      <c r="L166" s="1113"/>
      <c r="M166" s="1117"/>
      <c r="N166" s="1113"/>
      <c r="O166" s="1117"/>
      <c r="P166" s="1113"/>
      <c r="Q166" s="1117"/>
      <c r="R166" s="1113"/>
      <c r="S166" s="1117"/>
      <c r="T166" s="1113"/>
      <c r="U166" s="1117"/>
      <c r="V166" s="1113"/>
      <c r="W166" s="1117"/>
      <c r="X166" s="1113"/>
      <c r="Y166" s="1117"/>
      <c r="Z166" s="1113"/>
      <c r="AA166" s="1117"/>
      <c r="AB166" s="1113"/>
      <c r="AC166" s="1117"/>
      <c r="AD166" s="1113"/>
      <c r="AE166" s="1117"/>
      <c r="AF166" s="1113"/>
      <c r="AG166" s="1118"/>
      <c r="AH166" s="8"/>
      <c r="AI166" s="8"/>
      <c r="AJ166" t="str">
        <f t="shared" si="105"/>
        <v/>
      </c>
      <c r="CC166" s="2553" t="str">
        <f t="shared" si="106"/>
        <v/>
      </c>
      <c r="CD166" s="2553" t="str">
        <f t="shared" si="107"/>
        <v/>
      </c>
      <c r="CE166" s="6042"/>
      <c r="CF166" s="6042"/>
      <c r="CG166" s="6042"/>
      <c r="CH166" s="6042"/>
      <c r="CI166" s="6042"/>
      <c r="CJ166" s="170"/>
      <c r="CK166" s="2554">
        <f t="shared" si="108"/>
        <v>0</v>
      </c>
      <c r="CL166" s="2554">
        <f t="shared" si="109"/>
        <v>0</v>
      </c>
      <c r="CM166" s="6042"/>
    </row>
    <row r="167" spans="1:91" ht="15" customHeight="1" x14ac:dyDescent="0.25">
      <c r="A167" s="8249"/>
      <c r="B167" s="1124" t="s">
        <v>632</v>
      </c>
      <c r="C167" s="1680">
        <f t="shared" si="103"/>
        <v>0</v>
      </c>
      <c r="D167" s="1666">
        <f t="shared" si="104"/>
        <v>0</v>
      </c>
      <c r="E167" s="1667">
        <f>SUM(G167+I167+K167+M167+O167+Q167+S167+U167+W167+Y167+AA167+AC167+AE167+AG167)</f>
        <v>0</v>
      </c>
      <c r="F167" s="3"/>
      <c r="G167" s="6"/>
      <c r="H167" s="3"/>
      <c r="I167" s="6"/>
      <c r="J167" s="3"/>
      <c r="K167" s="6"/>
      <c r="L167" s="3"/>
      <c r="M167" s="6"/>
      <c r="N167" s="3"/>
      <c r="O167" s="6"/>
      <c r="P167" s="3"/>
      <c r="Q167" s="6"/>
      <c r="R167" s="3"/>
      <c r="S167" s="6"/>
      <c r="T167" s="3"/>
      <c r="U167" s="6"/>
      <c r="V167" s="3"/>
      <c r="W167" s="6"/>
      <c r="X167" s="3"/>
      <c r="Y167" s="6"/>
      <c r="Z167" s="3"/>
      <c r="AA167" s="6"/>
      <c r="AB167" s="3"/>
      <c r="AC167" s="6"/>
      <c r="AD167" s="3"/>
      <c r="AE167" s="6"/>
      <c r="AF167" s="3"/>
      <c r="AG167" s="5"/>
      <c r="AH167" s="12"/>
      <c r="AI167" s="12"/>
      <c r="AJ167" t="str">
        <f t="shared" si="105"/>
        <v/>
      </c>
      <c r="CC167" s="2553" t="str">
        <f t="shared" si="106"/>
        <v/>
      </c>
      <c r="CD167" s="2553" t="str">
        <f t="shared" si="107"/>
        <v/>
      </c>
      <c r="CE167" s="6042"/>
      <c r="CF167" s="6042"/>
      <c r="CG167" s="6042"/>
      <c r="CH167" s="6042"/>
      <c r="CI167" s="6042"/>
      <c r="CJ167" s="170"/>
      <c r="CK167" s="2554">
        <f t="shared" si="108"/>
        <v>0</v>
      </c>
      <c r="CL167" s="2554">
        <f t="shared" si="109"/>
        <v>0</v>
      </c>
      <c r="CM167" s="6042"/>
    </row>
    <row r="168" spans="1:91" s="1134" customFormat="1" ht="18" customHeight="1" x14ac:dyDescent="0.15">
      <c r="A168" s="1694" t="s">
        <v>1401</v>
      </c>
      <c r="CC168" s="170"/>
      <c r="CD168" s="170"/>
      <c r="CE168" s="170"/>
      <c r="CF168" s="170"/>
      <c r="CG168" s="170"/>
      <c r="CH168" s="170"/>
      <c r="CI168" s="170"/>
      <c r="CJ168" s="170"/>
      <c r="CK168" s="170"/>
      <c r="CL168" s="170"/>
      <c r="CM168" s="170"/>
    </row>
    <row r="169" spans="1:91" s="170" customFormat="1" ht="15" customHeight="1" x14ac:dyDescent="0.15">
      <c r="A169" s="8618" t="s">
        <v>701</v>
      </c>
      <c r="B169" s="8619" t="s">
        <v>24</v>
      </c>
      <c r="C169" s="6940"/>
      <c r="D169" s="8620"/>
      <c r="E169" s="8621" t="s">
        <v>30</v>
      </c>
      <c r="F169" s="8622"/>
      <c r="G169" s="8622"/>
      <c r="H169" s="8622"/>
      <c r="I169" s="8622"/>
      <c r="J169" s="8622"/>
      <c r="K169" s="8622"/>
      <c r="L169" s="8622"/>
      <c r="M169" s="8622"/>
      <c r="N169" s="8622"/>
      <c r="O169" s="8622"/>
      <c r="P169" s="8622"/>
      <c r="Q169" s="8622"/>
      <c r="R169" s="8622"/>
      <c r="S169" s="8622"/>
      <c r="T169" s="8622"/>
      <c r="U169" s="8622"/>
      <c r="V169" s="8622"/>
      <c r="W169" s="8622"/>
      <c r="X169" s="8622"/>
      <c r="Y169" s="8622"/>
      <c r="Z169" s="8622"/>
      <c r="AA169" s="8622"/>
      <c r="AB169" s="8622"/>
      <c r="AC169" s="8622"/>
      <c r="AD169" s="8622"/>
      <c r="AE169" s="8622"/>
      <c r="AF169" s="8441"/>
      <c r="AG169" s="8608" t="s">
        <v>1402</v>
      </c>
      <c r="AH169" s="6528" t="s">
        <v>2</v>
      </c>
      <c r="AI169" s="6528" t="s">
        <v>3</v>
      </c>
    </row>
    <row r="170" spans="1:91" s="170" customFormat="1" ht="15" customHeight="1" x14ac:dyDescent="0.15">
      <c r="A170" s="7956"/>
      <c r="B170" s="8596"/>
      <c r="C170" s="8617"/>
      <c r="D170" s="7933"/>
      <c r="E170" s="8621" t="s">
        <v>4</v>
      </c>
      <c r="F170" s="8625"/>
      <c r="G170" s="8621" t="s">
        <v>5</v>
      </c>
      <c r="H170" s="8625"/>
      <c r="I170" s="8623" t="s">
        <v>6</v>
      </c>
      <c r="J170" s="8624"/>
      <c r="K170" s="8623" t="s">
        <v>7</v>
      </c>
      <c r="L170" s="8624"/>
      <c r="M170" s="8623" t="s">
        <v>8</v>
      </c>
      <c r="N170" s="8624"/>
      <c r="O170" s="8623" t="s">
        <v>9</v>
      </c>
      <c r="P170" s="8624"/>
      <c r="Q170" s="8623" t="s">
        <v>10</v>
      </c>
      <c r="R170" s="8624"/>
      <c r="S170" s="8623" t="s">
        <v>11</v>
      </c>
      <c r="T170" s="8624"/>
      <c r="U170" s="8623" t="s">
        <v>18</v>
      </c>
      <c r="V170" s="8624"/>
      <c r="W170" s="8623" t="s">
        <v>19</v>
      </c>
      <c r="X170" s="8624"/>
      <c r="Y170" s="8623" t="s">
        <v>20</v>
      </c>
      <c r="Z170" s="8624"/>
      <c r="AA170" s="8623" t="s">
        <v>70</v>
      </c>
      <c r="AB170" s="8624"/>
      <c r="AC170" s="8623" t="s">
        <v>71</v>
      </c>
      <c r="AD170" s="8624"/>
      <c r="AE170" s="8623" t="s">
        <v>32</v>
      </c>
      <c r="AF170" s="8473"/>
      <c r="AG170" s="7073"/>
      <c r="AH170" s="6924"/>
      <c r="AI170" s="6924"/>
    </row>
    <row r="171" spans="1:91" s="170" customFormat="1" ht="15" customHeight="1" x14ac:dyDescent="0.15">
      <c r="A171" s="8616"/>
      <c r="B171" s="2640" t="s">
        <v>26</v>
      </c>
      <c r="C171" s="2641" t="s">
        <v>22</v>
      </c>
      <c r="D171" s="2613" t="s">
        <v>27</v>
      </c>
      <c r="E171" s="2642" t="s">
        <v>22</v>
      </c>
      <c r="F171" s="2613" t="s">
        <v>27</v>
      </c>
      <c r="G171" s="2642" t="s">
        <v>22</v>
      </c>
      <c r="H171" s="2613" t="s">
        <v>27</v>
      </c>
      <c r="I171" s="2642" t="s">
        <v>22</v>
      </c>
      <c r="J171" s="2613" t="s">
        <v>27</v>
      </c>
      <c r="K171" s="2642" t="s">
        <v>22</v>
      </c>
      <c r="L171" s="2613" t="s">
        <v>27</v>
      </c>
      <c r="M171" s="2642" t="s">
        <v>22</v>
      </c>
      <c r="N171" s="2613" t="s">
        <v>27</v>
      </c>
      <c r="O171" s="2642" t="s">
        <v>22</v>
      </c>
      <c r="P171" s="2613" t="s">
        <v>27</v>
      </c>
      <c r="Q171" s="2642" t="s">
        <v>22</v>
      </c>
      <c r="R171" s="2613" t="s">
        <v>27</v>
      </c>
      <c r="S171" s="2642" t="s">
        <v>22</v>
      </c>
      <c r="T171" s="2613" t="s">
        <v>27</v>
      </c>
      <c r="U171" s="2642" t="s">
        <v>22</v>
      </c>
      <c r="V171" s="2613" t="s">
        <v>27</v>
      </c>
      <c r="W171" s="2642" t="s">
        <v>22</v>
      </c>
      <c r="X171" s="2613" t="s">
        <v>27</v>
      </c>
      <c r="Y171" s="2642" t="s">
        <v>22</v>
      </c>
      <c r="Z171" s="2613" t="s">
        <v>27</v>
      </c>
      <c r="AA171" s="2642" t="s">
        <v>22</v>
      </c>
      <c r="AB171" s="2613" t="s">
        <v>27</v>
      </c>
      <c r="AC171" s="2642" t="s">
        <v>22</v>
      </c>
      <c r="AD171" s="2613" t="s">
        <v>27</v>
      </c>
      <c r="AE171" s="2642" t="s">
        <v>22</v>
      </c>
      <c r="AF171" s="4424" t="s">
        <v>27</v>
      </c>
      <c r="AG171" s="7057"/>
      <c r="AH171" s="8605"/>
      <c r="AI171" s="8605"/>
    </row>
    <row r="172" spans="1:91" s="170" customFormat="1" ht="15" customHeight="1" x14ac:dyDescent="0.15">
      <c r="A172" s="1681" t="s">
        <v>1390</v>
      </c>
      <c r="B172" s="1682">
        <f>SUM(C172:D172)</f>
        <v>0</v>
      </c>
      <c r="C172" s="1682">
        <f t="shared" ref="C172:D174" si="110">+E172+G172+I172+K172+M172+O172+Q172+S172+U172+W172+Y172+AA172+AC172+AE172</f>
        <v>0</v>
      </c>
      <c r="D172" s="1682">
        <f t="shared" si="110"/>
        <v>0</v>
      </c>
      <c r="E172" s="1292"/>
      <c r="F172" s="1296"/>
      <c r="G172" s="1292"/>
      <c r="H172" s="1296"/>
      <c r="I172" s="1292"/>
      <c r="J172" s="1296"/>
      <c r="K172" s="1292"/>
      <c r="L172" s="1296"/>
      <c r="M172" s="1292"/>
      <c r="N172" s="1296"/>
      <c r="O172" s="1292"/>
      <c r="P172" s="1296"/>
      <c r="Q172" s="1292"/>
      <c r="R172" s="1296"/>
      <c r="S172" s="1292"/>
      <c r="T172" s="1296"/>
      <c r="U172" s="1292"/>
      <c r="V172" s="1296"/>
      <c r="W172" s="1292"/>
      <c r="X172" s="1296"/>
      <c r="Y172" s="1292"/>
      <c r="Z172" s="1296"/>
      <c r="AA172" s="1292"/>
      <c r="AB172" s="1296"/>
      <c r="AC172" s="1292"/>
      <c r="AD172" s="1296"/>
      <c r="AE172" s="1292"/>
      <c r="AF172" s="4521"/>
      <c r="AG172" s="4524"/>
      <c r="AH172" s="4245"/>
      <c r="AI172" s="4245"/>
      <c r="AJ172" s="170" t="str">
        <f>CC172&amp;CD172&amp;CE172&amp;CF172</f>
        <v/>
      </c>
      <c r="CC172" s="2553" t="str">
        <f>IF(AND(B172&gt;0,AH172="")," * No olvide digitar La variable Pueblos originarios, Digite CERO si no tiene.",IF(AH172&gt;B172," * La variable Pueblos originarios No puede ser mayor al Total.",""))</f>
        <v/>
      </c>
      <c r="CD172" s="2553" t="str">
        <f>IF(AND(B172&gt;0,AI172="")," * No olvide digitar La variable Migrantes, Digite CERO si no tiene.",IF(AI172&gt;B172," * La variable Migrantes No puede ser mayor al Total.",""))</f>
        <v/>
      </c>
      <c r="CK172" s="2554">
        <f>IF(AND(B172&gt;0,AH172=""),1,IF(AH172&gt;B172,1,0))</f>
        <v>0</v>
      </c>
      <c r="CL172" s="2554">
        <f>IF(AND(B172&gt;0,AI172=""),1,IF(AI172&gt;B172,1,0))</f>
        <v>0</v>
      </c>
      <c r="CM172" s="2554"/>
    </row>
    <row r="173" spans="1:91" s="170" customFormat="1" ht="15" customHeight="1" x14ac:dyDescent="0.15">
      <c r="A173" s="1681" t="s">
        <v>1391</v>
      </c>
      <c r="B173" s="1683">
        <f>SUM(C173:D173)</f>
        <v>0</v>
      </c>
      <c r="C173" s="1683">
        <f t="shared" si="110"/>
        <v>0</v>
      </c>
      <c r="D173" s="1683">
        <f t="shared" si="110"/>
        <v>0</v>
      </c>
      <c r="E173" s="1113"/>
      <c r="F173" s="1117"/>
      <c r="G173" s="1113"/>
      <c r="H173" s="1117"/>
      <c r="I173" s="1113"/>
      <c r="J173" s="1117"/>
      <c r="K173" s="1113"/>
      <c r="L173" s="1117"/>
      <c r="M173" s="1113"/>
      <c r="N173" s="1117"/>
      <c r="O173" s="1113"/>
      <c r="P173" s="1117"/>
      <c r="Q173" s="1113"/>
      <c r="R173" s="1117"/>
      <c r="S173" s="1113"/>
      <c r="T173" s="1117"/>
      <c r="U173" s="1113"/>
      <c r="V173" s="1117"/>
      <c r="W173" s="1113"/>
      <c r="X173" s="1117"/>
      <c r="Y173" s="1113"/>
      <c r="Z173" s="1117"/>
      <c r="AA173" s="1113"/>
      <c r="AB173" s="1117"/>
      <c r="AC173" s="1113"/>
      <c r="AD173" s="1117"/>
      <c r="AE173" s="1113"/>
      <c r="AF173" s="4522"/>
      <c r="AG173" s="4525"/>
      <c r="AH173" s="4051"/>
      <c r="AI173" s="4051"/>
      <c r="AJ173" s="170" t="str">
        <f>CC173&amp;CD173&amp;CE173&amp;CF173</f>
        <v/>
      </c>
      <c r="CC173" s="2553" t="str">
        <f t="shared" ref="CC173:CC174" si="111">IF(AND(B173&gt;0,AH173="")," * No olvide digitar La variable Pueblos originarios, Digite CERO si no tiene.",IF(AH173&gt;B173," * La variable Pueblos originarios No puede ser mayor al Total.",""))</f>
        <v/>
      </c>
      <c r="CD173" s="2553" t="str">
        <f t="shared" ref="CD173:CD174" si="112">IF(AND(B173&gt;0,AI173="")," * No olvide digitar La variable Migrantes, Digite CERO si no tiene.",IF(AI173&gt;B173," * La variable Migrantes No puede ser mayor al Total.",""))</f>
        <v/>
      </c>
      <c r="CK173" s="2554">
        <f t="shared" ref="CK173:CK174" si="113">IF(AND(B173&gt;0,AH173=""),1,IF(AH173&gt;B173,1,0))</f>
        <v>0</v>
      </c>
      <c r="CL173" s="2554">
        <f t="shared" ref="CL173:CL174" si="114">IF(AND(B173&gt;0,AI173=""),1,IF(AI173&gt;B173,1,0))</f>
        <v>0</v>
      </c>
      <c r="CM173" s="2554"/>
    </row>
    <row r="174" spans="1:91" s="170" customFormat="1" ht="15" customHeight="1" x14ac:dyDescent="0.15">
      <c r="A174" s="1681" t="s">
        <v>1403</v>
      </c>
      <c r="B174" s="1683">
        <f>SUM(C174:D174)</f>
        <v>0</v>
      </c>
      <c r="C174" s="1683">
        <f t="shared" si="110"/>
        <v>0</v>
      </c>
      <c r="D174" s="1683">
        <f>+F174+H174+J174+L174+N174+P174+R174+T174+V174+X174+Z174+AB174+AD174+AF174</f>
        <v>0</v>
      </c>
      <c r="E174" s="1318"/>
      <c r="F174" s="1320"/>
      <c r="G174" s="1318"/>
      <c r="H174" s="1320"/>
      <c r="I174" s="1318"/>
      <c r="J174" s="1320"/>
      <c r="K174" s="1318"/>
      <c r="L174" s="1320"/>
      <c r="M174" s="1318"/>
      <c r="N174" s="1320"/>
      <c r="O174" s="1318"/>
      <c r="P174" s="1320"/>
      <c r="Q174" s="1318"/>
      <c r="R174" s="1320"/>
      <c r="S174" s="1318"/>
      <c r="T174" s="1320"/>
      <c r="U174" s="1318"/>
      <c r="V174" s="1320"/>
      <c r="W174" s="1318"/>
      <c r="X174" s="1320"/>
      <c r="Y174" s="1318"/>
      <c r="Z174" s="1320"/>
      <c r="AA174" s="1318"/>
      <c r="AB174" s="1320"/>
      <c r="AC174" s="1318"/>
      <c r="AD174" s="1320"/>
      <c r="AE174" s="1318"/>
      <c r="AF174" s="1319"/>
      <c r="AG174" s="1480"/>
      <c r="AH174" s="1761"/>
      <c r="AI174" s="1761"/>
      <c r="AJ174" s="170" t="str">
        <f>CC174&amp;CD174&amp;CE174&amp;CF174</f>
        <v/>
      </c>
      <c r="CC174" s="2553" t="str">
        <f t="shared" si="111"/>
        <v/>
      </c>
      <c r="CD174" s="2553" t="str">
        <f t="shared" si="112"/>
        <v/>
      </c>
      <c r="CK174" s="2554">
        <f t="shared" si="113"/>
        <v>0</v>
      </c>
      <c r="CL174" s="2554">
        <f t="shared" si="114"/>
        <v>0</v>
      </c>
      <c r="CM174" s="2554"/>
    </row>
    <row r="175" spans="1:91" s="170" customFormat="1" ht="15" customHeight="1" x14ac:dyDescent="0.15">
      <c r="A175" s="1493" t="s">
        <v>1404</v>
      </c>
      <c r="B175" s="1684"/>
      <c r="C175" s="1684"/>
      <c r="D175" s="1684"/>
      <c r="E175" s="1685"/>
      <c r="F175" s="1686"/>
      <c r="G175" s="1685"/>
      <c r="H175" s="1686"/>
      <c r="I175" s="1685"/>
      <c r="J175" s="1686"/>
      <c r="K175" s="1685"/>
      <c r="L175" s="1686"/>
      <c r="M175" s="1685"/>
      <c r="N175" s="1686"/>
      <c r="O175" s="1685"/>
      <c r="P175" s="1686"/>
      <c r="Q175" s="1685"/>
      <c r="R175" s="1686"/>
      <c r="S175" s="1685"/>
      <c r="T175" s="1686"/>
      <c r="U175" s="1685"/>
      <c r="V175" s="1686"/>
      <c r="W175" s="1685"/>
      <c r="X175" s="1686"/>
      <c r="Y175" s="1685"/>
      <c r="Z175" s="1686"/>
      <c r="AA175" s="1685"/>
      <c r="AB175" s="1686"/>
      <c r="AC175" s="1685"/>
      <c r="AD175" s="1686"/>
      <c r="AE175" s="1685"/>
      <c r="AF175" s="4523"/>
      <c r="AG175" s="2303"/>
      <c r="AH175" s="4526"/>
      <c r="AI175" s="4526"/>
    </row>
    <row r="176" spans="1:91" s="170" customFormat="1" ht="18" customHeight="1" x14ac:dyDescent="0.15">
      <c r="A176" s="1694" t="s">
        <v>1405</v>
      </c>
    </row>
    <row r="177" spans="1:91" s="170" customFormat="1" ht="15" customHeight="1" x14ac:dyDescent="0.15">
      <c r="A177" s="8626" t="s">
        <v>1406</v>
      </c>
      <c r="B177" s="8628" t="s">
        <v>1387</v>
      </c>
      <c r="C177" s="8630" t="s">
        <v>1407</v>
      </c>
      <c r="D177" s="8631"/>
      <c r="E177" s="8628" t="s">
        <v>1408</v>
      </c>
      <c r="F177" s="8630" t="s">
        <v>12</v>
      </c>
      <c r="G177" s="8631"/>
      <c r="H177" s="8631"/>
      <c r="I177" s="8631"/>
      <c r="J177" s="8631"/>
      <c r="K177" s="8631"/>
      <c r="L177" s="8631"/>
      <c r="M177" s="8631"/>
      <c r="N177" s="8631"/>
      <c r="O177" s="8631"/>
      <c r="P177" s="8631"/>
      <c r="Q177" s="8631"/>
      <c r="R177" s="8631"/>
      <c r="S177" s="8631"/>
      <c r="T177" s="8632"/>
    </row>
    <row r="178" spans="1:91" s="170" customFormat="1" ht="21" x14ac:dyDescent="0.15">
      <c r="A178" s="8627"/>
      <c r="B178" s="8629"/>
      <c r="C178" s="1687" t="s">
        <v>1390</v>
      </c>
      <c r="D178" s="1687" t="s">
        <v>1409</v>
      </c>
      <c r="E178" s="8629"/>
      <c r="F178" s="1687" t="s">
        <v>547</v>
      </c>
      <c r="G178" s="1687" t="s">
        <v>548</v>
      </c>
      <c r="H178" s="1687" t="s">
        <v>549</v>
      </c>
      <c r="I178" s="1687" t="s">
        <v>550</v>
      </c>
      <c r="J178" s="1687" t="s">
        <v>551</v>
      </c>
      <c r="K178" s="1687" t="s">
        <v>552</v>
      </c>
      <c r="L178" s="1687" t="s">
        <v>2453</v>
      </c>
      <c r="M178" s="1687" t="s">
        <v>2445</v>
      </c>
      <c r="N178" s="1687" t="s">
        <v>2454</v>
      </c>
      <c r="O178" s="1687" t="s">
        <v>3736</v>
      </c>
      <c r="P178" s="1687" t="s">
        <v>3737</v>
      </c>
      <c r="Q178" s="1687" t="s">
        <v>3738</v>
      </c>
      <c r="R178" s="1687" t="s">
        <v>2456</v>
      </c>
      <c r="S178" s="1687" t="s">
        <v>3739</v>
      </c>
      <c r="T178" s="1687" t="s">
        <v>3740</v>
      </c>
      <c r="CC178" s="2553"/>
      <c r="CD178" s="2553"/>
      <c r="CE178" s="2553"/>
      <c r="CF178" s="2553"/>
      <c r="CG178" s="2553"/>
      <c r="CH178" s="2553"/>
      <c r="CI178" s="2553"/>
      <c r="CK178" s="2554"/>
      <c r="CL178" s="2554"/>
      <c r="CM178" s="2554"/>
    </row>
    <row r="179" spans="1:91" s="170" customFormat="1" ht="15" customHeight="1" x14ac:dyDescent="0.15">
      <c r="A179" s="1681" t="s">
        <v>76</v>
      </c>
      <c r="B179" s="1377">
        <f>SUM(C179:D179)</f>
        <v>0</v>
      </c>
      <c r="C179" s="1318"/>
      <c r="D179" s="1318"/>
      <c r="E179" s="1377">
        <f>+F179+G179+H179+I179+K179+L179+M179+N179+O179+P179+Q179+R179+S179+T179</f>
        <v>0</v>
      </c>
      <c r="F179" s="1113"/>
      <c r="G179" s="1113"/>
      <c r="H179" s="1113"/>
      <c r="I179" s="1113"/>
      <c r="J179" s="1688"/>
      <c r="K179" s="1113"/>
      <c r="L179" s="1113"/>
      <c r="M179" s="1113"/>
      <c r="N179" s="1113"/>
      <c r="O179" s="1113"/>
      <c r="P179" s="1113"/>
      <c r="Q179" s="1113"/>
      <c r="R179" s="1113"/>
      <c r="S179" s="1113"/>
      <c r="T179" s="1110"/>
      <c r="CC179" s="2553"/>
      <c r="CD179" s="2553"/>
      <c r="CE179" s="2553"/>
      <c r="CF179" s="2553"/>
      <c r="CG179" s="2553"/>
      <c r="CH179" s="2553"/>
      <c r="CI179" s="2553"/>
      <c r="CK179" s="2554"/>
      <c r="CL179" s="2554"/>
      <c r="CM179" s="2554"/>
    </row>
    <row r="180" spans="1:91" s="170" customFormat="1" ht="15" customHeight="1" x14ac:dyDescent="0.15">
      <c r="A180" s="1681" t="s">
        <v>74</v>
      </c>
      <c r="B180" s="1689">
        <f>SUM(C180:D180)</f>
        <v>0</v>
      </c>
      <c r="C180" s="1113"/>
      <c r="D180" s="1113"/>
      <c r="E180" s="1123">
        <f>+F180+G180+H180+I180+K180+L180+M180+N180+O180+P180+Q180+R180+S180+T180</f>
        <v>0</v>
      </c>
      <c r="F180" s="1113"/>
      <c r="G180" s="1113"/>
      <c r="H180" s="1113"/>
      <c r="I180" s="1113"/>
      <c r="J180" s="1690"/>
      <c r="K180" s="1113"/>
      <c r="L180" s="1113"/>
      <c r="M180" s="1113"/>
      <c r="N180" s="1113"/>
      <c r="O180" s="1113"/>
      <c r="P180" s="1113"/>
      <c r="Q180" s="1113"/>
      <c r="R180" s="1113"/>
      <c r="S180" s="1113"/>
      <c r="T180" s="1110"/>
      <c r="CC180" s="2553"/>
      <c r="CD180" s="2553"/>
      <c r="CE180" s="2553"/>
      <c r="CF180" s="2553"/>
      <c r="CG180" s="2553"/>
      <c r="CH180" s="2553"/>
      <c r="CI180" s="2553"/>
      <c r="CK180" s="2554"/>
      <c r="CL180" s="2554"/>
      <c r="CM180" s="2554"/>
    </row>
    <row r="181" spans="1:91" s="170" customFormat="1" ht="15" customHeight="1" x14ac:dyDescent="0.15">
      <c r="A181" s="1681" t="s">
        <v>247</v>
      </c>
      <c r="B181" s="1689">
        <f>SUM(C181:D181)</f>
        <v>0</v>
      </c>
      <c r="C181" s="1113"/>
      <c r="D181" s="1113"/>
      <c r="E181" s="1123">
        <f>SUM(F181:T181)</f>
        <v>0</v>
      </c>
      <c r="F181" s="1113"/>
      <c r="G181" s="1113"/>
      <c r="H181" s="1113"/>
      <c r="I181" s="1113"/>
      <c r="J181" s="1110"/>
      <c r="K181" s="1113"/>
      <c r="L181" s="1113"/>
      <c r="M181" s="1113"/>
      <c r="N181" s="1113"/>
      <c r="O181" s="1113"/>
      <c r="P181" s="1113"/>
      <c r="Q181" s="1113"/>
      <c r="R181" s="1113"/>
      <c r="S181" s="1113"/>
      <c r="T181" s="1110"/>
      <c r="CC181" s="2553"/>
      <c r="CD181" s="2553"/>
      <c r="CE181" s="2553"/>
      <c r="CF181" s="2553"/>
      <c r="CG181" s="2553"/>
      <c r="CH181" s="2553"/>
      <c r="CI181" s="2553"/>
      <c r="CK181" s="2554"/>
      <c r="CL181" s="2554"/>
      <c r="CM181" s="2554"/>
    </row>
    <row r="182" spans="1:91" s="170" customFormat="1" ht="15" customHeight="1" x14ac:dyDescent="0.15">
      <c r="A182" s="55" t="s">
        <v>1410</v>
      </c>
      <c r="B182" s="1691">
        <f>SUM(C182:D182)</f>
        <v>0</v>
      </c>
      <c r="C182" s="3"/>
      <c r="D182" s="3"/>
      <c r="E182" s="1692">
        <f>+F182+G182+H182+I182+K182+L182+M182+N182+O182+P182+Q182+R182+S182+T182</f>
        <v>0</v>
      </c>
      <c r="F182" s="3"/>
      <c r="G182" s="3"/>
      <c r="H182" s="3"/>
      <c r="I182" s="3"/>
      <c r="J182" s="1693"/>
      <c r="K182" s="3"/>
      <c r="L182" s="3"/>
      <c r="M182" s="3"/>
      <c r="N182" s="3"/>
      <c r="O182" s="3"/>
      <c r="P182" s="3"/>
      <c r="Q182" s="3"/>
      <c r="R182" s="3"/>
      <c r="S182" s="3"/>
      <c r="T182" s="30"/>
      <c r="CC182" s="2553"/>
      <c r="CD182" s="2553"/>
      <c r="CE182" s="2553"/>
      <c r="CF182" s="2553"/>
      <c r="CG182" s="2553"/>
      <c r="CH182" s="2553"/>
      <c r="CI182" s="2553"/>
      <c r="CK182" s="2554"/>
      <c r="CL182" s="2554"/>
      <c r="CM182" s="2554"/>
    </row>
    <row r="183" spans="1:91" s="1134" customFormat="1" ht="18" customHeight="1" x14ac:dyDescent="0.15">
      <c r="A183" s="1694" t="s">
        <v>1411</v>
      </c>
      <c r="CC183" s="2553"/>
      <c r="CD183" s="2553"/>
      <c r="CE183" s="2553"/>
      <c r="CF183" s="2553"/>
      <c r="CG183" s="2553"/>
      <c r="CH183" s="2553"/>
      <c r="CI183" s="2553"/>
      <c r="CJ183" s="170"/>
      <c r="CK183" s="2554"/>
      <c r="CL183" s="2554"/>
      <c r="CM183" s="2554"/>
    </row>
    <row r="184" spans="1:91" s="170" customFormat="1" ht="15" customHeight="1" x14ac:dyDescent="0.15">
      <c r="A184" s="8641" t="s">
        <v>1412</v>
      </c>
      <c r="B184" s="8642" t="s">
        <v>3741</v>
      </c>
      <c r="C184" s="8643"/>
      <c r="D184" s="8644"/>
      <c r="E184" s="8642" t="s">
        <v>3742</v>
      </c>
      <c r="F184" s="8643"/>
      <c r="G184" s="8644"/>
      <c r="CC184" s="2553"/>
      <c r="CD184" s="2553"/>
      <c r="CE184" s="2553"/>
      <c r="CF184" s="2553"/>
      <c r="CG184" s="2553"/>
      <c r="CH184" s="2553"/>
      <c r="CI184" s="2553"/>
      <c r="CK184" s="2554"/>
      <c r="CL184" s="2554"/>
      <c r="CM184" s="2554"/>
    </row>
    <row r="185" spans="1:91" s="170" customFormat="1" ht="15" customHeight="1" x14ac:dyDescent="0.15">
      <c r="A185" s="8616"/>
      <c r="B185" s="1695" t="s">
        <v>26</v>
      </c>
      <c r="C185" s="1696" t="s">
        <v>22</v>
      </c>
      <c r="D185" s="1697" t="s">
        <v>27</v>
      </c>
      <c r="E185" s="1695" t="s">
        <v>26</v>
      </c>
      <c r="F185" s="1696" t="s">
        <v>22</v>
      </c>
      <c r="G185" s="1697" t="s">
        <v>27</v>
      </c>
      <c r="CC185" s="2553"/>
      <c r="CD185" s="2553"/>
      <c r="CE185" s="2553"/>
      <c r="CF185" s="2553"/>
      <c r="CG185" s="2553"/>
      <c r="CH185" s="2553"/>
      <c r="CI185" s="2553"/>
      <c r="CK185" s="2554"/>
      <c r="CL185" s="2554"/>
      <c r="CM185" s="2554"/>
    </row>
    <row r="186" spans="1:91" s="170" customFormat="1" ht="15" customHeight="1" x14ac:dyDescent="0.15">
      <c r="A186" s="1681" t="s">
        <v>1413</v>
      </c>
      <c r="B186" s="1698">
        <f>SUM(C186:D186)</f>
        <v>0</v>
      </c>
      <c r="C186" s="1699"/>
      <c r="D186" s="1700"/>
      <c r="E186" s="1698">
        <f>SUM(F186:G186)</f>
        <v>0</v>
      </c>
      <c r="F186" s="1699"/>
      <c r="G186" s="1700"/>
      <c r="CC186" s="2553"/>
      <c r="CD186" s="2553"/>
      <c r="CE186" s="2553"/>
      <c r="CF186" s="2553"/>
      <c r="CG186" s="2553"/>
      <c r="CH186" s="2553"/>
      <c r="CI186" s="2553"/>
      <c r="CK186" s="2554"/>
      <c r="CL186" s="2554"/>
      <c r="CM186" s="2554"/>
    </row>
    <row r="187" spans="1:91" s="170" customFormat="1" ht="15" customHeight="1" x14ac:dyDescent="0.15">
      <c r="A187" s="55" t="s">
        <v>1414</v>
      </c>
      <c r="B187" s="1701">
        <f>SUM(C187:D187)</f>
        <v>0</v>
      </c>
      <c r="C187" s="1702"/>
      <c r="D187" s="1703"/>
      <c r="E187" s="1701">
        <f>SUM(F187:G187)</f>
        <v>0</v>
      </c>
      <c r="F187" s="1702"/>
      <c r="G187" s="1703"/>
      <c r="CC187" s="2553"/>
      <c r="CD187" s="2553"/>
      <c r="CE187" s="2553"/>
      <c r="CF187" s="2553"/>
      <c r="CG187" s="2553"/>
      <c r="CH187" s="2553"/>
      <c r="CI187" s="2553"/>
      <c r="CK187" s="2554"/>
      <c r="CL187" s="2554"/>
      <c r="CM187" s="2554"/>
    </row>
    <row r="188" spans="1:91" s="1134" customFormat="1" ht="18" customHeight="1" x14ac:dyDescent="0.15">
      <c r="A188" s="1675" t="s">
        <v>1415</v>
      </c>
      <c r="CC188" s="2553"/>
      <c r="CD188" s="2553"/>
      <c r="CE188" s="2553"/>
      <c r="CF188" s="2553"/>
      <c r="CG188" s="2553"/>
      <c r="CH188" s="2553"/>
      <c r="CI188" s="2553"/>
      <c r="CJ188" s="170"/>
      <c r="CK188" s="2554"/>
      <c r="CL188" s="2554"/>
      <c r="CM188" s="2554"/>
    </row>
    <row r="189" spans="1:91" x14ac:dyDescent="0.25">
      <c r="A189" s="8645" t="s">
        <v>58</v>
      </c>
      <c r="B189" s="8647" t="s">
        <v>1387</v>
      </c>
      <c r="C189" s="8649" t="s">
        <v>1416</v>
      </c>
      <c r="D189" s="8650"/>
      <c r="E189" s="8651"/>
      <c r="F189" s="8628" t="s">
        <v>1408</v>
      </c>
      <c r="G189" s="8652" t="s">
        <v>12</v>
      </c>
      <c r="H189" s="8653"/>
      <c r="I189" s="8653"/>
      <c r="J189" s="8653"/>
      <c r="K189" s="8653"/>
      <c r="L189" s="8645"/>
      <c r="CC189" s="2553"/>
      <c r="CD189" s="2553"/>
      <c r="CE189" s="2553"/>
      <c r="CF189" s="2553"/>
      <c r="CG189" s="2553"/>
      <c r="CH189" s="2553"/>
      <c r="CI189" s="2553"/>
      <c r="CJ189" s="170"/>
      <c r="CK189" s="2554"/>
      <c r="CL189" s="2554"/>
      <c r="CM189" s="2554"/>
    </row>
    <row r="190" spans="1:91" ht="21" x14ac:dyDescent="0.25">
      <c r="A190" s="8646"/>
      <c r="B190" s="8648"/>
      <c r="C190" s="1704" t="s">
        <v>1417</v>
      </c>
      <c r="D190" s="1704" t="s">
        <v>1391</v>
      </c>
      <c r="E190" s="1704" t="s">
        <v>1418</v>
      </c>
      <c r="F190" s="8629"/>
      <c r="G190" s="1705" t="s">
        <v>3762</v>
      </c>
      <c r="H190" s="1706" t="s">
        <v>1419</v>
      </c>
      <c r="I190" s="1706" t="s">
        <v>1420</v>
      </c>
      <c r="J190" s="1706" t="s">
        <v>1421</v>
      </c>
      <c r="K190" s="1706" t="s">
        <v>1422</v>
      </c>
      <c r="L190" s="1707" t="s">
        <v>1423</v>
      </c>
      <c r="CC190" s="2553"/>
      <c r="CD190" s="2553"/>
      <c r="CE190" s="2553"/>
      <c r="CF190" s="2553"/>
      <c r="CG190" s="2553"/>
      <c r="CH190" s="2553"/>
      <c r="CI190" s="2553"/>
      <c r="CJ190" s="170"/>
      <c r="CK190" s="2554"/>
      <c r="CL190" s="2554"/>
      <c r="CM190" s="2554"/>
    </row>
    <row r="191" spans="1:91" x14ac:dyDescent="0.25">
      <c r="A191" s="1681" t="s">
        <v>1424</v>
      </c>
      <c r="B191" s="1708">
        <f>SUM(C191:D191)</f>
        <v>0</v>
      </c>
      <c r="C191" s="1318"/>
      <c r="D191" s="1318"/>
      <c r="E191" s="1709"/>
      <c r="F191" s="1377">
        <f>SUM(G191:L191)</f>
        <v>0</v>
      </c>
      <c r="G191" s="1292"/>
      <c r="H191" s="1472"/>
      <c r="I191" s="1472"/>
      <c r="J191" s="1472"/>
      <c r="K191" s="1472"/>
      <c r="L191" s="1107"/>
    </row>
    <row r="192" spans="1:91" x14ac:dyDescent="0.25">
      <c r="A192" s="1681" t="s">
        <v>1425</v>
      </c>
      <c r="B192" s="1129">
        <f>SUM(C192:E192)</f>
        <v>0</v>
      </c>
      <c r="C192" s="1113"/>
      <c r="D192" s="1113"/>
      <c r="E192" s="1318"/>
      <c r="F192" s="1689">
        <f>SUM(G192:L192)</f>
        <v>0</v>
      </c>
      <c r="G192" s="1113"/>
      <c r="H192" s="1476"/>
      <c r="I192" s="1476"/>
      <c r="J192" s="1476"/>
      <c r="K192" s="1476"/>
      <c r="L192" s="8"/>
    </row>
    <row r="193" spans="1:92" x14ac:dyDescent="0.25">
      <c r="A193" s="55" t="s">
        <v>1426</v>
      </c>
      <c r="B193" s="1710">
        <f>SUM(C193:D193)</f>
        <v>0</v>
      </c>
      <c r="C193" s="3"/>
      <c r="D193" s="3"/>
      <c r="E193" s="1711"/>
      <c r="F193" s="1691">
        <f>SUM(G193:L193)</f>
        <v>0</v>
      </c>
      <c r="G193" s="3"/>
      <c r="H193" s="4"/>
      <c r="I193" s="4"/>
      <c r="J193" s="4"/>
      <c r="K193" s="4"/>
      <c r="L193" s="12"/>
    </row>
    <row r="194" spans="1:92" s="1134" customFormat="1" ht="18" customHeight="1" x14ac:dyDescent="0.15">
      <c r="A194" s="8633" t="s">
        <v>1427</v>
      </c>
      <c r="B194" s="8633"/>
      <c r="C194" s="8633"/>
    </row>
    <row r="195" spans="1:92" x14ac:dyDescent="0.25">
      <c r="A195" s="8634" t="s">
        <v>1428</v>
      </c>
      <c r="B195" s="8635"/>
      <c r="C195" s="8636" t="s">
        <v>1429</v>
      </c>
      <c r="D195" s="8637" t="s">
        <v>1430</v>
      </c>
      <c r="E195" s="8638"/>
      <c r="F195" s="8638"/>
      <c r="G195" s="8638"/>
      <c r="H195" s="8638"/>
      <c r="I195" s="8638"/>
      <c r="J195" s="8639"/>
      <c r="K195" s="8622" t="s">
        <v>1431</v>
      </c>
      <c r="L195" s="8622"/>
      <c r="M195" s="8622"/>
      <c r="N195" s="8625"/>
    </row>
    <row r="196" spans="1:92" ht="21" x14ac:dyDescent="0.25">
      <c r="A196" s="7946"/>
      <c r="B196" s="7930"/>
      <c r="C196" s="8565"/>
      <c r="D196" s="1704" t="s">
        <v>1417</v>
      </c>
      <c r="E196" s="1704" t="s">
        <v>1432</v>
      </c>
      <c r="F196" s="1704" t="s">
        <v>1433</v>
      </c>
      <c r="G196" s="1704" t="s">
        <v>1434</v>
      </c>
      <c r="H196" s="1704" t="s">
        <v>1408</v>
      </c>
      <c r="I196" s="1704" t="s">
        <v>39</v>
      </c>
      <c r="J196" s="1704" t="s">
        <v>1435</v>
      </c>
      <c r="K196" s="1712" t="s">
        <v>1436</v>
      </c>
      <c r="L196" s="1713" t="s">
        <v>1437</v>
      </c>
      <c r="M196" s="1713" t="s">
        <v>1438</v>
      </c>
      <c r="N196" s="1714" t="s">
        <v>1439</v>
      </c>
    </row>
    <row r="197" spans="1:92" ht="15" customHeight="1" x14ac:dyDescent="0.25">
      <c r="A197" s="8640" t="s">
        <v>1440</v>
      </c>
      <c r="B197" s="1715" t="s">
        <v>1441</v>
      </c>
      <c r="C197" s="1377">
        <f>SUM(E197+G197)</f>
        <v>0</v>
      </c>
      <c r="D197" s="1716"/>
      <c r="E197" s="1113"/>
      <c r="F197" s="1688"/>
      <c r="G197" s="1113"/>
      <c r="H197" s="1377">
        <f>+K197+L197+M197</f>
        <v>0</v>
      </c>
      <c r="I197" s="1688"/>
      <c r="J197" s="1688"/>
      <c r="K197" s="1115"/>
      <c r="L197" s="1476"/>
      <c r="M197" s="1476"/>
      <c r="N197" s="1717"/>
    </row>
    <row r="198" spans="1:92" ht="15" customHeight="1" x14ac:dyDescent="0.25">
      <c r="A198" s="7900"/>
      <c r="B198" s="1130" t="s">
        <v>1442</v>
      </c>
      <c r="C198" s="1123">
        <f>SUM(D198+E198+G198)</f>
        <v>0</v>
      </c>
      <c r="D198" s="1113"/>
      <c r="E198" s="1110"/>
      <c r="F198" s="1709"/>
      <c r="G198" s="1113"/>
      <c r="H198" s="1123">
        <f>SUM(I198:M198)</f>
        <v>0</v>
      </c>
      <c r="I198" s="1318"/>
      <c r="J198" s="1108"/>
      <c r="K198" s="1115"/>
      <c r="L198" s="1476"/>
      <c r="M198" s="1476"/>
      <c r="N198" s="1717"/>
    </row>
    <row r="199" spans="1:92" ht="15" customHeight="1" x14ac:dyDescent="0.25">
      <c r="A199" s="7900"/>
      <c r="B199" s="1130" t="s">
        <v>1443</v>
      </c>
      <c r="C199" s="1123">
        <f>+F199+G199</f>
        <v>0</v>
      </c>
      <c r="D199" s="1709"/>
      <c r="E199" s="1709"/>
      <c r="F199" s="1113"/>
      <c r="G199" s="1113"/>
      <c r="H199" s="1123">
        <f>SUM(I199:M199)</f>
        <v>0</v>
      </c>
      <c r="I199" s="1113"/>
      <c r="J199" s="1110"/>
      <c r="K199" s="1115"/>
      <c r="L199" s="1476"/>
      <c r="M199" s="1476"/>
      <c r="N199" s="1718"/>
    </row>
    <row r="200" spans="1:92" ht="15" customHeight="1" x14ac:dyDescent="0.25">
      <c r="A200" s="8249"/>
      <c r="B200" s="1719" t="s">
        <v>1444</v>
      </c>
      <c r="C200" s="1720">
        <f>SUM(D200:G200)</f>
        <v>0</v>
      </c>
      <c r="D200" s="3"/>
      <c r="E200" s="3"/>
      <c r="F200" s="3"/>
      <c r="G200" s="30"/>
      <c r="H200" s="1692">
        <f>+N200</f>
        <v>0</v>
      </c>
      <c r="I200" s="1711"/>
      <c r="J200" s="1711"/>
      <c r="K200" s="1721"/>
      <c r="L200" s="1722"/>
      <c r="M200" s="1722"/>
      <c r="N200" s="12"/>
    </row>
    <row r="201" spans="1:92" s="1134" customFormat="1" ht="18" customHeight="1" x14ac:dyDescent="0.15">
      <c r="A201" s="1675" t="s">
        <v>1445</v>
      </c>
    </row>
    <row r="202" spans="1:92" s="170" customFormat="1" ht="15" customHeight="1" x14ac:dyDescent="0.15">
      <c r="A202" s="8671" t="s">
        <v>58</v>
      </c>
      <c r="B202" s="8671" t="s">
        <v>1446</v>
      </c>
      <c r="C202" s="8672" t="s">
        <v>1447</v>
      </c>
      <c r="D202" s="8674" t="s">
        <v>1431</v>
      </c>
      <c r="E202" s="8675"/>
      <c r="F202" s="8674" t="s">
        <v>12</v>
      </c>
      <c r="G202" s="8676"/>
      <c r="H202" s="8676"/>
      <c r="I202" s="8676"/>
      <c r="J202" s="8676"/>
      <c r="K202" s="8676"/>
      <c r="L202" s="8676"/>
      <c r="M202" s="8676"/>
      <c r="N202" s="8676"/>
      <c r="O202" s="8676"/>
      <c r="P202" s="8676"/>
      <c r="Q202" s="8676"/>
      <c r="R202" s="8676"/>
      <c r="S202" s="8677"/>
      <c r="T202" s="8678" t="s">
        <v>39</v>
      </c>
      <c r="U202" s="8660" t="s">
        <v>1112</v>
      </c>
    </row>
    <row r="203" spans="1:92" s="170" customFormat="1" ht="21" x14ac:dyDescent="0.15">
      <c r="A203" s="8671"/>
      <c r="B203" s="8671"/>
      <c r="C203" s="8673"/>
      <c r="D203" s="4566" t="s">
        <v>1448</v>
      </c>
      <c r="E203" s="4567" t="s">
        <v>3732</v>
      </c>
      <c r="F203" s="4566" t="s">
        <v>3763</v>
      </c>
      <c r="G203" s="4568" t="s">
        <v>1451</v>
      </c>
      <c r="H203" s="4568" t="s">
        <v>37</v>
      </c>
      <c r="I203" s="4568" t="s">
        <v>38</v>
      </c>
      <c r="J203" s="4568" t="s">
        <v>4</v>
      </c>
      <c r="K203" s="4568" t="s">
        <v>559</v>
      </c>
      <c r="L203" s="4568" t="s">
        <v>6</v>
      </c>
      <c r="M203" s="4568" t="s">
        <v>7</v>
      </c>
      <c r="N203" s="4568" t="s">
        <v>8</v>
      </c>
      <c r="O203" s="4568" t="s">
        <v>9</v>
      </c>
      <c r="P203" s="4568" t="s">
        <v>10</v>
      </c>
      <c r="Q203" s="4568" t="s">
        <v>11</v>
      </c>
      <c r="R203" s="4568" t="s">
        <v>18</v>
      </c>
      <c r="S203" s="4569" t="s">
        <v>19</v>
      </c>
      <c r="T203" s="8679"/>
      <c r="U203" s="8661"/>
    </row>
    <row r="204" spans="1:92" s="170" customFormat="1" ht="15" customHeight="1" x14ac:dyDescent="0.25">
      <c r="A204" s="1723" t="s">
        <v>1452</v>
      </c>
      <c r="B204" s="1113"/>
      <c r="C204" s="1724">
        <f>SUM(D204:S204)</f>
        <v>0</v>
      </c>
      <c r="D204" s="1113"/>
      <c r="E204" s="1115"/>
      <c r="F204" s="1113"/>
      <c r="G204" s="1476"/>
      <c r="H204" s="1476"/>
      <c r="I204" s="1476"/>
      <c r="J204" s="1476"/>
      <c r="K204" s="1476"/>
      <c r="L204" s="1476"/>
      <c r="M204" s="1476"/>
      <c r="N204" s="1476"/>
      <c r="O204" s="1476"/>
      <c r="P204" s="1476"/>
      <c r="Q204" s="1476"/>
      <c r="R204" s="1476"/>
      <c r="S204" s="4522"/>
      <c r="T204" s="1641"/>
      <c r="U204" s="1761"/>
      <c r="V204" s="170" t="str">
        <f>CC204&amp;CD204&amp;CE204&amp;CF204</f>
        <v/>
      </c>
      <c r="CC204" s="2553" t="str">
        <f>IF(AND(T204="",C204&gt;0)," * No olvide digitar la variable Gestantes . Digite CERO si no tiene","")</f>
        <v/>
      </c>
      <c r="CD204" s="2553" t="str">
        <f>IF(AND(U204="",C204&gt;0)," * No olvide digitar la variable Post Parto . Digite CERO si no tiene","")</f>
        <v/>
      </c>
      <c r="CE204" s="2553" t="str">
        <f>IF((T204+U204)&gt;C204," * La suma de las variables Gestantes + Post Parto No pueden ser mayor al Total de participantes.","")</f>
        <v/>
      </c>
      <c r="CF204"/>
      <c r="CG204"/>
      <c r="CH204"/>
      <c r="CI204"/>
      <c r="CJ204"/>
      <c r="CK204" s="1793">
        <f>IF(AND(T204="",C204&gt;0),1,0)</f>
        <v>0</v>
      </c>
      <c r="CL204" s="1793">
        <f>IF(AND(U204="",C204&gt;0),1,0)</f>
        <v>0</v>
      </c>
      <c r="CM204" s="1793">
        <f>IF((T204+U204)&gt;C204,1,0)</f>
        <v>0</v>
      </c>
      <c r="CN204"/>
    </row>
    <row r="205" spans="1:92" s="170" customFormat="1" ht="15" customHeight="1" x14ac:dyDescent="0.25">
      <c r="A205" s="1723" t="s">
        <v>1453</v>
      </c>
      <c r="B205" s="1113"/>
      <c r="C205" s="1725">
        <f>SUM(D205:S205)</f>
        <v>0</v>
      </c>
      <c r="D205" s="1113"/>
      <c r="E205" s="1115"/>
      <c r="F205" s="1113"/>
      <c r="G205" s="1476"/>
      <c r="H205" s="1476"/>
      <c r="I205" s="1476"/>
      <c r="J205" s="1476"/>
      <c r="K205" s="1476"/>
      <c r="L205" s="1476"/>
      <c r="M205" s="1476"/>
      <c r="N205" s="1476"/>
      <c r="O205" s="1476"/>
      <c r="P205" s="1476"/>
      <c r="Q205" s="1476"/>
      <c r="R205" s="1476"/>
      <c r="S205" s="4522"/>
      <c r="T205" s="4508"/>
      <c r="U205" s="4051"/>
      <c r="V205" s="170" t="str">
        <f>CC205&amp;CD205&amp;CE205&amp;CF205</f>
        <v/>
      </c>
      <c r="CC205" s="2553" t="str">
        <f t="shared" ref="CC205:CC206" si="115">IF(AND(T205="",C205&gt;0)," * No olvide digitar la variable Gestantes . Digite CERO si no tiene","")</f>
        <v/>
      </c>
      <c r="CD205" s="2553" t="str">
        <f t="shared" ref="CD205:CD206" si="116">IF(AND(U205="",C205&gt;0)," * No olvide digitar la variable Post Parto . Digite CERO si no tiene","")</f>
        <v/>
      </c>
      <c r="CE205" s="2553" t="str">
        <f t="shared" ref="CE205:CE206" si="117">IF((T205+U205)&gt;C205," * La suma de las variables Gestantes + Post Parto No pueden ser mayor al Total de participantes.","")</f>
        <v/>
      </c>
      <c r="CF205"/>
      <c r="CG205"/>
      <c r="CH205"/>
      <c r="CI205"/>
      <c r="CJ205"/>
      <c r="CK205" s="1793">
        <f t="shared" ref="CK205:CK206" si="118">IF(AND(T205="",C205&gt;0),1,0)</f>
        <v>0</v>
      </c>
      <c r="CL205" s="1793">
        <f t="shared" ref="CL205:CL206" si="119">IF(AND(U205="",C205&gt;0),1,0)</f>
        <v>0</v>
      </c>
      <c r="CM205" s="1793">
        <f t="shared" ref="CM205:CM206" si="120">IF((T205+U205)&gt;C205,1,0)</f>
        <v>0</v>
      </c>
      <c r="CN205"/>
    </row>
    <row r="206" spans="1:92" s="170" customFormat="1" ht="15" customHeight="1" x14ac:dyDescent="0.25">
      <c r="A206" s="1726" t="s">
        <v>1454</v>
      </c>
      <c r="B206" s="30"/>
      <c r="C206" s="1727">
        <f>SUM(D206:S206)</f>
        <v>0</v>
      </c>
      <c r="D206" s="3"/>
      <c r="E206" s="21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527"/>
      <c r="T206" s="4509"/>
      <c r="U206" s="30"/>
      <c r="V206" s="170" t="str">
        <f>CC206&amp;CD206&amp;CE206&amp;CF206</f>
        <v/>
      </c>
      <c r="CC206" s="2553" t="str">
        <f t="shared" si="115"/>
        <v/>
      </c>
      <c r="CD206" s="2553" t="str">
        <f t="shared" si="116"/>
        <v/>
      </c>
      <c r="CE206" s="2553" t="str">
        <f t="shared" si="117"/>
        <v/>
      </c>
      <c r="CF206"/>
      <c r="CG206"/>
      <c r="CH206"/>
      <c r="CI206"/>
      <c r="CJ206"/>
      <c r="CK206" s="1793">
        <f t="shared" si="118"/>
        <v>0</v>
      </c>
      <c r="CL206" s="1793">
        <f t="shared" si="119"/>
        <v>0</v>
      </c>
      <c r="CM206" s="1793">
        <f t="shared" si="120"/>
        <v>0</v>
      </c>
      <c r="CN206"/>
    </row>
    <row r="207" spans="1:92" s="1134" customFormat="1" ht="18" customHeight="1" x14ac:dyDescent="0.15">
      <c r="A207" s="8662" t="s">
        <v>1455</v>
      </c>
      <c r="B207" s="8662"/>
      <c r="C207" s="8662"/>
    </row>
    <row r="208" spans="1:92" ht="15" customHeight="1" x14ac:dyDescent="0.25">
      <c r="A208" s="8663" t="s">
        <v>1456</v>
      </c>
      <c r="B208" s="8663" t="s">
        <v>1457</v>
      </c>
      <c r="C208" s="8664" t="s">
        <v>1431</v>
      </c>
      <c r="D208" s="8665"/>
      <c r="E208" s="8666" t="s">
        <v>12</v>
      </c>
      <c r="F208" s="8667"/>
      <c r="G208" s="8667"/>
      <c r="H208" s="8667"/>
      <c r="I208" s="8667"/>
      <c r="J208" s="8668"/>
      <c r="K208" s="8669" t="s">
        <v>39</v>
      </c>
      <c r="L208" s="8626" t="s">
        <v>1112</v>
      </c>
    </row>
    <row r="209" spans="1:91" ht="21" x14ac:dyDescent="0.25">
      <c r="A209" s="8663"/>
      <c r="B209" s="8663"/>
      <c r="C209" s="4571" t="s">
        <v>1448</v>
      </c>
      <c r="D209" s="4570" t="s">
        <v>1449</v>
      </c>
      <c r="E209" s="4571" t="s">
        <v>3763</v>
      </c>
      <c r="F209" s="4572" t="s">
        <v>1451</v>
      </c>
      <c r="G209" s="4572" t="s">
        <v>37</v>
      </c>
      <c r="H209" s="4572" t="s">
        <v>38</v>
      </c>
      <c r="I209" s="4572" t="s">
        <v>4</v>
      </c>
      <c r="J209" s="4573" t="s">
        <v>944</v>
      </c>
      <c r="K209" s="8670"/>
      <c r="L209" s="8627"/>
    </row>
    <row r="210" spans="1:91" x14ac:dyDescent="0.25">
      <c r="A210" s="1723" t="s">
        <v>1458</v>
      </c>
      <c r="B210" s="1479">
        <f>SUM(C210:J210)</f>
        <v>0</v>
      </c>
      <c r="C210" s="1113"/>
      <c r="D210" s="1117"/>
      <c r="E210" s="1113"/>
      <c r="F210" s="1476"/>
      <c r="G210" s="1476"/>
      <c r="H210" s="1476"/>
      <c r="I210" s="1476"/>
      <c r="J210" s="4522"/>
      <c r="K210" s="1480"/>
      <c r="L210" s="1761"/>
      <c r="M210" t="str">
        <f>CC210&amp;CD210&amp;CE210&amp;CF210</f>
        <v/>
      </c>
      <c r="CC210" s="2553" t="str">
        <f>IF(AND(K210="",B210&gt;0)," * No olvide digitar la variable Gestantes . Digite CERO si no tiene","")</f>
        <v/>
      </c>
      <c r="CD210" s="2553" t="str">
        <f>IF(AND(L210="",B210&gt;0)," * No olvide digitar la variable Post Parto . Digite CERO si no tiene","")</f>
        <v/>
      </c>
      <c r="CE210" s="2553" t="str">
        <f>IF((K210+L210)&gt;C210," * La suma de las variables Gestantes + Post Parto No pueden ser mayor al Total de participantes.","")</f>
        <v/>
      </c>
      <c r="CK210" s="1793">
        <f>IF(AND(K210="",B210&gt;0),1,0)</f>
        <v>0</v>
      </c>
      <c r="CL210" s="1793">
        <f>IF(AND(L210="",B210&gt;0),1,0)</f>
        <v>0</v>
      </c>
      <c r="CM210" s="1793">
        <f>IF((K210+L210)&gt;C210,1,0)</f>
        <v>0</v>
      </c>
    </row>
    <row r="211" spans="1:91" x14ac:dyDescent="0.25">
      <c r="A211" s="1726" t="s">
        <v>1459</v>
      </c>
      <c r="B211" s="1728">
        <f>SUM(C211:J211)</f>
        <v>0</v>
      </c>
      <c r="C211" s="3"/>
      <c r="D211" s="6"/>
      <c r="E211" s="3"/>
      <c r="F211" s="4"/>
      <c r="G211" s="4"/>
      <c r="H211" s="4"/>
      <c r="I211" s="4"/>
      <c r="J211" s="4527"/>
      <c r="K211" s="4528"/>
      <c r="L211" s="30"/>
      <c r="M211" t="str">
        <f>CC211&amp;CD211&amp;CE211&amp;CF211</f>
        <v/>
      </c>
      <c r="CC211" s="2553" t="str">
        <f>IF(AND(K211="",B211&gt;0)," * No olvide digitar la variable Gestantes . Digite CERO si no tiene","")</f>
        <v/>
      </c>
      <c r="CD211" s="2553" t="str">
        <f>IF(AND(L211="",B211&gt;0)," * No olvide digitar la variable Post Parto . Digite CERO si no tiene","")</f>
        <v/>
      </c>
      <c r="CE211" s="2553" t="str">
        <f>IF((K211+L211)&gt;C211," * La suma de las variables Gestantes + Post Parto No pueden ser mayor al Total de participantes.","")</f>
        <v/>
      </c>
      <c r="CK211" s="1793">
        <f>IF(AND(K211="",B211&gt;0),1,0)</f>
        <v>0</v>
      </c>
      <c r="CL211" s="1793">
        <f>IF(AND(L211="",B211&gt;0),1,0)</f>
        <v>0</v>
      </c>
      <c r="CM211" s="1793">
        <f>IF((K211+L211)&gt;C211,1,0)</f>
        <v>0</v>
      </c>
    </row>
    <row r="212" spans="1:91" s="1134" customFormat="1" ht="18" customHeight="1" x14ac:dyDescent="0.15">
      <c r="A212" s="1694" t="s">
        <v>1460</v>
      </c>
      <c r="B212" s="15"/>
      <c r="C212" s="15"/>
      <c r="D212" s="15"/>
      <c r="E212" s="15"/>
      <c r="F212" s="1795"/>
      <c r="G212" s="1795"/>
    </row>
    <row r="213" spans="1:91" ht="15" customHeight="1" x14ac:dyDescent="0.25">
      <c r="A213" s="8654" t="s">
        <v>1215</v>
      </c>
      <c r="B213" s="8654" t="s">
        <v>1387</v>
      </c>
      <c r="C213" s="8655" t="s">
        <v>1461</v>
      </c>
      <c r="D213" s="8656"/>
      <c r="E213" s="8656"/>
      <c r="F213" s="8656"/>
      <c r="G213" s="8657"/>
    </row>
    <row r="214" spans="1:91" ht="15" customHeight="1" x14ac:dyDescent="0.25">
      <c r="A214" s="8268"/>
      <c r="B214" s="8268"/>
      <c r="C214" s="1737" t="s">
        <v>36</v>
      </c>
      <c r="D214" s="2643" t="s">
        <v>37</v>
      </c>
      <c r="E214" s="1458" t="s">
        <v>38</v>
      </c>
      <c r="F214" s="1458" t="s">
        <v>4</v>
      </c>
      <c r="G214" s="1497" t="s">
        <v>5</v>
      </c>
    </row>
    <row r="215" spans="1:91" ht="15" customHeight="1" x14ac:dyDescent="0.25">
      <c r="A215" s="1729" t="s">
        <v>1462</v>
      </c>
      <c r="B215" s="1730">
        <f>SUM(C215:G215)</f>
        <v>0</v>
      </c>
      <c r="C215" s="1731"/>
      <c r="D215" s="1732"/>
      <c r="E215" s="1732"/>
      <c r="F215" s="1733"/>
      <c r="G215" s="1734"/>
    </row>
    <row r="216" spans="1:91" s="1134" customFormat="1" ht="18" customHeight="1" x14ac:dyDescent="0.15">
      <c r="A216" s="1675" t="s">
        <v>1463</v>
      </c>
    </row>
    <row r="217" spans="1:91" x14ac:dyDescent="0.25">
      <c r="A217" s="8618" t="s">
        <v>1464</v>
      </c>
      <c r="B217" s="8655" t="s">
        <v>946</v>
      </c>
      <c r="C217" s="8656"/>
      <c r="D217" s="8657"/>
    </row>
    <row r="218" spans="1:91" x14ac:dyDescent="0.25">
      <c r="A218" s="7956"/>
      <c r="B218" s="1735" t="s">
        <v>947</v>
      </c>
      <c r="C218" s="8658" t="s">
        <v>702</v>
      </c>
      <c r="D218" s="8659"/>
    </row>
    <row r="219" spans="1:91" x14ac:dyDescent="0.25">
      <c r="A219" s="8616"/>
      <c r="B219" s="1736" t="s">
        <v>995</v>
      </c>
      <c r="C219" s="1737" t="s">
        <v>949</v>
      </c>
      <c r="D219" s="1738" t="s">
        <v>950</v>
      </c>
    </row>
    <row r="220" spans="1:91" ht="15" customHeight="1" x14ac:dyDescent="0.25">
      <c r="A220" s="1739" t="s">
        <v>996</v>
      </c>
      <c r="B220" s="1740"/>
      <c r="C220" s="1741"/>
      <c r="D220" s="1286"/>
    </row>
    <row r="240" spans="1:2" hidden="1" x14ac:dyDescent="0.25">
      <c r="A240" s="4575">
        <f>SUM(B11:B15,B21:B23,B28,B34:B93,C99:C108,B113:B115,B120:B122,B127:B129,C134:C155,C160:C167,B172:B174,B179:B182,E179:E182,B186:B187,E186:E187,B191:B193,F191:F193,C197:C200,H197:H200,C204:C206,B210:B211,B215,B220:D220)</f>
        <v>0</v>
      </c>
      <c r="B240" s="4574">
        <f>SUM(CK11:CR220)</f>
        <v>0</v>
      </c>
    </row>
  </sheetData>
  <sheetProtection algorithmName="SHA-512" hashValue="ZR/FyicNfXqWhv0KNlYHYAUSymwgtRk38ucK8LByUUn69QbxZpifTW1y4exU6132sqS2HhAsbO66ECrXHhaimQ==" saltValue="b7R7bBum1Op6CEl1uAkCTA==" spinCount="100000" sheet="1" objects="1" scenarios="1"/>
  <mergeCells count="220">
    <mergeCell ref="A213:A214"/>
    <mergeCell ref="B213:B214"/>
    <mergeCell ref="C213:G213"/>
    <mergeCell ref="A217:A219"/>
    <mergeCell ref="B217:D217"/>
    <mergeCell ref="C218:D218"/>
    <mergeCell ref="U202:U203"/>
    <mergeCell ref="A207:C207"/>
    <mergeCell ref="A208:A209"/>
    <mergeCell ref="B208:B209"/>
    <mergeCell ref="C208:D208"/>
    <mergeCell ref="E208:J208"/>
    <mergeCell ref="K208:K209"/>
    <mergeCell ref="L208:L209"/>
    <mergeCell ref="A202:A203"/>
    <mergeCell ref="B202:B203"/>
    <mergeCell ref="C202:C203"/>
    <mergeCell ref="D202:E202"/>
    <mergeCell ref="F202:S202"/>
    <mergeCell ref="T202:T203"/>
    <mergeCell ref="A197:A200"/>
    <mergeCell ref="A184:A185"/>
    <mergeCell ref="B184:D184"/>
    <mergeCell ref="E184:G184"/>
    <mergeCell ref="A189:A190"/>
    <mergeCell ref="B189:B190"/>
    <mergeCell ref="C189:E189"/>
    <mergeCell ref="F189:F190"/>
    <mergeCell ref="G189:L189"/>
    <mergeCell ref="A177:A178"/>
    <mergeCell ref="B177:B178"/>
    <mergeCell ref="C177:D177"/>
    <mergeCell ref="E177:E178"/>
    <mergeCell ref="F177:T177"/>
    <mergeCell ref="AH169:AH171"/>
    <mergeCell ref="A194:C194"/>
    <mergeCell ref="A195:B196"/>
    <mergeCell ref="C195:C196"/>
    <mergeCell ref="D195:J195"/>
    <mergeCell ref="K195:N195"/>
    <mergeCell ref="AI169:AI171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70:AB170"/>
    <mergeCell ref="AC170:AD170"/>
    <mergeCell ref="AE170:AF170"/>
    <mergeCell ref="A160:A163"/>
    <mergeCell ref="A164:A167"/>
    <mergeCell ref="A169:A171"/>
    <mergeCell ref="B169:D170"/>
    <mergeCell ref="E169:AF169"/>
    <mergeCell ref="AG169:AG171"/>
    <mergeCell ref="U170:V170"/>
    <mergeCell ref="W170:X170"/>
    <mergeCell ref="Y170:Z170"/>
    <mergeCell ref="A134:A144"/>
    <mergeCell ref="A145:A155"/>
    <mergeCell ref="A157:A159"/>
    <mergeCell ref="B157:B159"/>
    <mergeCell ref="C157:E158"/>
    <mergeCell ref="F157:AG157"/>
    <mergeCell ref="AH157:AH159"/>
    <mergeCell ref="AI157:AI159"/>
    <mergeCell ref="F158:G158"/>
    <mergeCell ref="AF158:AG158"/>
    <mergeCell ref="T158:U158"/>
    <mergeCell ref="V158:W158"/>
    <mergeCell ref="X158:Y158"/>
    <mergeCell ref="Z158:AA158"/>
    <mergeCell ref="AB158:AC158"/>
    <mergeCell ref="AD158:AE158"/>
    <mergeCell ref="H158:I158"/>
    <mergeCell ref="J158:K158"/>
    <mergeCell ref="L158:M158"/>
    <mergeCell ref="N158:O158"/>
    <mergeCell ref="P158:Q158"/>
    <mergeCell ref="R158:S158"/>
    <mergeCell ref="AO131:AO133"/>
    <mergeCell ref="AP131:AP133"/>
    <mergeCell ref="AQ131:AQ133"/>
    <mergeCell ref="AR131:AR133"/>
    <mergeCell ref="F132:G132"/>
    <mergeCell ref="H132:I132"/>
    <mergeCell ref="J132:K132"/>
    <mergeCell ref="L132:M132"/>
    <mergeCell ref="N132:O132"/>
    <mergeCell ref="P132:Q132"/>
    <mergeCell ref="AL132:AM132"/>
    <mergeCell ref="Z132:AA132"/>
    <mergeCell ref="AB132:AC132"/>
    <mergeCell ref="AD132:AE132"/>
    <mergeCell ref="AF132:AG132"/>
    <mergeCell ref="AH132:AI132"/>
    <mergeCell ref="AJ132:AK132"/>
    <mergeCell ref="A130:B130"/>
    <mergeCell ref="A131:A133"/>
    <mergeCell ref="B131:B133"/>
    <mergeCell ref="C131:E132"/>
    <mergeCell ref="F131:AM131"/>
    <mergeCell ref="AN131:AN133"/>
    <mergeCell ref="R132:S132"/>
    <mergeCell ref="T132:U132"/>
    <mergeCell ref="V132:W132"/>
    <mergeCell ref="X132:Y132"/>
    <mergeCell ref="W125:W126"/>
    <mergeCell ref="X125:X126"/>
    <mergeCell ref="Y125:Y126"/>
    <mergeCell ref="Z125:Z126"/>
    <mergeCell ref="AA125:AA126"/>
    <mergeCell ref="A123:B123"/>
    <mergeCell ref="A124:B124"/>
    <mergeCell ref="A125:A126"/>
    <mergeCell ref="B125:B126"/>
    <mergeCell ref="C125:S125"/>
    <mergeCell ref="T125:U125"/>
    <mergeCell ref="P118:P119"/>
    <mergeCell ref="Q118:Q119"/>
    <mergeCell ref="R118:R119"/>
    <mergeCell ref="S118:S119"/>
    <mergeCell ref="T118:T119"/>
    <mergeCell ref="T111:T112"/>
    <mergeCell ref="U111:U112"/>
    <mergeCell ref="V111:V112"/>
    <mergeCell ref="V125:V126"/>
    <mergeCell ref="W111:W112"/>
    <mergeCell ref="A117:D117"/>
    <mergeCell ref="A118:A119"/>
    <mergeCell ref="B118:D118"/>
    <mergeCell ref="E118:L118"/>
    <mergeCell ref="M118:M119"/>
    <mergeCell ref="N118:N119"/>
    <mergeCell ref="AJ97:AK97"/>
    <mergeCell ref="AL97:AM97"/>
    <mergeCell ref="A108:B108"/>
    <mergeCell ref="A110:D110"/>
    <mergeCell ref="A111:A112"/>
    <mergeCell ref="B111:D111"/>
    <mergeCell ref="E111:P111"/>
    <mergeCell ref="Q111:Q112"/>
    <mergeCell ref="R111:R112"/>
    <mergeCell ref="S111:S112"/>
    <mergeCell ref="X97:Y97"/>
    <mergeCell ref="Z97:AA97"/>
    <mergeCell ref="AB97:AC97"/>
    <mergeCell ref="AD97:AE97"/>
    <mergeCell ref="AF97:AG97"/>
    <mergeCell ref="AH97:AI97"/>
    <mergeCell ref="O118:O119"/>
    <mergeCell ref="AQ96:AQ98"/>
    <mergeCell ref="AR96:AR98"/>
    <mergeCell ref="AS96:AS98"/>
    <mergeCell ref="AT96:AT98"/>
    <mergeCell ref="AU96:AU98"/>
    <mergeCell ref="F97:G97"/>
    <mergeCell ref="H97:I97"/>
    <mergeCell ref="J97:K97"/>
    <mergeCell ref="L97:M97"/>
    <mergeCell ref="N97:O97"/>
    <mergeCell ref="A95:E95"/>
    <mergeCell ref="A96:B98"/>
    <mergeCell ref="C96:E97"/>
    <mergeCell ref="F96:AM96"/>
    <mergeCell ref="AN96:AO97"/>
    <mergeCell ref="AP96:AP98"/>
    <mergeCell ref="P97:Q97"/>
    <mergeCell ref="R97:S97"/>
    <mergeCell ref="T97:U97"/>
    <mergeCell ref="V97:W97"/>
    <mergeCell ref="AP31:AP33"/>
    <mergeCell ref="AQ31:AQ33"/>
    <mergeCell ref="C32:S32"/>
    <mergeCell ref="T32:U32"/>
    <mergeCell ref="Z32:AD32"/>
    <mergeCell ref="AE32:AI32"/>
    <mergeCell ref="X31:Y32"/>
    <mergeCell ref="Z31:AI31"/>
    <mergeCell ref="AJ31:AL32"/>
    <mergeCell ref="AM31:AM33"/>
    <mergeCell ref="AN31:AN33"/>
    <mergeCell ref="AO31:AO33"/>
    <mergeCell ref="T26:U26"/>
    <mergeCell ref="V26:V27"/>
    <mergeCell ref="W26:W27"/>
    <mergeCell ref="A29:L29"/>
    <mergeCell ref="A30:L30"/>
    <mergeCell ref="A31:A33"/>
    <mergeCell ref="B31:B33"/>
    <mergeCell ref="C31:U31"/>
    <mergeCell ref="V31:W32"/>
    <mergeCell ref="L18:L20"/>
    <mergeCell ref="E19:F19"/>
    <mergeCell ref="G19:H19"/>
    <mergeCell ref="A25:L25"/>
    <mergeCell ref="A26:A27"/>
    <mergeCell ref="B26:B27"/>
    <mergeCell ref="C26:S26"/>
    <mergeCell ref="A18:A20"/>
    <mergeCell ref="B18:D19"/>
    <mergeCell ref="E18:H18"/>
    <mergeCell ref="I18:I20"/>
    <mergeCell ref="J18:J20"/>
    <mergeCell ref="K18:K20"/>
    <mergeCell ref="V9:V10"/>
    <mergeCell ref="W9:W10"/>
    <mergeCell ref="X9:X10"/>
    <mergeCell ref="Y9:Y10"/>
    <mergeCell ref="Z9:Z10"/>
    <mergeCell ref="A17:L17"/>
    <mergeCell ref="A6:S6"/>
    <mergeCell ref="A8:C8"/>
    <mergeCell ref="A9:A10"/>
    <mergeCell ref="B9:B10"/>
    <mergeCell ref="C9:S9"/>
    <mergeCell ref="T9:U9"/>
  </mergeCells>
  <dataValidations disablePrompts="1" count="2">
    <dataValidation type="whole" operator="greaterThanOrEqual" allowBlank="1" showInputMessage="1" showErrorMessage="1" sqref="C11:Z15 E21:L23 AA34:AD93 AF34:AQ93 F99:AU107 C113:W115 C120:T121 C127:AA129 F134:AR143 F145:AR154 F160:AI167 E172:AI175 C179:D182 F179:T182 C186:D187 F186:G187 C191:E193 G191:L193 D197:G200 I197:N200 B204:B206 D204:U206 C210:L211 C215:G215 B220:D220" xr:uid="{00000000-0002-0000-1900-000000000000}">
      <formula1>0</formula1>
    </dataValidation>
    <dataValidation type="whole" operator="greaterThanOrEqual" allowBlank="1" showInputMessage="1" showErrorMessage="1" errorTitle="Error" error="Favor Ingrese sólo Números." sqref="C28:W28 C34:Y93" xr:uid="{00000000-0002-0000-19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CF150"/>
  <sheetViews>
    <sheetView showGridLines="0" zoomScaleNormal="100" workbookViewId="0"/>
  </sheetViews>
  <sheetFormatPr baseColWidth="10" defaultColWidth="14.42578125" defaultRowHeight="15" x14ac:dyDescent="0.25"/>
  <cols>
    <col min="1" max="1" width="53.7109375" customWidth="1"/>
    <col min="2" max="2" width="53.28515625" customWidth="1"/>
    <col min="3" max="3" width="16.42578125" customWidth="1"/>
    <col min="4" max="4" width="13.28515625" customWidth="1"/>
    <col min="5" max="5" width="14.7109375" customWidth="1"/>
    <col min="6" max="6" width="14.140625" customWidth="1"/>
    <col min="7" max="7" width="13.28515625" customWidth="1"/>
    <col min="8" max="38" width="10.7109375" customWidth="1"/>
    <col min="39" max="39" width="11.42578125" customWidth="1"/>
    <col min="40" max="40" width="11.140625" customWidth="1"/>
    <col min="41" max="41" width="12.140625" customWidth="1"/>
    <col min="42" max="42" width="11.7109375" customWidth="1"/>
    <col min="43" max="43" width="10.7109375" customWidth="1"/>
    <col min="44" max="44" width="11.5703125" customWidth="1"/>
    <col min="45" max="45" width="10.7109375" customWidth="1"/>
    <col min="46" max="46" width="14.140625" customWidth="1"/>
    <col min="47" max="47" width="10.7109375" customWidth="1"/>
    <col min="48" max="48" width="11.5703125" customWidth="1"/>
    <col min="49" max="77" width="10.7109375" customWidth="1"/>
    <col min="78" max="78" width="10.7109375" hidden="1" customWidth="1"/>
    <col min="79" max="79" width="16.28515625" hidden="1" customWidth="1"/>
    <col min="80" max="81" width="14.140625" hidden="1" customWidth="1"/>
    <col min="82" max="84" width="14.42578125" hidden="1" customWidth="1"/>
  </cols>
  <sheetData>
    <row r="1" spans="1:83" x14ac:dyDescent="0.25">
      <c r="A1" s="779" t="s">
        <v>3878</v>
      </c>
    </row>
    <row r="2" spans="1:83" x14ac:dyDescent="0.25">
      <c r="A2" s="779" t="str">
        <f>CONCATENATE("COMUNA: ",NOMBRE!B2," - ","( ",NOMBRE!C2,NOMBRE!D2,NOMBRE!E2,NOMBRE!F2,NOMBRE!G2," )")</f>
        <v>COMUNA:  - (  )</v>
      </c>
    </row>
    <row r="3" spans="1:83" x14ac:dyDescent="0.25">
      <c r="A3" s="779" t="str">
        <f>CONCATENATE("ESTABLECIMIENTO/ESTRATEGIA: ",NOMBRE!B3," - ","( ",NOMBRE!C3,NOMBRE!D3,NOMBRE!E3,NOMBRE!F3,NOMBRE!G3,NOMBRE!H3," )")</f>
        <v>ESTABLECIMIENTO/ESTRATEGIA:  - (  )</v>
      </c>
    </row>
    <row r="4" spans="1:83" x14ac:dyDescent="0.25">
      <c r="A4" s="779" t="str">
        <f>CONCATENATE("MES: ",NOMBRE!B6," - ","( ",NOMBRE!C6,NOMBRE!D6," )")</f>
        <v>MES:  - (  )</v>
      </c>
    </row>
    <row r="5" spans="1:83" x14ac:dyDescent="0.25">
      <c r="A5" s="779" t="str">
        <f>CONCATENATE("AÑO: ",NOMBRE!B7)</f>
        <v>AÑO: 2024</v>
      </c>
    </row>
    <row r="6" spans="1:83" ht="18" customHeight="1" x14ac:dyDescent="0.25">
      <c r="A6" s="7243" t="s">
        <v>572</v>
      </c>
      <c r="B6" s="7243"/>
      <c r="C6" s="7243"/>
      <c r="D6" s="7243"/>
      <c r="E6" s="7243"/>
      <c r="F6" s="7243"/>
      <c r="G6" s="7243"/>
      <c r="H6" s="7243"/>
      <c r="I6" s="7243"/>
      <c r="J6" s="7243"/>
      <c r="K6" s="7243"/>
      <c r="L6" s="7243"/>
      <c r="M6" s="7243"/>
      <c r="N6" s="7243"/>
      <c r="O6" s="7243"/>
      <c r="P6" s="7243"/>
      <c r="Q6" s="7243"/>
      <c r="R6" s="7243"/>
      <c r="S6" s="7243"/>
      <c r="T6" s="7243"/>
      <c r="U6" s="7243"/>
      <c r="V6" s="7243"/>
      <c r="W6" s="7243"/>
      <c r="X6" s="7243"/>
      <c r="Y6" s="7243"/>
      <c r="Z6" s="7243"/>
      <c r="AA6" s="7243"/>
      <c r="AB6" s="7243"/>
      <c r="AC6" s="7243"/>
    </row>
    <row r="8" spans="1:83" ht="18" customHeight="1" x14ac:dyDescent="0.25">
      <c r="A8" s="8718" t="s">
        <v>573</v>
      </c>
      <c r="B8" s="8718"/>
      <c r="C8" s="8718"/>
      <c r="D8" s="8718"/>
      <c r="E8" s="8718"/>
      <c r="F8" s="8718"/>
      <c r="G8" s="8718"/>
      <c r="H8" s="8718"/>
      <c r="I8" s="8718"/>
      <c r="J8" s="8718"/>
      <c r="K8" s="8718"/>
      <c r="L8" s="8718"/>
      <c r="M8" s="8718"/>
      <c r="N8" s="8718"/>
      <c r="O8" s="8718"/>
      <c r="P8" s="8718"/>
      <c r="Q8" s="8718"/>
      <c r="R8" s="8718"/>
      <c r="S8" s="8718"/>
      <c r="T8" s="8718"/>
      <c r="U8" s="8718"/>
      <c r="V8" s="8718"/>
      <c r="W8" s="8718"/>
      <c r="X8" s="8718"/>
      <c r="Y8" s="8718"/>
      <c r="Z8" s="8718"/>
      <c r="AA8" s="8718"/>
      <c r="AB8" s="8718"/>
      <c r="AC8" s="8718"/>
      <c r="AD8" s="8718"/>
      <c r="AE8" s="8718"/>
      <c r="AF8" s="8718"/>
      <c r="AG8" s="8718"/>
      <c r="AH8" s="8718"/>
      <c r="AI8" s="8718"/>
      <c r="AJ8" s="8718"/>
      <c r="AK8" s="8718"/>
      <c r="AL8" s="8718"/>
      <c r="AM8" s="8718"/>
      <c r="AN8" s="8718"/>
      <c r="AO8" s="8718"/>
    </row>
    <row r="9" spans="1:83" ht="18" customHeight="1" x14ac:dyDescent="0.25">
      <c r="A9" s="8718" t="s">
        <v>574</v>
      </c>
      <c r="B9" s="8718"/>
      <c r="C9" s="8718"/>
      <c r="D9" s="8718"/>
      <c r="E9" s="8718"/>
      <c r="F9" s="8718"/>
      <c r="G9" s="8718"/>
      <c r="H9" s="8718"/>
      <c r="I9" s="8718"/>
      <c r="J9" s="8718"/>
      <c r="K9" s="8718"/>
      <c r="L9" s="8718"/>
      <c r="M9" s="8718"/>
      <c r="N9" s="8718"/>
      <c r="O9" s="8718"/>
      <c r="P9" s="8718"/>
      <c r="Q9" s="8718"/>
      <c r="R9" s="8718"/>
      <c r="S9" s="8718"/>
      <c r="T9" s="8718"/>
      <c r="U9" s="8718"/>
      <c r="V9" s="8718"/>
      <c r="W9" s="8718"/>
      <c r="X9" s="8718"/>
      <c r="Y9" s="8718"/>
      <c r="Z9" s="8718"/>
      <c r="AA9" s="8718"/>
      <c r="AB9" s="8718"/>
      <c r="AC9" s="8718"/>
      <c r="AD9" s="8718"/>
      <c r="AE9" s="8718"/>
      <c r="AF9" s="8718"/>
      <c r="AG9" s="8718"/>
      <c r="AH9" s="8718"/>
      <c r="AI9" s="8718"/>
      <c r="AJ9" s="8718"/>
      <c r="AK9" s="8718"/>
      <c r="AL9" s="8718"/>
      <c r="AM9" s="8718"/>
      <c r="AN9" s="8718"/>
      <c r="AO9" s="8718"/>
    </row>
    <row r="10" spans="1:83" x14ac:dyDescent="0.25">
      <c r="A10" s="7274" t="s">
        <v>575</v>
      </c>
      <c r="B10" s="7265"/>
      <c r="C10" s="7274" t="s">
        <v>24</v>
      </c>
      <c r="D10" s="8723"/>
      <c r="E10" s="8724"/>
      <c r="F10" s="8709" t="s">
        <v>30</v>
      </c>
      <c r="G10" s="8710"/>
      <c r="H10" s="8710"/>
      <c r="I10" s="8710"/>
      <c r="J10" s="8710"/>
      <c r="K10" s="8710"/>
      <c r="L10" s="8710"/>
      <c r="M10" s="8710"/>
      <c r="N10" s="8710"/>
      <c r="O10" s="8710"/>
      <c r="P10" s="8710"/>
      <c r="Q10" s="8710"/>
      <c r="R10" s="8710"/>
      <c r="S10" s="8710"/>
      <c r="T10" s="8710"/>
      <c r="U10" s="8710"/>
      <c r="V10" s="8710"/>
      <c r="W10" s="8710"/>
      <c r="X10" s="8710"/>
      <c r="Y10" s="8710"/>
      <c r="Z10" s="8710"/>
      <c r="AA10" s="8710"/>
      <c r="AB10" s="8710"/>
      <c r="AC10" s="8710"/>
      <c r="AD10" s="8710"/>
      <c r="AE10" s="8710"/>
      <c r="AF10" s="8710"/>
      <c r="AG10" s="8710"/>
      <c r="AH10" s="8710"/>
      <c r="AI10" s="8710"/>
      <c r="AJ10" s="8710"/>
      <c r="AK10" s="8710"/>
      <c r="AL10" s="8710"/>
      <c r="AM10" s="8711"/>
      <c r="AN10" s="8725" t="s">
        <v>546</v>
      </c>
      <c r="AO10" s="8620" t="s">
        <v>3</v>
      </c>
    </row>
    <row r="11" spans="1:83" x14ac:dyDescent="0.25">
      <c r="A11" s="8719"/>
      <c r="B11" s="8720"/>
      <c r="C11" s="8706"/>
      <c r="D11" s="8707"/>
      <c r="E11" s="8708"/>
      <c r="F11" s="8716" t="s">
        <v>36</v>
      </c>
      <c r="G11" s="8691"/>
      <c r="H11" s="8690" t="s">
        <v>37</v>
      </c>
      <c r="I11" s="8691"/>
      <c r="J11" s="8690" t="s">
        <v>38</v>
      </c>
      <c r="K11" s="8691"/>
      <c r="L11" s="8690" t="s">
        <v>4</v>
      </c>
      <c r="M11" s="8691"/>
      <c r="N11" s="8690" t="s">
        <v>5</v>
      </c>
      <c r="O11" s="8691"/>
      <c r="P11" s="8690" t="s">
        <v>560</v>
      </c>
      <c r="Q11" s="8691"/>
      <c r="R11" s="8690" t="s">
        <v>561</v>
      </c>
      <c r="S11" s="8691"/>
      <c r="T11" s="8690" t="s">
        <v>8</v>
      </c>
      <c r="U11" s="8691"/>
      <c r="V11" s="8690" t="s">
        <v>9</v>
      </c>
      <c r="W11" s="8691"/>
      <c r="X11" s="8690" t="s">
        <v>576</v>
      </c>
      <c r="Y11" s="8691"/>
      <c r="Z11" s="8690" t="s">
        <v>11</v>
      </c>
      <c r="AA11" s="8691"/>
      <c r="AB11" s="8690" t="s">
        <v>18</v>
      </c>
      <c r="AC11" s="8691"/>
      <c r="AD11" s="8690" t="s">
        <v>19</v>
      </c>
      <c r="AE11" s="8691"/>
      <c r="AF11" s="8690" t="s">
        <v>20</v>
      </c>
      <c r="AG11" s="8691"/>
      <c r="AH11" s="8690" t="s">
        <v>70</v>
      </c>
      <c r="AI11" s="8691"/>
      <c r="AJ11" s="8690" t="s">
        <v>71</v>
      </c>
      <c r="AK11" s="8691"/>
      <c r="AL11" s="8717" t="s">
        <v>32</v>
      </c>
      <c r="AM11" s="8711"/>
      <c r="AN11" s="6810"/>
      <c r="AO11" s="8727"/>
    </row>
    <row r="12" spans="1:83" x14ac:dyDescent="0.25">
      <c r="A12" s="8721"/>
      <c r="B12" s="8722"/>
      <c r="C12" s="666" t="s">
        <v>26</v>
      </c>
      <c r="D12" s="667" t="s">
        <v>22</v>
      </c>
      <c r="E12" s="668" t="s">
        <v>27</v>
      </c>
      <c r="F12" s="669" t="s">
        <v>22</v>
      </c>
      <c r="G12" s="665" t="s">
        <v>27</v>
      </c>
      <c r="H12" s="660" t="s">
        <v>22</v>
      </c>
      <c r="I12" s="665" t="s">
        <v>27</v>
      </c>
      <c r="J12" s="660" t="s">
        <v>22</v>
      </c>
      <c r="K12" s="665" t="s">
        <v>27</v>
      </c>
      <c r="L12" s="660" t="s">
        <v>22</v>
      </c>
      <c r="M12" s="665" t="s">
        <v>27</v>
      </c>
      <c r="N12" s="660" t="s">
        <v>22</v>
      </c>
      <c r="O12" s="665" t="s">
        <v>27</v>
      </c>
      <c r="P12" s="660" t="s">
        <v>22</v>
      </c>
      <c r="Q12" s="665" t="s">
        <v>27</v>
      </c>
      <c r="R12" s="660" t="s">
        <v>22</v>
      </c>
      <c r="S12" s="665" t="s">
        <v>27</v>
      </c>
      <c r="T12" s="660" t="s">
        <v>22</v>
      </c>
      <c r="U12" s="665" t="s">
        <v>27</v>
      </c>
      <c r="V12" s="660" t="s">
        <v>22</v>
      </c>
      <c r="W12" s="665" t="s">
        <v>27</v>
      </c>
      <c r="X12" s="660" t="s">
        <v>22</v>
      </c>
      <c r="Y12" s="665" t="s">
        <v>27</v>
      </c>
      <c r="Z12" s="660" t="s">
        <v>22</v>
      </c>
      <c r="AA12" s="665" t="s">
        <v>27</v>
      </c>
      <c r="AB12" s="660" t="s">
        <v>22</v>
      </c>
      <c r="AC12" s="665" t="s">
        <v>27</v>
      </c>
      <c r="AD12" s="660" t="s">
        <v>22</v>
      </c>
      <c r="AE12" s="665" t="s">
        <v>27</v>
      </c>
      <c r="AF12" s="660" t="s">
        <v>22</v>
      </c>
      <c r="AG12" s="665" t="s">
        <v>27</v>
      </c>
      <c r="AH12" s="660" t="s">
        <v>22</v>
      </c>
      <c r="AI12" s="665" t="s">
        <v>27</v>
      </c>
      <c r="AJ12" s="660" t="s">
        <v>22</v>
      </c>
      <c r="AK12" s="665" t="s">
        <v>27</v>
      </c>
      <c r="AL12" s="660" t="s">
        <v>22</v>
      </c>
      <c r="AM12" s="670" t="s">
        <v>27</v>
      </c>
      <c r="AN12" s="8726"/>
      <c r="AO12" s="7933" t="s">
        <v>27</v>
      </c>
    </row>
    <row r="13" spans="1:83" ht="15" customHeight="1" x14ac:dyDescent="0.25">
      <c r="A13" s="8693" t="s">
        <v>577</v>
      </c>
      <c r="B13" s="671" t="s">
        <v>578</v>
      </c>
      <c r="C13" s="672">
        <f>SUM(D13:E13)</f>
        <v>0</v>
      </c>
      <c r="D13" s="673">
        <f>+F13+H13+J13+L13+N13+P13+R13+T13+V13++X13+Z13+AB13+AD13+AF13+AH13+AJ13+AL13</f>
        <v>0</v>
      </c>
      <c r="E13" s="672">
        <f>+G13+I13+K13+M13+O13+Q13+S13+U13+W13++Y13+AA13+AC13+AE13+AG13+AI13+AK13+AM13</f>
        <v>0</v>
      </c>
      <c r="F13" s="674"/>
      <c r="G13" s="675"/>
      <c r="H13" s="674"/>
      <c r="I13" s="675"/>
      <c r="J13" s="674"/>
      <c r="K13" s="675"/>
      <c r="L13" s="674"/>
      <c r="M13" s="675"/>
      <c r="N13" s="676"/>
      <c r="O13" s="675"/>
      <c r="P13" s="677"/>
      <c r="Q13" s="675"/>
      <c r="R13" s="677"/>
      <c r="S13" s="675"/>
      <c r="T13" s="677"/>
      <c r="U13" s="675"/>
      <c r="V13" s="674"/>
      <c r="W13" s="675"/>
      <c r="X13" s="674"/>
      <c r="Y13" s="675"/>
      <c r="Z13" s="674"/>
      <c r="AA13" s="675"/>
      <c r="AB13" s="674"/>
      <c r="AC13" s="675"/>
      <c r="AD13" s="674"/>
      <c r="AE13" s="675"/>
      <c r="AF13" s="674"/>
      <c r="AG13" s="675"/>
      <c r="AH13" s="674"/>
      <c r="AI13" s="675"/>
      <c r="AJ13" s="674"/>
      <c r="AK13" s="675"/>
      <c r="AL13" s="674"/>
      <c r="AM13" s="678"/>
      <c r="AN13" s="679"/>
      <c r="AO13" s="675"/>
      <c r="AP13" t="str">
        <f>CA13&amp;CB13</f>
        <v/>
      </c>
      <c r="CA13" s="2553" t="str">
        <f t="shared" ref="CA13:CA39" si="0">IF(AND(C13&gt;0,AN13="")," * No olvide digitar la variable Pueblos Originarios. Digite cero si no tiene.",IF(AN13&gt;C13," * La variable pueblos originarios no puede ser mayor al Total Ambos Sexos.",""))</f>
        <v/>
      </c>
      <c r="CB13" s="2553" t="str">
        <f t="shared" ref="CB13:CB39" si="1">IF(AND(C13&gt;0,AO13="")," * No olvide digitar la variable Migrantes. Digite cero si no tiene.",IF(AO13&gt;C13," * La variable Migrantes no puede ser mayor al Total Ambos Sexos.",""))</f>
        <v/>
      </c>
      <c r="CD13" s="1793">
        <f t="shared" ref="CD13:CD39" si="2">IF(AND(C13&gt;0,AN13=""),1,IF(AN13&gt;C13,1,0))</f>
        <v>0</v>
      </c>
      <c r="CE13" s="1793">
        <f t="shared" ref="CE13:CE39" si="3">IF(AND(C13&gt;0,AO13=""),1,IF(AO13&gt;C13,1,0))</f>
        <v>0</v>
      </c>
    </row>
    <row r="14" spans="1:83" ht="15" customHeight="1" x14ac:dyDescent="0.25">
      <c r="A14" s="8697"/>
      <c r="B14" s="680" t="s">
        <v>579</v>
      </c>
      <c r="C14" s="672">
        <f t="shared" ref="C14:C39" si="4">SUM(D14:E14)</f>
        <v>0</v>
      </c>
      <c r="D14" s="681">
        <f>+F14+H14+J14+L14+N14+P14+R14+T14+V14++X14+Z14+AB14+AD14+AF14+AH14+AJ14+AL14</f>
        <v>0</v>
      </c>
      <c r="E14" s="672">
        <f t="shared" ref="E14:E39" si="5">+G14+I14+K14+M14+O14+Q14+S14+U14+W14++Y14+AA14+AC14+AE14+AG14+AI14+AK14+AM14</f>
        <v>0</v>
      </c>
      <c r="F14" s="682"/>
      <c r="G14" s="675"/>
      <c r="H14" s="682"/>
      <c r="I14" s="675"/>
      <c r="J14" s="682"/>
      <c r="K14" s="675"/>
      <c r="L14" s="682"/>
      <c r="M14" s="675"/>
      <c r="N14" s="677"/>
      <c r="O14" s="675"/>
      <c r="P14" s="677"/>
      <c r="Q14" s="675"/>
      <c r="R14" s="677"/>
      <c r="S14" s="675"/>
      <c r="T14" s="677"/>
      <c r="U14" s="675"/>
      <c r="V14" s="682"/>
      <c r="W14" s="675"/>
      <c r="X14" s="682"/>
      <c r="Y14" s="675"/>
      <c r="Z14" s="682"/>
      <c r="AA14" s="675"/>
      <c r="AB14" s="682"/>
      <c r="AC14" s="675"/>
      <c r="AD14" s="682"/>
      <c r="AE14" s="675"/>
      <c r="AF14" s="682"/>
      <c r="AG14" s="675"/>
      <c r="AH14" s="682"/>
      <c r="AI14" s="675"/>
      <c r="AJ14" s="682"/>
      <c r="AK14" s="675"/>
      <c r="AL14" s="682"/>
      <c r="AM14" s="678"/>
      <c r="AN14" s="679"/>
      <c r="AO14" s="675"/>
      <c r="AP14" t="str">
        <f t="shared" ref="AP14:AP39" si="6">CA14&amp;CB14</f>
        <v/>
      </c>
      <c r="CA14" s="2553" t="str">
        <f t="shared" si="0"/>
        <v/>
      </c>
      <c r="CB14" s="2553" t="str">
        <f t="shared" si="1"/>
        <v/>
      </c>
      <c r="CD14" s="1793">
        <f t="shared" si="2"/>
        <v>0</v>
      </c>
      <c r="CE14" s="1793">
        <f t="shared" si="3"/>
        <v>0</v>
      </c>
    </row>
    <row r="15" spans="1:83" ht="15" customHeight="1" x14ac:dyDescent="0.25">
      <c r="A15" s="8697"/>
      <c r="B15" s="680" t="s">
        <v>580</v>
      </c>
      <c r="C15" s="672">
        <f t="shared" si="4"/>
        <v>0</v>
      </c>
      <c r="D15" s="681">
        <f t="shared" ref="D15:D39" si="7">+F15+H15+J15+L15+N15+P15+R15+T15+V15++X15+Z15+AB15+AD15+AF15+AH15+AJ15+AL15</f>
        <v>0</v>
      </c>
      <c r="E15" s="672">
        <f t="shared" si="5"/>
        <v>0</v>
      </c>
      <c r="F15" s="682"/>
      <c r="G15" s="675"/>
      <c r="H15" s="682"/>
      <c r="I15" s="675"/>
      <c r="J15" s="682"/>
      <c r="K15" s="675"/>
      <c r="L15" s="682"/>
      <c r="M15" s="675"/>
      <c r="N15" s="677"/>
      <c r="O15" s="675"/>
      <c r="P15" s="677"/>
      <c r="Q15" s="675"/>
      <c r="R15" s="677"/>
      <c r="S15" s="675"/>
      <c r="T15" s="677"/>
      <c r="U15" s="675"/>
      <c r="V15" s="682"/>
      <c r="W15" s="675"/>
      <c r="X15" s="682"/>
      <c r="Y15" s="675"/>
      <c r="Z15" s="682"/>
      <c r="AA15" s="675"/>
      <c r="AB15" s="682"/>
      <c r="AC15" s="675"/>
      <c r="AD15" s="682"/>
      <c r="AE15" s="675"/>
      <c r="AF15" s="682"/>
      <c r="AG15" s="675"/>
      <c r="AH15" s="682"/>
      <c r="AI15" s="675"/>
      <c r="AJ15" s="682"/>
      <c r="AK15" s="675"/>
      <c r="AL15" s="682"/>
      <c r="AM15" s="678"/>
      <c r="AN15" s="679"/>
      <c r="AO15" s="675"/>
      <c r="AP15" t="str">
        <f t="shared" si="6"/>
        <v/>
      </c>
      <c r="CA15" s="2553" t="str">
        <f t="shared" si="0"/>
        <v/>
      </c>
      <c r="CB15" s="2553" t="str">
        <f t="shared" si="1"/>
        <v/>
      </c>
      <c r="CD15" s="1793">
        <f t="shared" si="2"/>
        <v>0</v>
      </c>
      <c r="CE15" s="1793">
        <f t="shared" si="3"/>
        <v>0</v>
      </c>
    </row>
    <row r="16" spans="1:83" ht="15" customHeight="1" x14ac:dyDescent="0.25">
      <c r="A16" s="8697"/>
      <c r="B16" s="680" t="s">
        <v>581</v>
      </c>
      <c r="C16" s="672">
        <f t="shared" si="4"/>
        <v>0</v>
      </c>
      <c r="D16" s="681">
        <f t="shared" si="7"/>
        <v>0</v>
      </c>
      <c r="E16" s="672">
        <f t="shared" si="5"/>
        <v>0</v>
      </c>
      <c r="F16" s="682"/>
      <c r="G16" s="675"/>
      <c r="H16" s="682"/>
      <c r="I16" s="675"/>
      <c r="J16" s="682"/>
      <c r="K16" s="675"/>
      <c r="L16" s="682"/>
      <c r="M16" s="675"/>
      <c r="N16" s="677"/>
      <c r="O16" s="675"/>
      <c r="P16" s="677"/>
      <c r="Q16" s="675"/>
      <c r="R16" s="677"/>
      <c r="S16" s="675"/>
      <c r="T16" s="677"/>
      <c r="U16" s="675"/>
      <c r="V16" s="682"/>
      <c r="W16" s="675"/>
      <c r="X16" s="682"/>
      <c r="Y16" s="675"/>
      <c r="Z16" s="682"/>
      <c r="AA16" s="675"/>
      <c r="AB16" s="682"/>
      <c r="AC16" s="675"/>
      <c r="AD16" s="682"/>
      <c r="AE16" s="675"/>
      <c r="AF16" s="682"/>
      <c r="AG16" s="675"/>
      <c r="AH16" s="682"/>
      <c r="AI16" s="675"/>
      <c r="AJ16" s="682"/>
      <c r="AK16" s="675"/>
      <c r="AL16" s="682"/>
      <c r="AM16" s="678"/>
      <c r="AN16" s="679"/>
      <c r="AO16" s="675"/>
      <c r="AP16" t="str">
        <f t="shared" si="6"/>
        <v/>
      </c>
      <c r="CA16" s="2553" t="str">
        <f t="shared" si="0"/>
        <v/>
      </c>
      <c r="CB16" s="2553" t="str">
        <f t="shared" si="1"/>
        <v/>
      </c>
      <c r="CD16" s="1793">
        <f t="shared" si="2"/>
        <v>0</v>
      </c>
      <c r="CE16" s="1793">
        <f t="shared" si="3"/>
        <v>0</v>
      </c>
    </row>
    <row r="17" spans="1:83" ht="15" customHeight="1" x14ac:dyDescent="0.25">
      <c r="A17" s="8697"/>
      <c r="B17" s="680" t="s">
        <v>582</v>
      </c>
      <c r="C17" s="672">
        <f t="shared" si="4"/>
        <v>0</v>
      </c>
      <c r="D17" s="681">
        <f t="shared" si="7"/>
        <v>0</v>
      </c>
      <c r="E17" s="672">
        <f t="shared" si="5"/>
        <v>0</v>
      </c>
      <c r="F17" s="682"/>
      <c r="G17" s="675"/>
      <c r="H17" s="682"/>
      <c r="I17" s="675"/>
      <c r="J17" s="682"/>
      <c r="K17" s="675"/>
      <c r="L17" s="682"/>
      <c r="M17" s="675"/>
      <c r="N17" s="677"/>
      <c r="O17" s="675"/>
      <c r="P17" s="677"/>
      <c r="Q17" s="675"/>
      <c r="R17" s="677"/>
      <c r="S17" s="675"/>
      <c r="T17" s="677"/>
      <c r="U17" s="675"/>
      <c r="V17" s="682"/>
      <c r="W17" s="675"/>
      <c r="X17" s="682"/>
      <c r="Y17" s="675"/>
      <c r="Z17" s="682"/>
      <c r="AA17" s="675"/>
      <c r="AB17" s="682"/>
      <c r="AC17" s="675"/>
      <c r="AD17" s="682"/>
      <c r="AE17" s="675"/>
      <c r="AF17" s="682"/>
      <c r="AG17" s="675"/>
      <c r="AH17" s="682"/>
      <c r="AI17" s="675"/>
      <c r="AJ17" s="682"/>
      <c r="AK17" s="675"/>
      <c r="AL17" s="682"/>
      <c r="AM17" s="678"/>
      <c r="AN17" s="679"/>
      <c r="AO17" s="675"/>
      <c r="AP17" t="str">
        <f t="shared" si="6"/>
        <v/>
      </c>
      <c r="CA17" s="2553" t="str">
        <f t="shared" si="0"/>
        <v/>
      </c>
      <c r="CB17" s="2553" t="str">
        <f t="shared" si="1"/>
        <v/>
      </c>
      <c r="CD17" s="1793">
        <f t="shared" si="2"/>
        <v>0</v>
      </c>
      <c r="CE17" s="1793">
        <f t="shared" si="3"/>
        <v>0</v>
      </c>
    </row>
    <row r="18" spans="1:83" ht="15" customHeight="1" x14ac:dyDescent="0.25">
      <c r="A18" s="8697"/>
      <c r="B18" s="683" t="s">
        <v>583</v>
      </c>
      <c r="C18" s="672">
        <f t="shared" si="4"/>
        <v>0</v>
      </c>
      <c r="D18" s="681">
        <f t="shared" si="7"/>
        <v>0</v>
      </c>
      <c r="E18" s="672">
        <f t="shared" si="5"/>
        <v>0</v>
      </c>
      <c r="F18" s="682"/>
      <c r="G18" s="675"/>
      <c r="H18" s="682"/>
      <c r="I18" s="675"/>
      <c r="J18" s="682"/>
      <c r="K18" s="675"/>
      <c r="L18" s="682"/>
      <c r="M18" s="675"/>
      <c r="N18" s="677"/>
      <c r="O18" s="675"/>
      <c r="P18" s="677"/>
      <c r="Q18" s="675"/>
      <c r="R18" s="677"/>
      <c r="S18" s="675"/>
      <c r="T18" s="677"/>
      <c r="U18" s="675"/>
      <c r="V18" s="682"/>
      <c r="W18" s="675"/>
      <c r="X18" s="682"/>
      <c r="Y18" s="675"/>
      <c r="Z18" s="682"/>
      <c r="AA18" s="675"/>
      <c r="AB18" s="682"/>
      <c r="AC18" s="675"/>
      <c r="AD18" s="682"/>
      <c r="AE18" s="675"/>
      <c r="AF18" s="682"/>
      <c r="AG18" s="675"/>
      <c r="AH18" s="682"/>
      <c r="AI18" s="675"/>
      <c r="AJ18" s="682"/>
      <c r="AK18" s="675"/>
      <c r="AL18" s="682"/>
      <c r="AM18" s="678"/>
      <c r="AN18" s="679"/>
      <c r="AO18" s="675"/>
      <c r="AP18" t="str">
        <f t="shared" si="6"/>
        <v/>
      </c>
      <c r="CA18" s="2553" t="str">
        <f t="shared" si="0"/>
        <v/>
      </c>
      <c r="CB18" s="2553" t="str">
        <f t="shared" si="1"/>
        <v/>
      </c>
      <c r="CD18" s="1793">
        <f t="shared" si="2"/>
        <v>0</v>
      </c>
      <c r="CE18" s="1793">
        <f t="shared" si="3"/>
        <v>0</v>
      </c>
    </row>
    <row r="19" spans="1:83" ht="15" customHeight="1" x14ac:dyDescent="0.25">
      <c r="A19" s="8697"/>
      <c r="B19" s="680" t="s">
        <v>584</v>
      </c>
      <c r="C19" s="672">
        <f t="shared" si="4"/>
        <v>0</v>
      </c>
      <c r="D19" s="681">
        <f t="shared" si="7"/>
        <v>0</v>
      </c>
      <c r="E19" s="672">
        <f t="shared" si="5"/>
        <v>0</v>
      </c>
      <c r="F19" s="682"/>
      <c r="G19" s="675"/>
      <c r="H19" s="682"/>
      <c r="I19" s="675"/>
      <c r="J19" s="682"/>
      <c r="K19" s="675"/>
      <c r="L19" s="682"/>
      <c r="M19" s="675"/>
      <c r="N19" s="677"/>
      <c r="O19" s="675"/>
      <c r="P19" s="677"/>
      <c r="Q19" s="675"/>
      <c r="R19" s="677"/>
      <c r="S19" s="675"/>
      <c r="T19" s="677"/>
      <c r="U19" s="675"/>
      <c r="V19" s="682"/>
      <c r="W19" s="675"/>
      <c r="X19" s="682"/>
      <c r="Y19" s="675"/>
      <c r="Z19" s="682"/>
      <c r="AA19" s="675"/>
      <c r="AB19" s="682"/>
      <c r="AC19" s="675"/>
      <c r="AD19" s="682"/>
      <c r="AE19" s="675"/>
      <c r="AF19" s="682"/>
      <c r="AG19" s="675"/>
      <c r="AH19" s="682"/>
      <c r="AI19" s="675"/>
      <c r="AJ19" s="682"/>
      <c r="AK19" s="675"/>
      <c r="AL19" s="682"/>
      <c r="AM19" s="678"/>
      <c r="AN19" s="679"/>
      <c r="AO19" s="675"/>
      <c r="AP19" t="str">
        <f t="shared" si="6"/>
        <v/>
      </c>
      <c r="CA19" s="2553" t="str">
        <f t="shared" si="0"/>
        <v/>
      </c>
      <c r="CB19" s="2553" t="str">
        <f t="shared" si="1"/>
        <v/>
      </c>
      <c r="CD19" s="1793">
        <f t="shared" si="2"/>
        <v>0</v>
      </c>
      <c r="CE19" s="1793">
        <f t="shared" si="3"/>
        <v>0</v>
      </c>
    </row>
    <row r="20" spans="1:83" ht="15" customHeight="1" x14ac:dyDescent="0.25">
      <c r="A20" s="8697"/>
      <c r="B20" s="680" t="s">
        <v>585</v>
      </c>
      <c r="C20" s="672">
        <f t="shared" si="4"/>
        <v>0</v>
      </c>
      <c r="D20" s="681">
        <f t="shared" si="7"/>
        <v>0</v>
      </c>
      <c r="E20" s="672">
        <f t="shared" si="5"/>
        <v>0</v>
      </c>
      <c r="F20" s="682"/>
      <c r="G20" s="675"/>
      <c r="H20" s="682"/>
      <c r="I20" s="675"/>
      <c r="J20" s="682"/>
      <c r="K20" s="675"/>
      <c r="L20" s="682"/>
      <c r="M20" s="675"/>
      <c r="N20" s="677"/>
      <c r="O20" s="675"/>
      <c r="P20" s="677"/>
      <c r="Q20" s="675"/>
      <c r="R20" s="677"/>
      <c r="S20" s="675"/>
      <c r="T20" s="677"/>
      <c r="U20" s="675"/>
      <c r="V20" s="682"/>
      <c r="W20" s="675"/>
      <c r="X20" s="682"/>
      <c r="Y20" s="675"/>
      <c r="Z20" s="682"/>
      <c r="AA20" s="675"/>
      <c r="AB20" s="682"/>
      <c r="AC20" s="675"/>
      <c r="AD20" s="682"/>
      <c r="AE20" s="675"/>
      <c r="AF20" s="682"/>
      <c r="AG20" s="675"/>
      <c r="AH20" s="682"/>
      <c r="AI20" s="675"/>
      <c r="AJ20" s="682"/>
      <c r="AK20" s="675"/>
      <c r="AL20" s="682"/>
      <c r="AM20" s="678"/>
      <c r="AN20" s="679"/>
      <c r="AO20" s="675"/>
      <c r="AP20" t="str">
        <f t="shared" si="6"/>
        <v/>
      </c>
      <c r="CA20" s="2553" t="str">
        <f t="shared" si="0"/>
        <v/>
      </c>
      <c r="CB20" s="2553" t="str">
        <f t="shared" si="1"/>
        <v/>
      </c>
      <c r="CD20" s="1793">
        <f t="shared" si="2"/>
        <v>0</v>
      </c>
      <c r="CE20" s="1793">
        <f t="shared" si="3"/>
        <v>0</v>
      </c>
    </row>
    <row r="21" spans="1:83" ht="15" customHeight="1" x14ac:dyDescent="0.25">
      <c r="A21" s="8697"/>
      <c r="B21" s="680" t="s">
        <v>586</v>
      </c>
      <c r="C21" s="672">
        <f t="shared" si="4"/>
        <v>0</v>
      </c>
      <c r="D21" s="681">
        <f t="shared" si="7"/>
        <v>0</v>
      </c>
      <c r="E21" s="672">
        <f t="shared" si="5"/>
        <v>0</v>
      </c>
      <c r="F21" s="682"/>
      <c r="G21" s="675"/>
      <c r="H21" s="682"/>
      <c r="I21" s="675"/>
      <c r="J21" s="682"/>
      <c r="K21" s="675"/>
      <c r="L21" s="682"/>
      <c r="M21" s="675"/>
      <c r="N21" s="677"/>
      <c r="O21" s="675"/>
      <c r="P21" s="677"/>
      <c r="Q21" s="675"/>
      <c r="R21" s="677"/>
      <c r="S21" s="675"/>
      <c r="T21" s="677"/>
      <c r="U21" s="675"/>
      <c r="V21" s="682"/>
      <c r="W21" s="675"/>
      <c r="X21" s="682"/>
      <c r="Y21" s="675"/>
      <c r="Z21" s="682"/>
      <c r="AA21" s="675"/>
      <c r="AB21" s="682"/>
      <c r="AC21" s="675"/>
      <c r="AD21" s="682"/>
      <c r="AE21" s="675"/>
      <c r="AF21" s="682"/>
      <c r="AG21" s="675"/>
      <c r="AH21" s="682"/>
      <c r="AI21" s="675"/>
      <c r="AJ21" s="682"/>
      <c r="AK21" s="675"/>
      <c r="AL21" s="682"/>
      <c r="AM21" s="678"/>
      <c r="AN21" s="679"/>
      <c r="AO21" s="675"/>
      <c r="AP21" t="str">
        <f t="shared" si="6"/>
        <v/>
      </c>
      <c r="CA21" s="2553" t="str">
        <f t="shared" si="0"/>
        <v/>
      </c>
      <c r="CB21" s="2553" t="str">
        <f t="shared" si="1"/>
        <v/>
      </c>
      <c r="CD21" s="1793">
        <f t="shared" si="2"/>
        <v>0</v>
      </c>
      <c r="CE21" s="1793">
        <f t="shared" si="3"/>
        <v>0</v>
      </c>
    </row>
    <row r="22" spans="1:83" ht="15" customHeight="1" x14ac:dyDescent="0.25">
      <c r="A22" s="8697"/>
      <c r="B22" s="680" t="s">
        <v>587</v>
      </c>
      <c r="C22" s="672">
        <f t="shared" si="4"/>
        <v>0</v>
      </c>
      <c r="D22" s="681">
        <f t="shared" si="7"/>
        <v>0</v>
      </c>
      <c r="E22" s="672">
        <f t="shared" si="5"/>
        <v>0</v>
      </c>
      <c r="F22" s="682"/>
      <c r="G22" s="675"/>
      <c r="H22" s="682"/>
      <c r="I22" s="675"/>
      <c r="J22" s="682"/>
      <c r="K22" s="675"/>
      <c r="L22" s="682"/>
      <c r="M22" s="675"/>
      <c r="N22" s="677"/>
      <c r="O22" s="675"/>
      <c r="P22" s="677"/>
      <c r="Q22" s="675"/>
      <c r="R22" s="677"/>
      <c r="S22" s="675"/>
      <c r="T22" s="677"/>
      <c r="U22" s="675"/>
      <c r="V22" s="682"/>
      <c r="W22" s="675"/>
      <c r="X22" s="682"/>
      <c r="Y22" s="675"/>
      <c r="Z22" s="682"/>
      <c r="AA22" s="675"/>
      <c r="AB22" s="682"/>
      <c r="AC22" s="675"/>
      <c r="AD22" s="682"/>
      <c r="AE22" s="675"/>
      <c r="AF22" s="682"/>
      <c r="AG22" s="675"/>
      <c r="AH22" s="682"/>
      <c r="AI22" s="675"/>
      <c r="AJ22" s="682"/>
      <c r="AK22" s="675"/>
      <c r="AL22" s="682"/>
      <c r="AM22" s="678"/>
      <c r="AN22" s="679"/>
      <c r="AO22" s="675"/>
      <c r="AP22" t="str">
        <f t="shared" si="6"/>
        <v/>
      </c>
      <c r="CA22" s="2553" t="str">
        <f t="shared" si="0"/>
        <v/>
      </c>
      <c r="CB22" s="2553" t="str">
        <f t="shared" si="1"/>
        <v/>
      </c>
      <c r="CD22" s="1793">
        <f t="shared" si="2"/>
        <v>0</v>
      </c>
      <c r="CE22" s="1793">
        <f t="shared" si="3"/>
        <v>0</v>
      </c>
    </row>
    <row r="23" spans="1:83" ht="15" customHeight="1" x14ac:dyDescent="0.25">
      <c r="A23" s="8697"/>
      <c r="B23" s="680" t="s">
        <v>588</v>
      </c>
      <c r="C23" s="672">
        <f t="shared" si="4"/>
        <v>0</v>
      </c>
      <c r="D23" s="681">
        <f t="shared" si="7"/>
        <v>0</v>
      </c>
      <c r="E23" s="672">
        <f t="shared" si="5"/>
        <v>0</v>
      </c>
      <c r="F23" s="682"/>
      <c r="G23" s="675"/>
      <c r="H23" s="682"/>
      <c r="I23" s="675"/>
      <c r="J23" s="682"/>
      <c r="K23" s="675"/>
      <c r="L23" s="682"/>
      <c r="M23" s="675"/>
      <c r="N23" s="677"/>
      <c r="O23" s="675"/>
      <c r="P23" s="677"/>
      <c r="Q23" s="675"/>
      <c r="R23" s="677"/>
      <c r="S23" s="675"/>
      <c r="T23" s="677"/>
      <c r="U23" s="675"/>
      <c r="V23" s="682"/>
      <c r="W23" s="675"/>
      <c r="X23" s="682"/>
      <c r="Y23" s="675"/>
      <c r="Z23" s="682"/>
      <c r="AA23" s="675"/>
      <c r="AB23" s="682"/>
      <c r="AC23" s="675"/>
      <c r="AD23" s="682"/>
      <c r="AE23" s="675"/>
      <c r="AF23" s="682"/>
      <c r="AG23" s="675"/>
      <c r="AH23" s="682"/>
      <c r="AI23" s="675"/>
      <c r="AJ23" s="682"/>
      <c r="AK23" s="675"/>
      <c r="AL23" s="682"/>
      <c r="AM23" s="678"/>
      <c r="AN23" s="679"/>
      <c r="AO23" s="675"/>
      <c r="AP23" t="str">
        <f t="shared" si="6"/>
        <v/>
      </c>
      <c r="CA23" s="2553" t="str">
        <f t="shared" si="0"/>
        <v/>
      </c>
      <c r="CB23" s="2553" t="str">
        <f t="shared" si="1"/>
        <v/>
      </c>
      <c r="CD23" s="1793">
        <f t="shared" si="2"/>
        <v>0</v>
      </c>
      <c r="CE23" s="1793">
        <f t="shared" si="3"/>
        <v>0</v>
      </c>
    </row>
    <row r="24" spans="1:83" ht="20.25" customHeight="1" x14ac:dyDescent="0.25">
      <c r="A24" s="8697"/>
      <c r="B24" s="683" t="s">
        <v>589</v>
      </c>
      <c r="C24" s="672">
        <f t="shared" si="4"/>
        <v>0</v>
      </c>
      <c r="D24" s="681">
        <f t="shared" si="7"/>
        <v>0</v>
      </c>
      <c r="E24" s="672">
        <f t="shared" si="5"/>
        <v>0</v>
      </c>
      <c r="F24" s="682"/>
      <c r="G24" s="675"/>
      <c r="H24" s="682"/>
      <c r="I24" s="675"/>
      <c r="J24" s="682"/>
      <c r="K24" s="675"/>
      <c r="L24" s="682"/>
      <c r="M24" s="675"/>
      <c r="N24" s="677"/>
      <c r="O24" s="675"/>
      <c r="P24" s="677"/>
      <c r="Q24" s="675"/>
      <c r="R24" s="677"/>
      <c r="S24" s="675"/>
      <c r="T24" s="677"/>
      <c r="U24" s="675"/>
      <c r="V24" s="682"/>
      <c r="W24" s="675"/>
      <c r="X24" s="682"/>
      <c r="Y24" s="675"/>
      <c r="Z24" s="682"/>
      <c r="AA24" s="675"/>
      <c r="AB24" s="682"/>
      <c r="AC24" s="675"/>
      <c r="AD24" s="682"/>
      <c r="AE24" s="675"/>
      <c r="AF24" s="682"/>
      <c r="AG24" s="675"/>
      <c r="AH24" s="682"/>
      <c r="AI24" s="675"/>
      <c r="AJ24" s="682"/>
      <c r="AK24" s="675"/>
      <c r="AL24" s="682"/>
      <c r="AM24" s="678"/>
      <c r="AN24" s="679"/>
      <c r="AO24" s="675"/>
      <c r="AP24" t="str">
        <f t="shared" si="6"/>
        <v/>
      </c>
      <c r="CA24" s="2553" t="str">
        <f t="shared" si="0"/>
        <v/>
      </c>
      <c r="CB24" s="2553" t="str">
        <f t="shared" si="1"/>
        <v/>
      </c>
      <c r="CD24" s="1793">
        <f t="shared" si="2"/>
        <v>0</v>
      </c>
      <c r="CE24" s="1793">
        <f t="shared" si="3"/>
        <v>0</v>
      </c>
    </row>
    <row r="25" spans="1:83" ht="15" customHeight="1" x14ac:dyDescent="0.25">
      <c r="A25" s="8697"/>
      <c r="B25" s="680" t="s">
        <v>590</v>
      </c>
      <c r="C25" s="672">
        <f t="shared" si="4"/>
        <v>0</v>
      </c>
      <c r="D25" s="681">
        <f t="shared" si="7"/>
        <v>0</v>
      </c>
      <c r="E25" s="672">
        <f t="shared" si="5"/>
        <v>0</v>
      </c>
      <c r="F25" s="682"/>
      <c r="G25" s="675"/>
      <c r="H25" s="682"/>
      <c r="I25" s="675"/>
      <c r="J25" s="682"/>
      <c r="K25" s="675"/>
      <c r="L25" s="682"/>
      <c r="M25" s="675"/>
      <c r="N25" s="677"/>
      <c r="O25" s="675"/>
      <c r="P25" s="677"/>
      <c r="Q25" s="675"/>
      <c r="R25" s="677"/>
      <c r="S25" s="675"/>
      <c r="T25" s="677"/>
      <c r="U25" s="675"/>
      <c r="V25" s="682"/>
      <c r="W25" s="675"/>
      <c r="X25" s="682"/>
      <c r="Y25" s="675"/>
      <c r="Z25" s="682"/>
      <c r="AA25" s="675"/>
      <c r="AB25" s="682"/>
      <c r="AC25" s="675"/>
      <c r="AD25" s="682"/>
      <c r="AE25" s="675"/>
      <c r="AF25" s="682"/>
      <c r="AG25" s="675"/>
      <c r="AH25" s="682"/>
      <c r="AI25" s="675"/>
      <c r="AJ25" s="682"/>
      <c r="AK25" s="675"/>
      <c r="AL25" s="682"/>
      <c r="AM25" s="678"/>
      <c r="AN25" s="679"/>
      <c r="AO25" s="675"/>
      <c r="AP25" t="str">
        <f t="shared" si="6"/>
        <v/>
      </c>
      <c r="CA25" s="2553" t="str">
        <f t="shared" si="0"/>
        <v/>
      </c>
      <c r="CB25" s="2553" t="str">
        <f t="shared" si="1"/>
        <v/>
      </c>
      <c r="CD25" s="1793">
        <f t="shared" si="2"/>
        <v>0</v>
      </c>
      <c r="CE25" s="1793">
        <f t="shared" si="3"/>
        <v>0</v>
      </c>
    </row>
    <row r="26" spans="1:83" ht="15" customHeight="1" x14ac:dyDescent="0.25">
      <c r="A26" s="8697"/>
      <c r="B26" s="680" t="s">
        <v>591</v>
      </c>
      <c r="C26" s="672">
        <f t="shared" si="4"/>
        <v>0</v>
      </c>
      <c r="D26" s="681">
        <f t="shared" si="7"/>
        <v>0</v>
      </c>
      <c r="E26" s="672">
        <f t="shared" si="5"/>
        <v>0</v>
      </c>
      <c r="F26" s="682"/>
      <c r="G26" s="675"/>
      <c r="H26" s="682"/>
      <c r="I26" s="675"/>
      <c r="J26" s="682"/>
      <c r="K26" s="675"/>
      <c r="L26" s="682"/>
      <c r="M26" s="675"/>
      <c r="N26" s="677"/>
      <c r="O26" s="675"/>
      <c r="P26" s="677"/>
      <c r="Q26" s="675"/>
      <c r="R26" s="677"/>
      <c r="S26" s="675"/>
      <c r="T26" s="677"/>
      <c r="U26" s="675"/>
      <c r="V26" s="682"/>
      <c r="W26" s="675"/>
      <c r="X26" s="682"/>
      <c r="Y26" s="675"/>
      <c r="Z26" s="682"/>
      <c r="AA26" s="675"/>
      <c r="AB26" s="682"/>
      <c r="AC26" s="675"/>
      <c r="AD26" s="682"/>
      <c r="AE26" s="675"/>
      <c r="AF26" s="682"/>
      <c r="AG26" s="675"/>
      <c r="AH26" s="682"/>
      <c r="AI26" s="675"/>
      <c r="AJ26" s="682"/>
      <c r="AK26" s="675"/>
      <c r="AL26" s="682"/>
      <c r="AM26" s="678"/>
      <c r="AN26" s="679"/>
      <c r="AO26" s="675"/>
      <c r="AP26" t="str">
        <f t="shared" si="6"/>
        <v/>
      </c>
      <c r="CA26" s="2553" t="str">
        <f t="shared" si="0"/>
        <v/>
      </c>
      <c r="CB26" s="2553" t="str">
        <f t="shared" si="1"/>
        <v/>
      </c>
      <c r="CD26" s="1793">
        <f t="shared" si="2"/>
        <v>0</v>
      </c>
      <c r="CE26" s="1793">
        <f t="shared" si="3"/>
        <v>0</v>
      </c>
    </row>
    <row r="27" spans="1:83" ht="15" customHeight="1" x14ac:dyDescent="0.25">
      <c r="A27" s="8697"/>
      <c r="B27" s="680" t="s">
        <v>592</v>
      </c>
      <c r="C27" s="672">
        <f t="shared" si="4"/>
        <v>0</v>
      </c>
      <c r="D27" s="681">
        <f t="shared" si="7"/>
        <v>0</v>
      </c>
      <c r="E27" s="672">
        <f t="shared" si="5"/>
        <v>0</v>
      </c>
      <c r="F27" s="682"/>
      <c r="G27" s="675"/>
      <c r="H27" s="682"/>
      <c r="I27" s="675"/>
      <c r="J27" s="682"/>
      <c r="K27" s="675"/>
      <c r="L27" s="682"/>
      <c r="M27" s="675"/>
      <c r="N27" s="677"/>
      <c r="O27" s="675"/>
      <c r="P27" s="677"/>
      <c r="Q27" s="675"/>
      <c r="R27" s="677"/>
      <c r="S27" s="675"/>
      <c r="T27" s="677"/>
      <c r="U27" s="675"/>
      <c r="V27" s="682"/>
      <c r="W27" s="675"/>
      <c r="X27" s="682"/>
      <c r="Y27" s="675"/>
      <c r="Z27" s="682"/>
      <c r="AA27" s="675"/>
      <c r="AB27" s="682"/>
      <c r="AC27" s="675"/>
      <c r="AD27" s="682"/>
      <c r="AE27" s="675"/>
      <c r="AF27" s="682"/>
      <c r="AG27" s="675"/>
      <c r="AH27" s="682"/>
      <c r="AI27" s="675"/>
      <c r="AJ27" s="682"/>
      <c r="AK27" s="675"/>
      <c r="AL27" s="682"/>
      <c r="AM27" s="678"/>
      <c r="AN27" s="679"/>
      <c r="AO27" s="675"/>
      <c r="AP27" t="str">
        <f t="shared" si="6"/>
        <v/>
      </c>
      <c r="CA27" s="2553" t="str">
        <f t="shared" si="0"/>
        <v/>
      </c>
      <c r="CB27" s="2553" t="str">
        <f t="shared" si="1"/>
        <v/>
      </c>
      <c r="CD27" s="1793">
        <f t="shared" si="2"/>
        <v>0</v>
      </c>
      <c r="CE27" s="1793">
        <f t="shared" si="3"/>
        <v>0</v>
      </c>
    </row>
    <row r="28" spans="1:83" ht="15" customHeight="1" x14ac:dyDescent="0.25">
      <c r="A28" s="8697"/>
      <c r="B28" s="680" t="s">
        <v>593</v>
      </c>
      <c r="C28" s="672">
        <f t="shared" si="4"/>
        <v>0</v>
      </c>
      <c r="D28" s="681">
        <f t="shared" si="7"/>
        <v>0</v>
      </c>
      <c r="E28" s="672">
        <f t="shared" si="5"/>
        <v>0</v>
      </c>
      <c r="F28" s="682"/>
      <c r="G28" s="675"/>
      <c r="H28" s="682"/>
      <c r="I28" s="675"/>
      <c r="J28" s="682"/>
      <c r="K28" s="675"/>
      <c r="L28" s="682"/>
      <c r="M28" s="675"/>
      <c r="N28" s="677"/>
      <c r="O28" s="675"/>
      <c r="P28" s="677"/>
      <c r="Q28" s="675"/>
      <c r="R28" s="677"/>
      <c r="S28" s="675"/>
      <c r="T28" s="677"/>
      <c r="U28" s="675"/>
      <c r="V28" s="682"/>
      <c r="W28" s="675"/>
      <c r="X28" s="682"/>
      <c r="Y28" s="675"/>
      <c r="Z28" s="682"/>
      <c r="AA28" s="675"/>
      <c r="AB28" s="682"/>
      <c r="AC28" s="675"/>
      <c r="AD28" s="682"/>
      <c r="AE28" s="675"/>
      <c r="AF28" s="682"/>
      <c r="AG28" s="675"/>
      <c r="AH28" s="682"/>
      <c r="AI28" s="675"/>
      <c r="AJ28" s="682"/>
      <c r="AK28" s="675"/>
      <c r="AL28" s="682"/>
      <c r="AM28" s="678"/>
      <c r="AN28" s="679"/>
      <c r="AO28" s="675"/>
      <c r="AP28" t="str">
        <f t="shared" si="6"/>
        <v/>
      </c>
      <c r="CA28" s="2553" t="str">
        <f t="shared" si="0"/>
        <v/>
      </c>
      <c r="CB28" s="2553" t="str">
        <f t="shared" si="1"/>
        <v/>
      </c>
      <c r="CD28" s="1793">
        <f t="shared" si="2"/>
        <v>0</v>
      </c>
      <c r="CE28" s="1793">
        <f t="shared" si="3"/>
        <v>0</v>
      </c>
    </row>
    <row r="29" spans="1:83" ht="19.5" customHeight="1" x14ac:dyDescent="0.25">
      <c r="A29" s="8697"/>
      <c r="B29" s="684" t="s">
        <v>594</v>
      </c>
      <c r="C29" s="672">
        <f t="shared" si="4"/>
        <v>0</v>
      </c>
      <c r="D29" s="681">
        <f t="shared" si="7"/>
        <v>0</v>
      </c>
      <c r="E29" s="672">
        <f t="shared" si="5"/>
        <v>0</v>
      </c>
      <c r="F29" s="682"/>
      <c r="G29" s="675"/>
      <c r="H29" s="682"/>
      <c r="I29" s="675"/>
      <c r="J29" s="682"/>
      <c r="K29" s="675"/>
      <c r="L29" s="682"/>
      <c r="M29" s="675"/>
      <c r="N29" s="677"/>
      <c r="O29" s="675"/>
      <c r="P29" s="677"/>
      <c r="Q29" s="675"/>
      <c r="R29" s="677"/>
      <c r="S29" s="675"/>
      <c r="T29" s="677"/>
      <c r="U29" s="675"/>
      <c r="V29" s="682"/>
      <c r="W29" s="675"/>
      <c r="X29" s="682"/>
      <c r="Y29" s="675"/>
      <c r="Z29" s="682"/>
      <c r="AA29" s="675"/>
      <c r="AB29" s="682"/>
      <c r="AC29" s="675"/>
      <c r="AD29" s="682"/>
      <c r="AE29" s="675"/>
      <c r="AF29" s="682"/>
      <c r="AG29" s="675"/>
      <c r="AH29" s="682"/>
      <c r="AI29" s="675"/>
      <c r="AJ29" s="682"/>
      <c r="AK29" s="675"/>
      <c r="AL29" s="682"/>
      <c r="AM29" s="678"/>
      <c r="AN29" s="679"/>
      <c r="AO29" s="675"/>
      <c r="AP29" t="str">
        <f t="shared" si="6"/>
        <v/>
      </c>
      <c r="CA29" s="2553" t="str">
        <f t="shared" si="0"/>
        <v/>
      </c>
      <c r="CB29" s="2553" t="str">
        <f t="shared" si="1"/>
        <v/>
      </c>
      <c r="CD29" s="1793">
        <f t="shared" si="2"/>
        <v>0</v>
      </c>
      <c r="CE29" s="1793">
        <f t="shared" si="3"/>
        <v>0</v>
      </c>
    </row>
    <row r="30" spans="1:83" ht="15" customHeight="1" x14ac:dyDescent="0.25">
      <c r="A30" s="8697"/>
      <c r="B30" s="685" t="s">
        <v>595</v>
      </c>
      <c r="C30" s="672">
        <f t="shared" si="4"/>
        <v>0</v>
      </c>
      <c r="D30" s="681">
        <f t="shared" si="7"/>
        <v>0</v>
      </c>
      <c r="E30" s="672">
        <f t="shared" si="5"/>
        <v>0</v>
      </c>
      <c r="F30" s="682"/>
      <c r="G30" s="675"/>
      <c r="H30" s="682"/>
      <c r="I30" s="675"/>
      <c r="J30" s="682"/>
      <c r="K30" s="675"/>
      <c r="L30" s="682"/>
      <c r="M30" s="675"/>
      <c r="N30" s="677"/>
      <c r="O30" s="675"/>
      <c r="P30" s="677"/>
      <c r="Q30" s="675"/>
      <c r="R30" s="677"/>
      <c r="S30" s="675"/>
      <c r="T30" s="677"/>
      <c r="U30" s="675"/>
      <c r="V30" s="682"/>
      <c r="W30" s="675"/>
      <c r="X30" s="682"/>
      <c r="Y30" s="675"/>
      <c r="Z30" s="682"/>
      <c r="AA30" s="675"/>
      <c r="AB30" s="682"/>
      <c r="AC30" s="675"/>
      <c r="AD30" s="682"/>
      <c r="AE30" s="675"/>
      <c r="AF30" s="682"/>
      <c r="AG30" s="675"/>
      <c r="AH30" s="682"/>
      <c r="AI30" s="675"/>
      <c r="AJ30" s="682"/>
      <c r="AK30" s="675"/>
      <c r="AL30" s="682"/>
      <c r="AM30" s="678"/>
      <c r="AN30" s="679"/>
      <c r="AO30" s="675"/>
      <c r="AP30" t="str">
        <f t="shared" si="6"/>
        <v/>
      </c>
      <c r="CA30" s="2553" t="str">
        <f t="shared" si="0"/>
        <v/>
      </c>
      <c r="CB30" s="2553" t="str">
        <f t="shared" si="1"/>
        <v/>
      </c>
      <c r="CD30" s="1793">
        <f t="shared" si="2"/>
        <v>0</v>
      </c>
      <c r="CE30" s="1793">
        <f t="shared" si="3"/>
        <v>0</v>
      </c>
    </row>
    <row r="31" spans="1:83" ht="15" customHeight="1" x14ac:dyDescent="0.25">
      <c r="A31" s="8697"/>
      <c r="B31" s="680" t="s">
        <v>596</v>
      </c>
      <c r="C31" s="672">
        <f t="shared" si="4"/>
        <v>0</v>
      </c>
      <c r="D31" s="681">
        <f t="shared" si="7"/>
        <v>0</v>
      </c>
      <c r="E31" s="672">
        <f t="shared" si="5"/>
        <v>0</v>
      </c>
      <c r="F31" s="682"/>
      <c r="G31" s="675"/>
      <c r="H31" s="682"/>
      <c r="I31" s="675"/>
      <c r="J31" s="682"/>
      <c r="K31" s="675"/>
      <c r="L31" s="682"/>
      <c r="M31" s="675"/>
      <c r="N31" s="677"/>
      <c r="O31" s="675"/>
      <c r="P31" s="677"/>
      <c r="Q31" s="675"/>
      <c r="R31" s="677"/>
      <c r="S31" s="675"/>
      <c r="T31" s="677"/>
      <c r="U31" s="675"/>
      <c r="V31" s="682"/>
      <c r="W31" s="675"/>
      <c r="X31" s="682"/>
      <c r="Y31" s="675"/>
      <c r="Z31" s="682"/>
      <c r="AA31" s="675"/>
      <c r="AB31" s="682"/>
      <c r="AC31" s="675"/>
      <c r="AD31" s="682"/>
      <c r="AE31" s="675"/>
      <c r="AF31" s="682"/>
      <c r="AG31" s="675"/>
      <c r="AH31" s="682"/>
      <c r="AI31" s="675"/>
      <c r="AJ31" s="682"/>
      <c r="AK31" s="675"/>
      <c r="AL31" s="682"/>
      <c r="AM31" s="678"/>
      <c r="AN31" s="679"/>
      <c r="AO31" s="675"/>
      <c r="AP31" t="str">
        <f t="shared" si="6"/>
        <v/>
      </c>
      <c r="CA31" s="2553" t="str">
        <f t="shared" si="0"/>
        <v/>
      </c>
      <c r="CB31" s="2553" t="str">
        <f t="shared" si="1"/>
        <v/>
      </c>
      <c r="CD31" s="1793">
        <f t="shared" si="2"/>
        <v>0</v>
      </c>
      <c r="CE31" s="1793">
        <f t="shared" si="3"/>
        <v>0</v>
      </c>
    </row>
    <row r="32" spans="1:83" ht="15" customHeight="1" x14ac:dyDescent="0.25">
      <c r="A32" s="8697"/>
      <c r="B32" s="680" t="s">
        <v>597</v>
      </c>
      <c r="C32" s="672">
        <f t="shared" si="4"/>
        <v>0</v>
      </c>
      <c r="D32" s="681">
        <f t="shared" si="7"/>
        <v>0</v>
      </c>
      <c r="E32" s="672">
        <f t="shared" si="5"/>
        <v>0</v>
      </c>
      <c r="F32" s="682"/>
      <c r="G32" s="675"/>
      <c r="H32" s="682"/>
      <c r="I32" s="675"/>
      <c r="J32" s="682"/>
      <c r="K32" s="675"/>
      <c r="L32" s="682"/>
      <c r="M32" s="675"/>
      <c r="N32" s="677"/>
      <c r="O32" s="675"/>
      <c r="P32" s="677"/>
      <c r="Q32" s="675"/>
      <c r="R32" s="677"/>
      <c r="S32" s="675"/>
      <c r="T32" s="677"/>
      <c r="U32" s="675"/>
      <c r="V32" s="682"/>
      <c r="W32" s="675"/>
      <c r="X32" s="682"/>
      <c r="Y32" s="675"/>
      <c r="Z32" s="682"/>
      <c r="AA32" s="675"/>
      <c r="AB32" s="682"/>
      <c r="AC32" s="675"/>
      <c r="AD32" s="682"/>
      <c r="AE32" s="675"/>
      <c r="AF32" s="682"/>
      <c r="AG32" s="675"/>
      <c r="AH32" s="682"/>
      <c r="AI32" s="675"/>
      <c r="AJ32" s="682"/>
      <c r="AK32" s="675"/>
      <c r="AL32" s="682"/>
      <c r="AM32" s="678"/>
      <c r="AN32" s="679"/>
      <c r="AO32" s="675"/>
      <c r="AP32" t="str">
        <f t="shared" si="6"/>
        <v/>
      </c>
      <c r="CA32" s="2553" t="str">
        <f t="shared" si="0"/>
        <v/>
      </c>
      <c r="CB32" s="2553" t="str">
        <f t="shared" si="1"/>
        <v/>
      </c>
      <c r="CD32" s="1793">
        <f t="shared" si="2"/>
        <v>0</v>
      </c>
      <c r="CE32" s="1793">
        <f t="shared" si="3"/>
        <v>0</v>
      </c>
    </row>
    <row r="33" spans="1:83" ht="15" customHeight="1" x14ac:dyDescent="0.25">
      <c r="A33" s="8697"/>
      <c r="B33" s="683" t="s">
        <v>598</v>
      </c>
      <c r="C33" s="672">
        <f t="shared" si="4"/>
        <v>0</v>
      </c>
      <c r="D33" s="681">
        <f t="shared" si="7"/>
        <v>0</v>
      </c>
      <c r="E33" s="672">
        <f t="shared" si="5"/>
        <v>0</v>
      </c>
      <c r="F33" s="682"/>
      <c r="G33" s="675"/>
      <c r="H33" s="682"/>
      <c r="I33" s="675"/>
      <c r="J33" s="682"/>
      <c r="K33" s="675"/>
      <c r="L33" s="682"/>
      <c r="M33" s="675"/>
      <c r="N33" s="677"/>
      <c r="O33" s="675"/>
      <c r="P33" s="677"/>
      <c r="Q33" s="675"/>
      <c r="R33" s="677"/>
      <c r="S33" s="675"/>
      <c r="T33" s="677"/>
      <c r="U33" s="675"/>
      <c r="V33" s="682"/>
      <c r="W33" s="675"/>
      <c r="X33" s="682"/>
      <c r="Y33" s="675"/>
      <c r="Z33" s="682"/>
      <c r="AA33" s="675"/>
      <c r="AB33" s="682"/>
      <c r="AC33" s="675"/>
      <c r="AD33" s="682"/>
      <c r="AE33" s="675"/>
      <c r="AF33" s="682"/>
      <c r="AG33" s="675"/>
      <c r="AH33" s="682"/>
      <c r="AI33" s="675"/>
      <c r="AJ33" s="682"/>
      <c r="AK33" s="675"/>
      <c r="AL33" s="682"/>
      <c r="AM33" s="678"/>
      <c r="AN33" s="679"/>
      <c r="AO33" s="675"/>
      <c r="AP33" t="str">
        <f t="shared" si="6"/>
        <v/>
      </c>
      <c r="CA33" s="2553" t="str">
        <f t="shared" si="0"/>
        <v/>
      </c>
      <c r="CB33" s="2553" t="str">
        <f t="shared" si="1"/>
        <v/>
      </c>
      <c r="CD33" s="1793">
        <f t="shared" si="2"/>
        <v>0</v>
      </c>
      <c r="CE33" s="1793">
        <f t="shared" si="3"/>
        <v>0</v>
      </c>
    </row>
    <row r="34" spans="1:83" ht="15" customHeight="1" x14ac:dyDescent="0.25">
      <c r="A34" s="8697"/>
      <c r="B34" s="683" t="s">
        <v>599</v>
      </c>
      <c r="C34" s="672">
        <f t="shared" si="4"/>
        <v>0</v>
      </c>
      <c r="D34" s="681">
        <f t="shared" si="7"/>
        <v>0</v>
      </c>
      <c r="E34" s="672">
        <f t="shared" si="5"/>
        <v>0</v>
      </c>
      <c r="F34" s="682"/>
      <c r="G34" s="675"/>
      <c r="H34" s="682"/>
      <c r="I34" s="675"/>
      <c r="J34" s="682"/>
      <c r="K34" s="675"/>
      <c r="L34" s="682"/>
      <c r="M34" s="675"/>
      <c r="N34" s="677"/>
      <c r="O34" s="675"/>
      <c r="P34" s="677"/>
      <c r="Q34" s="675"/>
      <c r="R34" s="677"/>
      <c r="S34" s="675"/>
      <c r="T34" s="677"/>
      <c r="U34" s="675"/>
      <c r="V34" s="682"/>
      <c r="W34" s="675"/>
      <c r="X34" s="682"/>
      <c r="Y34" s="675"/>
      <c r="Z34" s="682"/>
      <c r="AA34" s="675"/>
      <c r="AB34" s="682"/>
      <c r="AC34" s="675"/>
      <c r="AD34" s="682"/>
      <c r="AE34" s="675"/>
      <c r="AF34" s="682"/>
      <c r="AG34" s="675"/>
      <c r="AH34" s="682"/>
      <c r="AI34" s="675"/>
      <c r="AJ34" s="682"/>
      <c r="AK34" s="675"/>
      <c r="AL34" s="682"/>
      <c r="AM34" s="678"/>
      <c r="AN34" s="679"/>
      <c r="AO34" s="675"/>
      <c r="AP34" t="str">
        <f t="shared" si="6"/>
        <v/>
      </c>
      <c r="CA34" s="2553" t="str">
        <f t="shared" si="0"/>
        <v/>
      </c>
      <c r="CB34" s="2553" t="str">
        <f t="shared" si="1"/>
        <v/>
      </c>
      <c r="CD34" s="1793">
        <f t="shared" si="2"/>
        <v>0</v>
      </c>
      <c r="CE34" s="1793">
        <f t="shared" si="3"/>
        <v>0</v>
      </c>
    </row>
    <row r="35" spans="1:83" ht="15" customHeight="1" x14ac:dyDescent="0.25">
      <c r="A35" s="8698"/>
      <c r="B35" s="686" t="s">
        <v>44</v>
      </c>
      <c r="C35" s="687">
        <f t="shared" si="4"/>
        <v>0</v>
      </c>
      <c r="D35" s="688">
        <f t="shared" si="7"/>
        <v>0</v>
      </c>
      <c r="E35" s="687">
        <f t="shared" si="5"/>
        <v>0</v>
      </c>
      <c r="F35" s="689"/>
      <c r="G35" s="690"/>
      <c r="H35" s="689"/>
      <c r="I35" s="690"/>
      <c r="J35" s="689"/>
      <c r="K35" s="690"/>
      <c r="L35" s="689"/>
      <c r="M35" s="690"/>
      <c r="N35" s="691"/>
      <c r="O35" s="690"/>
      <c r="P35" s="691"/>
      <c r="Q35" s="690"/>
      <c r="R35" s="691"/>
      <c r="S35" s="690"/>
      <c r="T35" s="691"/>
      <c r="U35" s="690"/>
      <c r="V35" s="689"/>
      <c r="W35" s="690"/>
      <c r="X35" s="689"/>
      <c r="Y35" s="690"/>
      <c r="Z35" s="689"/>
      <c r="AA35" s="690"/>
      <c r="AB35" s="689"/>
      <c r="AC35" s="690"/>
      <c r="AD35" s="689"/>
      <c r="AE35" s="690"/>
      <c r="AF35" s="689"/>
      <c r="AG35" s="690"/>
      <c r="AH35" s="689"/>
      <c r="AI35" s="690"/>
      <c r="AJ35" s="689"/>
      <c r="AK35" s="690"/>
      <c r="AL35" s="689"/>
      <c r="AM35" s="692"/>
      <c r="AN35" s="693"/>
      <c r="AO35" s="690"/>
      <c r="AP35" t="str">
        <f t="shared" si="6"/>
        <v/>
      </c>
      <c r="CA35" s="2553" t="str">
        <f t="shared" si="0"/>
        <v/>
      </c>
      <c r="CB35" s="2553" t="str">
        <f t="shared" si="1"/>
        <v/>
      </c>
      <c r="CD35" s="1793">
        <f t="shared" si="2"/>
        <v>0</v>
      </c>
      <c r="CE35" s="1793">
        <f t="shared" si="3"/>
        <v>0</v>
      </c>
    </row>
    <row r="36" spans="1:83" x14ac:dyDescent="0.25">
      <c r="A36" s="8696" t="s">
        <v>31</v>
      </c>
      <c r="B36" s="680" t="s">
        <v>600</v>
      </c>
      <c r="C36" s="694">
        <f t="shared" si="4"/>
        <v>0</v>
      </c>
      <c r="D36" s="695">
        <f t="shared" si="7"/>
        <v>0</v>
      </c>
      <c r="E36" s="694">
        <f t="shared" si="5"/>
        <v>0</v>
      </c>
      <c r="F36" s="696"/>
      <c r="G36" s="697"/>
      <c r="H36" s="696"/>
      <c r="I36" s="697"/>
      <c r="J36" s="696"/>
      <c r="K36" s="697"/>
      <c r="L36" s="696"/>
      <c r="M36" s="697"/>
      <c r="N36" s="698"/>
      <c r="O36" s="697"/>
      <c r="P36" s="698"/>
      <c r="Q36" s="697"/>
      <c r="R36" s="698"/>
      <c r="S36" s="697"/>
      <c r="T36" s="698"/>
      <c r="U36" s="697"/>
      <c r="V36" s="696"/>
      <c r="W36" s="697"/>
      <c r="X36" s="696"/>
      <c r="Y36" s="697"/>
      <c r="Z36" s="696"/>
      <c r="AA36" s="697"/>
      <c r="AB36" s="696"/>
      <c r="AC36" s="697"/>
      <c r="AD36" s="696"/>
      <c r="AE36" s="697"/>
      <c r="AF36" s="696"/>
      <c r="AG36" s="697"/>
      <c r="AH36" s="696"/>
      <c r="AI36" s="697"/>
      <c r="AJ36" s="696"/>
      <c r="AK36" s="697"/>
      <c r="AL36" s="696"/>
      <c r="AM36" s="699"/>
      <c r="AN36" s="679"/>
      <c r="AO36" s="675"/>
      <c r="AP36" t="str">
        <f t="shared" si="6"/>
        <v/>
      </c>
      <c r="CA36" s="2553" t="str">
        <f t="shared" si="0"/>
        <v/>
      </c>
      <c r="CB36" s="2553" t="str">
        <f t="shared" si="1"/>
        <v/>
      </c>
      <c r="CD36" s="1793">
        <f t="shared" si="2"/>
        <v>0</v>
      </c>
      <c r="CE36" s="1793">
        <f t="shared" si="3"/>
        <v>0</v>
      </c>
    </row>
    <row r="37" spans="1:83" x14ac:dyDescent="0.25">
      <c r="A37" s="8697"/>
      <c r="B37" s="683" t="s">
        <v>601</v>
      </c>
      <c r="C37" s="672">
        <f>SUM(D37:E37)</f>
        <v>0</v>
      </c>
      <c r="D37" s="681">
        <f>+F37+H37+J37+L37+N37+P37+R37+T37+V37++X37+Z37+AB37+AD37+AF37+AH37+AJ37+AL37</f>
        <v>0</v>
      </c>
      <c r="E37" s="672">
        <f>+G37+I37+K37+M37+O37+Q37+S37+U37+W37++Y37+AA37+AC37+AE37+AG37+AI37+AK37+AM37</f>
        <v>0</v>
      </c>
      <c r="F37" s="682"/>
      <c r="G37" s="675"/>
      <c r="H37" s="682"/>
      <c r="I37" s="675"/>
      <c r="J37" s="682"/>
      <c r="K37" s="675"/>
      <c r="L37" s="682"/>
      <c r="M37" s="675"/>
      <c r="N37" s="677"/>
      <c r="O37" s="675"/>
      <c r="P37" s="677"/>
      <c r="Q37" s="675"/>
      <c r="R37" s="677"/>
      <c r="S37" s="675"/>
      <c r="T37" s="677"/>
      <c r="U37" s="675"/>
      <c r="V37" s="682"/>
      <c r="W37" s="675"/>
      <c r="X37" s="682"/>
      <c r="Y37" s="675"/>
      <c r="Z37" s="682"/>
      <c r="AA37" s="675"/>
      <c r="AB37" s="682"/>
      <c r="AC37" s="675"/>
      <c r="AD37" s="682"/>
      <c r="AE37" s="675"/>
      <c r="AF37" s="682"/>
      <c r="AG37" s="675"/>
      <c r="AH37" s="682"/>
      <c r="AI37" s="675"/>
      <c r="AJ37" s="682"/>
      <c r="AK37" s="675"/>
      <c r="AL37" s="682"/>
      <c r="AM37" s="678"/>
      <c r="AN37" s="679"/>
      <c r="AO37" s="675"/>
      <c r="AP37" t="str">
        <f t="shared" si="6"/>
        <v/>
      </c>
      <c r="CA37" s="2553" t="str">
        <f t="shared" si="0"/>
        <v/>
      </c>
      <c r="CB37" s="2553" t="str">
        <f t="shared" si="1"/>
        <v/>
      </c>
      <c r="CD37" s="1793">
        <f t="shared" si="2"/>
        <v>0</v>
      </c>
      <c r="CE37" s="1793">
        <f t="shared" si="3"/>
        <v>0</v>
      </c>
    </row>
    <row r="38" spans="1:83" x14ac:dyDescent="0.25">
      <c r="A38" s="8697"/>
      <c r="B38" s="680" t="s">
        <v>602</v>
      </c>
      <c r="C38" s="672">
        <f t="shared" si="4"/>
        <v>0</v>
      </c>
      <c r="D38" s="681">
        <f t="shared" si="7"/>
        <v>0</v>
      </c>
      <c r="E38" s="672">
        <f t="shared" si="5"/>
        <v>0</v>
      </c>
      <c r="F38" s="682"/>
      <c r="G38" s="675"/>
      <c r="H38" s="682"/>
      <c r="I38" s="675"/>
      <c r="J38" s="682"/>
      <c r="K38" s="675"/>
      <c r="L38" s="682"/>
      <c r="M38" s="675"/>
      <c r="N38" s="677"/>
      <c r="O38" s="675"/>
      <c r="P38" s="677"/>
      <c r="Q38" s="675"/>
      <c r="R38" s="677"/>
      <c r="S38" s="675"/>
      <c r="T38" s="677"/>
      <c r="U38" s="675"/>
      <c r="V38" s="682"/>
      <c r="W38" s="675"/>
      <c r="X38" s="682"/>
      <c r="Y38" s="675"/>
      <c r="Z38" s="682"/>
      <c r="AA38" s="675"/>
      <c r="AB38" s="682"/>
      <c r="AC38" s="675"/>
      <c r="AD38" s="682"/>
      <c r="AE38" s="675"/>
      <c r="AF38" s="682"/>
      <c r="AG38" s="675"/>
      <c r="AH38" s="682"/>
      <c r="AI38" s="675"/>
      <c r="AJ38" s="682"/>
      <c r="AK38" s="675"/>
      <c r="AL38" s="682"/>
      <c r="AM38" s="678"/>
      <c r="AN38" s="679"/>
      <c r="AO38" s="675"/>
      <c r="AP38" t="str">
        <f t="shared" si="6"/>
        <v/>
      </c>
      <c r="CA38" s="2553" t="str">
        <f t="shared" si="0"/>
        <v/>
      </c>
      <c r="CB38" s="2553" t="str">
        <f t="shared" si="1"/>
        <v/>
      </c>
      <c r="CD38" s="1793">
        <f t="shared" si="2"/>
        <v>0</v>
      </c>
      <c r="CE38" s="1793">
        <f t="shared" si="3"/>
        <v>0</v>
      </c>
    </row>
    <row r="39" spans="1:83" x14ac:dyDescent="0.25">
      <c r="A39" s="8698"/>
      <c r="B39" s="700" t="s">
        <v>603</v>
      </c>
      <c r="C39" s="687">
        <f t="shared" si="4"/>
        <v>0</v>
      </c>
      <c r="D39" s="688">
        <f t="shared" si="7"/>
        <v>0</v>
      </c>
      <c r="E39" s="687">
        <f t="shared" si="5"/>
        <v>0</v>
      </c>
      <c r="F39" s="689"/>
      <c r="G39" s="690"/>
      <c r="H39" s="689"/>
      <c r="I39" s="690"/>
      <c r="J39" s="689"/>
      <c r="K39" s="690"/>
      <c r="L39" s="689"/>
      <c r="M39" s="690"/>
      <c r="N39" s="691"/>
      <c r="O39" s="690"/>
      <c r="P39" s="691"/>
      <c r="Q39" s="690"/>
      <c r="R39" s="691"/>
      <c r="S39" s="690"/>
      <c r="T39" s="689"/>
      <c r="U39" s="690"/>
      <c r="V39" s="689"/>
      <c r="W39" s="690"/>
      <c r="X39" s="689"/>
      <c r="Y39" s="690"/>
      <c r="Z39" s="689"/>
      <c r="AA39" s="690"/>
      <c r="AB39" s="689"/>
      <c r="AC39" s="690"/>
      <c r="AD39" s="689"/>
      <c r="AE39" s="690"/>
      <c r="AF39" s="689"/>
      <c r="AG39" s="690"/>
      <c r="AH39" s="689"/>
      <c r="AI39" s="690"/>
      <c r="AJ39" s="689"/>
      <c r="AK39" s="690"/>
      <c r="AL39" s="689"/>
      <c r="AM39" s="692"/>
      <c r="AN39" s="693"/>
      <c r="AO39" s="690"/>
      <c r="AP39" t="str">
        <f t="shared" si="6"/>
        <v/>
      </c>
      <c r="CA39" s="2553" t="str">
        <f t="shared" si="0"/>
        <v/>
      </c>
      <c r="CB39" s="2553" t="str">
        <f t="shared" si="1"/>
        <v/>
      </c>
      <c r="CD39" s="1793">
        <f t="shared" si="2"/>
        <v>0</v>
      </c>
      <c r="CE39" s="1793">
        <f t="shared" si="3"/>
        <v>0</v>
      </c>
    </row>
    <row r="40" spans="1:83" ht="18" customHeight="1" x14ac:dyDescent="0.25">
      <c r="A40" s="8680" t="s">
        <v>604</v>
      </c>
      <c r="B40" s="8680"/>
      <c r="C40" s="8680"/>
      <c r="D40" s="8680"/>
      <c r="E40" s="8680"/>
      <c r="F40" s="8680"/>
      <c r="G40" s="8680"/>
      <c r="H40" s="8680"/>
      <c r="I40" s="8680"/>
      <c r="J40" s="8680"/>
      <c r="K40" s="8680"/>
      <c r="L40" s="8680"/>
      <c r="M40" s="8680"/>
      <c r="N40" s="8680"/>
      <c r="O40" s="8680"/>
      <c r="P40" s="8680"/>
      <c r="Q40" s="8680"/>
      <c r="R40" s="8680"/>
      <c r="S40" s="8680"/>
      <c r="T40" s="8680"/>
      <c r="U40" s="8680"/>
      <c r="V40" s="8680"/>
      <c r="W40" s="8680"/>
      <c r="X40" s="8680"/>
      <c r="Y40" s="8680"/>
      <c r="Z40" s="8680"/>
      <c r="AA40" s="8680"/>
      <c r="AB40" s="8680"/>
      <c r="AC40" s="8680"/>
      <c r="AD40" s="8680"/>
      <c r="AE40" s="8680"/>
      <c r="AF40" s="8680"/>
      <c r="AG40" s="8680"/>
      <c r="AH40" s="8680"/>
      <c r="AI40" s="8680"/>
      <c r="AJ40" s="8680"/>
      <c r="AK40" s="8680"/>
      <c r="AL40" s="8680"/>
    </row>
    <row r="41" spans="1:83" x14ac:dyDescent="0.25">
      <c r="A41" s="8730" t="s">
        <v>137</v>
      </c>
      <c r="B41" s="7274" t="s">
        <v>24</v>
      </c>
      <c r="C41" s="8723"/>
      <c r="D41" s="8724"/>
      <c r="E41" s="8733" t="s">
        <v>30</v>
      </c>
      <c r="F41" s="8734"/>
      <c r="G41" s="8734"/>
      <c r="H41" s="8734"/>
      <c r="I41" s="8734"/>
      <c r="J41" s="8734"/>
      <c r="K41" s="8734"/>
      <c r="L41" s="8734"/>
      <c r="M41" s="8734"/>
      <c r="N41" s="8734"/>
      <c r="O41" s="8734"/>
      <c r="P41" s="8734"/>
      <c r="Q41" s="8734"/>
      <c r="R41" s="8734"/>
      <c r="S41" s="8734"/>
      <c r="T41" s="8734"/>
      <c r="U41" s="8734"/>
      <c r="V41" s="8734"/>
      <c r="W41" s="8734"/>
      <c r="X41" s="8734"/>
      <c r="Y41" s="8734"/>
      <c r="Z41" s="8734"/>
      <c r="AA41" s="8734"/>
      <c r="AB41" s="8734"/>
      <c r="AC41" s="8734"/>
      <c r="AD41" s="8734"/>
      <c r="AE41" s="8734"/>
      <c r="AF41" s="8734"/>
      <c r="AG41" s="8734"/>
      <c r="AH41" s="8734"/>
      <c r="AI41" s="8734"/>
      <c r="AJ41" s="8734"/>
      <c r="AK41" s="8734"/>
      <c r="AL41" s="8735"/>
      <c r="AM41" s="8736" t="s">
        <v>605</v>
      </c>
      <c r="AN41" s="8736"/>
      <c r="AO41" s="8736"/>
      <c r="AP41" s="8736"/>
      <c r="AQ41" s="8736"/>
      <c r="AR41" s="8736"/>
      <c r="AS41" s="8736"/>
      <c r="AT41" s="8736"/>
      <c r="AU41" s="8736"/>
      <c r="AV41" s="8736"/>
      <c r="AW41" s="8737"/>
    </row>
    <row r="42" spans="1:83" x14ac:dyDescent="0.25">
      <c r="A42" s="8731"/>
      <c r="B42" s="8706"/>
      <c r="C42" s="8707"/>
      <c r="D42" s="8708"/>
      <c r="E42" s="8716" t="s">
        <v>36</v>
      </c>
      <c r="F42" s="8691"/>
      <c r="G42" s="8690" t="s">
        <v>37</v>
      </c>
      <c r="H42" s="8691"/>
      <c r="I42" s="8690" t="s">
        <v>38</v>
      </c>
      <c r="J42" s="8691"/>
      <c r="K42" s="8690" t="s">
        <v>4</v>
      </c>
      <c r="L42" s="8691"/>
      <c r="M42" s="8690" t="s">
        <v>5</v>
      </c>
      <c r="N42" s="8691"/>
      <c r="O42" s="8690" t="s">
        <v>560</v>
      </c>
      <c r="P42" s="8691"/>
      <c r="Q42" s="8690" t="s">
        <v>561</v>
      </c>
      <c r="R42" s="8691"/>
      <c r="S42" s="8690" t="s">
        <v>8</v>
      </c>
      <c r="T42" s="8691"/>
      <c r="U42" s="8690" t="s">
        <v>9</v>
      </c>
      <c r="V42" s="8691"/>
      <c r="W42" s="8690" t="s">
        <v>576</v>
      </c>
      <c r="X42" s="8691"/>
      <c r="Y42" s="8690" t="s">
        <v>11</v>
      </c>
      <c r="Z42" s="8691"/>
      <c r="AA42" s="8690" t="s">
        <v>18</v>
      </c>
      <c r="AB42" s="8691"/>
      <c r="AC42" s="8690" t="s">
        <v>19</v>
      </c>
      <c r="AD42" s="8691"/>
      <c r="AE42" s="8690" t="s">
        <v>20</v>
      </c>
      <c r="AF42" s="8691"/>
      <c r="AG42" s="8690" t="s">
        <v>70</v>
      </c>
      <c r="AH42" s="8691"/>
      <c r="AI42" s="8690" t="s">
        <v>71</v>
      </c>
      <c r="AJ42" s="8691"/>
      <c r="AK42" s="8717" t="s">
        <v>32</v>
      </c>
      <c r="AL42" s="8728"/>
      <c r="AM42" s="8738"/>
      <c r="AN42" s="8738"/>
      <c r="AO42" s="8738"/>
      <c r="AP42" s="8738"/>
      <c r="AQ42" s="8738"/>
      <c r="AR42" s="8738"/>
      <c r="AS42" s="8738"/>
      <c r="AT42" s="8738"/>
      <c r="AU42" s="8738"/>
      <c r="AV42" s="8738"/>
      <c r="AW42" s="8739"/>
    </row>
    <row r="43" spans="1:83" ht="33" x14ac:dyDescent="0.25">
      <c r="A43" s="8732"/>
      <c r="B43" s="666" t="s">
        <v>26</v>
      </c>
      <c r="C43" s="667" t="s">
        <v>22</v>
      </c>
      <c r="D43" s="668" t="s">
        <v>27</v>
      </c>
      <c r="E43" s="669" t="s">
        <v>22</v>
      </c>
      <c r="F43" s="665" t="s">
        <v>27</v>
      </c>
      <c r="G43" s="660" t="s">
        <v>22</v>
      </c>
      <c r="H43" s="665" t="s">
        <v>27</v>
      </c>
      <c r="I43" s="660" t="s">
        <v>22</v>
      </c>
      <c r="J43" s="665" t="s">
        <v>27</v>
      </c>
      <c r="K43" s="660" t="s">
        <v>22</v>
      </c>
      <c r="L43" s="665" t="s">
        <v>27</v>
      </c>
      <c r="M43" s="660" t="s">
        <v>22</v>
      </c>
      <c r="N43" s="665" t="s">
        <v>27</v>
      </c>
      <c r="O43" s="660" t="s">
        <v>22</v>
      </c>
      <c r="P43" s="665" t="s">
        <v>27</v>
      </c>
      <c r="Q43" s="660" t="s">
        <v>22</v>
      </c>
      <c r="R43" s="665" t="s">
        <v>27</v>
      </c>
      <c r="S43" s="660" t="s">
        <v>22</v>
      </c>
      <c r="T43" s="665" t="s">
        <v>27</v>
      </c>
      <c r="U43" s="660" t="s">
        <v>22</v>
      </c>
      <c r="V43" s="665" t="s">
        <v>27</v>
      </c>
      <c r="W43" s="660" t="s">
        <v>22</v>
      </c>
      <c r="X43" s="665" t="s">
        <v>27</v>
      </c>
      <c r="Y43" s="660" t="s">
        <v>22</v>
      </c>
      <c r="Z43" s="665" t="s">
        <v>27</v>
      </c>
      <c r="AA43" s="660" t="s">
        <v>22</v>
      </c>
      <c r="AB43" s="665" t="s">
        <v>27</v>
      </c>
      <c r="AC43" s="660" t="s">
        <v>22</v>
      </c>
      <c r="AD43" s="665" t="s">
        <v>27</v>
      </c>
      <c r="AE43" s="660" t="s">
        <v>22</v>
      </c>
      <c r="AF43" s="665" t="s">
        <v>27</v>
      </c>
      <c r="AG43" s="660" t="s">
        <v>22</v>
      </c>
      <c r="AH43" s="665" t="s">
        <v>27</v>
      </c>
      <c r="AI43" s="660" t="s">
        <v>22</v>
      </c>
      <c r="AJ43" s="665" t="s">
        <v>27</v>
      </c>
      <c r="AK43" s="660" t="s">
        <v>22</v>
      </c>
      <c r="AL43" s="2651" t="s">
        <v>27</v>
      </c>
      <c r="AM43" s="2652" t="s">
        <v>74</v>
      </c>
      <c r="AN43" s="2652" t="s">
        <v>76</v>
      </c>
      <c r="AO43" s="2652" t="s">
        <v>277</v>
      </c>
      <c r="AP43" s="2653" t="s">
        <v>192</v>
      </c>
      <c r="AQ43" s="2652" t="s">
        <v>75</v>
      </c>
      <c r="AR43" s="2652" t="s">
        <v>606</v>
      </c>
      <c r="AS43" s="2652" t="s">
        <v>247</v>
      </c>
      <c r="AT43" s="2652" t="s">
        <v>249</v>
      </c>
      <c r="AU43" s="2653" t="s">
        <v>607</v>
      </c>
      <c r="AV43" s="2653" t="s">
        <v>62</v>
      </c>
      <c r="AW43" s="2652" t="s">
        <v>194</v>
      </c>
    </row>
    <row r="44" spans="1:83" ht="15" customHeight="1" x14ac:dyDescent="0.25">
      <c r="A44" s="701" t="s">
        <v>608</v>
      </c>
      <c r="B44" s="702">
        <f>SUM(C44:D44)</f>
        <v>0</v>
      </c>
      <c r="C44" s="673">
        <f>+E44+G44+I44+K44+M44+O44+Q44+S44+U44+W44+Y44+AA44+AC44+AE44+AG44+AI44+AK44</f>
        <v>0</v>
      </c>
      <c r="D44" s="672">
        <f>+F44+H44+J44+L44+N44+P44+R44+T44+V44+X44+Z44+AB44+AD44+AF44+AH44+AJ44+AL44</f>
        <v>0</v>
      </c>
      <c r="E44" s="674"/>
      <c r="F44" s="675"/>
      <c r="G44" s="674"/>
      <c r="H44" s="675"/>
      <c r="I44" s="674"/>
      <c r="J44" s="675"/>
      <c r="K44" s="674"/>
      <c r="L44" s="675"/>
      <c r="M44" s="674"/>
      <c r="N44" s="675"/>
      <c r="O44" s="674"/>
      <c r="P44" s="675"/>
      <c r="Q44" s="674"/>
      <c r="R44" s="675"/>
      <c r="S44" s="674"/>
      <c r="T44" s="675"/>
      <c r="U44" s="674"/>
      <c r="V44" s="675"/>
      <c r="W44" s="674"/>
      <c r="X44" s="675"/>
      <c r="Y44" s="674"/>
      <c r="Z44" s="675"/>
      <c r="AA44" s="674"/>
      <c r="AB44" s="675"/>
      <c r="AC44" s="674"/>
      <c r="AD44" s="675"/>
      <c r="AE44" s="674"/>
      <c r="AF44" s="675"/>
      <c r="AG44" s="674"/>
      <c r="AH44" s="675"/>
      <c r="AI44" s="674"/>
      <c r="AJ44" s="675"/>
      <c r="AK44" s="674"/>
      <c r="AL44" s="703"/>
      <c r="AM44" s="675"/>
      <c r="AN44" s="675"/>
      <c r="AO44" s="675"/>
      <c r="AP44" s="675"/>
      <c r="AQ44" s="675"/>
      <c r="AR44" s="675"/>
      <c r="AS44" s="675"/>
      <c r="AT44" s="675"/>
      <c r="AU44" s="675"/>
      <c r="AV44" s="675"/>
      <c r="AW44" s="675"/>
    </row>
    <row r="45" spans="1:83" ht="15" customHeight="1" x14ac:dyDescent="0.25">
      <c r="A45" s="704" t="s">
        <v>609</v>
      </c>
      <c r="B45" s="702">
        <f t="shared" ref="B45:B55" si="8">SUM(C45:D45)</f>
        <v>0</v>
      </c>
      <c r="C45" s="681">
        <f t="shared" ref="C45:D54" si="9">+E45+G45+I45+K45+M45+O45+Q45+S45+U45+W45+Y45+AA45+AC45+AE45+AG45+AI45+AK45</f>
        <v>0</v>
      </c>
      <c r="D45" s="672">
        <f t="shared" si="9"/>
        <v>0</v>
      </c>
      <c r="E45" s="682"/>
      <c r="F45" s="675"/>
      <c r="G45" s="682"/>
      <c r="H45" s="675"/>
      <c r="I45" s="682"/>
      <c r="J45" s="675"/>
      <c r="K45" s="682"/>
      <c r="L45" s="675"/>
      <c r="M45" s="682"/>
      <c r="N45" s="675"/>
      <c r="O45" s="682"/>
      <c r="P45" s="675"/>
      <c r="Q45" s="682"/>
      <c r="R45" s="675"/>
      <c r="S45" s="682"/>
      <c r="T45" s="675"/>
      <c r="U45" s="682"/>
      <c r="V45" s="675"/>
      <c r="W45" s="682"/>
      <c r="X45" s="675"/>
      <c r="Y45" s="682"/>
      <c r="Z45" s="675"/>
      <c r="AA45" s="682"/>
      <c r="AB45" s="675"/>
      <c r="AC45" s="682"/>
      <c r="AD45" s="675"/>
      <c r="AE45" s="682"/>
      <c r="AF45" s="675"/>
      <c r="AG45" s="682"/>
      <c r="AH45" s="675"/>
      <c r="AI45" s="682"/>
      <c r="AJ45" s="675"/>
      <c r="AK45" s="682"/>
      <c r="AL45" s="703"/>
      <c r="AM45" s="675"/>
      <c r="AN45" s="675"/>
      <c r="AO45" s="675"/>
      <c r="AP45" s="675"/>
      <c r="AQ45" s="675"/>
      <c r="AR45" s="675"/>
      <c r="AS45" s="675"/>
      <c r="AT45" s="675"/>
      <c r="AU45" s="675"/>
      <c r="AV45" s="675"/>
      <c r="AW45" s="675"/>
    </row>
    <row r="46" spans="1:83" ht="15" customHeight="1" x14ac:dyDescent="0.25">
      <c r="A46" s="705" t="s">
        <v>610</v>
      </c>
      <c r="B46" s="702">
        <f t="shared" si="8"/>
        <v>0</v>
      </c>
      <c r="C46" s="681">
        <f t="shared" si="9"/>
        <v>0</v>
      </c>
      <c r="D46" s="672">
        <f t="shared" si="9"/>
        <v>0</v>
      </c>
      <c r="E46" s="682"/>
      <c r="F46" s="675"/>
      <c r="G46" s="682"/>
      <c r="H46" s="675"/>
      <c r="I46" s="682"/>
      <c r="J46" s="675"/>
      <c r="K46" s="682"/>
      <c r="L46" s="675"/>
      <c r="M46" s="682"/>
      <c r="N46" s="675"/>
      <c r="O46" s="682"/>
      <c r="P46" s="675"/>
      <c r="Q46" s="682"/>
      <c r="R46" s="675"/>
      <c r="S46" s="682"/>
      <c r="T46" s="675"/>
      <c r="U46" s="682"/>
      <c r="V46" s="675"/>
      <c r="W46" s="682"/>
      <c r="X46" s="675"/>
      <c r="Y46" s="682"/>
      <c r="Z46" s="675"/>
      <c r="AA46" s="682"/>
      <c r="AB46" s="675"/>
      <c r="AC46" s="682"/>
      <c r="AD46" s="675"/>
      <c r="AE46" s="682"/>
      <c r="AF46" s="675"/>
      <c r="AG46" s="682"/>
      <c r="AH46" s="675"/>
      <c r="AI46" s="682"/>
      <c r="AJ46" s="675"/>
      <c r="AK46" s="682"/>
      <c r="AL46" s="703"/>
      <c r="AM46" s="675"/>
      <c r="AN46" s="675"/>
      <c r="AO46" s="675"/>
      <c r="AP46" s="675"/>
      <c r="AQ46" s="675"/>
      <c r="AR46" s="675"/>
      <c r="AS46" s="675"/>
      <c r="AT46" s="675"/>
      <c r="AU46" s="675"/>
      <c r="AV46" s="675"/>
      <c r="AW46" s="675"/>
    </row>
    <row r="47" spans="1:83" ht="15" customHeight="1" x14ac:dyDescent="0.25">
      <c r="A47" s="705" t="s">
        <v>611</v>
      </c>
      <c r="B47" s="702">
        <f t="shared" si="8"/>
        <v>0</v>
      </c>
      <c r="C47" s="681">
        <f t="shared" si="9"/>
        <v>0</v>
      </c>
      <c r="D47" s="672">
        <f t="shared" si="9"/>
        <v>0</v>
      </c>
      <c r="E47" s="682"/>
      <c r="F47" s="675"/>
      <c r="G47" s="682"/>
      <c r="H47" s="675"/>
      <c r="I47" s="682"/>
      <c r="J47" s="675"/>
      <c r="K47" s="682"/>
      <c r="L47" s="675"/>
      <c r="M47" s="682"/>
      <c r="N47" s="675"/>
      <c r="O47" s="682"/>
      <c r="P47" s="675"/>
      <c r="Q47" s="682"/>
      <c r="R47" s="675"/>
      <c r="S47" s="682"/>
      <c r="T47" s="675"/>
      <c r="U47" s="682"/>
      <c r="V47" s="675"/>
      <c r="W47" s="682"/>
      <c r="X47" s="675"/>
      <c r="Y47" s="682"/>
      <c r="Z47" s="675"/>
      <c r="AA47" s="682"/>
      <c r="AB47" s="675"/>
      <c r="AC47" s="682"/>
      <c r="AD47" s="675"/>
      <c r="AE47" s="682"/>
      <c r="AF47" s="675"/>
      <c r="AG47" s="682"/>
      <c r="AH47" s="675"/>
      <c r="AI47" s="682"/>
      <c r="AJ47" s="675"/>
      <c r="AK47" s="682"/>
      <c r="AL47" s="703"/>
      <c r="AM47" s="675"/>
      <c r="AN47" s="675"/>
      <c r="AO47" s="675"/>
      <c r="AP47" s="675"/>
      <c r="AQ47" s="675"/>
      <c r="AR47" s="675"/>
      <c r="AS47" s="675"/>
      <c r="AT47" s="675"/>
      <c r="AU47" s="675"/>
      <c r="AV47" s="675"/>
      <c r="AW47" s="675"/>
    </row>
    <row r="48" spans="1:83" ht="15" customHeight="1" x14ac:dyDescent="0.25">
      <c r="A48" s="705" t="s">
        <v>612</v>
      </c>
      <c r="B48" s="702">
        <f t="shared" si="8"/>
        <v>0</v>
      </c>
      <c r="C48" s="681">
        <f t="shared" si="9"/>
        <v>0</v>
      </c>
      <c r="D48" s="672">
        <f t="shared" si="9"/>
        <v>0</v>
      </c>
      <c r="E48" s="682"/>
      <c r="F48" s="675"/>
      <c r="G48" s="682"/>
      <c r="H48" s="675"/>
      <c r="I48" s="682"/>
      <c r="J48" s="675"/>
      <c r="K48" s="682"/>
      <c r="L48" s="675"/>
      <c r="M48" s="682"/>
      <c r="N48" s="675"/>
      <c r="O48" s="682"/>
      <c r="P48" s="675"/>
      <c r="Q48" s="682"/>
      <c r="R48" s="675"/>
      <c r="S48" s="682"/>
      <c r="T48" s="675"/>
      <c r="U48" s="682"/>
      <c r="V48" s="675"/>
      <c r="W48" s="682"/>
      <c r="X48" s="675"/>
      <c r="Y48" s="682"/>
      <c r="Z48" s="675"/>
      <c r="AA48" s="682"/>
      <c r="AB48" s="675"/>
      <c r="AC48" s="682"/>
      <c r="AD48" s="675"/>
      <c r="AE48" s="682"/>
      <c r="AF48" s="675"/>
      <c r="AG48" s="682"/>
      <c r="AH48" s="675"/>
      <c r="AI48" s="682"/>
      <c r="AJ48" s="675"/>
      <c r="AK48" s="682"/>
      <c r="AL48" s="703"/>
      <c r="AM48" s="675"/>
      <c r="AN48" s="675"/>
      <c r="AO48" s="675"/>
      <c r="AP48" s="675"/>
      <c r="AQ48" s="675"/>
      <c r="AR48" s="675"/>
      <c r="AS48" s="675"/>
      <c r="AT48" s="675"/>
      <c r="AU48" s="675"/>
      <c r="AV48" s="675"/>
      <c r="AW48" s="675"/>
    </row>
    <row r="49" spans="1:83" ht="15" customHeight="1" x14ac:dyDescent="0.25">
      <c r="A49" s="705" t="s">
        <v>613</v>
      </c>
      <c r="B49" s="702">
        <f t="shared" si="8"/>
        <v>0</v>
      </c>
      <c r="C49" s="681">
        <f t="shared" si="9"/>
        <v>0</v>
      </c>
      <c r="D49" s="672">
        <f>+F49+H49+J49+L49+N49+P49+R49+T49+V49+X49+Z49+AB49+AD49+AF49+AH49+AJ49+AL49</f>
        <v>0</v>
      </c>
      <c r="E49" s="682"/>
      <c r="F49" s="675"/>
      <c r="G49" s="682"/>
      <c r="H49" s="675"/>
      <c r="I49" s="682"/>
      <c r="J49" s="675"/>
      <c r="K49" s="682"/>
      <c r="L49" s="675"/>
      <c r="M49" s="682"/>
      <c r="N49" s="675"/>
      <c r="O49" s="682"/>
      <c r="P49" s="675"/>
      <c r="Q49" s="682"/>
      <c r="R49" s="675"/>
      <c r="S49" s="682"/>
      <c r="T49" s="675"/>
      <c r="U49" s="682"/>
      <c r="V49" s="675"/>
      <c r="W49" s="682"/>
      <c r="X49" s="675"/>
      <c r="Y49" s="682"/>
      <c r="Z49" s="675"/>
      <c r="AA49" s="682"/>
      <c r="AB49" s="675"/>
      <c r="AC49" s="682"/>
      <c r="AD49" s="675"/>
      <c r="AE49" s="682"/>
      <c r="AF49" s="675"/>
      <c r="AG49" s="682"/>
      <c r="AH49" s="675"/>
      <c r="AI49" s="682"/>
      <c r="AJ49" s="675"/>
      <c r="AK49" s="682"/>
      <c r="AL49" s="703"/>
      <c r="AM49" s="675"/>
      <c r="AN49" s="675"/>
      <c r="AO49" s="675"/>
      <c r="AP49" s="675"/>
      <c r="AQ49" s="675"/>
      <c r="AR49" s="675"/>
      <c r="AS49" s="675"/>
      <c r="AT49" s="675"/>
      <c r="AU49" s="675"/>
      <c r="AV49" s="675"/>
      <c r="AW49" s="675"/>
    </row>
    <row r="50" spans="1:83" ht="15" customHeight="1" x14ac:dyDescent="0.25">
      <c r="A50" s="705" t="s">
        <v>614</v>
      </c>
      <c r="B50" s="702">
        <f>SUM(C50:D50)</f>
        <v>0</v>
      </c>
      <c r="C50" s="681">
        <f t="shared" si="9"/>
        <v>0</v>
      </c>
      <c r="D50" s="672">
        <f t="shared" si="9"/>
        <v>0</v>
      </c>
      <c r="E50" s="682"/>
      <c r="F50" s="675"/>
      <c r="G50" s="682"/>
      <c r="H50" s="675"/>
      <c r="I50" s="682"/>
      <c r="J50" s="675"/>
      <c r="K50" s="682"/>
      <c r="L50" s="675"/>
      <c r="M50" s="682"/>
      <c r="N50" s="675"/>
      <c r="O50" s="682"/>
      <c r="P50" s="675"/>
      <c r="Q50" s="682"/>
      <c r="R50" s="675"/>
      <c r="S50" s="682"/>
      <c r="T50" s="675"/>
      <c r="U50" s="682"/>
      <c r="V50" s="675"/>
      <c r="W50" s="682"/>
      <c r="X50" s="675"/>
      <c r="Y50" s="682"/>
      <c r="Z50" s="675"/>
      <c r="AA50" s="682"/>
      <c r="AB50" s="675"/>
      <c r="AC50" s="682"/>
      <c r="AD50" s="675"/>
      <c r="AE50" s="682"/>
      <c r="AF50" s="675"/>
      <c r="AG50" s="682"/>
      <c r="AH50" s="675"/>
      <c r="AI50" s="682"/>
      <c r="AJ50" s="675"/>
      <c r="AK50" s="682"/>
      <c r="AL50" s="703"/>
      <c r="AM50" s="675"/>
      <c r="AN50" s="675"/>
      <c r="AO50" s="675"/>
      <c r="AP50" s="675"/>
      <c r="AQ50" s="675"/>
      <c r="AR50" s="675"/>
      <c r="AS50" s="675"/>
      <c r="AT50" s="675"/>
      <c r="AU50" s="675"/>
      <c r="AV50" s="675"/>
      <c r="AW50" s="675"/>
    </row>
    <row r="51" spans="1:83" ht="15" customHeight="1" x14ac:dyDescent="0.25">
      <c r="A51" s="705" t="s">
        <v>615</v>
      </c>
      <c r="B51" s="702">
        <f t="shared" si="8"/>
        <v>0</v>
      </c>
      <c r="C51" s="681">
        <f t="shared" si="9"/>
        <v>0</v>
      </c>
      <c r="D51" s="672">
        <f t="shared" si="9"/>
        <v>0</v>
      </c>
      <c r="E51" s="682"/>
      <c r="F51" s="675"/>
      <c r="G51" s="682"/>
      <c r="H51" s="675"/>
      <c r="I51" s="682"/>
      <c r="J51" s="675"/>
      <c r="K51" s="682"/>
      <c r="L51" s="675"/>
      <c r="M51" s="682"/>
      <c r="N51" s="675"/>
      <c r="O51" s="682"/>
      <c r="P51" s="675"/>
      <c r="Q51" s="682"/>
      <c r="R51" s="675"/>
      <c r="S51" s="682"/>
      <c r="T51" s="675"/>
      <c r="U51" s="682"/>
      <c r="V51" s="675"/>
      <c r="W51" s="682"/>
      <c r="X51" s="675"/>
      <c r="Y51" s="682"/>
      <c r="Z51" s="675"/>
      <c r="AA51" s="682"/>
      <c r="AB51" s="675"/>
      <c r="AC51" s="682"/>
      <c r="AD51" s="675"/>
      <c r="AE51" s="682"/>
      <c r="AF51" s="675"/>
      <c r="AG51" s="682"/>
      <c r="AH51" s="675"/>
      <c r="AI51" s="682"/>
      <c r="AJ51" s="675"/>
      <c r="AK51" s="682"/>
      <c r="AL51" s="703"/>
      <c r="AM51" s="675"/>
      <c r="AN51" s="675"/>
      <c r="AO51" s="675"/>
      <c r="AP51" s="675"/>
      <c r="AQ51" s="675"/>
      <c r="AR51" s="675"/>
      <c r="AS51" s="675"/>
      <c r="AT51" s="675"/>
      <c r="AU51" s="675"/>
      <c r="AV51" s="675"/>
      <c r="AW51" s="675"/>
    </row>
    <row r="52" spans="1:83" ht="15" customHeight="1" x14ac:dyDescent="0.25">
      <c r="A52" s="705" t="s">
        <v>616</v>
      </c>
      <c r="B52" s="702">
        <f t="shared" si="8"/>
        <v>0</v>
      </c>
      <c r="C52" s="681">
        <f t="shared" si="9"/>
        <v>0</v>
      </c>
      <c r="D52" s="672">
        <f t="shared" si="9"/>
        <v>0</v>
      </c>
      <c r="E52" s="682"/>
      <c r="F52" s="675"/>
      <c r="G52" s="682"/>
      <c r="H52" s="675"/>
      <c r="I52" s="682"/>
      <c r="J52" s="675"/>
      <c r="K52" s="682"/>
      <c r="L52" s="675"/>
      <c r="M52" s="682"/>
      <c r="N52" s="675"/>
      <c r="O52" s="682"/>
      <c r="P52" s="675"/>
      <c r="Q52" s="682"/>
      <c r="R52" s="675"/>
      <c r="S52" s="682"/>
      <c r="T52" s="675"/>
      <c r="U52" s="682"/>
      <c r="V52" s="675"/>
      <c r="W52" s="682"/>
      <c r="X52" s="675"/>
      <c r="Y52" s="682"/>
      <c r="Z52" s="675"/>
      <c r="AA52" s="682"/>
      <c r="AB52" s="675"/>
      <c r="AC52" s="682"/>
      <c r="AD52" s="675"/>
      <c r="AE52" s="682"/>
      <c r="AF52" s="675"/>
      <c r="AG52" s="682"/>
      <c r="AH52" s="675"/>
      <c r="AI52" s="682"/>
      <c r="AJ52" s="675"/>
      <c r="AK52" s="682"/>
      <c r="AL52" s="703"/>
      <c r="AM52" s="675"/>
      <c r="AN52" s="675"/>
      <c r="AO52" s="675"/>
      <c r="AP52" s="675"/>
      <c r="AQ52" s="675"/>
      <c r="AR52" s="675"/>
      <c r="AS52" s="675"/>
      <c r="AT52" s="675"/>
      <c r="AU52" s="675"/>
      <c r="AV52" s="675"/>
      <c r="AW52" s="675"/>
    </row>
    <row r="53" spans="1:83" ht="15" customHeight="1" x14ac:dyDescent="0.25">
      <c r="A53" s="705" t="s">
        <v>617</v>
      </c>
      <c r="B53" s="702">
        <f t="shared" si="8"/>
        <v>0</v>
      </c>
      <c r="C53" s="681">
        <f t="shared" si="9"/>
        <v>0</v>
      </c>
      <c r="D53" s="672">
        <f>+F53+H53+J53+L53+N53+P53+R53+T53+V53+X53+Z53+AB53+AD53+AF53+AH53+AJ53+AL53</f>
        <v>0</v>
      </c>
      <c r="E53" s="682"/>
      <c r="F53" s="675"/>
      <c r="G53" s="682"/>
      <c r="H53" s="675"/>
      <c r="I53" s="682"/>
      <c r="J53" s="675"/>
      <c r="K53" s="682"/>
      <c r="L53" s="675"/>
      <c r="M53" s="682"/>
      <c r="N53" s="675"/>
      <c r="O53" s="682"/>
      <c r="P53" s="675"/>
      <c r="Q53" s="682"/>
      <c r="R53" s="675"/>
      <c r="S53" s="682"/>
      <c r="T53" s="675"/>
      <c r="U53" s="682"/>
      <c r="V53" s="675"/>
      <c r="W53" s="682"/>
      <c r="X53" s="675"/>
      <c r="Y53" s="682"/>
      <c r="Z53" s="675"/>
      <c r="AA53" s="682"/>
      <c r="AB53" s="675"/>
      <c r="AC53" s="682"/>
      <c r="AD53" s="675"/>
      <c r="AE53" s="682"/>
      <c r="AF53" s="675"/>
      <c r="AG53" s="682"/>
      <c r="AH53" s="675"/>
      <c r="AI53" s="682"/>
      <c r="AJ53" s="675"/>
      <c r="AK53" s="682"/>
      <c r="AL53" s="703"/>
      <c r="AM53" s="675"/>
      <c r="AN53" s="675"/>
      <c r="AO53" s="675"/>
      <c r="AP53" s="675"/>
      <c r="AQ53" s="675"/>
      <c r="AR53" s="675"/>
      <c r="AS53" s="675"/>
      <c r="AT53" s="675"/>
      <c r="AU53" s="675"/>
      <c r="AV53" s="675"/>
      <c r="AW53" s="675"/>
    </row>
    <row r="54" spans="1:83" ht="15" customHeight="1" x14ac:dyDescent="0.25">
      <c r="A54" s="705" t="s">
        <v>618</v>
      </c>
      <c r="B54" s="702">
        <f t="shared" si="8"/>
        <v>0</v>
      </c>
      <c r="C54" s="681">
        <f t="shared" si="9"/>
        <v>0</v>
      </c>
      <c r="D54" s="672">
        <f>+F54+H54+J54+L54+N54+P54+R54+T54+V54+X54+Z54+AB54+AD54+AF54+AH54+AJ54+AL54</f>
        <v>0</v>
      </c>
      <c r="E54" s="682"/>
      <c r="F54" s="675"/>
      <c r="G54" s="682"/>
      <c r="H54" s="675"/>
      <c r="I54" s="682"/>
      <c r="J54" s="675"/>
      <c r="K54" s="682"/>
      <c r="L54" s="675"/>
      <c r="M54" s="682"/>
      <c r="N54" s="675"/>
      <c r="O54" s="682"/>
      <c r="P54" s="675"/>
      <c r="Q54" s="682"/>
      <c r="R54" s="675"/>
      <c r="S54" s="682"/>
      <c r="T54" s="675"/>
      <c r="U54" s="682"/>
      <c r="V54" s="675"/>
      <c r="W54" s="682"/>
      <c r="X54" s="675"/>
      <c r="Y54" s="682"/>
      <c r="Z54" s="675"/>
      <c r="AA54" s="682"/>
      <c r="AB54" s="675"/>
      <c r="AC54" s="682"/>
      <c r="AD54" s="675"/>
      <c r="AE54" s="682"/>
      <c r="AF54" s="675"/>
      <c r="AG54" s="682"/>
      <c r="AH54" s="675"/>
      <c r="AI54" s="682"/>
      <c r="AJ54" s="675"/>
      <c r="AK54" s="682"/>
      <c r="AL54" s="703"/>
      <c r="AM54" s="675"/>
      <c r="AN54" s="675"/>
      <c r="AO54" s="675"/>
      <c r="AP54" s="675"/>
      <c r="AQ54" s="675"/>
      <c r="AR54" s="675"/>
      <c r="AS54" s="675"/>
      <c r="AT54" s="675"/>
      <c r="AU54" s="675"/>
      <c r="AV54" s="675"/>
      <c r="AW54" s="675"/>
    </row>
    <row r="55" spans="1:83" ht="15" customHeight="1" x14ac:dyDescent="0.25">
      <c r="A55" s="706" t="s">
        <v>619</v>
      </c>
      <c r="B55" s="707">
        <f t="shared" si="8"/>
        <v>0</v>
      </c>
      <c r="C55" s="708">
        <f>+E55+G55+I55+K55+M55+O55+Q55+S55+U55+W55+Y55+AA55+AC55+AE55+AG55+AI55+AK55</f>
        <v>0</v>
      </c>
      <c r="D55" s="709">
        <f>+F55+H55+J55+L55+N55+P55+R55+T55+V55+X55+Z55+AB55+AD55+AF55+AH55+AJ55+AL55</f>
        <v>0</v>
      </c>
      <c r="E55" s="710"/>
      <c r="F55" s="711"/>
      <c r="G55" s="710"/>
      <c r="H55" s="711"/>
      <c r="I55" s="710"/>
      <c r="J55" s="711"/>
      <c r="K55" s="710"/>
      <c r="L55" s="711"/>
      <c r="M55" s="710"/>
      <c r="N55" s="711"/>
      <c r="O55" s="710"/>
      <c r="P55" s="711"/>
      <c r="Q55" s="710"/>
      <c r="R55" s="711"/>
      <c r="S55" s="710"/>
      <c r="T55" s="711"/>
      <c r="U55" s="710"/>
      <c r="V55" s="711"/>
      <c r="W55" s="710"/>
      <c r="X55" s="711"/>
      <c r="Y55" s="710"/>
      <c r="Z55" s="711"/>
      <c r="AA55" s="710"/>
      <c r="AB55" s="711"/>
      <c r="AC55" s="710"/>
      <c r="AD55" s="711"/>
      <c r="AE55" s="710"/>
      <c r="AF55" s="711"/>
      <c r="AG55" s="710"/>
      <c r="AH55" s="711"/>
      <c r="AI55" s="710"/>
      <c r="AJ55" s="711"/>
      <c r="AK55" s="710"/>
      <c r="AL55" s="712"/>
      <c r="AM55" s="711"/>
      <c r="AN55" s="713"/>
      <c r="AO55" s="713"/>
      <c r="AP55" s="713"/>
      <c r="AQ55" s="713"/>
      <c r="AR55" s="713"/>
      <c r="AS55" s="713"/>
      <c r="AT55" s="713"/>
      <c r="AU55" s="713"/>
      <c r="AV55" s="713"/>
      <c r="AW55" s="713"/>
    </row>
    <row r="56" spans="1:83" ht="18" customHeight="1" x14ac:dyDescent="0.25">
      <c r="A56" s="8729" t="s">
        <v>620</v>
      </c>
      <c r="B56" s="8729"/>
      <c r="C56" s="8729"/>
      <c r="D56" s="8729"/>
      <c r="E56" s="8729"/>
      <c r="F56" s="8729"/>
      <c r="G56" s="8729"/>
      <c r="H56" s="8729"/>
      <c r="I56" s="8729"/>
      <c r="J56" s="8729"/>
      <c r="K56" s="8729"/>
      <c r="L56" s="8729"/>
      <c r="M56" s="8729"/>
      <c r="N56" s="8729"/>
      <c r="O56" s="8729"/>
      <c r="P56" s="8729"/>
      <c r="Q56" s="8729"/>
      <c r="R56" s="8729"/>
      <c r="S56" s="8729"/>
      <c r="T56" s="8729"/>
      <c r="U56" s="8729"/>
      <c r="V56" s="8729"/>
      <c r="W56" s="8729"/>
      <c r="X56" s="8729"/>
      <c r="Y56" s="8729"/>
      <c r="Z56" s="8729"/>
      <c r="AA56" s="8729"/>
      <c r="AB56" s="8729"/>
      <c r="AC56" s="8729"/>
      <c r="AD56" s="8729"/>
      <c r="AE56" s="8729"/>
      <c r="AF56" s="8729"/>
      <c r="AG56" s="8729"/>
      <c r="AH56" s="8729"/>
      <c r="AI56" s="8729"/>
      <c r="AJ56" s="8729"/>
      <c r="AK56" s="8729"/>
      <c r="AL56" s="8729"/>
      <c r="AM56" s="8729"/>
      <c r="AN56" s="8729"/>
      <c r="AO56" s="8729"/>
    </row>
    <row r="57" spans="1:83" ht="18" customHeight="1" x14ac:dyDescent="0.25">
      <c r="A57" s="8718" t="s">
        <v>621</v>
      </c>
      <c r="B57" s="8718"/>
      <c r="C57" s="8718"/>
      <c r="D57" s="8718"/>
      <c r="E57" s="8718"/>
      <c r="F57" s="8718"/>
      <c r="G57" s="8718"/>
      <c r="H57" s="8718"/>
      <c r="I57" s="8718"/>
      <c r="J57" s="8718"/>
      <c r="K57" s="8718"/>
      <c r="L57" s="8718"/>
      <c r="M57" s="8718"/>
      <c r="N57" s="8718"/>
      <c r="O57" s="8718"/>
      <c r="P57" s="8718"/>
      <c r="Q57" s="8718"/>
      <c r="R57" s="8718"/>
      <c r="S57" s="8718"/>
      <c r="T57" s="8718"/>
      <c r="U57" s="8718"/>
      <c r="V57" s="8718"/>
      <c r="W57" s="8718"/>
      <c r="X57" s="8718"/>
      <c r="Y57" s="8718"/>
      <c r="Z57" s="8718"/>
      <c r="AA57" s="8718"/>
      <c r="AB57" s="8718"/>
      <c r="AC57" s="8718"/>
      <c r="AD57" s="8718"/>
      <c r="AE57" s="8718"/>
      <c r="AF57" s="8718"/>
      <c r="AG57" s="8718"/>
      <c r="AH57" s="8718"/>
      <c r="AI57" s="8718"/>
      <c r="AJ57" s="8718"/>
      <c r="AK57" s="8718"/>
      <c r="AL57" s="8718"/>
      <c r="AM57" s="8718"/>
    </row>
    <row r="58" spans="1:83" x14ac:dyDescent="0.25">
      <c r="A58" s="7274" t="s">
        <v>575</v>
      </c>
      <c r="B58" s="7265"/>
      <c r="C58" s="7274" t="s">
        <v>24</v>
      </c>
      <c r="D58" s="8723"/>
      <c r="E58" s="8724"/>
      <c r="F58" s="8709" t="s">
        <v>30</v>
      </c>
      <c r="G58" s="8710"/>
      <c r="H58" s="8710"/>
      <c r="I58" s="8710"/>
      <c r="J58" s="8710"/>
      <c r="K58" s="8710"/>
      <c r="L58" s="8710"/>
      <c r="M58" s="8710"/>
      <c r="N58" s="8710"/>
      <c r="O58" s="8710"/>
      <c r="P58" s="8710"/>
      <c r="Q58" s="8710"/>
      <c r="R58" s="8710"/>
      <c r="S58" s="8710"/>
      <c r="T58" s="8710"/>
      <c r="U58" s="8710"/>
      <c r="V58" s="8710"/>
      <c r="W58" s="8710"/>
      <c r="X58" s="8710"/>
      <c r="Y58" s="8710"/>
      <c r="Z58" s="8710"/>
      <c r="AA58" s="8710"/>
      <c r="AB58" s="8710"/>
      <c r="AC58" s="8710"/>
      <c r="AD58" s="8710"/>
      <c r="AE58" s="8710"/>
      <c r="AF58" s="8710"/>
      <c r="AG58" s="8710"/>
      <c r="AH58" s="8710"/>
      <c r="AI58" s="8710"/>
      <c r="AJ58" s="8710"/>
      <c r="AK58" s="8710"/>
      <c r="AL58" s="8710"/>
      <c r="AM58" s="8711"/>
      <c r="AN58" s="8725" t="s">
        <v>546</v>
      </c>
      <c r="AO58" s="8620" t="s">
        <v>3</v>
      </c>
    </row>
    <row r="59" spans="1:83" x14ac:dyDescent="0.25">
      <c r="A59" s="8719"/>
      <c r="B59" s="8720"/>
      <c r="C59" s="8706"/>
      <c r="D59" s="8707"/>
      <c r="E59" s="8708"/>
      <c r="F59" s="8716" t="s">
        <v>36</v>
      </c>
      <c r="G59" s="8691"/>
      <c r="H59" s="8690" t="s">
        <v>37</v>
      </c>
      <c r="I59" s="8691"/>
      <c r="J59" s="8690" t="s">
        <v>206</v>
      </c>
      <c r="K59" s="8691"/>
      <c r="L59" s="8690" t="s">
        <v>622</v>
      </c>
      <c r="M59" s="8691"/>
      <c r="N59" s="8690" t="s">
        <v>623</v>
      </c>
      <c r="O59" s="8691"/>
      <c r="P59" s="8690" t="s">
        <v>624</v>
      </c>
      <c r="Q59" s="8691"/>
      <c r="R59" s="8690" t="s">
        <v>625</v>
      </c>
      <c r="S59" s="8691"/>
      <c r="T59" s="8690" t="s">
        <v>207</v>
      </c>
      <c r="U59" s="8691"/>
      <c r="V59" s="8690" t="s">
        <v>208</v>
      </c>
      <c r="W59" s="8691"/>
      <c r="X59" s="8690" t="s">
        <v>626</v>
      </c>
      <c r="Y59" s="8691"/>
      <c r="Z59" s="8690" t="s">
        <v>209</v>
      </c>
      <c r="AA59" s="8691"/>
      <c r="AB59" s="8690" t="s">
        <v>210</v>
      </c>
      <c r="AC59" s="8691"/>
      <c r="AD59" s="8690" t="s">
        <v>211</v>
      </c>
      <c r="AE59" s="8691"/>
      <c r="AF59" s="8690" t="s">
        <v>212</v>
      </c>
      <c r="AG59" s="8691"/>
      <c r="AH59" s="8690" t="s">
        <v>213</v>
      </c>
      <c r="AI59" s="8691"/>
      <c r="AJ59" s="8690" t="s">
        <v>214</v>
      </c>
      <c r="AK59" s="8691"/>
      <c r="AL59" s="8717" t="s">
        <v>627</v>
      </c>
      <c r="AM59" s="8711"/>
      <c r="AN59" s="6810"/>
      <c r="AO59" s="8727"/>
    </row>
    <row r="60" spans="1:83" x14ac:dyDescent="0.25">
      <c r="A60" s="8721"/>
      <c r="B60" s="8722"/>
      <c r="C60" s="666" t="s">
        <v>26</v>
      </c>
      <c r="D60" s="667" t="s">
        <v>22</v>
      </c>
      <c r="E60" s="668" t="s">
        <v>27</v>
      </c>
      <c r="F60" s="669" t="s">
        <v>22</v>
      </c>
      <c r="G60" s="665" t="s">
        <v>27</v>
      </c>
      <c r="H60" s="660" t="s">
        <v>22</v>
      </c>
      <c r="I60" s="665" t="s">
        <v>27</v>
      </c>
      <c r="J60" s="660" t="s">
        <v>22</v>
      </c>
      <c r="K60" s="665" t="s">
        <v>27</v>
      </c>
      <c r="L60" s="660" t="s">
        <v>22</v>
      </c>
      <c r="M60" s="665" t="s">
        <v>27</v>
      </c>
      <c r="N60" s="660" t="s">
        <v>22</v>
      </c>
      <c r="O60" s="665" t="s">
        <v>27</v>
      </c>
      <c r="P60" s="660" t="s">
        <v>22</v>
      </c>
      <c r="Q60" s="665" t="s">
        <v>27</v>
      </c>
      <c r="R60" s="660" t="s">
        <v>22</v>
      </c>
      <c r="S60" s="665" t="s">
        <v>27</v>
      </c>
      <c r="T60" s="660" t="s">
        <v>22</v>
      </c>
      <c r="U60" s="665" t="s">
        <v>27</v>
      </c>
      <c r="V60" s="660" t="s">
        <v>22</v>
      </c>
      <c r="W60" s="665" t="s">
        <v>27</v>
      </c>
      <c r="X60" s="660" t="s">
        <v>22</v>
      </c>
      <c r="Y60" s="665" t="s">
        <v>27</v>
      </c>
      <c r="Z60" s="660" t="s">
        <v>22</v>
      </c>
      <c r="AA60" s="665" t="s">
        <v>27</v>
      </c>
      <c r="AB60" s="660" t="s">
        <v>22</v>
      </c>
      <c r="AC60" s="665" t="s">
        <v>27</v>
      </c>
      <c r="AD60" s="660" t="s">
        <v>22</v>
      </c>
      <c r="AE60" s="665" t="s">
        <v>27</v>
      </c>
      <c r="AF60" s="660" t="s">
        <v>22</v>
      </c>
      <c r="AG60" s="665" t="s">
        <v>27</v>
      </c>
      <c r="AH60" s="660" t="s">
        <v>22</v>
      </c>
      <c r="AI60" s="665" t="s">
        <v>27</v>
      </c>
      <c r="AJ60" s="660" t="s">
        <v>22</v>
      </c>
      <c r="AK60" s="665" t="s">
        <v>27</v>
      </c>
      <c r="AL60" s="660" t="s">
        <v>22</v>
      </c>
      <c r="AM60" s="670" t="s">
        <v>27</v>
      </c>
      <c r="AN60" s="8726"/>
      <c r="AO60" s="7933" t="s">
        <v>27</v>
      </c>
    </row>
    <row r="61" spans="1:83" ht="15" customHeight="1" x14ac:dyDescent="0.25">
      <c r="A61" s="8693" t="s">
        <v>577</v>
      </c>
      <c r="B61" s="680" t="s">
        <v>578</v>
      </c>
      <c r="C61" s="672">
        <f>SUM(D61:E61)</f>
        <v>0</v>
      </c>
      <c r="D61" s="673">
        <f>+F61+H61+J61+L61+N61+P61+R61+T61+V61+X61+Z61+AB61+AD61+AF61+AH61+AJ61+AL61</f>
        <v>0</v>
      </c>
      <c r="E61" s="672">
        <f>+G61+I61+K61+M61+O61+Q61+S61+U61+W61+Y61+AA61+AC61+AE61+AG61+AI61+AK61+AM61</f>
        <v>0</v>
      </c>
      <c r="F61" s="674"/>
      <c r="G61" s="675"/>
      <c r="H61" s="674"/>
      <c r="I61" s="675"/>
      <c r="J61" s="674"/>
      <c r="K61" s="675"/>
      <c r="L61" s="674"/>
      <c r="M61" s="675"/>
      <c r="N61" s="674"/>
      <c r="O61" s="675"/>
      <c r="P61" s="674"/>
      <c r="Q61" s="675"/>
      <c r="R61" s="674"/>
      <c r="S61" s="675"/>
      <c r="T61" s="674"/>
      <c r="U61" s="675"/>
      <c r="V61" s="674"/>
      <c r="W61" s="675"/>
      <c r="X61" s="674"/>
      <c r="Y61" s="675"/>
      <c r="Z61" s="674"/>
      <c r="AA61" s="675"/>
      <c r="AB61" s="674"/>
      <c r="AC61" s="675"/>
      <c r="AD61" s="674"/>
      <c r="AE61" s="675"/>
      <c r="AF61" s="674"/>
      <c r="AG61" s="675"/>
      <c r="AH61" s="674"/>
      <c r="AI61" s="675"/>
      <c r="AJ61" s="674"/>
      <c r="AK61" s="675"/>
      <c r="AL61" s="674"/>
      <c r="AM61" s="678"/>
      <c r="AN61" s="679"/>
      <c r="AO61" s="675"/>
      <c r="AP61" t="str">
        <f>CA61&amp;CB61</f>
        <v/>
      </c>
      <c r="CA61" s="2553" t="str">
        <f t="shared" ref="CA61:CA87" si="10">IF(AND(C61&gt;0,AN61="")," * No olvide digitar la variable Pueblos Originarios. Digite cero si no tiene.",IF(AN61&gt;C61," * La variable pueblos originarios no puede ser mayor al Total Ambos Sexos.",""))</f>
        <v/>
      </c>
      <c r="CB61" s="2553" t="str">
        <f t="shared" ref="CB61:CB87" si="11">IF(AND(C61&gt;0,AO61="")," * No olvide digitar la variable Migrantes. Digite cero si no tiene.",IF(AO61&gt;C61," * La variable Migrantes no puede ser mayor al Total Ambos Sexos.",""))</f>
        <v/>
      </c>
      <c r="CD61" s="1793">
        <f t="shared" ref="CD61:CD87" si="12">IF(AND(C61&gt;0,AN61=""),1,IF(AN61&gt;C61,1,0))</f>
        <v>0</v>
      </c>
      <c r="CE61" s="1793">
        <f t="shared" ref="CE61:CE87" si="13">IF(AND(C61&gt;0,AO61=""),1,IF(AO61&gt;C61,1,0))</f>
        <v>0</v>
      </c>
    </row>
    <row r="62" spans="1:83" ht="15" customHeight="1" x14ac:dyDescent="0.25">
      <c r="A62" s="8694"/>
      <c r="B62" s="680" t="s">
        <v>579</v>
      </c>
      <c r="C62" s="672">
        <f t="shared" ref="C62:C87" si="14">SUM(D62:E62)</f>
        <v>0</v>
      </c>
      <c r="D62" s="681">
        <f>+F62+H62+J62+L62+N62+P62+R62+T62+V62+X62+Z62+AB62+AD62+AF62+AH62+AJ62+AL62</f>
        <v>0</v>
      </c>
      <c r="E62" s="672">
        <f t="shared" ref="D62:E87" si="15">+G62+I62+K62+M62+O62+Q62+S62+U62+W62+Y62+AA62+AC62+AE62+AG62+AI62+AK62+AM62</f>
        <v>0</v>
      </c>
      <c r="F62" s="682"/>
      <c r="G62" s="675"/>
      <c r="H62" s="682"/>
      <c r="I62" s="675"/>
      <c r="J62" s="682"/>
      <c r="K62" s="675"/>
      <c r="L62" s="682"/>
      <c r="M62" s="675"/>
      <c r="N62" s="682"/>
      <c r="O62" s="675"/>
      <c r="P62" s="682"/>
      <c r="Q62" s="675"/>
      <c r="R62" s="682"/>
      <c r="S62" s="675"/>
      <c r="T62" s="682"/>
      <c r="U62" s="675"/>
      <c r="V62" s="682"/>
      <c r="W62" s="675"/>
      <c r="X62" s="682"/>
      <c r="Y62" s="675"/>
      <c r="Z62" s="682"/>
      <c r="AA62" s="675"/>
      <c r="AB62" s="682"/>
      <c r="AC62" s="675"/>
      <c r="AD62" s="682"/>
      <c r="AE62" s="675"/>
      <c r="AF62" s="682"/>
      <c r="AG62" s="675"/>
      <c r="AH62" s="682"/>
      <c r="AI62" s="675"/>
      <c r="AJ62" s="682"/>
      <c r="AK62" s="675"/>
      <c r="AL62" s="682"/>
      <c r="AM62" s="678"/>
      <c r="AN62" s="679"/>
      <c r="AO62" s="675"/>
      <c r="AP62" t="str">
        <f t="shared" ref="AP62:AP87" si="16">CA62&amp;CB62</f>
        <v/>
      </c>
      <c r="CA62" s="2553" t="str">
        <f t="shared" si="10"/>
        <v/>
      </c>
      <c r="CB62" s="2553" t="str">
        <f t="shared" si="11"/>
        <v/>
      </c>
      <c r="CD62" s="1793">
        <f t="shared" si="12"/>
        <v>0</v>
      </c>
      <c r="CE62" s="1793">
        <f t="shared" si="13"/>
        <v>0</v>
      </c>
    </row>
    <row r="63" spans="1:83" ht="15" customHeight="1" x14ac:dyDescent="0.25">
      <c r="A63" s="8694"/>
      <c r="B63" s="680" t="s">
        <v>580</v>
      </c>
      <c r="C63" s="672">
        <f t="shared" si="14"/>
        <v>0</v>
      </c>
      <c r="D63" s="681">
        <f t="shared" si="15"/>
        <v>0</v>
      </c>
      <c r="E63" s="672">
        <f t="shared" si="15"/>
        <v>0</v>
      </c>
      <c r="F63" s="682"/>
      <c r="G63" s="675"/>
      <c r="H63" s="682"/>
      <c r="I63" s="675"/>
      <c r="J63" s="682"/>
      <c r="K63" s="675"/>
      <c r="L63" s="682"/>
      <c r="M63" s="675"/>
      <c r="N63" s="682"/>
      <c r="O63" s="675"/>
      <c r="P63" s="682"/>
      <c r="Q63" s="675"/>
      <c r="R63" s="682"/>
      <c r="S63" s="675"/>
      <c r="T63" s="682"/>
      <c r="U63" s="675"/>
      <c r="V63" s="682"/>
      <c r="W63" s="675"/>
      <c r="X63" s="682"/>
      <c r="Y63" s="675"/>
      <c r="Z63" s="682"/>
      <c r="AA63" s="675"/>
      <c r="AB63" s="682"/>
      <c r="AC63" s="675"/>
      <c r="AD63" s="682"/>
      <c r="AE63" s="675"/>
      <c r="AF63" s="682"/>
      <c r="AG63" s="675"/>
      <c r="AH63" s="682"/>
      <c r="AI63" s="675"/>
      <c r="AJ63" s="682"/>
      <c r="AK63" s="675"/>
      <c r="AL63" s="682"/>
      <c r="AM63" s="678"/>
      <c r="AN63" s="679"/>
      <c r="AO63" s="675"/>
      <c r="AP63" t="str">
        <f t="shared" si="16"/>
        <v/>
      </c>
      <c r="CA63" s="2553" t="str">
        <f t="shared" si="10"/>
        <v/>
      </c>
      <c r="CB63" s="2553" t="str">
        <f t="shared" si="11"/>
        <v/>
      </c>
      <c r="CD63" s="1793">
        <f t="shared" si="12"/>
        <v>0</v>
      </c>
      <c r="CE63" s="1793">
        <f t="shared" si="13"/>
        <v>0</v>
      </c>
    </row>
    <row r="64" spans="1:83" ht="15" customHeight="1" x14ac:dyDescent="0.25">
      <c r="A64" s="8694"/>
      <c r="B64" s="680" t="s">
        <v>581</v>
      </c>
      <c r="C64" s="672">
        <f t="shared" si="14"/>
        <v>0</v>
      </c>
      <c r="D64" s="681">
        <f t="shared" si="15"/>
        <v>0</v>
      </c>
      <c r="E64" s="672">
        <f t="shared" si="15"/>
        <v>0</v>
      </c>
      <c r="F64" s="682"/>
      <c r="G64" s="675"/>
      <c r="H64" s="682"/>
      <c r="I64" s="675"/>
      <c r="J64" s="682"/>
      <c r="K64" s="675"/>
      <c r="L64" s="682"/>
      <c r="M64" s="675"/>
      <c r="N64" s="682"/>
      <c r="O64" s="675"/>
      <c r="P64" s="682"/>
      <c r="Q64" s="675"/>
      <c r="R64" s="682"/>
      <c r="S64" s="675"/>
      <c r="T64" s="682"/>
      <c r="U64" s="675"/>
      <c r="V64" s="682"/>
      <c r="W64" s="675"/>
      <c r="X64" s="682"/>
      <c r="Y64" s="675"/>
      <c r="Z64" s="682"/>
      <c r="AA64" s="675"/>
      <c r="AB64" s="682"/>
      <c r="AC64" s="675"/>
      <c r="AD64" s="682"/>
      <c r="AE64" s="675"/>
      <c r="AF64" s="682"/>
      <c r="AG64" s="675"/>
      <c r="AH64" s="682"/>
      <c r="AI64" s="675"/>
      <c r="AJ64" s="682"/>
      <c r="AK64" s="675"/>
      <c r="AL64" s="682"/>
      <c r="AM64" s="678"/>
      <c r="AN64" s="679"/>
      <c r="AO64" s="675"/>
      <c r="AP64" t="str">
        <f t="shared" si="16"/>
        <v/>
      </c>
      <c r="CA64" s="2553" t="str">
        <f t="shared" si="10"/>
        <v/>
      </c>
      <c r="CB64" s="2553" t="str">
        <f t="shared" si="11"/>
        <v/>
      </c>
      <c r="CD64" s="1793">
        <f t="shared" si="12"/>
        <v>0</v>
      </c>
      <c r="CE64" s="1793">
        <f t="shared" si="13"/>
        <v>0</v>
      </c>
    </row>
    <row r="65" spans="1:83" ht="15" customHeight="1" x14ac:dyDescent="0.25">
      <c r="A65" s="8694"/>
      <c r="B65" s="680" t="s">
        <v>582</v>
      </c>
      <c r="C65" s="672">
        <f t="shared" si="14"/>
        <v>0</v>
      </c>
      <c r="D65" s="681">
        <f t="shared" si="15"/>
        <v>0</v>
      </c>
      <c r="E65" s="672">
        <f>+G65+I65+K65+M65+O65+Q65+S65+U65+W65+Y65+AA65+AC65+AE65+AG65+AI65+AK65+AM65</f>
        <v>0</v>
      </c>
      <c r="F65" s="682"/>
      <c r="G65" s="675"/>
      <c r="H65" s="682"/>
      <c r="I65" s="675"/>
      <c r="J65" s="682"/>
      <c r="K65" s="675"/>
      <c r="L65" s="682"/>
      <c r="M65" s="675"/>
      <c r="N65" s="682"/>
      <c r="O65" s="675"/>
      <c r="P65" s="682"/>
      <c r="Q65" s="675"/>
      <c r="R65" s="682"/>
      <c r="S65" s="675"/>
      <c r="T65" s="682"/>
      <c r="U65" s="675"/>
      <c r="V65" s="682"/>
      <c r="W65" s="675"/>
      <c r="X65" s="682"/>
      <c r="Y65" s="675"/>
      <c r="Z65" s="682"/>
      <c r="AA65" s="675"/>
      <c r="AB65" s="682"/>
      <c r="AC65" s="675"/>
      <c r="AD65" s="682"/>
      <c r="AE65" s="675"/>
      <c r="AF65" s="682"/>
      <c r="AG65" s="675"/>
      <c r="AH65" s="682"/>
      <c r="AI65" s="675"/>
      <c r="AJ65" s="682"/>
      <c r="AK65" s="675"/>
      <c r="AL65" s="682"/>
      <c r="AM65" s="678"/>
      <c r="AN65" s="679"/>
      <c r="AO65" s="675"/>
      <c r="AP65" t="str">
        <f t="shared" si="16"/>
        <v/>
      </c>
      <c r="CA65" s="2553" t="str">
        <f t="shared" si="10"/>
        <v/>
      </c>
      <c r="CB65" s="2553" t="str">
        <f t="shared" si="11"/>
        <v/>
      </c>
      <c r="CD65" s="1793">
        <f t="shared" si="12"/>
        <v>0</v>
      </c>
      <c r="CE65" s="1793">
        <f t="shared" si="13"/>
        <v>0</v>
      </c>
    </row>
    <row r="66" spans="1:83" ht="15" customHeight="1" x14ac:dyDescent="0.25">
      <c r="A66" s="8694"/>
      <c r="B66" s="683" t="s">
        <v>583</v>
      </c>
      <c r="C66" s="672">
        <f t="shared" si="14"/>
        <v>0</v>
      </c>
      <c r="D66" s="681">
        <f t="shared" si="15"/>
        <v>0</v>
      </c>
      <c r="E66" s="672">
        <f t="shared" si="15"/>
        <v>0</v>
      </c>
      <c r="F66" s="682"/>
      <c r="G66" s="675"/>
      <c r="H66" s="682"/>
      <c r="I66" s="675"/>
      <c r="J66" s="682"/>
      <c r="K66" s="675"/>
      <c r="L66" s="682"/>
      <c r="M66" s="675"/>
      <c r="N66" s="682"/>
      <c r="O66" s="675"/>
      <c r="P66" s="682"/>
      <c r="Q66" s="675"/>
      <c r="R66" s="682"/>
      <c r="S66" s="675"/>
      <c r="T66" s="682"/>
      <c r="U66" s="675"/>
      <c r="V66" s="682"/>
      <c r="W66" s="675"/>
      <c r="X66" s="682"/>
      <c r="Y66" s="675"/>
      <c r="Z66" s="682"/>
      <c r="AA66" s="675"/>
      <c r="AB66" s="682"/>
      <c r="AC66" s="675"/>
      <c r="AD66" s="682"/>
      <c r="AE66" s="675"/>
      <c r="AF66" s="682"/>
      <c r="AG66" s="675"/>
      <c r="AH66" s="682"/>
      <c r="AI66" s="675"/>
      <c r="AJ66" s="682"/>
      <c r="AK66" s="675"/>
      <c r="AL66" s="682"/>
      <c r="AM66" s="678"/>
      <c r="AN66" s="679"/>
      <c r="AO66" s="675"/>
      <c r="AP66" t="str">
        <f t="shared" si="16"/>
        <v/>
      </c>
      <c r="CA66" s="2553" t="str">
        <f t="shared" si="10"/>
        <v/>
      </c>
      <c r="CB66" s="2553" t="str">
        <f t="shared" si="11"/>
        <v/>
      </c>
      <c r="CD66" s="1793">
        <f t="shared" si="12"/>
        <v>0</v>
      </c>
      <c r="CE66" s="1793">
        <f t="shared" si="13"/>
        <v>0</v>
      </c>
    </row>
    <row r="67" spans="1:83" ht="15" customHeight="1" x14ac:dyDescent="0.25">
      <c r="A67" s="8694"/>
      <c r="B67" s="680" t="s">
        <v>584</v>
      </c>
      <c r="C67" s="672">
        <f>SUM(D67:E67)</f>
        <v>0</v>
      </c>
      <c r="D67" s="681">
        <f t="shared" si="15"/>
        <v>0</v>
      </c>
      <c r="E67" s="672">
        <f t="shared" si="15"/>
        <v>0</v>
      </c>
      <c r="F67" s="682"/>
      <c r="G67" s="675"/>
      <c r="H67" s="682"/>
      <c r="I67" s="675"/>
      <c r="J67" s="682"/>
      <c r="K67" s="675"/>
      <c r="L67" s="682"/>
      <c r="M67" s="675"/>
      <c r="N67" s="682"/>
      <c r="O67" s="675"/>
      <c r="P67" s="682"/>
      <c r="Q67" s="675"/>
      <c r="R67" s="682"/>
      <c r="S67" s="675"/>
      <c r="T67" s="682"/>
      <c r="U67" s="675"/>
      <c r="V67" s="682"/>
      <c r="W67" s="675"/>
      <c r="X67" s="682"/>
      <c r="Y67" s="675"/>
      <c r="Z67" s="682"/>
      <c r="AA67" s="675"/>
      <c r="AB67" s="682"/>
      <c r="AC67" s="675"/>
      <c r="AD67" s="682"/>
      <c r="AE67" s="675"/>
      <c r="AF67" s="682"/>
      <c r="AG67" s="675"/>
      <c r="AH67" s="682"/>
      <c r="AI67" s="675"/>
      <c r="AJ67" s="682"/>
      <c r="AK67" s="675"/>
      <c r="AL67" s="682"/>
      <c r="AM67" s="678"/>
      <c r="AN67" s="679"/>
      <c r="AO67" s="675"/>
      <c r="AP67" t="str">
        <f t="shared" si="16"/>
        <v/>
      </c>
      <c r="CA67" s="2553" t="str">
        <f t="shared" si="10"/>
        <v/>
      </c>
      <c r="CB67" s="2553" t="str">
        <f t="shared" si="11"/>
        <v/>
      </c>
      <c r="CD67" s="1793">
        <f t="shared" si="12"/>
        <v>0</v>
      </c>
      <c r="CE67" s="1793">
        <f t="shared" si="13"/>
        <v>0</v>
      </c>
    </row>
    <row r="68" spans="1:83" ht="15" customHeight="1" x14ac:dyDescent="0.25">
      <c r="A68" s="8694"/>
      <c r="B68" s="680" t="s">
        <v>585</v>
      </c>
      <c r="C68" s="672">
        <f t="shared" si="14"/>
        <v>0</v>
      </c>
      <c r="D68" s="681">
        <f t="shared" si="15"/>
        <v>0</v>
      </c>
      <c r="E68" s="672">
        <f t="shared" si="15"/>
        <v>0</v>
      </c>
      <c r="F68" s="682"/>
      <c r="G68" s="675"/>
      <c r="H68" s="682"/>
      <c r="I68" s="675"/>
      <c r="J68" s="682"/>
      <c r="K68" s="675"/>
      <c r="L68" s="682"/>
      <c r="M68" s="675"/>
      <c r="N68" s="682"/>
      <c r="O68" s="675"/>
      <c r="P68" s="682"/>
      <c r="Q68" s="675"/>
      <c r="R68" s="682"/>
      <c r="S68" s="675"/>
      <c r="T68" s="682"/>
      <c r="U68" s="675"/>
      <c r="V68" s="682"/>
      <c r="W68" s="675"/>
      <c r="X68" s="682"/>
      <c r="Y68" s="675"/>
      <c r="Z68" s="682"/>
      <c r="AA68" s="675"/>
      <c r="AB68" s="682"/>
      <c r="AC68" s="675"/>
      <c r="AD68" s="682"/>
      <c r="AE68" s="675"/>
      <c r="AF68" s="682"/>
      <c r="AG68" s="675"/>
      <c r="AH68" s="682"/>
      <c r="AI68" s="675"/>
      <c r="AJ68" s="682"/>
      <c r="AK68" s="675"/>
      <c r="AL68" s="682"/>
      <c r="AM68" s="678"/>
      <c r="AN68" s="679"/>
      <c r="AO68" s="675"/>
      <c r="AP68" t="str">
        <f t="shared" si="16"/>
        <v/>
      </c>
      <c r="CA68" s="2553" t="str">
        <f t="shared" si="10"/>
        <v/>
      </c>
      <c r="CB68" s="2553" t="str">
        <f t="shared" si="11"/>
        <v/>
      </c>
      <c r="CD68" s="1793">
        <f t="shared" si="12"/>
        <v>0</v>
      </c>
      <c r="CE68" s="1793">
        <f t="shared" si="13"/>
        <v>0</v>
      </c>
    </row>
    <row r="69" spans="1:83" ht="15" customHeight="1" x14ac:dyDescent="0.25">
      <c r="A69" s="8694"/>
      <c r="B69" s="680" t="s">
        <v>586</v>
      </c>
      <c r="C69" s="672">
        <f t="shared" si="14"/>
        <v>0</v>
      </c>
      <c r="D69" s="681">
        <f t="shared" si="15"/>
        <v>0</v>
      </c>
      <c r="E69" s="672">
        <f t="shared" si="15"/>
        <v>0</v>
      </c>
      <c r="F69" s="682"/>
      <c r="G69" s="675"/>
      <c r="H69" s="682"/>
      <c r="I69" s="675"/>
      <c r="J69" s="682"/>
      <c r="K69" s="675"/>
      <c r="L69" s="682"/>
      <c r="M69" s="675"/>
      <c r="N69" s="682"/>
      <c r="O69" s="675"/>
      <c r="P69" s="682"/>
      <c r="Q69" s="675"/>
      <c r="R69" s="682"/>
      <c r="S69" s="675"/>
      <c r="T69" s="682"/>
      <c r="U69" s="675"/>
      <c r="V69" s="682"/>
      <c r="W69" s="675"/>
      <c r="X69" s="682"/>
      <c r="Y69" s="675"/>
      <c r="Z69" s="682"/>
      <c r="AA69" s="675"/>
      <c r="AB69" s="682"/>
      <c r="AC69" s="675"/>
      <c r="AD69" s="682"/>
      <c r="AE69" s="675"/>
      <c r="AF69" s="682"/>
      <c r="AG69" s="675"/>
      <c r="AH69" s="682"/>
      <c r="AI69" s="675"/>
      <c r="AJ69" s="682"/>
      <c r="AK69" s="675"/>
      <c r="AL69" s="682"/>
      <c r="AM69" s="678"/>
      <c r="AN69" s="679"/>
      <c r="AO69" s="675"/>
      <c r="AP69" t="str">
        <f t="shared" si="16"/>
        <v/>
      </c>
      <c r="CA69" s="2553" t="str">
        <f t="shared" si="10"/>
        <v/>
      </c>
      <c r="CB69" s="2553" t="str">
        <f t="shared" si="11"/>
        <v/>
      </c>
      <c r="CD69" s="1793">
        <f t="shared" si="12"/>
        <v>0</v>
      </c>
      <c r="CE69" s="1793">
        <f t="shared" si="13"/>
        <v>0</v>
      </c>
    </row>
    <row r="70" spans="1:83" ht="15" customHeight="1" x14ac:dyDescent="0.25">
      <c r="A70" s="8694"/>
      <c r="B70" s="680" t="s">
        <v>587</v>
      </c>
      <c r="C70" s="672">
        <f t="shared" si="14"/>
        <v>0</v>
      </c>
      <c r="D70" s="681">
        <f t="shared" si="15"/>
        <v>0</v>
      </c>
      <c r="E70" s="672">
        <f t="shared" si="15"/>
        <v>0</v>
      </c>
      <c r="F70" s="682"/>
      <c r="G70" s="675"/>
      <c r="H70" s="682"/>
      <c r="I70" s="675"/>
      <c r="J70" s="682"/>
      <c r="K70" s="675"/>
      <c r="L70" s="682"/>
      <c r="M70" s="675"/>
      <c r="N70" s="682"/>
      <c r="O70" s="675"/>
      <c r="P70" s="682"/>
      <c r="Q70" s="675"/>
      <c r="R70" s="682"/>
      <c r="S70" s="675"/>
      <c r="T70" s="682"/>
      <c r="U70" s="675"/>
      <c r="V70" s="682"/>
      <c r="W70" s="675"/>
      <c r="X70" s="682"/>
      <c r="Y70" s="675"/>
      <c r="Z70" s="682"/>
      <c r="AA70" s="675"/>
      <c r="AB70" s="682"/>
      <c r="AC70" s="675"/>
      <c r="AD70" s="682"/>
      <c r="AE70" s="675"/>
      <c r="AF70" s="682"/>
      <c r="AG70" s="675"/>
      <c r="AH70" s="682"/>
      <c r="AI70" s="675"/>
      <c r="AJ70" s="682"/>
      <c r="AK70" s="675"/>
      <c r="AL70" s="682"/>
      <c r="AM70" s="678"/>
      <c r="AN70" s="679"/>
      <c r="AO70" s="675"/>
      <c r="AP70" t="str">
        <f t="shared" si="16"/>
        <v/>
      </c>
      <c r="CA70" s="2553" t="str">
        <f t="shared" si="10"/>
        <v/>
      </c>
      <c r="CB70" s="2553" t="str">
        <f t="shared" si="11"/>
        <v/>
      </c>
      <c r="CD70" s="1793">
        <f t="shared" si="12"/>
        <v>0</v>
      </c>
      <c r="CE70" s="1793">
        <f t="shared" si="13"/>
        <v>0</v>
      </c>
    </row>
    <row r="71" spans="1:83" ht="15" customHeight="1" x14ac:dyDescent="0.25">
      <c r="A71" s="8694"/>
      <c r="B71" s="680" t="s">
        <v>588</v>
      </c>
      <c r="C71" s="672">
        <f t="shared" si="14"/>
        <v>0</v>
      </c>
      <c r="D71" s="681">
        <f t="shared" si="15"/>
        <v>0</v>
      </c>
      <c r="E71" s="672">
        <f>+G71+I71+K71+M71+O71+Q71+S71+U71+W71+Y71+AA71+AC71+AE71+AG71+AI71+AK71+AM71</f>
        <v>0</v>
      </c>
      <c r="F71" s="682"/>
      <c r="G71" s="675"/>
      <c r="H71" s="682"/>
      <c r="I71" s="675"/>
      <c r="J71" s="682"/>
      <c r="K71" s="675"/>
      <c r="L71" s="682"/>
      <c r="M71" s="675"/>
      <c r="N71" s="682"/>
      <c r="O71" s="675"/>
      <c r="P71" s="682"/>
      <c r="Q71" s="675"/>
      <c r="R71" s="682"/>
      <c r="S71" s="675"/>
      <c r="T71" s="682"/>
      <c r="U71" s="675"/>
      <c r="V71" s="682"/>
      <c r="W71" s="675"/>
      <c r="X71" s="682"/>
      <c r="Y71" s="675"/>
      <c r="Z71" s="682"/>
      <c r="AA71" s="675"/>
      <c r="AB71" s="682"/>
      <c r="AC71" s="675"/>
      <c r="AD71" s="682"/>
      <c r="AE71" s="675"/>
      <c r="AF71" s="682"/>
      <c r="AG71" s="675"/>
      <c r="AH71" s="682"/>
      <c r="AI71" s="675"/>
      <c r="AJ71" s="682"/>
      <c r="AK71" s="675"/>
      <c r="AL71" s="682"/>
      <c r="AM71" s="678"/>
      <c r="AN71" s="679"/>
      <c r="AO71" s="675"/>
      <c r="AP71" t="str">
        <f t="shared" si="16"/>
        <v/>
      </c>
      <c r="CA71" s="2553" t="str">
        <f t="shared" si="10"/>
        <v/>
      </c>
      <c r="CB71" s="2553" t="str">
        <f t="shared" si="11"/>
        <v/>
      </c>
      <c r="CD71" s="1793">
        <f t="shared" si="12"/>
        <v>0</v>
      </c>
      <c r="CE71" s="1793">
        <f t="shared" si="13"/>
        <v>0</v>
      </c>
    </row>
    <row r="72" spans="1:83" ht="24" customHeight="1" x14ac:dyDescent="0.25">
      <c r="A72" s="8694"/>
      <c r="B72" s="683" t="s">
        <v>589</v>
      </c>
      <c r="C72" s="672">
        <f>SUM(D72:E72)</f>
        <v>0</v>
      </c>
      <c r="D72" s="681">
        <f t="shared" si="15"/>
        <v>0</v>
      </c>
      <c r="E72" s="672">
        <f t="shared" si="15"/>
        <v>0</v>
      </c>
      <c r="F72" s="682"/>
      <c r="G72" s="675"/>
      <c r="H72" s="682"/>
      <c r="I72" s="675"/>
      <c r="J72" s="682"/>
      <c r="K72" s="675"/>
      <c r="L72" s="682"/>
      <c r="M72" s="675"/>
      <c r="N72" s="682"/>
      <c r="O72" s="675"/>
      <c r="P72" s="682"/>
      <c r="Q72" s="675"/>
      <c r="R72" s="682"/>
      <c r="S72" s="675"/>
      <c r="T72" s="682"/>
      <c r="U72" s="675"/>
      <c r="V72" s="682"/>
      <c r="W72" s="675"/>
      <c r="X72" s="682"/>
      <c r="Y72" s="675"/>
      <c r="Z72" s="682"/>
      <c r="AA72" s="675"/>
      <c r="AB72" s="682"/>
      <c r="AC72" s="675"/>
      <c r="AD72" s="682"/>
      <c r="AE72" s="675"/>
      <c r="AF72" s="682"/>
      <c r="AG72" s="675"/>
      <c r="AH72" s="682"/>
      <c r="AI72" s="675"/>
      <c r="AJ72" s="682"/>
      <c r="AK72" s="675"/>
      <c r="AL72" s="682"/>
      <c r="AM72" s="678"/>
      <c r="AN72" s="679"/>
      <c r="AO72" s="675"/>
      <c r="AP72" t="str">
        <f t="shared" si="16"/>
        <v/>
      </c>
      <c r="CA72" s="2553" t="str">
        <f t="shared" si="10"/>
        <v/>
      </c>
      <c r="CB72" s="2553" t="str">
        <f t="shared" si="11"/>
        <v/>
      </c>
      <c r="CD72" s="1793">
        <f t="shared" si="12"/>
        <v>0</v>
      </c>
      <c r="CE72" s="1793">
        <f t="shared" si="13"/>
        <v>0</v>
      </c>
    </row>
    <row r="73" spans="1:83" ht="15" customHeight="1" x14ac:dyDescent="0.25">
      <c r="A73" s="8694"/>
      <c r="B73" s="680" t="s">
        <v>590</v>
      </c>
      <c r="C73" s="672">
        <f t="shared" si="14"/>
        <v>0</v>
      </c>
      <c r="D73" s="681">
        <f t="shared" si="15"/>
        <v>0</v>
      </c>
      <c r="E73" s="672">
        <f t="shared" si="15"/>
        <v>0</v>
      </c>
      <c r="F73" s="682"/>
      <c r="G73" s="675"/>
      <c r="H73" s="682"/>
      <c r="I73" s="675"/>
      <c r="J73" s="682"/>
      <c r="K73" s="675"/>
      <c r="L73" s="682"/>
      <c r="M73" s="675"/>
      <c r="N73" s="682"/>
      <c r="O73" s="675"/>
      <c r="P73" s="682"/>
      <c r="Q73" s="675"/>
      <c r="R73" s="682"/>
      <c r="S73" s="675"/>
      <c r="T73" s="682"/>
      <c r="U73" s="675"/>
      <c r="V73" s="682"/>
      <c r="W73" s="675"/>
      <c r="X73" s="682"/>
      <c r="Y73" s="675"/>
      <c r="Z73" s="682"/>
      <c r="AA73" s="675"/>
      <c r="AB73" s="682"/>
      <c r="AC73" s="675"/>
      <c r="AD73" s="682"/>
      <c r="AE73" s="675"/>
      <c r="AF73" s="682"/>
      <c r="AG73" s="675"/>
      <c r="AH73" s="682"/>
      <c r="AI73" s="675"/>
      <c r="AJ73" s="682"/>
      <c r="AK73" s="675"/>
      <c r="AL73" s="682"/>
      <c r="AM73" s="678"/>
      <c r="AN73" s="679"/>
      <c r="AO73" s="675"/>
      <c r="AP73" t="str">
        <f t="shared" si="16"/>
        <v/>
      </c>
      <c r="CA73" s="2553" t="str">
        <f t="shared" si="10"/>
        <v/>
      </c>
      <c r="CB73" s="2553" t="str">
        <f t="shared" si="11"/>
        <v/>
      </c>
      <c r="CD73" s="1793">
        <f t="shared" si="12"/>
        <v>0</v>
      </c>
      <c r="CE73" s="1793">
        <f t="shared" si="13"/>
        <v>0</v>
      </c>
    </row>
    <row r="74" spans="1:83" ht="15" customHeight="1" x14ac:dyDescent="0.25">
      <c r="A74" s="8694"/>
      <c r="B74" s="680" t="s">
        <v>591</v>
      </c>
      <c r="C74" s="672">
        <f t="shared" si="14"/>
        <v>0</v>
      </c>
      <c r="D74" s="681">
        <f t="shared" si="15"/>
        <v>0</v>
      </c>
      <c r="E74" s="672">
        <f t="shared" si="15"/>
        <v>0</v>
      </c>
      <c r="F74" s="682"/>
      <c r="G74" s="675"/>
      <c r="H74" s="682"/>
      <c r="I74" s="675"/>
      <c r="J74" s="682"/>
      <c r="K74" s="675"/>
      <c r="L74" s="682"/>
      <c r="M74" s="675"/>
      <c r="N74" s="682"/>
      <c r="O74" s="675"/>
      <c r="P74" s="682"/>
      <c r="Q74" s="675"/>
      <c r="R74" s="682"/>
      <c r="S74" s="675"/>
      <c r="T74" s="682"/>
      <c r="U74" s="675"/>
      <c r="V74" s="682"/>
      <c r="W74" s="675"/>
      <c r="X74" s="682"/>
      <c r="Y74" s="675"/>
      <c r="Z74" s="682"/>
      <c r="AA74" s="675"/>
      <c r="AB74" s="682"/>
      <c r="AC74" s="675"/>
      <c r="AD74" s="682"/>
      <c r="AE74" s="675"/>
      <c r="AF74" s="682"/>
      <c r="AG74" s="675"/>
      <c r="AH74" s="682"/>
      <c r="AI74" s="675"/>
      <c r="AJ74" s="682"/>
      <c r="AK74" s="675"/>
      <c r="AL74" s="682"/>
      <c r="AM74" s="678"/>
      <c r="AN74" s="679"/>
      <c r="AO74" s="675"/>
      <c r="AP74" t="str">
        <f t="shared" si="16"/>
        <v/>
      </c>
      <c r="CA74" s="2553" t="str">
        <f t="shared" si="10"/>
        <v/>
      </c>
      <c r="CB74" s="2553" t="str">
        <f t="shared" si="11"/>
        <v/>
      </c>
      <c r="CD74" s="1793">
        <f t="shared" si="12"/>
        <v>0</v>
      </c>
      <c r="CE74" s="1793">
        <f t="shared" si="13"/>
        <v>0</v>
      </c>
    </row>
    <row r="75" spans="1:83" ht="15" customHeight="1" x14ac:dyDescent="0.25">
      <c r="A75" s="8694"/>
      <c r="B75" s="680" t="s">
        <v>592</v>
      </c>
      <c r="C75" s="672">
        <f>SUM(D75:E75)</f>
        <v>0</v>
      </c>
      <c r="D75" s="681">
        <f>+F75+H75+J75+L75+N75+P75+R75+T75+V75+X75+Z75+AB75+AD75+AF75+AH75+AJ75+AL75</f>
        <v>0</v>
      </c>
      <c r="E75" s="672">
        <f t="shared" si="15"/>
        <v>0</v>
      </c>
      <c r="F75" s="682"/>
      <c r="G75" s="675"/>
      <c r="H75" s="682"/>
      <c r="I75" s="675"/>
      <c r="J75" s="682"/>
      <c r="K75" s="675"/>
      <c r="L75" s="682"/>
      <c r="M75" s="675"/>
      <c r="N75" s="682"/>
      <c r="O75" s="675"/>
      <c r="P75" s="682"/>
      <c r="Q75" s="675"/>
      <c r="R75" s="682"/>
      <c r="S75" s="675"/>
      <c r="T75" s="682"/>
      <c r="U75" s="675"/>
      <c r="V75" s="682"/>
      <c r="W75" s="675"/>
      <c r="X75" s="682"/>
      <c r="Y75" s="675"/>
      <c r="Z75" s="682"/>
      <c r="AA75" s="675"/>
      <c r="AB75" s="682"/>
      <c r="AC75" s="675"/>
      <c r="AD75" s="682"/>
      <c r="AE75" s="675"/>
      <c r="AF75" s="682"/>
      <c r="AG75" s="675"/>
      <c r="AH75" s="682"/>
      <c r="AI75" s="675"/>
      <c r="AJ75" s="682"/>
      <c r="AK75" s="675"/>
      <c r="AL75" s="682"/>
      <c r="AM75" s="678"/>
      <c r="AN75" s="679"/>
      <c r="AO75" s="675"/>
      <c r="AP75" t="str">
        <f t="shared" si="16"/>
        <v/>
      </c>
      <c r="CA75" s="2553" t="str">
        <f t="shared" si="10"/>
        <v/>
      </c>
      <c r="CB75" s="2553" t="str">
        <f t="shared" si="11"/>
        <v/>
      </c>
      <c r="CD75" s="1793">
        <f t="shared" si="12"/>
        <v>0</v>
      </c>
      <c r="CE75" s="1793">
        <f t="shared" si="13"/>
        <v>0</v>
      </c>
    </row>
    <row r="76" spans="1:83" ht="15" customHeight="1" x14ac:dyDescent="0.25">
      <c r="A76" s="8694"/>
      <c r="B76" s="680" t="s">
        <v>593</v>
      </c>
      <c r="C76" s="672">
        <f t="shared" si="14"/>
        <v>0</v>
      </c>
      <c r="D76" s="681">
        <f t="shared" si="15"/>
        <v>0</v>
      </c>
      <c r="E76" s="672">
        <f t="shared" si="15"/>
        <v>0</v>
      </c>
      <c r="F76" s="682"/>
      <c r="G76" s="675"/>
      <c r="H76" s="682"/>
      <c r="I76" s="675"/>
      <c r="J76" s="682"/>
      <c r="K76" s="675"/>
      <c r="L76" s="682"/>
      <c r="M76" s="675"/>
      <c r="N76" s="682"/>
      <c r="O76" s="675"/>
      <c r="P76" s="682"/>
      <c r="Q76" s="675"/>
      <c r="R76" s="682"/>
      <c r="S76" s="675"/>
      <c r="T76" s="682"/>
      <c r="U76" s="675"/>
      <c r="V76" s="682"/>
      <c r="W76" s="675"/>
      <c r="X76" s="682"/>
      <c r="Y76" s="675"/>
      <c r="Z76" s="682"/>
      <c r="AA76" s="675"/>
      <c r="AB76" s="682"/>
      <c r="AC76" s="675"/>
      <c r="AD76" s="682"/>
      <c r="AE76" s="675"/>
      <c r="AF76" s="682"/>
      <c r="AG76" s="675"/>
      <c r="AH76" s="682"/>
      <c r="AI76" s="675"/>
      <c r="AJ76" s="682"/>
      <c r="AK76" s="675"/>
      <c r="AL76" s="682"/>
      <c r="AM76" s="678"/>
      <c r="AN76" s="679"/>
      <c r="AO76" s="675"/>
      <c r="AP76" t="str">
        <f t="shared" si="16"/>
        <v/>
      </c>
      <c r="CA76" s="2553" t="str">
        <f t="shared" si="10"/>
        <v/>
      </c>
      <c r="CB76" s="2553" t="str">
        <f t="shared" si="11"/>
        <v/>
      </c>
      <c r="CD76" s="1793">
        <f t="shared" si="12"/>
        <v>0</v>
      </c>
      <c r="CE76" s="1793">
        <f t="shared" si="13"/>
        <v>0</v>
      </c>
    </row>
    <row r="77" spans="1:83" ht="21" x14ac:dyDescent="0.25">
      <c r="A77" s="8694"/>
      <c r="B77" s="683" t="s">
        <v>594</v>
      </c>
      <c r="C77" s="672">
        <f t="shared" si="14"/>
        <v>0</v>
      </c>
      <c r="D77" s="681">
        <f t="shared" si="15"/>
        <v>0</v>
      </c>
      <c r="E77" s="672">
        <f t="shared" si="15"/>
        <v>0</v>
      </c>
      <c r="F77" s="682"/>
      <c r="G77" s="675"/>
      <c r="H77" s="682"/>
      <c r="I77" s="675"/>
      <c r="J77" s="682"/>
      <c r="K77" s="675"/>
      <c r="L77" s="682"/>
      <c r="M77" s="675"/>
      <c r="N77" s="682"/>
      <c r="O77" s="675"/>
      <c r="P77" s="682"/>
      <c r="Q77" s="675"/>
      <c r="R77" s="682"/>
      <c r="S77" s="675"/>
      <c r="T77" s="682"/>
      <c r="U77" s="675"/>
      <c r="V77" s="682"/>
      <c r="W77" s="675"/>
      <c r="X77" s="682"/>
      <c r="Y77" s="675"/>
      <c r="Z77" s="682"/>
      <c r="AA77" s="675"/>
      <c r="AB77" s="682"/>
      <c r="AC77" s="675"/>
      <c r="AD77" s="682"/>
      <c r="AE77" s="675"/>
      <c r="AF77" s="682"/>
      <c r="AG77" s="675"/>
      <c r="AH77" s="682"/>
      <c r="AI77" s="675"/>
      <c r="AJ77" s="682"/>
      <c r="AK77" s="675"/>
      <c r="AL77" s="682"/>
      <c r="AM77" s="678"/>
      <c r="AN77" s="679"/>
      <c r="AO77" s="675"/>
      <c r="AP77" t="str">
        <f t="shared" si="16"/>
        <v/>
      </c>
      <c r="CA77" s="2553" t="str">
        <f t="shared" si="10"/>
        <v/>
      </c>
      <c r="CB77" s="2553" t="str">
        <f t="shared" si="11"/>
        <v/>
      </c>
      <c r="CD77" s="1793">
        <f t="shared" si="12"/>
        <v>0</v>
      </c>
      <c r="CE77" s="1793">
        <f t="shared" si="13"/>
        <v>0</v>
      </c>
    </row>
    <row r="78" spans="1:83" ht="15" customHeight="1" x14ac:dyDescent="0.25">
      <c r="A78" s="8694"/>
      <c r="B78" s="714" t="s">
        <v>595</v>
      </c>
      <c r="C78" s="672">
        <f>SUM(D78:E78)</f>
        <v>0</v>
      </c>
      <c r="D78" s="681">
        <f t="shared" si="15"/>
        <v>0</v>
      </c>
      <c r="E78" s="672">
        <f t="shared" si="15"/>
        <v>0</v>
      </c>
      <c r="F78" s="682"/>
      <c r="G78" s="675"/>
      <c r="H78" s="682"/>
      <c r="I78" s="675"/>
      <c r="J78" s="682"/>
      <c r="K78" s="675"/>
      <c r="L78" s="682"/>
      <c r="M78" s="675"/>
      <c r="N78" s="682"/>
      <c r="O78" s="675"/>
      <c r="P78" s="682"/>
      <c r="Q78" s="675"/>
      <c r="R78" s="682"/>
      <c r="S78" s="675"/>
      <c r="T78" s="682"/>
      <c r="U78" s="675"/>
      <c r="V78" s="682"/>
      <c r="W78" s="675"/>
      <c r="X78" s="682"/>
      <c r="Y78" s="675"/>
      <c r="Z78" s="682"/>
      <c r="AA78" s="675"/>
      <c r="AB78" s="682"/>
      <c r="AC78" s="675"/>
      <c r="AD78" s="682"/>
      <c r="AE78" s="675"/>
      <c r="AF78" s="682"/>
      <c r="AG78" s="675"/>
      <c r="AH78" s="682"/>
      <c r="AI78" s="675"/>
      <c r="AJ78" s="682"/>
      <c r="AK78" s="675"/>
      <c r="AL78" s="682"/>
      <c r="AM78" s="678"/>
      <c r="AN78" s="679"/>
      <c r="AO78" s="675"/>
      <c r="AP78" t="str">
        <f t="shared" si="16"/>
        <v/>
      </c>
      <c r="CA78" s="2553" t="str">
        <f t="shared" si="10"/>
        <v/>
      </c>
      <c r="CB78" s="2553" t="str">
        <f t="shared" si="11"/>
        <v/>
      </c>
      <c r="CD78" s="1793">
        <f t="shared" si="12"/>
        <v>0</v>
      </c>
      <c r="CE78" s="1793">
        <f t="shared" si="13"/>
        <v>0</v>
      </c>
    </row>
    <row r="79" spans="1:83" ht="15" customHeight="1" x14ac:dyDescent="0.25">
      <c r="A79" s="8694"/>
      <c r="B79" s="680" t="s">
        <v>596</v>
      </c>
      <c r="C79" s="672">
        <f t="shared" si="14"/>
        <v>0</v>
      </c>
      <c r="D79" s="681">
        <f t="shared" si="15"/>
        <v>0</v>
      </c>
      <c r="E79" s="672">
        <f t="shared" si="15"/>
        <v>0</v>
      </c>
      <c r="F79" s="682"/>
      <c r="G79" s="675"/>
      <c r="H79" s="682"/>
      <c r="I79" s="675"/>
      <c r="J79" s="682"/>
      <c r="K79" s="675"/>
      <c r="L79" s="682"/>
      <c r="M79" s="675"/>
      <c r="N79" s="682"/>
      <c r="O79" s="675"/>
      <c r="P79" s="682"/>
      <c r="Q79" s="675"/>
      <c r="R79" s="682"/>
      <c r="S79" s="675"/>
      <c r="T79" s="682"/>
      <c r="U79" s="675"/>
      <c r="V79" s="682"/>
      <c r="W79" s="675"/>
      <c r="X79" s="682"/>
      <c r="Y79" s="675"/>
      <c r="Z79" s="682"/>
      <c r="AA79" s="675"/>
      <c r="AB79" s="682"/>
      <c r="AC79" s="675"/>
      <c r="AD79" s="682"/>
      <c r="AE79" s="675"/>
      <c r="AF79" s="682"/>
      <c r="AG79" s="675"/>
      <c r="AH79" s="682"/>
      <c r="AI79" s="675"/>
      <c r="AJ79" s="682"/>
      <c r="AK79" s="675"/>
      <c r="AL79" s="682"/>
      <c r="AM79" s="678"/>
      <c r="AN79" s="679"/>
      <c r="AO79" s="675"/>
      <c r="AP79" t="str">
        <f t="shared" si="16"/>
        <v/>
      </c>
      <c r="CA79" s="2553" t="str">
        <f t="shared" si="10"/>
        <v/>
      </c>
      <c r="CB79" s="2553" t="str">
        <f t="shared" si="11"/>
        <v/>
      </c>
      <c r="CD79" s="1793">
        <f t="shared" si="12"/>
        <v>0</v>
      </c>
      <c r="CE79" s="1793">
        <f t="shared" si="13"/>
        <v>0</v>
      </c>
    </row>
    <row r="80" spans="1:83" ht="15" customHeight="1" x14ac:dyDescent="0.25">
      <c r="A80" s="8694"/>
      <c r="B80" s="680" t="s">
        <v>597</v>
      </c>
      <c r="C80" s="672">
        <f t="shared" si="14"/>
        <v>0</v>
      </c>
      <c r="D80" s="681">
        <f t="shared" si="15"/>
        <v>0</v>
      </c>
      <c r="E80" s="672">
        <f t="shared" si="15"/>
        <v>0</v>
      </c>
      <c r="F80" s="682"/>
      <c r="G80" s="675"/>
      <c r="H80" s="682"/>
      <c r="I80" s="675"/>
      <c r="J80" s="682"/>
      <c r="K80" s="675"/>
      <c r="L80" s="682"/>
      <c r="M80" s="675"/>
      <c r="N80" s="682"/>
      <c r="O80" s="675"/>
      <c r="P80" s="682"/>
      <c r="Q80" s="675"/>
      <c r="R80" s="682"/>
      <c r="S80" s="675"/>
      <c r="T80" s="682"/>
      <c r="U80" s="675"/>
      <c r="V80" s="682"/>
      <c r="W80" s="675"/>
      <c r="X80" s="682"/>
      <c r="Y80" s="675"/>
      <c r="Z80" s="682"/>
      <c r="AA80" s="675"/>
      <c r="AB80" s="682"/>
      <c r="AC80" s="675"/>
      <c r="AD80" s="682"/>
      <c r="AE80" s="675"/>
      <c r="AF80" s="682"/>
      <c r="AG80" s="675"/>
      <c r="AH80" s="682"/>
      <c r="AI80" s="675"/>
      <c r="AJ80" s="682"/>
      <c r="AK80" s="675"/>
      <c r="AL80" s="682"/>
      <c r="AM80" s="678"/>
      <c r="AN80" s="679"/>
      <c r="AO80" s="675"/>
      <c r="AP80" t="str">
        <f t="shared" si="16"/>
        <v/>
      </c>
      <c r="CA80" s="2553" t="str">
        <f t="shared" si="10"/>
        <v/>
      </c>
      <c r="CB80" s="2553" t="str">
        <f t="shared" si="11"/>
        <v/>
      </c>
      <c r="CD80" s="1793">
        <f t="shared" si="12"/>
        <v>0</v>
      </c>
      <c r="CE80" s="1793">
        <f t="shared" si="13"/>
        <v>0</v>
      </c>
    </row>
    <row r="81" spans="1:83" ht="15" customHeight="1" x14ac:dyDescent="0.25">
      <c r="A81" s="8694"/>
      <c r="B81" s="684" t="s">
        <v>598</v>
      </c>
      <c r="C81" s="672">
        <f t="shared" si="14"/>
        <v>0</v>
      </c>
      <c r="D81" s="681">
        <f t="shared" si="15"/>
        <v>0</v>
      </c>
      <c r="E81" s="672">
        <f t="shared" si="15"/>
        <v>0</v>
      </c>
      <c r="F81" s="682"/>
      <c r="G81" s="675"/>
      <c r="H81" s="682"/>
      <c r="I81" s="675"/>
      <c r="J81" s="682"/>
      <c r="K81" s="675"/>
      <c r="L81" s="682"/>
      <c r="M81" s="675"/>
      <c r="N81" s="682"/>
      <c r="O81" s="675"/>
      <c r="P81" s="682"/>
      <c r="Q81" s="675"/>
      <c r="R81" s="682"/>
      <c r="S81" s="675"/>
      <c r="T81" s="682"/>
      <c r="U81" s="675"/>
      <c r="V81" s="682"/>
      <c r="W81" s="675"/>
      <c r="X81" s="682"/>
      <c r="Y81" s="675"/>
      <c r="Z81" s="682"/>
      <c r="AA81" s="675"/>
      <c r="AB81" s="682"/>
      <c r="AC81" s="675"/>
      <c r="AD81" s="682"/>
      <c r="AE81" s="675"/>
      <c r="AF81" s="682"/>
      <c r="AG81" s="675"/>
      <c r="AH81" s="682"/>
      <c r="AI81" s="675"/>
      <c r="AJ81" s="682"/>
      <c r="AK81" s="675"/>
      <c r="AL81" s="682"/>
      <c r="AM81" s="678"/>
      <c r="AN81" s="679"/>
      <c r="AO81" s="675"/>
      <c r="AP81" t="str">
        <f t="shared" si="16"/>
        <v/>
      </c>
      <c r="CA81" s="2553" t="str">
        <f t="shared" si="10"/>
        <v/>
      </c>
      <c r="CB81" s="2553" t="str">
        <f t="shared" si="11"/>
        <v/>
      </c>
      <c r="CD81" s="1793">
        <f t="shared" si="12"/>
        <v>0</v>
      </c>
      <c r="CE81" s="1793">
        <f t="shared" si="13"/>
        <v>0</v>
      </c>
    </row>
    <row r="82" spans="1:83" ht="15" customHeight="1" x14ac:dyDescent="0.25">
      <c r="A82" s="8694"/>
      <c r="B82" s="685" t="s">
        <v>599</v>
      </c>
      <c r="C82" s="672">
        <f>SUM(D82:E82)</f>
        <v>0</v>
      </c>
      <c r="D82" s="681">
        <f>+F82+H82+J82+L82+N82+P82+R82+T82+V82+X82+Z82+AB82+AD82+AF82+AH82+AJ82+AL82</f>
        <v>0</v>
      </c>
      <c r="E82" s="672">
        <f t="shared" si="15"/>
        <v>0</v>
      </c>
      <c r="F82" s="682"/>
      <c r="G82" s="675"/>
      <c r="H82" s="682"/>
      <c r="I82" s="675"/>
      <c r="J82" s="682"/>
      <c r="K82" s="675"/>
      <c r="L82" s="682"/>
      <c r="M82" s="675"/>
      <c r="N82" s="682"/>
      <c r="O82" s="675"/>
      <c r="P82" s="682"/>
      <c r="Q82" s="675"/>
      <c r="R82" s="682"/>
      <c r="S82" s="675"/>
      <c r="T82" s="682"/>
      <c r="U82" s="675"/>
      <c r="V82" s="682"/>
      <c r="W82" s="675"/>
      <c r="X82" s="682"/>
      <c r="Y82" s="675"/>
      <c r="Z82" s="682"/>
      <c r="AA82" s="675"/>
      <c r="AB82" s="682"/>
      <c r="AC82" s="675"/>
      <c r="AD82" s="682"/>
      <c r="AE82" s="675"/>
      <c r="AF82" s="682"/>
      <c r="AG82" s="675"/>
      <c r="AH82" s="682"/>
      <c r="AI82" s="675"/>
      <c r="AJ82" s="682"/>
      <c r="AK82" s="675"/>
      <c r="AL82" s="682"/>
      <c r="AM82" s="678"/>
      <c r="AN82" s="679"/>
      <c r="AO82" s="675"/>
      <c r="AP82" t="str">
        <f t="shared" si="16"/>
        <v/>
      </c>
      <c r="CA82" s="2553" t="str">
        <f t="shared" si="10"/>
        <v/>
      </c>
      <c r="CB82" s="2553" t="str">
        <f t="shared" si="11"/>
        <v/>
      </c>
      <c r="CD82" s="1793">
        <f t="shared" si="12"/>
        <v>0</v>
      </c>
      <c r="CE82" s="1793">
        <f t="shared" si="13"/>
        <v>0</v>
      </c>
    </row>
    <row r="83" spans="1:83" ht="15" customHeight="1" x14ac:dyDescent="0.25">
      <c r="A83" s="8695"/>
      <c r="B83" s="700" t="s">
        <v>44</v>
      </c>
      <c r="C83" s="687">
        <f t="shared" si="14"/>
        <v>0</v>
      </c>
      <c r="D83" s="688">
        <f t="shared" si="15"/>
        <v>0</v>
      </c>
      <c r="E83" s="687">
        <f t="shared" si="15"/>
        <v>0</v>
      </c>
      <c r="F83" s="689"/>
      <c r="G83" s="690"/>
      <c r="H83" s="689"/>
      <c r="I83" s="690"/>
      <c r="J83" s="689"/>
      <c r="K83" s="690"/>
      <c r="L83" s="689"/>
      <c r="M83" s="690"/>
      <c r="N83" s="689"/>
      <c r="O83" s="690"/>
      <c r="P83" s="689"/>
      <c r="Q83" s="690"/>
      <c r="R83" s="689"/>
      <c r="S83" s="690"/>
      <c r="T83" s="689"/>
      <c r="U83" s="690"/>
      <c r="V83" s="689"/>
      <c r="W83" s="690"/>
      <c r="X83" s="689"/>
      <c r="Y83" s="690"/>
      <c r="Z83" s="689"/>
      <c r="AA83" s="690"/>
      <c r="AB83" s="689"/>
      <c r="AC83" s="690"/>
      <c r="AD83" s="689"/>
      <c r="AE83" s="690"/>
      <c r="AF83" s="689"/>
      <c r="AG83" s="690"/>
      <c r="AH83" s="689"/>
      <c r="AI83" s="690"/>
      <c r="AJ83" s="689"/>
      <c r="AK83" s="690"/>
      <c r="AL83" s="689"/>
      <c r="AM83" s="692"/>
      <c r="AN83" s="693"/>
      <c r="AO83" s="690"/>
      <c r="AP83" t="str">
        <f t="shared" si="16"/>
        <v/>
      </c>
      <c r="CA83" s="2553" t="str">
        <f t="shared" si="10"/>
        <v/>
      </c>
      <c r="CB83" s="2553" t="str">
        <f t="shared" si="11"/>
        <v/>
      </c>
      <c r="CD83" s="1793">
        <f t="shared" si="12"/>
        <v>0</v>
      </c>
      <c r="CE83" s="1793">
        <f t="shared" si="13"/>
        <v>0</v>
      </c>
    </row>
    <row r="84" spans="1:83" ht="15" customHeight="1" x14ac:dyDescent="0.25">
      <c r="A84" s="8696" t="s">
        <v>31</v>
      </c>
      <c r="B84" s="680" t="s">
        <v>600</v>
      </c>
      <c r="C84" s="694">
        <f t="shared" si="14"/>
        <v>0</v>
      </c>
      <c r="D84" s="695">
        <f t="shared" si="15"/>
        <v>0</v>
      </c>
      <c r="E84" s="694">
        <f>+G84+I84+K84+M84+O84+Q84+S84+U84+W84+Y84+AA84+AC84+AE84+AG84+AI84+AK84+AM84</f>
        <v>0</v>
      </c>
      <c r="F84" s="696"/>
      <c r="G84" s="697"/>
      <c r="H84" s="696"/>
      <c r="I84" s="697"/>
      <c r="J84" s="696"/>
      <c r="K84" s="697"/>
      <c r="L84" s="696"/>
      <c r="M84" s="697"/>
      <c r="N84" s="696"/>
      <c r="O84" s="697"/>
      <c r="P84" s="696"/>
      <c r="Q84" s="697"/>
      <c r="R84" s="696"/>
      <c r="S84" s="697"/>
      <c r="T84" s="696"/>
      <c r="U84" s="697"/>
      <c r="V84" s="696"/>
      <c r="W84" s="697"/>
      <c r="X84" s="696"/>
      <c r="Y84" s="697"/>
      <c r="Z84" s="696"/>
      <c r="AA84" s="697"/>
      <c r="AB84" s="696"/>
      <c r="AC84" s="697"/>
      <c r="AD84" s="696"/>
      <c r="AE84" s="697"/>
      <c r="AF84" s="696"/>
      <c r="AG84" s="697"/>
      <c r="AH84" s="696"/>
      <c r="AI84" s="697"/>
      <c r="AJ84" s="696"/>
      <c r="AK84" s="697"/>
      <c r="AL84" s="696"/>
      <c r="AM84" s="699"/>
      <c r="AN84" s="679"/>
      <c r="AO84" s="675"/>
      <c r="AP84" t="str">
        <f t="shared" si="16"/>
        <v/>
      </c>
      <c r="CA84" s="2553" t="str">
        <f t="shared" si="10"/>
        <v/>
      </c>
      <c r="CB84" s="2553" t="str">
        <f t="shared" si="11"/>
        <v/>
      </c>
      <c r="CD84" s="1793">
        <f t="shared" si="12"/>
        <v>0</v>
      </c>
      <c r="CE84" s="1793">
        <f t="shared" si="13"/>
        <v>0</v>
      </c>
    </row>
    <row r="85" spans="1:83" ht="15" customHeight="1" x14ac:dyDescent="0.25">
      <c r="A85" s="8697"/>
      <c r="B85" s="685" t="s">
        <v>601</v>
      </c>
      <c r="C85" s="672">
        <f t="shared" si="14"/>
        <v>0</v>
      </c>
      <c r="D85" s="681">
        <f t="shared" si="15"/>
        <v>0</v>
      </c>
      <c r="E85" s="672">
        <f t="shared" si="15"/>
        <v>0</v>
      </c>
      <c r="F85" s="682"/>
      <c r="G85" s="675"/>
      <c r="H85" s="682"/>
      <c r="I85" s="675"/>
      <c r="J85" s="682"/>
      <c r="K85" s="675"/>
      <c r="L85" s="682"/>
      <c r="M85" s="675"/>
      <c r="N85" s="682"/>
      <c r="O85" s="675"/>
      <c r="P85" s="682"/>
      <c r="Q85" s="675"/>
      <c r="R85" s="682"/>
      <c r="S85" s="675"/>
      <c r="T85" s="682"/>
      <c r="U85" s="675"/>
      <c r="V85" s="682"/>
      <c r="W85" s="675"/>
      <c r="X85" s="682"/>
      <c r="Y85" s="675"/>
      <c r="Z85" s="682"/>
      <c r="AA85" s="675"/>
      <c r="AB85" s="682"/>
      <c r="AC85" s="675"/>
      <c r="AD85" s="682"/>
      <c r="AE85" s="675"/>
      <c r="AF85" s="682"/>
      <c r="AG85" s="675"/>
      <c r="AH85" s="682"/>
      <c r="AI85" s="675"/>
      <c r="AJ85" s="682"/>
      <c r="AK85" s="675"/>
      <c r="AL85" s="682"/>
      <c r="AM85" s="678"/>
      <c r="AN85" s="679"/>
      <c r="AO85" s="675"/>
      <c r="AP85" t="str">
        <f t="shared" si="16"/>
        <v/>
      </c>
      <c r="CA85" s="2553" t="str">
        <f t="shared" si="10"/>
        <v/>
      </c>
      <c r="CB85" s="2553" t="str">
        <f t="shared" si="11"/>
        <v/>
      </c>
      <c r="CD85" s="1793">
        <f t="shared" si="12"/>
        <v>0</v>
      </c>
      <c r="CE85" s="1793">
        <f t="shared" si="13"/>
        <v>0</v>
      </c>
    </row>
    <row r="86" spans="1:83" ht="15" customHeight="1" x14ac:dyDescent="0.25">
      <c r="A86" s="8697"/>
      <c r="B86" s="680" t="s">
        <v>602</v>
      </c>
      <c r="C86" s="672">
        <f t="shared" si="14"/>
        <v>0</v>
      </c>
      <c r="D86" s="681">
        <f t="shared" si="15"/>
        <v>0</v>
      </c>
      <c r="E86" s="672">
        <f t="shared" si="15"/>
        <v>0</v>
      </c>
      <c r="F86" s="682"/>
      <c r="G86" s="675"/>
      <c r="H86" s="682"/>
      <c r="I86" s="675"/>
      <c r="J86" s="682"/>
      <c r="K86" s="675"/>
      <c r="L86" s="682"/>
      <c r="M86" s="675"/>
      <c r="N86" s="682"/>
      <c r="O86" s="675"/>
      <c r="P86" s="682"/>
      <c r="Q86" s="675"/>
      <c r="R86" s="682"/>
      <c r="S86" s="675"/>
      <c r="T86" s="682"/>
      <c r="U86" s="675"/>
      <c r="V86" s="682"/>
      <c r="W86" s="675"/>
      <c r="X86" s="682"/>
      <c r="Y86" s="675"/>
      <c r="Z86" s="682"/>
      <c r="AA86" s="675"/>
      <c r="AB86" s="682"/>
      <c r="AC86" s="675"/>
      <c r="AD86" s="682"/>
      <c r="AE86" s="675"/>
      <c r="AF86" s="682"/>
      <c r="AG86" s="675"/>
      <c r="AH86" s="682"/>
      <c r="AI86" s="675"/>
      <c r="AJ86" s="682"/>
      <c r="AK86" s="675"/>
      <c r="AL86" s="682"/>
      <c r="AM86" s="678"/>
      <c r="AN86" s="679"/>
      <c r="AO86" s="675"/>
      <c r="AP86" t="str">
        <f t="shared" si="16"/>
        <v/>
      </c>
      <c r="CA86" s="2553" t="str">
        <f t="shared" si="10"/>
        <v/>
      </c>
      <c r="CB86" s="2553" t="str">
        <f t="shared" si="11"/>
        <v/>
      </c>
      <c r="CD86" s="1793">
        <f t="shared" si="12"/>
        <v>0</v>
      </c>
      <c r="CE86" s="1793">
        <f t="shared" si="13"/>
        <v>0</v>
      </c>
    </row>
    <row r="87" spans="1:83" ht="15" customHeight="1" x14ac:dyDescent="0.25">
      <c r="A87" s="8698"/>
      <c r="B87" s="700" t="s">
        <v>628</v>
      </c>
      <c r="C87" s="687">
        <f t="shared" si="14"/>
        <v>0</v>
      </c>
      <c r="D87" s="688">
        <f t="shared" si="15"/>
        <v>0</v>
      </c>
      <c r="E87" s="687">
        <f t="shared" si="15"/>
        <v>0</v>
      </c>
      <c r="F87" s="689"/>
      <c r="G87" s="690"/>
      <c r="H87" s="689"/>
      <c r="I87" s="690"/>
      <c r="J87" s="689"/>
      <c r="K87" s="690"/>
      <c r="L87" s="689"/>
      <c r="M87" s="690"/>
      <c r="N87" s="689"/>
      <c r="O87" s="690"/>
      <c r="P87" s="689"/>
      <c r="Q87" s="690"/>
      <c r="R87" s="689"/>
      <c r="S87" s="690"/>
      <c r="T87" s="689"/>
      <c r="U87" s="690"/>
      <c r="V87" s="689"/>
      <c r="W87" s="690"/>
      <c r="X87" s="689"/>
      <c r="Y87" s="690"/>
      <c r="Z87" s="689"/>
      <c r="AA87" s="690"/>
      <c r="AB87" s="689"/>
      <c r="AC87" s="690"/>
      <c r="AD87" s="689"/>
      <c r="AE87" s="690"/>
      <c r="AF87" s="689"/>
      <c r="AG87" s="690"/>
      <c r="AH87" s="689"/>
      <c r="AI87" s="690"/>
      <c r="AJ87" s="689"/>
      <c r="AK87" s="690"/>
      <c r="AL87" s="689"/>
      <c r="AM87" s="692"/>
      <c r="AN87" s="693"/>
      <c r="AO87" s="690"/>
      <c r="AP87" t="str">
        <f t="shared" si="16"/>
        <v/>
      </c>
      <c r="CA87" s="2553" t="str">
        <f t="shared" si="10"/>
        <v/>
      </c>
      <c r="CB87" s="2553" t="str">
        <f t="shared" si="11"/>
        <v/>
      </c>
      <c r="CD87" s="1793">
        <f t="shared" si="12"/>
        <v>0</v>
      </c>
      <c r="CE87" s="1793">
        <f t="shared" si="13"/>
        <v>0</v>
      </c>
    </row>
    <row r="88" spans="1:83" ht="18" customHeight="1" x14ac:dyDescent="0.25">
      <c r="A88" s="8699" t="s">
        <v>629</v>
      </c>
      <c r="B88" s="8699"/>
      <c r="C88" s="8699"/>
      <c r="D88" s="8699"/>
      <c r="E88" s="8699"/>
      <c r="F88" s="8699"/>
      <c r="G88" s="8699"/>
      <c r="H88" s="8699"/>
      <c r="I88" s="8699"/>
      <c r="J88" s="8699"/>
      <c r="K88" s="8699"/>
      <c r="L88" s="8699"/>
      <c r="M88" s="8699"/>
      <c r="N88" s="8699"/>
      <c r="O88" s="8699"/>
      <c r="P88" s="8699"/>
      <c r="Q88" s="8699"/>
      <c r="R88" s="8699"/>
      <c r="S88" s="8699"/>
      <c r="T88" s="8699"/>
      <c r="U88" s="8699"/>
      <c r="V88" s="8699"/>
      <c r="W88" s="8699"/>
      <c r="X88" s="8699"/>
      <c r="Y88" s="8699"/>
      <c r="Z88" s="8699"/>
      <c r="AA88" s="8699"/>
      <c r="AB88" s="8699"/>
      <c r="AC88" s="8699"/>
      <c r="AD88" s="8699"/>
      <c r="AE88" s="8699"/>
      <c r="AF88" s="8699"/>
      <c r="AG88" s="8699"/>
      <c r="AH88" s="8699"/>
      <c r="AI88" s="8699"/>
      <c r="AJ88" s="8699"/>
      <c r="AK88" s="8699"/>
      <c r="AL88" s="8699"/>
    </row>
    <row r="89" spans="1:83" x14ac:dyDescent="0.25">
      <c r="A89" s="8700" t="s">
        <v>137</v>
      </c>
      <c r="B89" s="8703" t="s">
        <v>24</v>
      </c>
      <c r="C89" s="8704"/>
      <c r="D89" s="8705"/>
      <c r="E89" s="8709" t="s">
        <v>30</v>
      </c>
      <c r="F89" s="8710"/>
      <c r="G89" s="8710"/>
      <c r="H89" s="8710"/>
      <c r="I89" s="8710"/>
      <c r="J89" s="8710"/>
      <c r="K89" s="8710"/>
      <c r="L89" s="8710"/>
      <c r="M89" s="8710"/>
      <c r="N89" s="8710"/>
      <c r="O89" s="8710"/>
      <c r="P89" s="8710"/>
      <c r="Q89" s="8710"/>
      <c r="R89" s="8710"/>
      <c r="S89" s="8710"/>
      <c r="T89" s="8710"/>
      <c r="U89" s="8710"/>
      <c r="V89" s="8710"/>
      <c r="W89" s="8710"/>
      <c r="X89" s="8710"/>
      <c r="Y89" s="8710"/>
      <c r="Z89" s="8710"/>
      <c r="AA89" s="8710"/>
      <c r="AB89" s="8710"/>
      <c r="AC89" s="8710"/>
      <c r="AD89" s="8710"/>
      <c r="AE89" s="8710"/>
      <c r="AF89" s="8710"/>
      <c r="AG89" s="8710"/>
      <c r="AH89" s="8710"/>
      <c r="AI89" s="8710"/>
      <c r="AJ89" s="8710"/>
      <c r="AK89" s="8710"/>
      <c r="AL89" s="8711"/>
      <c r="AM89" s="8653" t="s">
        <v>605</v>
      </c>
      <c r="AN89" s="8712"/>
      <c r="AO89" s="8712"/>
      <c r="AP89" s="8712"/>
      <c r="AQ89" s="8712"/>
      <c r="AR89" s="8712"/>
      <c r="AS89" s="8712"/>
      <c r="AT89" s="8712"/>
      <c r="AU89" s="8712"/>
      <c r="AV89" s="8712"/>
      <c r="AW89" s="8713"/>
    </row>
    <row r="90" spans="1:83" x14ac:dyDescent="0.25">
      <c r="A90" s="8701"/>
      <c r="B90" s="8706"/>
      <c r="C90" s="8707"/>
      <c r="D90" s="8708"/>
      <c r="E90" s="8716" t="s">
        <v>36</v>
      </c>
      <c r="F90" s="8691"/>
      <c r="G90" s="8690" t="s">
        <v>37</v>
      </c>
      <c r="H90" s="8691"/>
      <c r="I90" s="8690" t="s">
        <v>38</v>
      </c>
      <c r="J90" s="8691"/>
      <c r="K90" s="8690" t="s">
        <v>4</v>
      </c>
      <c r="L90" s="8691"/>
      <c r="M90" s="8690" t="s">
        <v>5</v>
      </c>
      <c r="N90" s="8691"/>
      <c r="O90" s="8690" t="s">
        <v>560</v>
      </c>
      <c r="P90" s="8691"/>
      <c r="Q90" s="8690" t="s">
        <v>561</v>
      </c>
      <c r="R90" s="8691"/>
      <c r="S90" s="8690" t="s">
        <v>8</v>
      </c>
      <c r="T90" s="8691"/>
      <c r="U90" s="8690" t="s">
        <v>9</v>
      </c>
      <c r="V90" s="8691"/>
      <c r="W90" s="8690" t="s">
        <v>576</v>
      </c>
      <c r="X90" s="8691"/>
      <c r="Y90" s="8690" t="s">
        <v>11</v>
      </c>
      <c r="Z90" s="8691"/>
      <c r="AA90" s="8690" t="s">
        <v>18</v>
      </c>
      <c r="AB90" s="8691"/>
      <c r="AC90" s="8690" t="s">
        <v>19</v>
      </c>
      <c r="AD90" s="8691"/>
      <c r="AE90" s="8690" t="s">
        <v>20</v>
      </c>
      <c r="AF90" s="8691"/>
      <c r="AG90" s="8690" t="s">
        <v>70</v>
      </c>
      <c r="AH90" s="8691"/>
      <c r="AI90" s="8690" t="s">
        <v>71</v>
      </c>
      <c r="AJ90" s="8691"/>
      <c r="AK90" s="8717" t="s">
        <v>32</v>
      </c>
      <c r="AL90" s="8711"/>
      <c r="AM90" s="8714"/>
      <c r="AN90" s="8714"/>
      <c r="AO90" s="8714"/>
      <c r="AP90" s="8714"/>
      <c r="AQ90" s="8714"/>
      <c r="AR90" s="8714"/>
      <c r="AS90" s="8714"/>
      <c r="AT90" s="8714"/>
      <c r="AU90" s="8714"/>
      <c r="AV90" s="8714"/>
      <c r="AW90" s="8715"/>
    </row>
    <row r="91" spans="1:83" ht="31.5" x14ac:dyDescent="0.25">
      <c r="A91" s="8702"/>
      <c r="B91" s="666" t="s">
        <v>26</v>
      </c>
      <c r="C91" s="2654" t="s">
        <v>22</v>
      </c>
      <c r="D91" s="2655" t="s">
        <v>27</v>
      </c>
      <c r="E91" s="660" t="s">
        <v>22</v>
      </c>
      <c r="F91" s="665" t="s">
        <v>27</v>
      </c>
      <c r="G91" s="2656" t="s">
        <v>22</v>
      </c>
      <c r="H91" s="665" t="s">
        <v>27</v>
      </c>
      <c r="I91" s="660" t="s">
        <v>22</v>
      </c>
      <c r="J91" s="665" t="s">
        <v>27</v>
      </c>
      <c r="K91" s="660" t="s">
        <v>22</v>
      </c>
      <c r="L91" s="665" t="s">
        <v>27</v>
      </c>
      <c r="M91" s="660" t="s">
        <v>22</v>
      </c>
      <c r="N91" s="665" t="s">
        <v>27</v>
      </c>
      <c r="O91" s="660" t="s">
        <v>22</v>
      </c>
      <c r="P91" s="665" t="s">
        <v>27</v>
      </c>
      <c r="Q91" s="660" t="s">
        <v>22</v>
      </c>
      <c r="R91" s="665" t="s">
        <v>27</v>
      </c>
      <c r="S91" s="660" t="s">
        <v>22</v>
      </c>
      <c r="T91" s="665" t="s">
        <v>27</v>
      </c>
      <c r="U91" s="660" t="s">
        <v>22</v>
      </c>
      <c r="V91" s="665" t="s">
        <v>27</v>
      </c>
      <c r="W91" s="660" t="s">
        <v>22</v>
      </c>
      <c r="X91" s="665" t="s">
        <v>27</v>
      </c>
      <c r="Y91" s="660" t="s">
        <v>22</v>
      </c>
      <c r="Z91" s="665" t="s">
        <v>27</v>
      </c>
      <c r="AA91" s="660" t="s">
        <v>22</v>
      </c>
      <c r="AB91" s="665" t="s">
        <v>27</v>
      </c>
      <c r="AC91" s="660" t="s">
        <v>22</v>
      </c>
      <c r="AD91" s="665" t="s">
        <v>27</v>
      </c>
      <c r="AE91" s="660" t="s">
        <v>22</v>
      </c>
      <c r="AF91" s="665" t="s">
        <v>27</v>
      </c>
      <c r="AG91" s="660" t="s">
        <v>22</v>
      </c>
      <c r="AH91" s="665" t="s">
        <v>27</v>
      </c>
      <c r="AI91" s="660" t="s">
        <v>22</v>
      </c>
      <c r="AJ91" s="665" t="s">
        <v>27</v>
      </c>
      <c r="AK91" s="660" t="s">
        <v>22</v>
      </c>
      <c r="AL91" s="670" t="s">
        <v>27</v>
      </c>
      <c r="AM91" s="2657" t="s">
        <v>630</v>
      </c>
      <c r="AN91" s="2658" t="s">
        <v>631</v>
      </c>
      <c r="AO91" s="2658" t="s">
        <v>632</v>
      </c>
      <c r="AP91" s="2658" t="s">
        <v>277</v>
      </c>
      <c r="AQ91" s="6047" t="s">
        <v>633</v>
      </c>
      <c r="AR91" s="6049" t="s">
        <v>606</v>
      </c>
      <c r="AS91" s="6048" t="s">
        <v>247</v>
      </c>
      <c r="AT91" s="2658" t="s">
        <v>634</v>
      </c>
      <c r="AU91" s="2658" t="s">
        <v>635</v>
      </c>
      <c r="AV91" s="2658" t="s">
        <v>62</v>
      </c>
      <c r="AW91" s="2659" t="s">
        <v>28</v>
      </c>
    </row>
    <row r="92" spans="1:83" x14ac:dyDescent="0.25">
      <c r="A92" s="715" t="s">
        <v>636</v>
      </c>
      <c r="B92" s="716">
        <f>SUM(C92:D92)</f>
        <v>0</v>
      </c>
      <c r="C92" s="673">
        <f>SUM(E92,G92,I92,K92,M92,O92,Q92,S92,U92,W92,Y92,AA92,AC92,AE92,AG92,AI92,AK92)</f>
        <v>0</v>
      </c>
      <c r="D92" s="717">
        <f>SUM(F92,H92,J92,L92,N92,P92,R92,T92,V92,X92,Z92,AB92,AD92,AF92,AH92,AJ92,AL92)</f>
        <v>0</v>
      </c>
      <c r="E92" s="718"/>
      <c r="F92" s="719"/>
      <c r="G92" s="720"/>
      <c r="H92" s="721"/>
      <c r="I92" s="674"/>
      <c r="J92" s="721"/>
      <c r="K92" s="674"/>
      <c r="L92" s="721"/>
      <c r="M92" s="674"/>
      <c r="N92" s="721"/>
      <c r="O92" s="674"/>
      <c r="P92" s="721"/>
      <c r="Q92" s="674"/>
      <c r="R92" s="721"/>
      <c r="S92" s="674"/>
      <c r="T92" s="721"/>
      <c r="U92" s="674"/>
      <c r="V92" s="721"/>
      <c r="W92" s="674"/>
      <c r="X92" s="721"/>
      <c r="Y92" s="674"/>
      <c r="Z92" s="721"/>
      <c r="AA92" s="674"/>
      <c r="AB92" s="721"/>
      <c r="AC92" s="674"/>
      <c r="AD92" s="721"/>
      <c r="AE92" s="674"/>
      <c r="AF92" s="721"/>
      <c r="AG92" s="674"/>
      <c r="AH92" s="721"/>
      <c r="AI92" s="674"/>
      <c r="AJ92" s="721"/>
      <c r="AK92" s="674"/>
      <c r="AL92" s="722"/>
      <c r="AM92" s="723"/>
      <c r="AN92" s="724"/>
      <c r="AO92" s="724"/>
      <c r="AP92" s="724"/>
      <c r="AQ92" s="724"/>
      <c r="AR92" s="724"/>
      <c r="AS92" s="724"/>
      <c r="AT92" s="724"/>
      <c r="AU92" s="724"/>
      <c r="AV92" s="724"/>
      <c r="AW92" s="719"/>
    </row>
    <row r="93" spans="1:83" x14ac:dyDescent="0.25">
      <c r="A93" s="715" t="s">
        <v>637</v>
      </c>
      <c r="B93" s="702">
        <f t="shared" ref="B93:B103" si="17">SUM(C93:D93)</f>
        <v>0</v>
      </c>
      <c r="C93" s="681">
        <f t="shared" ref="C93:D103" si="18">SUM(E93,G93,I93,K93,M93,O93,Q93,S93,U93,W93,Y93,AA93,AC93,AE93,AG93,AI93,AK93)</f>
        <v>0</v>
      </c>
      <c r="D93" s="725">
        <f t="shared" si="18"/>
        <v>0</v>
      </c>
      <c r="E93" s="726"/>
      <c r="F93" s="727"/>
      <c r="G93" s="679"/>
      <c r="H93" s="675"/>
      <c r="I93" s="682"/>
      <c r="J93" s="675"/>
      <c r="K93" s="682"/>
      <c r="L93" s="675"/>
      <c r="M93" s="682"/>
      <c r="N93" s="675"/>
      <c r="O93" s="682"/>
      <c r="P93" s="675"/>
      <c r="Q93" s="682"/>
      <c r="R93" s="675"/>
      <c r="S93" s="682"/>
      <c r="T93" s="675"/>
      <c r="U93" s="682"/>
      <c r="V93" s="675"/>
      <c r="W93" s="682"/>
      <c r="X93" s="675"/>
      <c r="Y93" s="682"/>
      <c r="Z93" s="675"/>
      <c r="AA93" s="682"/>
      <c r="AB93" s="675"/>
      <c r="AC93" s="682"/>
      <c r="AD93" s="675"/>
      <c r="AE93" s="682"/>
      <c r="AF93" s="675"/>
      <c r="AG93" s="682"/>
      <c r="AH93" s="675"/>
      <c r="AI93" s="682"/>
      <c r="AJ93" s="675"/>
      <c r="AK93" s="682"/>
      <c r="AL93" s="678"/>
      <c r="AM93" s="728"/>
      <c r="AN93" s="729"/>
      <c r="AO93" s="729"/>
      <c r="AP93" s="729"/>
      <c r="AQ93" s="729"/>
      <c r="AR93" s="729"/>
      <c r="AS93" s="729"/>
      <c r="AT93" s="729"/>
      <c r="AU93" s="729"/>
      <c r="AV93" s="729"/>
      <c r="AW93" s="727"/>
    </row>
    <row r="94" spans="1:83" x14ac:dyDescent="0.25">
      <c r="A94" s="715" t="s">
        <v>638</v>
      </c>
      <c r="B94" s="702">
        <f t="shared" si="17"/>
        <v>0</v>
      </c>
      <c r="C94" s="681">
        <f>SUM(E94,G94,I94,K94,M94,O94,Q94,S94,U94,W94,Y94,AA94,AC94,AE94,AG94,AI94,AK94)</f>
        <v>0</v>
      </c>
      <c r="D94" s="725">
        <f>SUM(F94,H94,J94,L94,N94,P94,R94,T94,V94,X94,Z94,AB94,AD94,AF94,AH94,AJ94,AL94)</f>
        <v>0</v>
      </c>
      <c r="E94" s="726"/>
      <c r="F94" s="727"/>
      <c r="G94" s="679"/>
      <c r="H94" s="675"/>
      <c r="I94" s="682"/>
      <c r="J94" s="675"/>
      <c r="K94" s="682"/>
      <c r="L94" s="675"/>
      <c r="M94" s="682"/>
      <c r="N94" s="675"/>
      <c r="O94" s="682"/>
      <c r="P94" s="675"/>
      <c r="Q94" s="682"/>
      <c r="R94" s="675"/>
      <c r="S94" s="682"/>
      <c r="T94" s="675"/>
      <c r="U94" s="682"/>
      <c r="V94" s="675"/>
      <c r="W94" s="682"/>
      <c r="X94" s="675"/>
      <c r="Y94" s="682"/>
      <c r="Z94" s="675"/>
      <c r="AA94" s="682"/>
      <c r="AB94" s="675"/>
      <c r="AC94" s="682"/>
      <c r="AD94" s="675"/>
      <c r="AE94" s="682"/>
      <c r="AF94" s="675"/>
      <c r="AG94" s="682"/>
      <c r="AH94" s="675"/>
      <c r="AI94" s="682"/>
      <c r="AJ94" s="675"/>
      <c r="AK94" s="682"/>
      <c r="AL94" s="678"/>
      <c r="AM94" s="728"/>
      <c r="AN94" s="729"/>
      <c r="AO94" s="729"/>
      <c r="AP94" s="729"/>
      <c r="AQ94" s="729"/>
      <c r="AR94" s="729"/>
      <c r="AS94" s="729"/>
      <c r="AT94" s="729"/>
      <c r="AU94" s="729"/>
      <c r="AV94" s="729"/>
      <c r="AW94" s="727"/>
    </row>
    <row r="95" spans="1:83" x14ac:dyDescent="0.25">
      <c r="A95" s="715" t="s">
        <v>639</v>
      </c>
      <c r="B95" s="702">
        <f t="shared" si="17"/>
        <v>0</v>
      </c>
      <c r="C95" s="681">
        <f>SUM(E95,G95,I95,K95,M95,O95,Q95,S95,U95,W95,Y95,AA95,AC95,AE95,AG95,AI95,AK95)</f>
        <v>0</v>
      </c>
      <c r="D95" s="725">
        <f>SUM(F95,H95,J95,L95,N95,P95,R95,T95,V95,X95,Z95,AB95,AD95,AF95,AH95,AJ95,AL95)</f>
        <v>0</v>
      </c>
      <c r="E95" s="726"/>
      <c r="F95" s="727"/>
      <c r="G95" s="679"/>
      <c r="H95" s="675"/>
      <c r="I95" s="682"/>
      <c r="J95" s="675"/>
      <c r="K95" s="682"/>
      <c r="L95" s="675"/>
      <c r="M95" s="682"/>
      <c r="N95" s="675"/>
      <c r="O95" s="682"/>
      <c r="P95" s="675"/>
      <c r="Q95" s="682"/>
      <c r="R95" s="675"/>
      <c r="S95" s="682"/>
      <c r="T95" s="675"/>
      <c r="U95" s="682"/>
      <c r="V95" s="675"/>
      <c r="W95" s="682"/>
      <c r="X95" s="675"/>
      <c r="Y95" s="682"/>
      <c r="Z95" s="675"/>
      <c r="AA95" s="682"/>
      <c r="AB95" s="675"/>
      <c r="AC95" s="682"/>
      <c r="AD95" s="675"/>
      <c r="AE95" s="682"/>
      <c r="AF95" s="675"/>
      <c r="AG95" s="682"/>
      <c r="AH95" s="675"/>
      <c r="AI95" s="682"/>
      <c r="AJ95" s="675"/>
      <c r="AK95" s="682"/>
      <c r="AL95" s="678"/>
      <c r="AM95" s="728"/>
      <c r="AN95" s="729"/>
      <c r="AO95" s="729"/>
      <c r="AP95" s="729"/>
      <c r="AQ95" s="729"/>
      <c r="AR95" s="729"/>
      <c r="AS95" s="729"/>
      <c r="AT95" s="729"/>
      <c r="AU95" s="729"/>
      <c r="AV95" s="729"/>
      <c r="AW95" s="727"/>
    </row>
    <row r="96" spans="1:83" x14ac:dyDescent="0.25">
      <c r="A96" s="715" t="s">
        <v>640</v>
      </c>
      <c r="B96" s="702">
        <f t="shared" si="17"/>
        <v>0</v>
      </c>
      <c r="C96" s="681">
        <f t="shared" si="18"/>
        <v>0</v>
      </c>
      <c r="D96" s="725">
        <f t="shared" si="18"/>
        <v>0</v>
      </c>
      <c r="E96" s="726"/>
      <c r="F96" s="727"/>
      <c r="G96" s="679"/>
      <c r="H96" s="675"/>
      <c r="I96" s="682"/>
      <c r="J96" s="675"/>
      <c r="K96" s="682"/>
      <c r="L96" s="675"/>
      <c r="M96" s="682"/>
      <c r="N96" s="675"/>
      <c r="O96" s="682"/>
      <c r="P96" s="675"/>
      <c r="Q96" s="682"/>
      <c r="R96" s="675"/>
      <c r="S96" s="682"/>
      <c r="T96" s="675"/>
      <c r="U96" s="682"/>
      <c r="V96" s="675"/>
      <c r="W96" s="682"/>
      <c r="X96" s="675"/>
      <c r="Y96" s="682"/>
      <c r="Z96" s="675"/>
      <c r="AA96" s="682"/>
      <c r="AB96" s="675"/>
      <c r="AC96" s="682"/>
      <c r="AD96" s="675"/>
      <c r="AE96" s="682"/>
      <c r="AF96" s="675"/>
      <c r="AG96" s="682"/>
      <c r="AH96" s="675"/>
      <c r="AI96" s="682"/>
      <c r="AJ96" s="675"/>
      <c r="AK96" s="682"/>
      <c r="AL96" s="678"/>
      <c r="AM96" s="728"/>
      <c r="AN96" s="729"/>
      <c r="AO96" s="729"/>
      <c r="AP96" s="729"/>
      <c r="AQ96" s="729"/>
      <c r="AR96" s="729"/>
      <c r="AS96" s="729"/>
      <c r="AT96" s="729"/>
      <c r="AU96" s="729"/>
      <c r="AV96" s="729"/>
      <c r="AW96" s="727"/>
    </row>
    <row r="97" spans="1:49" x14ac:dyDescent="0.25">
      <c r="A97" s="715" t="s">
        <v>641</v>
      </c>
      <c r="B97" s="702">
        <f>SUM(C97:D97)</f>
        <v>0</v>
      </c>
      <c r="C97" s="681">
        <f t="shared" si="18"/>
        <v>0</v>
      </c>
      <c r="D97" s="725">
        <f t="shared" si="18"/>
        <v>0</v>
      </c>
      <c r="E97" s="726"/>
      <c r="F97" s="727"/>
      <c r="G97" s="679"/>
      <c r="H97" s="675"/>
      <c r="I97" s="682"/>
      <c r="J97" s="675"/>
      <c r="K97" s="682"/>
      <c r="L97" s="675"/>
      <c r="M97" s="682"/>
      <c r="N97" s="675"/>
      <c r="O97" s="682"/>
      <c r="P97" s="675"/>
      <c r="Q97" s="682"/>
      <c r="R97" s="675"/>
      <c r="S97" s="682"/>
      <c r="T97" s="675"/>
      <c r="U97" s="682"/>
      <c r="V97" s="675"/>
      <c r="W97" s="682"/>
      <c r="X97" s="675"/>
      <c r="Y97" s="682"/>
      <c r="Z97" s="675"/>
      <c r="AA97" s="682"/>
      <c r="AB97" s="675"/>
      <c r="AC97" s="682"/>
      <c r="AD97" s="675"/>
      <c r="AE97" s="682"/>
      <c r="AF97" s="675"/>
      <c r="AG97" s="682"/>
      <c r="AH97" s="675"/>
      <c r="AI97" s="682"/>
      <c r="AJ97" s="675"/>
      <c r="AK97" s="682"/>
      <c r="AL97" s="678"/>
      <c r="AM97" s="728"/>
      <c r="AN97" s="729"/>
      <c r="AO97" s="729"/>
      <c r="AP97" s="729"/>
      <c r="AQ97" s="729"/>
      <c r="AR97" s="729"/>
      <c r="AS97" s="729"/>
      <c r="AT97" s="729"/>
      <c r="AU97" s="729"/>
      <c r="AV97" s="729"/>
      <c r="AW97" s="727"/>
    </row>
    <row r="98" spans="1:49" x14ac:dyDescent="0.25">
      <c r="A98" s="715" t="s">
        <v>642</v>
      </c>
      <c r="B98" s="702">
        <f t="shared" si="17"/>
        <v>0</v>
      </c>
      <c r="C98" s="681">
        <f t="shared" si="18"/>
        <v>0</v>
      </c>
      <c r="D98" s="725">
        <f t="shared" si="18"/>
        <v>0</v>
      </c>
      <c r="E98" s="726"/>
      <c r="F98" s="727"/>
      <c r="G98" s="679"/>
      <c r="H98" s="675"/>
      <c r="I98" s="682"/>
      <c r="J98" s="675"/>
      <c r="K98" s="682"/>
      <c r="L98" s="675"/>
      <c r="M98" s="682"/>
      <c r="N98" s="675"/>
      <c r="O98" s="682"/>
      <c r="P98" s="675"/>
      <c r="Q98" s="682"/>
      <c r="R98" s="675"/>
      <c r="S98" s="682"/>
      <c r="T98" s="675"/>
      <c r="U98" s="682"/>
      <c r="V98" s="675"/>
      <c r="W98" s="682"/>
      <c r="X98" s="675"/>
      <c r="Y98" s="682"/>
      <c r="Z98" s="675"/>
      <c r="AA98" s="682"/>
      <c r="AB98" s="675"/>
      <c r="AC98" s="682"/>
      <c r="AD98" s="675"/>
      <c r="AE98" s="682"/>
      <c r="AF98" s="675"/>
      <c r="AG98" s="682"/>
      <c r="AH98" s="675"/>
      <c r="AI98" s="682"/>
      <c r="AJ98" s="675"/>
      <c r="AK98" s="682"/>
      <c r="AL98" s="678"/>
      <c r="AM98" s="728"/>
      <c r="AN98" s="729"/>
      <c r="AO98" s="729"/>
      <c r="AP98" s="729"/>
      <c r="AQ98" s="729"/>
      <c r="AR98" s="729"/>
      <c r="AS98" s="729"/>
      <c r="AT98" s="729"/>
      <c r="AU98" s="729"/>
      <c r="AV98" s="729"/>
      <c r="AW98" s="727"/>
    </row>
    <row r="99" spans="1:49" x14ac:dyDescent="0.25">
      <c r="A99" s="715" t="s">
        <v>643</v>
      </c>
      <c r="B99" s="702">
        <f t="shared" si="17"/>
        <v>0</v>
      </c>
      <c r="C99" s="730">
        <f t="shared" si="18"/>
        <v>0</v>
      </c>
      <c r="D99" s="731">
        <f>SUM(F99,H99,J99,L99,N99,P99,R99,T99,V99,X99,Z99,AB99,AD99,AF99,AH99,AJ99,AL99)</f>
        <v>0</v>
      </c>
      <c r="E99" s="732"/>
      <c r="F99" s="733"/>
      <c r="G99" s="734"/>
      <c r="H99" s="735"/>
      <c r="I99" s="736"/>
      <c r="J99" s="735"/>
      <c r="K99" s="736"/>
      <c r="L99" s="735"/>
      <c r="M99" s="736"/>
      <c r="N99" s="735"/>
      <c r="O99" s="736"/>
      <c r="P99" s="735"/>
      <c r="Q99" s="736"/>
      <c r="R99" s="735"/>
      <c r="S99" s="736"/>
      <c r="T99" s="735"/>
      <c r="U99" s="736"/>
      <c r="V99" s="735"/>
      <c r="W99" s="736"/>
      <c r="X99" s="735"/>
      <c r="Y99" s="736"/>
      <c r="Z99" s="735"/>
      <c r="AA99" s="736"/>
      <c r="AB99" s="735"/>
      <c r="AC99" s="736"/>
      <c r="AD99" s="735"/>
      <c r="AE99" s="736"/>
      <c r="AF99" s="735"/>
      <c r="AG99" s="736"/>
      <c r="AH99" s="735"/>
      <c r="AI99" s="736"/>
      <c r="AJ99" s="735"/>
      <c r="AK99" s="736"/>
      <c r="AL99" s="737"/>
      <c r="AM99" s="738"/>
      <c r="AN99" s="739"/>
      <c r="AO99" s="739"/>
      <c r="AP99" s="739"/>
      <c r="AQ99" s="739"/>
      <c r="AR99" s="739"/>
      <c r="AS99" s="739"/>
      <c r="AT99" s="739"/>
      <c r="AU99" s="739"/>
      <c r="AV99" s="739"/>
      <c r="AW99" s="733"/>
    </row>
    <row r="100" spans="1:49" x14ac:dyDescent="0.25">
      <c r="A100" s="715" t="s">
        <v>644</v>
      </c>
      <c r="B100" s="702">
        <f t="shared" si="17"/>
        <v>0</v>
      </c>
      <c r="C100" s="681">
        <f t="shared" si="18"/>
        <v>0</v>
      </c>
      <c r="D100" s="740">
        <f t="shared" si="18"/>
        <v>0</v>
      </c>
      <c r="E100" s="726"/>
      <c r="F100" s="727"/>
      <c r="G100" s="679"/>
      <c r="H100" s="675"/>
      <c r="I100" s="682"/>
      <c r="J100" s="675"/>
      <c r="K100" s="682"/>
      <c r="L100" s="675"/>
      <c r="M100" s="682"/>
      <c r="N100" s="675"/>
      <c r="O100" s="682"/>
      <c r="P100" s="675"/>
      <c r="Q100" s="682"/>
      <c r="R100" s="675"/>
      <c r="S100" s="682"/>
      <c r="T100" s="675"/>
      <c r="U100" s="682"/>
      <c r="V100" s="675"/>
      <c r="W100" s="682"/>
      <c r="X100" s="675"/>
      <c r="Y100" s="682"/>
      <c r="Z100" s="675"/>
      <c r="AA100" s="682"/>
      <c r="AB100" s="675"/>
      <c r="AC100" s="682"/>
      <c r="AD100" s="675"/>
      <c r="AE100" s="682"/>
      <c r="AF100" s="675"/>
      <c r="AG100" s="682"/>
      <c r="AH100" s="675"/>
      <c r="AI100" s="682"/>
      <c r="AJ100" s="675"/>
      <c r="AK100" s="682"/>
      <c r="AL100" s="678"/>
      <c r="AM100" s="728"/>
      <c r="AN100" s="729"/>
      <c r="AO100" s="729"/>
      <c r="AP100" s="729"/>
      <c r="AQ100" s="729"/>
      <c r="AR100" s="729"/>
      <c r="AS100" s="729"/>
      <c r="AT100" s="729"/>
      <c r="AU100" s="729"/>
      <c r="AV100" s="729"/>
      <c r="AW100" s="727"/>
    </row>
    <row r="101" spans="1:49" x14ac:dyDescent="0.25">
      <c r="A101" s="715" t="s">
        <v>645</v>
      </c>
      <c r="B101" s="702">
        <f>SUM(C101:D101)</f>
        <v>0</v>
      </c>
      <c r="C101" s="681">
        <f t="shared" si="18"/>
        <v>0</v>
      </c>
      <c r="D101" s="740">
        <f t="shared" si="18"/>
        <v>0</v>
      </c>
      <c r="E101" s="726"/>
      <c r="F101" s="727"/>
      <c r="G101" s="679"/>
      <c r="H101" s="675"/>
      <c r="I101" s="682"/>
      <c r="J101" s="675"/>
      <c r="K101" s="682"/>
      <c r="L101" s="675"/>
      <c r="M101" s="682"/>
      <c r="N101" s="675"/>
      <c r="O101" s="682"/>
      <c r="P101" s="675"/>
      <c r="Q101" s="682"/>
      <c r="R101" s="675"/>
      <c r="S101" s="682"/>
      <c r="T101" s="675"/>
      <c r="U101" s="682"/>
      <c r="V101" s="675"/>
      <c r="W101" s="682"/>
      <c r="X101" s="675"/>
      <c r="Y101" s="682"/>
      <c r="Z101" s="675"/>
      <c r="AA101" s="682"/>
      <c r="AB101" s="675"/>
      <c r="AC101" s="682"/>
      <c r="AD101" s="675"/>
      <c r="AE101" s="682"/>
      <c r="AF101" s="675"/>
      <c r="AG101" s="682"/>
      <c r="AH101" s="675"/>
      <c r="AI101" s="682"/>
      <c r="AJ101" s="675"/>
      <c r="AK101" s="682"/>
      <c r="AL101" s="678"/>
      <c r="AM101" s="728"/>
      <c r="AN101" s="729"/>
      <c r="AO101" s="729"/>
      <c r="AP101" s="729"/>
      <c r="AQ101" s="729"/>
      <c r="AR101" s="729"/>
      <c r="AS101" s="729"/>
      <c r="AT101" s="729"/>
      <c r="AU101" s="729"/>
      <c r="AV101" s="729"/>
      <c r="AW101" s="727"/>
    </row>
    <row r="102" spans="1:49" x14ac:dyDescent="0.25">
      <c r="A102" s="715" t="s">
        <v>646</v>
      </c>
      <c r="B102" s="702">
        <f t="shared" si="17"/>
        <v>0</v>
      </c>
      <c r="C102" s="681">
        <f>SUM(E102,G102,I102,K102,M102,O102,Q102,S102,U102,W102,Y102,AA102,AC102,AE102,AG102,AI102,AK102)</f>
        <v>0</v>
      </c>
      <c r="D102" s="740">
        <f t="shared" si="18"/>
        <v>0</v>
      </c>
      <c r="E102" s="726"/>
      <c r="F102" s="727"/>
      <c r="G102" s="679"/>
      <c r="H102" s="675"/>
      <c r="I102" s="682"/>
      <c r="J102" s="675"/>
      <c r="K102" s="682"/>
      <c r="L102" s="675"/>
      <c r="M102" s="682"/>
      <c r="N102" s="675"/>
      <c r="O102" s="682"/>
      <c r="P102" s="675"/>
      <c r="Q102" s="682"/>
      <c r="R102" s="675"/>
      <c r="S102" s="682"/>
      <c r="T102" s="675"/>
      <c r="U102" s="682"/>
      <c r="V102" s="675"/>
      <c r="W102" s="682"/>
      <c r="X102" s="675"/>
      <c r="Y102" s="682"/>
      <c r="Z102" s="675"/>
      <c r="AA102" s="682"/>
      <c r="AB102" s="675"/>
      <c r="AC102" s="682"/>
      <c r="AD102" s="675"/>
      <c r="AE102" s="682"/>
      <c r="AF102" s="675"/>
      <c r="AG102" s="682"/>
      <c r="AH102" s="675"/>
      <c r="AI102" s="682"/>
      <c r="AJ102" s="675"/>
      <c r="AK102" s="682"/>
      <c r="AL102" s="678"/>
      <c r="AM102" s="728"/>
      <c r="AN102" s="729"/>
      <c r="AO102" s="729"/>
      <c r="AP102" s="729"/>
      <c r="AQ102" s="729"/>
      <c r="AR102" s="729"/>
      <c r="AS102" s="729"/>
      <c r="AT102" s="729"/>
      <c r="AU102" s="729"/>
      <c r="AV102" s="729"/>
      <c r="AW102" s="727"/>
    </row>
    <row r="103" spans="1:49" x14ac:dyDescent="0.25">
      <c r="A103" s="741" t="s">
        <v>647</v>
      </c>
      <c r="B103" s="742">
        <f t="shared" si="17"/>
        <v>0</v>
      </c>
      <c r="C103" s="743">
        <f t="shared" si="18"/>
        <v>0</v>
      </c>
      <c r="D103" s="744">
        <f t="shared" si="18"/>
        <v>0</v>
      </c>
      <c r="E103" s="745"/>
      <c r="F103" s="746"/>
      <c r="G103" s="747"/>
      <c r="H103" s="748"/>
      <c r="I103" s="749"/>
      <c r="J103" s="748"/>
      <c r="K103" s="749"/>
      <c r="L103" s="748"/>
      <c r="M103" s="749"/>
      <c r="N103" s="748"/>
      <c r="O103" s="749"/>
      <c r="P103" s="748"/>
      <c r="Q103" s="749"/>
      <c r="R103" s="748"/>
      <c r="S103" s="749"/>
      <c r="T103" s="748"/>
      <c r="U103" s="749"/>
      <c r="V103" s="748"/>
      <c r="W103" s="749"/>
      <c r="X103" s="748"/>
      <c r="Y103" s="749"/>
      <c r="Z103" s="748"/>
      <c r="AA103" s="749"/>
      <c r="AB103" s="748"/>
      <c r="AC103" s="749"/>
      <c r="AD103" s="748"/>
      <c r="AE103" s="749"/>
      <c r="AF103" s="748"/>
      <c r="AG103" s="749"/>
      <c r="AH103" s="748"/>
      <c r="AI103" s="749"/>
      <c r="AJ103" s="748"/>
      <c r="AK103" s="749"/>
      <c r="AL103" s="750"/>
      <c r="AM103" s="751"/>
      <c r="AN103" s="752"/>
      <c r="AO103" s="752"/>
      <c r="AP103" s="752"/>
      <c r="AQ103" s="752"/>
      <c r="AR103" s="752"/>
      <c r="AS103" s="752"/>
      <c r="AT103" s="752"/>
      <c r="AU103" s="752"/>
      <c r="AV103" s="752"/>
      <c r="AW103" s="746"/>
    </row>
    <row r="104" spans="1:49" ht="18" customHeight="1" x14ac:dyDescent="0.25">
      <c r="A104" s="8692" t="s">
        <v>648</v>
      </c>
      <c r="B104" s="8692"/>
      <c r="C104" s="8692"/>
      <c r="D104" s="8692"/>
      <c r="E104" s="8692"/>
      <c r="F104" s="8692"/>
      <c r="G104" s="8692"/>
      <c r="H104" s="8692"/>
      <c r="I104" s="8692"/>
    </row>
    <row r="105" spans="1:49" x14ac:dyDescent="0.25">
      <c r="A105" s="8684" t="s">
        <v>137</v>
      </c>
      <c r="B105" s="8681" t="s">
        <v>649</v>
      </c>
      <c r="C105" s="8682"/>
      <c r="D105" s="8682"/>
      <c r="E105" s="8683"/>
      <c r="F105" s="8681" t="s">
        <v>650</v>
      </c>
      <c r="G105" s="8682"/>
      <c r="H105" s="8682"/>
      <c r="I105" s="8683"/>
    </row>
    <row r="106" spans="1:49" ht="21" x14ac:dyDescent="0.25">
      <c r="A106" s="8685"/>
      <c r="B106" s="753" t="s">
        <v>651</v>
      </c>
      <c r="C106" s="753" t="s">
        <v>652</v>
      </c>
      <c r="D106" s="754" t="s">
        <v>653</v>
      </c>
      <c r="E106" s="754" t="s">
        <v>654</v>
      </c>
      <c r="F106" s="754" t="s">
        <v>651</v>
      </c>
      <c r="G106" s="754" t="s">
        <v>655</v>
      </c>
      <c r="H106" s="754" t="s">
        <v>653</v>
      </c>
      <c r="I106" s="754" t="s">
        <v>654</v>
      </c>
    </row>
    <row r="107" spans="1:49" x14ac:dyDescent="0.25">
      <c r="A107" s="671" t="s">
        <v>656</v>
      </c>
      <c r="B107" s="697"/>
      <c r="C107" s="697"/>
      <c r="D107" s="697"/>
      <c r="E107" s="697"/>
      <c r="F107" s="697"/>
      <c r="G107" s="697"/>
      <c r="H107" s="697"/>
      <c r="I107" s="697"/>
    </row>
    <row r="108" spans="1:49" x14ac:dyDescent="0.25">
      <c r="A108" s="686" t="s">
        <v>657</v>
      </c>
      <c r="B108" s="755"/>
      <c r="C108" s="690"/>
      <c r="D108" s="690"/>
      <c r="E108" s="690"/>
      <c r="F108" s="756"/>
      <c r="G108" s="756"/>
      <c r="H108" s="756"/>
      <c r="I108" s="756"/>
    </row>
    <row r="109" spans="1:49" ht="18" customHeight="1" x14ac:dyDescent="0.25">
      <c r="A109" s="8680" t="s">
        <v>658</v>
      </c>
      <c r="B109" s="8680"/>
      <c r="C109" s="8680"/>
      <c r="D109" s="8680"/>
      <c r="E109" s="8680"/>
      <c r="F109" s="8680"/>
      <c r="G109" s="8680"/>
      <c r="H109" s="8680"/>
      <c r="I109" s="8680"/>
    </row>
    <row r="110" spans="1:49" x14ac:dyDescent="0.25">
      <c r="A110" s="757"/>
      <c r="B110" s="8681" t="s">
        <v>649</v>
      </c>
      <c r="C110" s="8682"/>
      <c r="D110" s="8682"/>
      <c r="E110" s="8683"/>
      <c r="F110" s="8681" t="s">
        <v>650</v>
      </c>
      <c r="G110" s="8682"/>
      <c r="H110" s="8682"/>
      <c r="I110" s="8683"/>
    </row>
    <row r="111" spans="1:49" ht="22.5" x14ac:dyDescent="0.25">
      <c r="A111" s="757"/>
      <c r="B111" s="753" t="s">
        <v>651</v>
      </c>
      <c r="C111" s="753" t="s">
        <v>652</v>
      </c>
      <c r="D111" s="754" t="s">
        <v>653</v>
      </c>
      <c r="E111" s="754" t="s">
        <v>654</v>
      </c>
      <c r="F111" s="754" t="s">
        <v>651</v>
      </c>
      <c r="G111" s="758" t="s">
        <v>655</v>
      </c>
      <c r="H111" s="754" t="s">
        <v>653</v>
      </c>
      <c r="I111" s="754" t="s">
        <v>654</v>
      </c>
    </row>
    <row r="112" spans="1:49" x14ac:dyDescent="0.25">
      <c r="A112" s="671" t="s">
        <v>659</v>
      </c>
      <c r="B112" s="759"/>
      <c r="C112" s="759"/>
      <c r="D112" s="759"/>
      <c r="E112" s="759"/>
      <c r="F112" s="697"/>
      <c r="G112" s="697"/>
      <c r="H112" s="697"/>
      <c r="I112" s="697"/>
    </row>
    <row r="113" spans="1:9" x14ac:dyDescent="0.25">
      <c r="A113" s="686" t="s">
        <v>660</v>
      </c>
      <c r="B113" s="690"/>
      <c r="C113" s="690"/>
      <c r="D113" s="690"/>
      <c r="E113" s="690"/>
      <c r="F113" s="756"/>
      <c r="G113" s="756"/>
      <c r="H113" s="756"/>
      <c r="I113" s="756"/>
    </row>
    <row r="114" spans="1:9" ht="18" customHeight="1" x14ac:dyDescent="0.25">
      <c r="A114" s="8680" t="s">
        <v>661</v>
      </c>
      <c r="B114" s="8680"/>
      <c r="C114" s="8680"/>
      <c r="D114" s="8680"/>
      <c r="E114" s="8680"/>
      <c r="F114" s="8680"/>
      <c r="G114" s="8680"/>
    </row>
    <row r="115" spans="1:9" ht="21" x14ac:dyDescent="0.25">
      <c r="A115" s="8684" t="s">
        <v>662</v>
      </c>
      <c r="B115" s="8686" t="s">
        <v>649</v>
      </c>
      <c r="C115" s="8687"/>
      <c r="D115" s="8686" t="s">
        <v>663</v>
      </c>
      <c r="E115" s="8688"/>
      <c r="F115" s="8689"/>
      <c r="G115" s="760" t="s">
        <v>664</v>
      </c>
    </row>
    <row r="116" spans="1:9" ht="21" x14ac:dyDescent="0.25">
      <c r="A116" s="8685"/>
      <c r="B116" s="761" t="s">
        <v>665</v>
      </c>
      <c r="C116" s="761" t="s">
        <v>666</v>
      </c>
      <c r="D116" s="761" t="s">
        <v>445</v>
      </c>
      <c r="E116" s="760" t="s">
        <v>304</v>
      </c>
      <c r="F116" s="760" t="s">
        <v>667</v>
      </c>
      <c r="G116" s="761" t="s">
        <v>668</v>
      </c>
    </row>
    <row r="117" spans="1:9" x14ac:dyDescent="0.25">
      <c r="A117" s="671" t="s">
        <v>669</v>
      </c>
      <c r="B117" s="721"/>
      <c r="C117" s="721"/>
      <c r="D117" s="762"/>
      <c r="E117" s="721"/>
      <c r="F117" s="721"/>
      <c r="G117" s="721"/>
    </row>
    <row r="118" spans="1:9" x14ac:dyDescent="0.25">
      <c r="A118" s="680" t="s">
        <v>670</v>
      </c>
      <c r="B118" s="763"/>
      <c r="C118" s="675"/>
      <c r="D118" s="675"/>
      <c r="E118" s="675"/>
      <c r="F118" s="763"/>
      <c r="G118" s="675"/>
    </row>
    <row r="119" spans="1:9" x14ac:dyDescent="0.25">
      <c r="A119" s="680" t="s">
        <v>671</v>
      </c>
      <c r="B119" s="764"/>
      <c r="C119" s="764"/>
      <c r="D119" s="765"/>
      <c r="E119" s="765"/>
      <c r="F119" s="764"/>
      <c r="G119" s="764"/>
    </row>
    <row r="120" spans="1:9" x14ac:dyDescent="0.25">
      <c r="A120" s="700" t="s">
        <v>672</v>
      </c>
      <c r="B120" s="766"/>
      <c r="C120" s="766"/>
      <c r="D120" s="766"/>
      <c r="E120" s="767"/>
      <c r="F120" s="767"/>
      <c r="G120" s="766"/>
    </row>
    <row r="150" spans="1:2" hidden="1" x14ac:dyDescent="0.25">
      <c r="A150" s="4600">
        <f>SUM(C13:C39,B44:B55,C61:C87,B92:B103,B107:I108,B112:I113,B117:G120)</f>
        <v>0</v>
      </c>
      <c r="B150" s="4574">
        <f>SUM(CD13:CE103)</f>
        <v>0</v>
      </c>
    </row>
  </sheetData>
  <sheetProtection algorithmName="SHA-512" hashValue="eU2Jl4OX18IvOZVCgnOJLRLYs50wpgb02J39yvc8+WfhsdZ4pps08ywIRQLfvpR6lWoIv/NZaK0kQ8HHkgOcRw==" saltValue="rV/IUnbTE1oa4GZ4tAsT6A==" spinCount="100000" sheet="1" objects="1" scenarios="1"/>
  <mergeCells count="108">
    <mergeCell ref="A6:AC6"/>
    <mergeCell ref="A8:AO8"/>
    <mergeCell ref="A9:AO9"/>
    <mergeCell ref="A10:B12"/>
    <mergeCell ref="C10:E11"/>
    <mergeCell ref="F10:AM10"/>
    <mergeCell ref="AN10:AN12"/>
    <mergeCell ref="AO10:AO12"/>
    <mergeCell ref="F11:G11"/>
    <mergeCell ref="H11:I11"/>
    <mergeCell ref="AH11:AI11"/>
    <mergeCell ref="AJ11:AK11"/>
    <mergeCell ref="AL11:AM11"/>
    <mergeCell ref="A13:A35"/>
    <mergeCell ref="A36:A39"/>
    <mergeCell ref="A40:AL40"/>
    <mergeCell ref="V11:W11"/>
    <mergeCell ref="X11:Y11"/>
    <mergeCell ref="Z11:AA11"/>
    <mergeCell ref="AB11:AC11"/>
    <mergeCell ref="AD11:AE11"/>
    <mergeCell ref="AF11:AG11"/>
    <mergeCell ref="J11:K11"/>
    <mergeCell ref="L11:M11"/>
    <mergeCell ref="N11:O11"/>
    <mergeCell ref="P11:Q11"/>
    <mergeCell ref="R11:S11"/>
    <mergeCell ref="T11:U11"/>
    <mergeCell ref="AC42:AD42"/>
    <mergeCell ref="AE42:AF42"/>
    <mergeCell ref="AG42:AH42"/>
    <mergeCell ref="AI42:AJ42"/>
    <mergeCell ref="AK42:AL42"/>
    <mergeCell ref="A56:AO56"/>
    <mergeCell ref="Q42:R42"/>
    <mergeCell ref="S42:T42"/>
    <mergeCell ref="U42:V42"/>
    <mergeCell ref="W42:X42"/>
    <mergeCell ref="Y42:Z42"/>
    <mergeCell ref="AA42:AB42"/>
    <mergeCell ref="A41:A43"/>
    <mergeCell ref="B41:D42"/>
    <mergeCell ref="E41:AL41"/>
    <mergeCell ref="AM41:AW42"/>
    <mergeCell ref="E42:F42"/>
    <mergeCell ref="G42:H42"/>
    <mergeCell ref="I42:J42"/>
    <mergeCell ref="K42:L42"/>
    <mergeCell ref="M42:N42"/>
    <mergeCell ref="O42:P42"/>
    <mergeCell ref="A57:AM57"/>
    <mergeCell ref="A58:B60"/>
    <mergeCell ref="C58:E59"/>
    <mergeCell ref="F58:AM58"/>
    <mergeCell ref="AN58:AN60"/>
    <mergeCell ref="AO58:AO60"/>
    <mergeCell ref="F59:G59"/>
    <mergeCell ref="H59:I59"/>
    <mergeCell ref="J59:K59"/>
    <mergeCell ref="L59:M59"/>
    <mergeCell ref="AL59:AM59"/>
    <mergeCell ref="Z59:AA59"/>
    <mergeCell ref="AB59:AC59"/>
    <mergeCell ref="AD59:AE59"/>
    <mergeCell ref="AF59:AG59"/>
    <mergeCell ref="AH59:AI59"/>
    <mergeCell ref="AJ59:AK59"/>
    <mergeCell ref="N59:O59"/>
    <mergeCell ref="P59:Q59"/>
    <mergeCell ref="R59:S59"/>
    <mergeCell ref="T59:U59"/>
    <mergeCell ref="V59:W59"/>
    <mergeCell ref="X59:Y59"/>
    <mergeCell ref="A61:A83"/>
    <mergeCell ref="A84:A87"/>
    <mergeCell ref="A88:AL88"/>
    <mergeCell ref="A89:A91"/>
    <mergeCell ref="B89:D90"/>
    <mergeCell ref="E89:AL89"/>
    <mergeCell ref="AM89:AW90"/>
    <mergeCell ref="E90:F90"/>
    <mergeCell ref="G90:H90"/>
    <mergeCell ref="AK90:AL90"/>
    <mergeCell ref="AE90:AF90"/>
    <mergeCell ref="A109:I109"/>
    <mergeCell ref="B110:E110"/>
    <mergeCell ref="F110:I110"/>
    <mergeCell ref="A114:G114"/>
    <mergeCell ref="A115:A116"/>
    <mergeCell ref="B115:C115"/>
    <mergeCell ref="D115:F115"/>
    <mergeCell ref="AG90:AH90"/>
    <mergeCell ref="AI90:AJ90"/>
    <mergeCell ref="A104:I104"/>
    <mergeCell ref="A105:A106"/>
    <mergeCell ref="B105:E105"/>
    <mergeCell ref="F105:I105"/>
    <mergeCell ref="U90:V90"/>
    <mergeCell ref="W90:X90"/>
    <mergeCell ref="Y90:Z90"/>
    <mergeCell ref="AA90:AB90"/>
    <mergeCell ref="AC90:AD90"/>
    <mergeCell ref="I90:J90"/>
    <mergeCell ref="K90:L90"/>
    <mergeCell ref="M90:N90"/>
    <mergeCell ref="O90:P90"/>
    <mergeCell ref="Q90:R90"/>
    <mergeCell ref="S90:T90"/>
  </mergeCells>
  <dataValidations count="3">
    <dataValidation type="whole" operator="greaterThanOrEqual" allowBlank="1" showErrorMessage="1" error="Sólo ingrese números enteros." sqref="B107:E108 F107:I107 B113:E113 F112:I112" xr:uid="{00000000-0002-0000-1A00-000000000000}">
      <formula1>0</formula1>
    </dataValidation>
    <dataValidation type="whole" operator="greaterThanOrEqual" allowBlank="1" showErrorMessage="1" error="Sólo ingrese números enteros." prompt="Valor no Permitido" sqref="F13:AO39 E44:AW55 F61:AO87 E92:AW103 E117:E120 C118 B117:C117 F120 D118:D119 F117 G117:G118" xr:uid="{00000000-0002-0000-1A00-000001000000}">
      <formula1>0</formula1>
    </dataValidation>
    <dataValidation allowBlank="1" prompt="Valor no Permitido" sqref="A6 A8:A10 C10:E39 A13:B39 F10:AO12 A40:A58 E41:AW43 B41:D55 A61:B87 C58:E87 F58:AO60 B89:D103 E89:AW91 A88:A120 F108:I108 B105:I106 F113:I113 F110:I111 B110:E112 B118:B120 B115:G116 G119:G120 F118:F119 D117 D120 C119:C120 CA44:CI44 CA45:CA55 CD45:CD55 CA92:CD103 AD6:XFD6" xr:uid="{00000000-0002-0000-1A00-000002000000}"/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EP141"/>
  <sheetViews>
    <sheetView showGridLines="0" workbookViewId="0">
      <selection activeCell="C1" sqref="C1:E1"/>
    </sheetView>
  </sheetViews>
  <sheetFormatPr baseColWidth="10" defaultColWidth="11.42578125" defaultRowHeight="12.75" x14ac:dyDescent="0.2"/>
  <cols>
    <col min="1" max="2" width="1.85546875" style="4722" customWidth="1"/>
    <col min="3" max="3" width="34" style="4722" customWidth="1"/>
    <col min="4" max="4" width="19.42578125" style="4722" customWidth="1"/>
    <col min="5" max="5" width="38.7109375" style="4722" customWidth="1"/>
    <col min="6" max="6" width="27.42578125" style="4722" customWidth="1"/>
    <col min="7" max="15" width="11.42578125" style="4722"/>
    <col min="16" max="146" width="11.42578125" style="4721"/>
    <col min="147" max="16384" width="11.42578125" style="4722"/>
  </cols>
  <sheetData>
    <row r="1" spans="1:15" ht="33" customHeight="1" x14ac:dyDescent="0.2">
      <c r="A1" s="4721"/>
      <c r="B1" s="4721"/>
      <c r="C1" s="8740" t="s">
        <v>3868</v>
      </c>
      <c r="D1" s="8741"/>
      <c r="E1" s="8742"/>
      <c r="F1" s="4721"/>
      <c r="G1" s="4721"/>
      <c r="H1" s="4721"/>
      <c r="I1" s="4721"/>
      <c r="J1" s="4721"/>
      <c r="K1" s="4721"/>
      <c r="L1" s="4721"/>
      <c r="M1" s="4721"/>
      <c r="N1" s="4721"/>
      <c r="O1" s="4721"/>
    </row>
    <row r="2" spans="1:15" ht="42.75" customHeight="1" x14ac:dyDescent="0.2">
      <c r="A2" s="4721"/>
      <c r="B2" s="4721"/>
      <c r="C2" s="5604" t="str">
        <f>CONCATENATE("ESTABLECIMIENTO: ",NOMBRE!B3," - ",NOMBRE!C3,NOMBRE!D3,NOMBRE!E3,NOMBRE!F3,NOMBRE!G3,NOMBRE!H3,NOMBRE!I3," 
  "," / MES:  ",NOMBRE!B6,"  / AÑO:  ",NOMBRE!B7)</f>
        <v>ESTABLECIMIENTO:  - Falta Cód. Est. 
   / MES:    / AÑO:  2024</v>
      </c>
      <c r="D2" s="4721"/>
      <c r="E2" s="4721"/>
      <c r="F2" s="4721"/>
      <c r="G2" s="4721"/>
      <c r="H2" s="4721"/>
      <c r="I2" s="4721"/>
      <c r="J2" s="4721"/>
      <c r="K2" s="4721"/>
      <c r="L2" s="4721"/>
      <c r="M2" s="4721"/>
      <c r="N2" s="4721"/>
      <c r="O2" s="4721"/>
    </row>
    <row r="3" spans="1:15" ht="34.5" customHeight="1" x14ac:dyDescent="0.2">
      <c r="A3" s="4721"/>
      <c r="B3" s="4721"/>
      <c r="C3" s="4723" t="s">
        <v>3810</v>
      </c>
      <c r="D3" s="4723" t="s">
        <v>3811</v>
      </c>
      <c r="E3" s="4724" t="s">
        <v>3812</v>
      </c>
      <c r="F3" s="4721"/>
      <c r="G3" s="4721"/>
      <c r="H3" s="4721"/>
      <c r="I3" s="4721"/>
      <c r="J3" s="4721"/>
      <c r="K3" s="4721"/>
      <c r="L3" s="4721"/>
      <c r="M3" s="4721"/>
      <c r="N3" s="4721"/>
      <c r="O3" s="4721"/>
    </row>
    <row r="4" spans="1:15" ht="22.5" customHeight="1" x14ac:dyDescent="0.2">
      <c r="A4" s="4721"/>
      <c r="B4" s="4721"/>
      <c r="C4" s="4725" t="s">
        <v>3813</v>
      </c>
      <c r="D4" s="4759">
        <f>NOMBRE!A32</f>
        <v>3</v>
      </c>
      <c r="E4" s="4721"/>
      <c r="F4" s="4721"/>
      <c r="G4" s="4721"/>
      <c r="H4" s="4721"/>
      <c r="I4" s="4721"/>
      <c r="J4" s="4721"/>
      <c r="K4" s="4721"/>
      <c r="L4" s="4721"/>
      <c r="M4" s="4721"/>
      <c r="N4" s="4721"/>
      <c r="O4" s="4721"/>
    </row>
    <row r="5" spans="1:15" ht="22.5" customHeight="1" x14ac:dyDescent="0.2">
      <c r="A5" s="4721"/>
      <c r="B5" s="4721"/>
      <c r="C5" s="4725" t="s">
        <v>3814</v>
      </c>
      <c r="D5" s="4760">
        <f>'A01'!B151</f>
        <v>0</v>
      </c>
      <c r="E5" s="4726" t="str">
        <f>IF('A01'!A151=0,"SIN DATOS","")</f>
        <v>SIN DATOS</v>
      </c>
      <c r="F5" s="4721"/>
      <c r="G5" s="4721"/>
      <c r="H5" s="4721"/>
      <c r="I5" s="4721"/>
      <c r="J5" s="4721"/>
      <c r="K5" s="4721"/>
      <c r="L5" s="4721"/>
      <c r="M5" s="4721"/>
      <c r="N5" s="4721"/>
      <c r="O5" s="4721"/>
    </row>
    <row r="6" spans="1:15" ht="22.5" customHeight="1" x14ac:dyDescent="0.2">
      <c r="A6" s="4721"/>
      <c r="B6" s="4721"/>
      <c r="C6" s="4725" t="s">
        <v>3815</v>
      </c>
      <c r="D6" s="4760">
        <f>'A02'!B51</f>
        <v>0</v>
      </c>
      <c r="E6" s="4726" t="str">
        <f>IF('A02'!A51=0,"SIN DATOS","")</f>
        <v>SIN DATOS</v>
      </c>
      <c r="F6" s="4721"/>
      <c r="G6" s="4721"/>
      <c r="H6" s="4721"/>
      <c r="I6" s="4721"/>
      <c r="J6" s="4721"/>
      <c r="K6" s="4721"/>
      <c r="L6" s="4721"/>
      <c r="M6" s="4721"/>
      <c r="N6" s="4721"/>
      <c r="O6" s="4721"/>
    </row>
    <row r="7" spans="1:15" ht="22.5" customHeight="1" x14ac:dyDescent="0.2">
      <c r="A7" s="4721"/>
      <c r="B7" s="4721"/>
      <c r="C7" s="4725" t="s">
        <v>3816</v>
      </c>
      <c r="D7" s="4761">
        <f>'A03'!B346</f>
        <v>0</v>
      </c>
      <c r="E7" s="4726" t="str">
        <f>IF('A03'!A346=0,"SIN DATOS","")</f>
        <v>SIN DATOS</v>
      </c>
      <c r="F7" s="4721"/>
      <c r="G7" s="4721"/>
      <c r="H7" s="4721"/>
      <c r="I7" s="4721"/>
      <c r="J7" s="4721"/>
      <c r="K7" s="4721"/>
      <c r="L7" s="4721"/>
      <c r="M7" s="4721"/>
      <c r="N7" s="4721"/>
      <c r="O7" s="4721"/>
    </row>
    <row r="8" spans="1:15" ht="22.5" customHeight="1" x14ac:dyDescent="0.2">
      <c r="A8" s="4721"/>
      <c r="B8" s="4721"/>
      <c r="C8" s="4725" t="s">
        <v>3817</v>
      </c>
      <c r="D8" s="4760">
        <f>'A04'!B200</f>
        <v>0</v>
      </c>
      <c r="E8" s="4726" t="str">
        <f>IF('A04'!A200=0,"SIN DATOS","")</f>
        <v>SIN DATOS</v>
      </c>
      <c r="F8" s="4721"/>
      <c r="G8" s="4721"/>
      <c r="H8" s="4721"/>
      <c r="I8" s="4721"/>
      <c r="J8" s="4721"/>
      <c r="K8" s="4721"/>
      <c r="L8" s="4721"/>
      <c r="M8" s="4721"/>
      <c r="N8" s="4721"/>
      <c r="O8" s="4721"/>
    </row>
    <row r="9" spans="1:15" ht="22.5" customHeight="1" x14ac:dyDescent="0.2">
      <c r="A9" s="4721"/>
      <c r="B9" s="4721"/>
      <c r="C9" s="4725" t="s">
        <v>3818</v>
      </c>
      <c r="D9" s="4760">
        <f>'A05'!B400</f>
        <v>0</v>
      </c>
      <c r="E9" s="4726" t="str">
        <f>IF('A05'!A400=0,"SIN DATOS","")</f>
        <v>SIN DATOS</v>
      </c>
      <c r="F9" s="4721"/>
      <c r="G9" s="4721"/>
      <c r="H9" s="4721"/>
      <c r="I9" s="4721"/>
      <c r="J9" s="4721"/>
      <c r="K9" s="4721"/>
      <c r="L9" s="4721"/>
      <c r="M9" s="4721"/>
      <c r="N9" s="4721"/>
      <c r="O9" s="4721"/>
    </row>
    <row r="10" spans="1:15" ht="22.5" customHeight="1" x14ac:dyDescent="0.2">
      <c r="A10" s="4721"/>
      <c r="B10" s="4721"/>
      <c r="C10" s="4725" t="s">
        <v>3819</v>
      </c>
      <c r="D10" s="4760">
        <f>'A06'!B197</f>
        <v>0</v>
      </c>
      <c r="E10" s="4726" t="str">
        <f>IF('A06'!A197=0,"SIN DATOS","")</f>
        <v>SIN DATOS</v>
      </c>
      <c r="F10" s="4721"/>
      <c r="G10" s="4721"/>
      <c r="H10" s="4721"/>
      <c r="I10" s="4721"/>
      <c r="J10" s="4721"/>
      <c r="K10" s="4721"/>
      <c r="L10" s="4721"/>
      <c r="M10" s="4721"/>
      <c r="N10" s="4721"/>
      <c r="O10" s="4721"/>
    </row>
    <row r="11" spans="1:15" ht="22.5" customHeight="1" x14ac:dyDescent="0.2">
      <c r="A11" s="4721"/>
      <c r="B11" s="4721"/>
      <c r="C11" s="4725" t="s">
        <v>3820</v>
      </c>
      <c r="D11" s="4760">
        <f>'A07'!B249</f>
        <v>0</v>
      </c>
      <c r="E11" s="4726" t="str">
        <f>IF('A07'!A249=0,"SIN DATOS","")</f>
        <v>SIN DATOS</v>
      </c>
      <c r="F11" s="4721"/>
      <c r="G11" s="4721"/>
      <c r="H11" s="4721"/>
      <c r="I11" s="4721"/>
      <c r="J11" s="4721"/>
      <c r="K11" s="4721"/>
      <c r="L11" s="4721"/>
      <c r="M11" s="4721"/>
      <c r="N11" s="4721"/>
      <c r="O11" s="4721"/>
    </row>
    <row r="12" spans="1:15" ht="22.5" customHeight="1" x14ac:dyDescent="0.2">
      <c r="A12" s="4721"/>
      <c r="B12" s="4721"/>
      <c r="C12" s="4725" t="s">
        <v>3821</v>
      </c>
      <c r="D12" s="4760">
        <f>'A08'!B248</f>
        <v>0</v>
      </c>
      <c r="E12" s="4726" t="str">
        <f>IF('A08'!A248=0,"SIN DATOS","")</f>
        <v>SIN DATOS</v>
      </c>
      <c r="F12" s="4721"/>
      <c r="G12" s="4721"/>
      <c r="H12" s="4721"/>
      <c r="I12" s="4721"/>
      <c r="J12" s="4721"/>
      <c r="K12" s="4721"/>
      <c r="L12" s="4721"/>
      <c r="M12" s="4721"/>
      <c r="N12" s="4721"/>
      <c r="O12" s="4721"/>
    </row>
    <row r="13" spans="1:15" ht="22.5" customHeight="1" x14ac:dyDescent="0.2">
      <c r="A13" s="4721"/>
      <c r="B13" s="4721"/>
      <c r="C13" s="4725" t="s">
        <v>3822</v>
      </c>
      <c r="D13" s="4760">
        <f>'A09'!B350</f>
        <v>0</v>
      </c>
      <c r="E13" s="4726" t="str">
        <f>IF('A09'!A350=0,"SIN DATOS","")</f>
        <v>SIN DATOS</v>
      </c>
      <c r="F13" s="4721"/>
      <c r="G13" s="4721"/>
      <c r="H13" s="4721"/>
      <c r="I13" s="4721"/>
      <c r="J13" s="4721"/>
      <c r="K13" s="4721"/>
      <c r="L13" s="4721"/>
      <c r="M13" s="4721"/>
      <c r="N13" s="4721"/>
      <c r="O13" s="4721"/>
    </row>
    <row r="14" spans="1:15" ht="22.5" customHeight="1" x14ac:dyDescent="0.2">
      <c r="A14" s="4721"/>
      <c r="B14" s="4721"/>
      <c r="C14" s="4725" t="s">
        <v>3823</v>
      </c>
      <c r="D14" s="4760">
        <f>'A11'!B350</f>
        <v>0</v>
      </c>
      <c r="E14" s="4726" t="str">
        <f>IF('A11'!A350=0,"SIN DATOS","")</f>
        <v>SIN DATOS</v>
      </c>
      <c r="F14" s="4721"/>
      <c r="G14" s="4721"/>
      <c r="H14" s="4721"/>
      <c r="I14" s="4721"/>
      <c r="J14" s="4721"/>
      <c r="K14" s="4721"/>
      <c r="L14" s="4721"/>
      <c r="M14" s="4721"/>
      <c r="N14" s="4721"/>
      <c r="O14" s="4721"/>
    </row>
    <row r="15" spans="1:15" ht="22.5" customHeight="1" x14ac:dyDescent="0.2">
      <c r="A15" s="4721"/>
      <c r="B15" s="4721"/>
      <c r="C15" s="4725" t="s">
        <v>3824</v>
      </c>
      <c r="D15" s="4760">
        <f>A11a!B150</f>
        <v>0</v>
      </c>
      <c r="E15" s="4726" t="str">
        <f>IF(A11a!A150=0,"SIN DATOS","")</f>
        <v>SIN DATOS</v>
      </c>
      <c r="F15" s="4721"/>
      <c r="G15" s="4721"/>
      <c r="H15" s="4721"/>
      <c r="I15" s="4721"/>
      <c r="J15" s="4721"/>
      <c r="K15" s="4721"/>
      <c r="L15" s="4721"/>
      <c r="M15" s="4721"/>
      <c r="N15" s="4721"/>
      <c r="O15" s="4721"/>
    </row>
    <row r="16" spans="1:15" ht="22.5" customHeight="1" x14ac:dyDescent="0.2">
      <c r="A16" s="4721"/>
      <c r="B16" s="4721"/>
      <c r="C16" s="4725" t="s">
        <v>3825</v>
      </c>
      <c r="D16" s="4760">
        <f>A19a!B207</f>
        <v>0</v>
      </c>
      <c r="E16" s="4726" t="str">
        <f>IF(A19a!A207=0,"SIN DATOS","")</f>
        <v>SIN DATOS</v>
      </c>
      <c r="F16" s="4721"/>
      <c r="G16" s="4721"/>
      <c r="H16" s="4721"/>
      <c r="I16" s="4721"/>
      <c r="J16" s="4721"/>
      <c r="K16" s="4721"/>
      <c r="L16" s="4721"/>
      <c r="M16" s="4721"/>
      <c r="N16" s="4721"/>
      <c r="O16" s="4721"/>
    </row>
    <row r="17" spans="1:15" ht="22.5" customHeight="1" x14ac:dyDescent="0.2">
      <c r="A17" s="4721"/>
      <c r="B17" s="4721"/>
      <c r="C17" s="4725" t="s">
        <v>3826</v>
      </c>
      <c r="D17" s="4760">
        <f>A19b!B90</f>
        <v>0</v>
      </c>
      <c r="E17" s="4726" t="str">
        <f>IF(A19b!A90=0,"SIN DATOS","")</f>
        <v>SIN DATOS</v>
      </c>
      <c r="F17" s="4721"/>
      <c r="G17" s="4721"/>
      <c r="H17" s="4721"/>
      <c r="I17" s="4721"/>
      <c r="J17" s="4721"/>
      <c r="K17" s="4721"/>
      <c r="L17" s="4721"/>
      <c r="M17" s="4721"/>
      <c r="N17" s="4721"/>
      <c r="O17" s="4721"/>
    </row>
    <row r="18" spans="1:15" ht="22.5" customHeight="1" x14ac:dyDescent="0.2">
      <c r="A18" s="4721"/>
      <c r="B18" s="4721"/>
      <c r="C18" s="4725" t="s">
        <v>3827</v>
      </c>
      <c r="D18" s="4762">
        <f>'A21'!B201</f>
        <v>0</v>
      </c>
      <c r="E18" s="4726" t="str">
        <f>IF('A21'!A201=0,"SIN DATOS","")</f>
        <v>SIN DATOS</v>
      </c>
      <c r="F18" s="4721"/>
      <c r="G18" s="4721"/>
      <c r="H18" s="4721"/>
      <c r="I18" s="4721"/>
      <c r="J18" s="4721"/>
      <c r="K18" s="4721"/>
      <c r="L18" s="4721"/>
      <c r="M18" s="4721"/>
      <c r="N18" s="4721"/>
      <c r="O18" s="4721"/>
    </row>
    <row r="19" spans="1:15" ht="22.5" customHeight="1" x14ac:dyDescent="0.2">
      <c r="A19" s="4721"/>
      <c r="B19" s="4721"/>
      <c r="C19" s="4725" t="s">
        <v>3828</v>
      </c>
      <c r="D19" s="4763">
        <f>'A23'!B215</f>
        <v>0</v>
      </c>
      <c r="E19" s="4726" t="str">
        <f>IF('A23'!A215=0,"SIN DATOS","")</f>
        <v>SIN DATOS</v>
      </c>
      <c r="F19" s="4721"/>
      <c r="G19" s="4721"/>
      <c r="H19" s="4721"/>
      <c r="I19" s="4721"/>
      <c r="J19" s="4721"/>
      <c r="K19" s="4721"/>
      <c r="L19" s="4721"/>
      <c r="M19" s="4721"/>
      <c r="N19" s="4721"/>
      <c r="O19" s="4721"/>
    </row>
    <row r="20" spans="1:15" ht="22.5" customHeight="1" x14ac:dyDescent="0.2">
      <c r="A20" s="4721"/>
      <c r="B20" s="4721"/>
      <c r="C20" s="4725" t="s">
        <v>3829</v>
      </c>
      <c r="D20" s="4762">
        <f>'A24'!B160</f>
        <v>0</v>
      </c>
      <c r="E20" s="4726" t="str">
        <f>IF('A24'!A160=0,"SIN DATOS","")</f>
        <v>SIN DATOS</v>
      </c>
      <c r="F20" s="4721"/>
      <c r="G20" s="4721"/>
      <c r="H20" s="4721"/>
      <c r="I20" s="4721"/>
      <c r="J20" s="4721"/>
      <c r="K20" s="4721"/>
      <c r="L20" s="4721"/>
      <c r="M20" s="4721"/>
      <c r="N20" s="4721"/>
      <c r="O20" s="4721"/>
    </row>
    <row r="21" spans="1:15" ht="22.5" customHeight="1" x14ac:dyDescent="0.2">
      <c r="A21" s="4721"/>
      <c r="B21" s="4721"/>
      <c r="C21" s="4725" t="s">
        <v>3830</v>
      </c>
      <c r="D21" s="4762">
        <f>'A25'!B320</f>
        <v>0</v>
      </c>
      <c r="E21" s="4726" t="str">
        <f>IF('A25'!A320=0,"SIN DATOS","")</f>
        <v>SIN DATOS</v>
      </c>
      <c r="F21" s="4721"/>
      <c r="G21" s="4721"/>
      <c r="H21" s="4721"/>
      <c r="I21" s="4721"/>
      <c r="J21" s="4721"/>
      <c r="K21" s="4721"/>
      <c r="L21" s="4721"/>
      <c r="M21" s="4721"/>
      <c r="N21" s="4721"/>
      <c r="O21" s="4721"/>
    </row>
    <row r="22" spans="1:15" ht="22.5" customHeight="1" x14ac:dyDescent="0.2">
      <c r="A22" s="4721"/>
      <c r="B22" s="4721"/>
      <c r="C22" s="4725" t="s">
        <v>3831</v>
      </c>
      <c r="D22" s="4762">
        <f>'A26'!B149</f>
        <v>0</v>
      </c>
      <c r="E22" s="4726" t="str">
        <f>IF('A26'!A149=0,"SIN DATOS","")</f>
        <v>SIN DATOS</v>
      </c>
      <c r="F22" s="4721"/>
      <c r="G22" s="4721"/>
      <c r="H22" s="4721"/>
      <c r="I22" s="4721"/>
      <c r="J22" s="4721"/>
      <c r="K22" s="4721"/>
      <c r="L22" s="4721"/>
      <c r="M22" s="4721"/>
      <c r="N22" s="4721"/>
      <c r="O22" s="4721"/>
    </row>
    <row r="23" spans="1:15" ht="22.5" customHeight="1" x14ac:dyDescent="0.2">
      <c r="A23" s="4721"/>
      <c r="B23" s="4721"/>
      <c r="C23" s="4725" t="s">
        <v>3832</v>
      </c>
      <c r="D23" s="4762">
        <f>'A27'!B229</f>
        <v>0</v>
      </c>
      <c r="E23" s="4726" t="str">
        <f>IF('A27'!A229=0,"SIN DATOS","")</f>
        <v>SIN DATOS</v>
      </c>
      <c r="F23" s="4721"/>
      <c r="G23" s="4721"/>
      <c r="H23" s="4721"/>
      <c r="I23" s="4721"/>
      <c r="J23" s="4721"/>
      <c r="K23" s="4721"/>
      <c r="L23" s="4721"/>
      <c r="M23" s="4721"/>
      <c r="N23" s="4721"/>
      <c r="O23" s="4721"/>
    </row>
    <row r="24" spans="1:15" ht="22.5" customHeight="1" x14ac:dyDescent="0.2">
      <c r="A24" s="4721"/>
      <c r="B24" s="4721"/>
      <c r="C24" s="4725" t="s">
        <v>3833</v>
      </c>
      <c r="D24" s="4762">
        <f>'A28'!B349</f>
        <v>0</v>
      </c>
      <c r="E24" s="4726" t="str">
        <f>IF('A28'!A349=0,"SIN DATOS","")</f>
        <v>SIN DATOS</v>
      </c>
      <c r="F24" s="4721"/>
      <c r="G24" s="4721"/>
      <c r="H24" s="4721"/>
      <c r="I24" s="4721"/>
      <c r="J24" s="4721"/>
      <c r="K24" s="4721"/>
      <c r="L24" s="4721"/>
      <c r="M24" s="4721"/>
      <c r="N24" s="4721"/>
      <c r="O24" s="4721"/>
    </row>
    <row r="25" spans="1:15" ht="22.5" customHeight="1" x14ac:dyDescent="0.2">
      <c r="A25" s="4721"/>
      <c r="B25" s="4721"/>
      <c r="C25" s="4725" t="s">
        <v>3834</v>
      </c>
      <c r="D25" s="4762">
        <f>'A29'!B198</f>
        <v>0</v>
      </c>
      <c r="E25" s="4726" t="str">
        <f>IF('A29'!A198=0,"SIN DATOS","")</f>
        <v>SIN DATOS</v>
      </c>
      <c r="F25" s="4721"/>
      <c r="G25" s="4721"/>
      <c r="H25" s="4721"/>
      <c r="I25" s="4721"/>
      <c r="J25" s="4721"/>
      <c r="K25" s="4721"/>
      <c r="L25" s="4721"/>
      <c r="M25" s="4721"/>
      <c r="N25" s="4721"/>
      <c r="O25" s="4721"/>
    </row>
    <row r="26" spans="1:15" ht="22.5" customHeight="1" x14ac:dyDescent="0.2">
      <c r="A26" s="4721"/>
      <c r="B26" s="4721"/>
      <c r="C26" s="4725" t="s">
        <v>3835</v>
      </c>
      <c r="D26" s="4762">
        <f>'A30'!B180</f>
        <v>0</v>
      </c>
      <c r="E26" s="4726" t="str">
        <f>IF('A30'!A180=0,"SIN DATOS","")</f>
        <v>SIN DATOS</v>
      </c>
      <c r="F26" s="4721"/>
      <c r="G26" s="4721"/>
      <c r="H26" s="4721"/>
      <c r="I26" s="4721"/>
      <c r="J26" s="4721"/>
      <c r="K26" s="4721"/>
      <c r="L26" s="4721"/>
      <c r="M26" s="4721"/>
      <c r="N26" s="4721"/>
      <c r="O26" s="4721"/>
    </row>
    <row r="27" spans="1:15" ht="22.5" customHeight="1" x14ac:dyDescent="0.2">
      <c r="A27" s="4721"/>
      <c r="B27" s="4721"/>
      <c r="C27" s="4725" t="s">
        <v>3836</v>
      </c>
      <c r="D27" s="4762">
        <f>A30AR!B150</f>
        <v>0</v>
      </c>
      <c r="E27" s="4726" t="str">
        <f>IF(A30AR!A150=0,"SIN DATOS","")</f>
        <v>SIN DATOS</v>
      </c>
      <c r="F27" s="4721"/>
      <c r="G27" s="4721"/>
      <c r="H27" s="4721"/>
      <c r="I27" s="4721"/>
      <c r="J27" s="4721"/>
      <c r="K27" s="4721"/>
      <c r="L27" s="4721"/>
      <c r="M27" s="4721"/>
      <c r="N27" s="4721"/>
      <c r="O27" s="4721"/>
    </row>
    <row r="28" spans="1:15" ht="22.5" customHeight="1" x14ac:dyDescent="0.2">
      <c r="A28" s="4721"/>
      <c r="B28" s="4721"/>
      <c r="C28" s="4725" t="s">
        <v>3837</v>
      </c>
      <c r="D28" s="4762">
        <f>'A31'!B130</f>
        <v>0</v>
      </c>
      <c r="E28" s="4726" t="str">
        <f>IF('A31'!A130=0,"SIN DATOS","")</f>
        <v>SIN DATOS</v>
      </c>
      <c r="F28" s="4721"/>
      <c r="G28" s="4721"/>
      <c r="H28" s="4721"/>
      <c r="I28" s="4721"/>
      <c r="J28" s="4721"/>
      <c r="K28" s="4721"/>
      <c r="L28" s="4721"/>
      <c r="M28" s="4721"/>
      <c r="N28" s="4721"/>
      <c r="O28" s="4721"/>
    </row>
    <row r="29" spans="1:15" ht="22.5" customHeight="1" x14ac:dyDescent="0.2">
      <c r="A29" s="4721"/>
      <c r="B29" s="4721"/>
      <c r="C29" s="4725" t="s">
        <v>3838</v>
      </c>
      <c r="D29" s="4762">
        <f>'A32'!B240</f>
        <v>0</v>
      </c>
      <c r="E29" s="4726" t="str">
        <f>IF('A32'!A240=0,"SIN DATOS","")</f>
        <v>SIN DATOS</v>
      </c>
      <c r="F29" s="4721"/>
      <c r="G29" s="4721"/>
      <c r="H29" s="4721"/>
      <c r="I29" s="4721"/>
      <c r="J29" s="4721"/>
      <c r="K29" s="4721"/>
      <c r="L29" s="4721"/>
      <c r="M29" s="4721"/>
      <c r="N29" s="4721"/>
      <c r="O29" s="4721"/>
    </row>
    <row r="30" spans="1:15" ht="22.5" customHeight="1" thickBot="1" x14ac:dyDescent="0.25">
      <c r="A30" s="4721"/>
      <c r="B30" s="4721"/>
      <c r="C30" s="4727" t="s">
        <v>3839</v>
      </c>
      <c r="D30" s="4764">
        <f>'A33'!B150</f>
        <v>0</v>
      </c>
      <c r="E30" s="4726" t="str">
        <f>IF('A33'!A150=0,"SIN DATOS","")</f>
        <v>SIN DATOS</v>
      </c>
      <c r="F30" s="4721"/>
      <c r="G30" s="4721"/>
      <c r="H30" s="4721"/>
      <c r="I30" s="4721"/>
      <c r="J30" s="4721"/>
      <c r="K30" s="4721"/>
      <c r="L30" s="4721"/>
      <c r="M30" s="4721"/>
      <c r="N30" s="4721"/>
      <c r="O30" s="4721"/>
    </row>
    <row r="31" spans="1:15" ht="27.75" customHeight="1" thickTop="1" x14ac:dyDescent="0.2">
      <c r="A31" s="4721"/>
      <c r="B31" s="4721"/>
      <c r="C31" s="4729" t="s">
        <v>24</v>
      </c>
      <c r="D31" s="4765">
        <f>SUM(D4:D30)</f>
        <v>3</v>
      </c>
      <c r="E31" s="4721"/>
      <c r="F31" s="4721"/>
      <c r="G31" s="4721"/>
      <c r="H31" s="4721"/>
      <c r="I31" s="4721"/>
      <c r="J31" s="4721"/>
      <c r="K31" s="4721"/>
      <c r="L31" s="4721"/>
      <c r="M31" s="4721"/>
      <c r="N31" s="4721"/>
      <c r="O31" s="4721"/>
    </row>
    <row r="32" spans="1:15" x14ac:dyDescent="0.2">
      <c r="A32" s="4721"/>
      <c r="B32" s="4721"/>
      <c r="C32" s="4721"/>
      <c r="D32" s="4721"/>
      <c r="E32" s="4721"/>
      <c r="F32" s="4721"/>
      <c r="G32" s="4721"/>
      <c r="H32" s="4721"/>
      <c r="I32" s="4721"/>
      <c r="J32" s="4721"/>
      <c r="K32" s="4721"/>
      <c r="L32" s="4721"/>
      <c r="M32" s="4721"/>
      <c r="N32" s="4721"/>
      <c r="O32" s="4721"/>
    </row>
    <row r="33" spans="1:15" x14ac:dyDescent="0.2">
      <c r="A33" s="4721"/>
      <c r="B33" s="4721"/>
      <c r="C33" s="4721"/>
      <c r="D33" s="4721"/>
      <c r="E33" s="4721"/>
      <c r="F33" s="4721"/>
      <c r="G33" s="4721"/>
      <c r="H33" s="4721"/>
      <c r="I33" s="4721"/>
      <c r="J33" s="4721"/>
      <c r="K33" s="4721"/>
      <c r="L33" s="4721"/>
      <c r="M33" s="4721"/>
      <c r="N33" s="4721"/>
      <c r="O33" s="4721"/>
    </row>
    <row r="34" spans="1:15" x14ac:dyDescent="0.2">
      <c r="A34" s="4721"/>
      <c r="B34" s="4721"/>
      <c r="C34" s="4721"/>
      <c r="D34" s="4721"/>
      <c r="E34" s="4721"/>
      <c r="F34" s="4721"/>
      <c r="G34" s="4721"/>
      <c r="H34" s="4721"/>
      <c r="I34" s="4721"/>
      <c r="J34" s="4721"/>
      <c r="K34" s="4721"/>
      <c r="L34" s="4721"/>
      <c r="M34" s="4721"/>
      <c r="N34" s="4721"/>
      <c r="O34" s="4721"/>
    </row>
    <row r="35" spans="1:15" x14ac:dyDescent="0.2">
      <c r="A35" s="4721"/>
      <c r="B35" s="4721"/>
      <c r="C35" s="4721"/>
      <c r="D35" s="4721"/>
      <c r="E35" s="4721"/>
      <c r="F35" s="4721"/>
      <c r="G35" s="4721"/>
      <c r="H35" s="4721"/>
      <c r="I35" s="4721"/>
      <c r="J35" s="4721"/>
      <c r="K35" s="4721"/>
      <c r="L35" s="4721"/>
      <c r="M35" s="4721"/>
      <c r="N35" s="4721"/>
      <c r="O35" s="4721"/>
    </row>
    <row r="36" spans="1:15" x14ac:dyDescent="0.2">
      <c r="A36" s="4721"/>
      <c r="B36" s="4721"/>
      <c r="C36" s="4721"/>
      <c r="D36" s="4721"/>
      <c r="E36" s="4721"/>
      <c r="F36" s="4721"/>
      <c r="G36" s="4721"/>
      <c r="H36" s="4721"/>
      <c r="I36" s="4721"/>
      <c r="J36" s="4721"/>
      <c r="K36" s="4721"/>
      <c r="L36" s="4721"/>
      <c r="M36" s="4721"/>
      <c r="N36" s="4721"/>
      <c r="O36" s="4721"/>
    </row>
    <row r="37" spans="1:15" x14ac:dyDescent="0.2">
      <c r="A37" s="4721"/>
      <c r="B37" s="4721"/>
      <c r="C37" s="4721"/>
      <c r="D37" s="4721"/>
      <c r="E37" s="4721"/>
      <c r="F37" s="4721"/>
      <c r="G37" s="4721"/>
      <c r="H37" s="4721"/>
      <c r="I37" s="4721"/>
      <c r="J37" s="4721"/>
      <c r="K37" s="4721"/>
      <c r="L37" s="4721"/>
      <c r="M37" s="4721"/>
      <c r="N37" s="4721"/>
      <c r="O37" s="4721"/>
    </row>
    <row r="38" spans="1:15" x14ac:dyDescent="0.2">
      <c r="A38" s="4721"/>
      <c r="B38" s="4721"/>
      <c r="C38" s="4721"/>
      <c r="D38" s="4721"/>
      <c r="E38" s="4721"/>
      <c r="F38" s="4721"/>
      <c r="G38" s="4721"/>
      <c r="H38" s="4721"/>
      <c r="I38" s="4721"/>
      <c r="J38" s="4721"/>
      <c r="K38" s="4721"/>
      <c r="L38" s="4721"/>
      <c r="M38" s="4721"/>
      <c r="N38" s="4721"/>
      <c r="O38" s="4721"/>
    </row>
    <row r="39" spans="1:15" x14ac:dyDescent="0.2">
      <c r="A39" s="4721"/>
      <c r="B39" s="4721"/>
      <c r="C39" s="4721"/>
      <c r="D39" s="4721"/>
      <c r="E39" s="4721"/>
      <c r="F39" s="4721"/>
      <c r="G39" s="4721"/>
      <c r="H39" s="4721"/>
      <c r="I39" s="4721"/>
      <c r="J39" s="4721"/>
      <c r="K39" s="4721"/>
      <c r="L39" s="4721"/>
      <c r="M39" s="4721"/>
      <c r="N39" s="4721"/>
      <c r="O39" s="4721"/>
    </row>
    <row r="40" spans="1:15" x14ac:dyDescent="0.2">
      <c r="A40" s="4721"/>
      <c r="B40" s="4721"/>
      <c r="C40" s="4721"/>
      <c r="D40" s="4721"/>
      <c r="E40" s="4721"/>
      <c r="F40" s="4721"/>
      <c r="G40" s="4721"/>
      <c r="H40" s="4721"/>
      <c r="I40" s="4721"/>
      <c r="J40" s="4721"/>
      <c r="K40" s="4721"/>
      <c r="L40" s="4721"/>
      <c r="M40" s="4721"/>
      <c r="N40" s="4721"/>
      <c r="O40" s="4721"/>
    </row>
    <row r="41" spans="1:15" x14ac:dyDescent="0.2">
      <c r="A41" s="4721"/>
      <c r="B41" s="4721"/>
      <c r="C41" s="4721"/>
      <c r="D41" s="4721"/>
      <c r="E41" s="4721"/>
      <c r="F41" s="4721"/>
      <c r="G41" s="4721"/>
      <c r="H41" s="4721"/>
      <c r="I41" s="4721"/>
      <c r="J41" s="4721"/>
      <c r="K41" s="4721"/>
      <c r="L41" s="4721"/>
      <c r="M41" s="4721"/>
      <c r="N41" s="4721"/>
      <c r="O41" s="4721"/>
    </row>
    <row r="42" spans="1:15" x14ac:dyDescent="0.2">
      <c r="A42" s="4721"/>
      <c r="B42" s="4721"/>
      <c r="C42" s="4721"/>
      <c r="D42" s="4721"/>
      <c r="E42" s="4721"/>
      <c r="F42" s="4721"/>
      <c r="G42" s="4721"/>
      <c r="H42" s="4721"/>
      <c r="I42" s="4721"/>
      <c r="J42" s="4721"/>
      <c r="K42" s="4721"/>
      <c r="L42" s="4721"/>
      <c r="M42" s="4721"/>
      <c r="N42" s="4721"/>
      <c r="O42" s="4721"/>
    </row>
    <row r="43" spans="1:15" x14ac:dyDescent="0.2">
      <c r="A43" s="4721"/>
      <c r="B43" s="4721"/>
      <c r="C43" s="4721"/>
      <c r="D43" s="4721"/>
      <c r="E43" s="4721"/>
      <c r="F43" s="4721"/>
      <c r="G43" s="4721"/>
      <c r="H43" s="4721"/>
      <c r="I43" s="4721"/>
      <c r="J43" s="4721"/>
      <c r="K43" s="4721"/>
      <c r="L43" s="4721"/>
      <c r="M43" s="4721"/>
      <c r="N43" s="4721"/>
      <c r="O43" s="4721"/>
    </row>
    <row r="44" spans="1:15" x14ac:dyDescent="0.2">
      <c r="A44" s="4721"/>
      <c r="B44" s="4721"/>
      <c r="C44" s="4721"/>
      <c r="D44" s="4721"/>
      <c r="E44" s="4721"/>
      <c r="F44" s="4721"/>
      <c r="G44" s="4721"/>
      <c r="H44" s="4721"/>
      <c r="I44" s="4721"/>
      <c r="J44" s="4721"/>
      <c r="K44" s="4721"/>
      <c r="L44" s="4721"/>
      <c r="M44" s="4721"/>
      <c r="N44" s="4721"/>
      <c r="O44" s="4721"/>
    </row>
    <row r="45" spans="1:15" x14ac:dyDescent="0.2">
      <c r="A45" s="4721"/>
      <c r="B45" s="4721"/>
      <c r="C45" s="4721"/>
      <c r="D45" s="4721"/>
      <c r="E45" s="4721"/>
      <c r="F45" s="4721"/>
      <c r="G45" s="4721"/>
      <c r="H45" s="4721"/>
      <c r="I45" s="4721"/>
      <c r="J45" s="4721"/>
      <c r="K45" s="4721"/>
      <c r="L45" s="4721"/>
      <c r="M45" s="4721"/>
      <c r="N45" s="4721"/>
      <c r="O45" s="4721"/>
    </row>
    <row r="46" spans="1:15" x14ac:dyDescent="0.2">
      <c r="A46" s="4721"/>
      <c r="B46" s="4721"/>
      <c r="C46" s="4721"/>
      <c r="D46" s="4721"/>
      <c r="E46" s="4721"/>
      <c r="F46" s="4721"/>
      <c r="G46" s="4721"/>
      <c r="H46" s="4721"/>
      <c r="I46" s="4721"/>
      <c r="J46" s="4721"/>
      <c r="K46" s="4721"/>
      <c r="L46" s="4721"/>
      <c r="M46" s="4721"/>
      <c r="N46" s="4721"/>
      <c r="O46" s="4721"/>
    </row>
    <row r="47" spans="1:15" x14ac:dyDescent="0.2">
      <c r="A47" s="4721"/>
      <c r="B47" s="4721"/>
      <c r="C47" s="4721"/>
      <c r="D47" s="4721"/>
      <c r="E47" s="4721"/>
      <c r="F47" s="4721"/>
      <c r="G47" s="4721"/>
      <c r="H47" s="4721"/>
      <c r="I47" s="4721"/>
      <c r="J47" s="4721"/>
      <c r="K47" s="4721"/>
      <c r="L47" s="4721"/>
      <c r="M47" s="4721"/>
      <c r="N47" s="4721"/>
      <c r="O47" s="4721"/>
    </row>
    <row r="48" spans="1:15" x14ac:dyDescent="0.2">
      <c r="A48" s="4721"/>
      <c r="B48" s="4721"/>
      <c r="C48" s="4721"/>
      <c r="D48" s="4721"/>
      <c r="E48" s="4721"/>
      <c r="F48" s="4721"/>
      <c r="G48" s="4721"/>
      <c r="H48" s="4721"/>
      <c r="I48" s="4721"/>
      <c r="J48" s="4721"/>
      <c r="K48" s="4721"/>
      <c r="L48" s="4721"/>
      <c r="M48" s="4721"/>
      <c r="N48" s="4721"/>
      <c r="O48" s="4721"/>
    </row>
    <row r="49" spans="1:15" x14ac:dyDescent="0.2">
      <c r="A49" s="4721"/>
      <c r="B49" s="4721"/>
      <c r="C49" s="4721"/>
      <c r="D49" s="4721"/>
      <c r="E49" s="4721"/>
      <c r="F49" s="4721"/>
      <c r="G49" s="4721"/>
      <c r="H49" s="4721"/>
      <c r="I49" s="4721"/>
      <c r="J49" s="4721"/>
      <c r="K49" s="4721"/>
      <c r="L49" s="4721"/>
      <c r="M49" s="4721"/>
      <c r="N49" s="4721"/>
      <c r="O49" s="4721"/>
    </row>
    <row r="50" spans="1:15" x14ac:dyDescent="0.2">
      <c r="A50" s="4721"/>
      <c r="B50" s="4721"/>
      <c r="C50" s="4721"/>
      <c r="D50" s="4721"/>
      <c r="E50" s="4721"/>
      <c r="F50" s="4721"/>
      <c r="G50" s="4721"/>
      <c r="H50" s="4721"/>
      <c r="I50" s="4721"/>
      <c r="J50" s="4721"/>
      <c r="K50" s="4721"/>
      <c r="L50" s="4721"/>
      <c r="M50" s="4721"/>
      <c r="N50" s="4721"/>
      <c r="O50" s="4721"/>
    </row>
    <row r="51" spans="1:15" x14ac:dyDescent="0.2">
      <c r="A51" s="4721"/>
      <c r="B51" s="4721"/>
      <c r="C51" s="4721"/>
      <c r="D51" s="4721"/>
      <c r="E51" s="4721"/>
      <c r="F51" s="4721"/>
      <c r="G51" s="4721"/>
      <c r="H51" s="4721"/>
      <c r="I51" s="4721"/>
      <c r="J51" s="4721"/>
      <c r="K51" s="4721"/>
      <c r="L51" s="4721"/>
      <c r="M51" s="4721"/>
      <c r="N51" s="4721"/>
      <c r="O51" s="4721"/>
    </row>
    <row r="52" spans="1:15" x14ac:dyDescent="0.2">
      <c r="A52" s="4721"/>
      <c r="B52" s="4721"/>
      <c r="C52" s="4721"/>
      <c r="D52" s="4721"/>
      <c r="E52" s="4721"/>
      <c r="F52" s="4721"/>
      <c r="G52" s="4721"/>
      <c r="H52" s="4721"/>
      <c r="I52" s="4721"/>
      <c r="J52" s="4721"/>
      <c r="K52" s="4721"/>
      <c r="L52" s="4721"/>
      <c r="M52" s="4721"/>
      <c r="N52" s="4721"/>
      <c r="O52" s="4721"/>
    </row>
    <row r="53" spans="1:15" x14ac:dyDescent="0.2">
      <c r="A53" s="4721"/>
      <c r="B53" s="4721"/>
      <c r="C53" s="4721"/>
      <c r="D53" s="4721"/>
      <c r="E53" s="4721"/>
      <c r="F53" s="4721"/>
      <c r="G53" s="4721"/>
      <c r="H53" s="4721"/>
      <c r="I53" s="4721"/>
      <c r="J53" s="4721"/>
      <c r="K53" s="4721"/>
      <c r="L53" s="4721"/>
      <c r="M53" s="4721"/>
      <c r="N53" s="4721"/>
      <c r="O53" s="4721"/>
    </row>
    <row r="54" spans="1:15" x14ac:dyDescent="0.2">
      <c r="A54" s="4721"/>
      <c r="B54" s="4721"/>
      <c r="C54" s="4721"/>
      <c r="D54" s="4721"/>
      <c r="E54" s="4721"/>
      <c r="F54" s="4721"/>
      <c r="G54" s="4721"/>
      <c r="H54" s="4721"/>
      <c r="I54" s="4721"/>
      <c r="J54" s="4721"/>
      <c r="K54" s="4721"/>
      <c r="L54" s="4721"/>
      <c r="M54" s="4721"/>
      <c r="N54" s="4721"/>
      <c r="O54" s="4721"/>
    </row>
    <row r="55" spans="1:15" x14ac:dyDescent="0.2">
      <c r="A55" s="4721"/>
      <c r="B55" s="4721"/>
      <c r="C55" s="4721"/>
      <c r="D55" s="4721"/>
      <c r="E55" s="4721"/>
      <c r="F55" s="4721"/>
      <c r="G55" s="4721"/>
      <c r="H55" s="4721"/>
      <c r="I55" s="4721"/>
      <c r="J55" s="4721"/>
      <c r="K55" s="4721"/>
      <c r="L55" s="4721"/>
      <c r="M55" s="4721"/>
      <c r="N55" s="4721"/>
      <c r="O55" s="4721"/>
    </row>
    <row r="56" spans="1:15" x14ac:dyDescent="0.2">
      <c r="A56" s="4721"/>
      <c r="B56" s="4721"/>
      <c r="C56" s="4721"/>
      <c r="D56" s="4721"/>
      <c r="E56" s="4721"/>
      <c r="F56" s="4721"/>
      <c r="G56" s="4721"/>
      <c r="H56" s="4721"/>
      <c r="I56" s="4721"/>
      <c r="J56" s="4721"/>
      <c r="K56" s="4721"/>
      <c r="L56" s="4721"/>
      <c r="M56" s="4721"/>
      <c r="N56" s="4721"/>
      <c r="O56" s="4721"/>
    </row>
    <row r="57" spans="1:15" x14ac:dyDescent="0.2">
      <c r="A57" s="4721"/>
      <c r="B57" s="4721"/>
      <c r="C57" s="4721"/>
      <c r="D57" s="4721"/>
      <c r="E57" s="4721"/>
      <c r="F57" s="4721"/>
      <c r="G57" s="4721"/>
      <c r="H57" s="4721"/>
      <c r="I57" s="4721"/>
      <c r="J57" s="4721"/>
      <c r="K57" s="4721"/>
      <c r="L57" s="4721"/>
      <c r="M57" s="4721"/>
      <c r="N57" s="4721"/>
      <c r="O57" s="4721"/>
    </row>
    <row r="58" spans="1:15" x14ac:dyDescent="0.2">
      <c r="A58" s="4721"/>
      <c r="B58" s="4721"/>
      <c r="C58" s="4721"/>
      <c r="D58" s="4721"/>
      <c r="E58" s="4721"/>
      <c r="F58" s="4721"/>
      <c r="G58" s="4721"/>
      <c r="H58" s="4721"/>
      <c r="I58" s="4721"/>
      <c r="J58" s="4721"/>
      <c r="K58" s="4721"/>
      <c r="L58" s="4721"/>
      <c r="M58" s="4721"/>
      <c r="N58" s="4721"/>
      <c r="O58" s="4721"/>
    </row>
    <row r="59" spans="1:15" x14ac:dyDescent="0.2">
      <c r="A59" s="4721"/>
      <c r="B59" s="4721"/>
      <c r="C59" s="4721"/>
      <c r="D59" s="4721"/>
      <c r="E59" s="4721"/>
      <c r="F59" s="4721"/>
      <c r="G59" s="4721"/>
      <c r="H59" s="4721"/>
      <c r="I59" s="4721"/>
      <c r="J59" s="4721"/>
      <c r="K59" s="4721"/>
      <c r="L59" s="4721"/>
      <c r="M59" s="4721"/>
      <c r="N59" s="4721"/>
      <c r="O59" s="4721"/>
    </row>
    <row r="60" spans="1:15" x14ac:dyDescent="0.2">
      <c r="A60" s="4721"/>
      <c r="B60" s="4721"/>
      <c r="C60" s="4721"/>
      <c r="D60" s="4721"/>
      <c r="E60" s="4721"/>
      <c r="F60" s="4721"/>
      <c r="G60" s="4721"/>
      <c r="H60" s="4721"/>
      <c r="I60" s="4721"/>
      <c r="J60" s="4721"/>
      <c r="K60" s="4721"/>
      <c r="L60" s="4721"/>
      <c r="M60" s="4721"/>
      <c r="N60" s="4721"/>
      <c r="O60" s="4721"/>
    </row>
    <row r="61" spans="1:15" x14ac:dyDescent="0.2">
      <c r="A61" s="4721"/>
      <c r="B61" s="4721"/>
      <c r="C61" s="4721"/>
      <c r="D61" s="4721"/>
      <c r="E61" s="4721"/>
      <c r="F61" s="4721"/>
      <c r="G61" s="4721"/>
      <c r="H61" s="4721"/>
      <c r="I61" s="4721"/>
      <c r="J61" s="4721"/>
      <c r="K61" s="4721"/>
      <c r="L61" s="4721"/>
      <c r="M61" s="4721"/>
      <c r="N61" s="4721"/>
      <c r="O61" s="4721"/>
    </row>
    <row r="62" spans="1:15" x14ac:dyDescent="0.2">
      <c r="A62" s="4721"/>
      <c r="B62" s="4721"/>
      <c r="C62" s="4721"/>
      <c r="D62" s="4721"/>
      <c r="E62" s="4721"/>
      <c r="F62" s="4721"/>
      <c r="G62" s="4721"/>
      <c r="H62" s="4721"/>
      <c r="I62" s="4721"/>
      <c r="J62" s="4721"/>
      <c r="K62" s="4721"/>
      <c r="L62" s="4721"/>
      <c r="M62" s="4721"/>
      <c r="N62" s="4721"/>
      <c r="O62" s="4721"/>
    </row>
    <row r="63" spans="1:15" x14ac:dyDescent="0.2">
      <c r="A63" s="4721"/>
      <c r="B63" s="4721"/>
      <c r="C63" s="4721"/>
      <c r="D63" s="4721"/>
      <c r="E63" s="4721"/>
      <c r="F63" s="4721"/>
      <c r="G63" s="4721"/>
      <c r="H63" s="4721"/>
      <c r="I63" s="4721"/>
      <c r="J63" s="4721"/>
      <c r="K63" s="4721"/>
      <c r="L63" s="4721"/>
      <c r="M63" s="4721"/>
      <c r="N63" s="4721"/>
      <c r="O63" s="4721"/>
    </row>
    <row r="64" spans="1:15" x14ac:dyDescent="0.2">
      <c r="A64" s="4721"/>
      <c r="B64" s="4721"/>
      <c r="C64" s="4721"/>
      <c r="D64" s="4721"/>
      <c r="E64" s="4721"/>
      <c r="F64" s="4721"/>
      <c r="G64" s="4721"/>
      <c r="H64" s="4721"/>
      <c r="I64" s="4721"/>
      <c r="J64" s="4721"/>
      <c r="K64" s="4721"/>
      <c r="L64" s="4721"/>
      <c r="M64" s="4721"/>
      <c r="N64" s="4721"/>
      <c r="O64" s="4721"/>
    </row>
    <row r="141" spans="16:146" s="4728" customFormat="1" x14ac:dyDescent="0.2">
      <c r="P141" s="4721"/>
      <c r="Q141" s="4721"/>
      <c r="R141" s="4721"/>
      <c r="S141" s="4721"/>
      <c r="T141" s="4721"/>
      <c r="U141" s="4721"/>
      <c r="V141" s="4721"/>
      <c r="W141" s="4721"/>
      <c r="X141" s="4721"/>
      <c r="Y141" s="4721"/>
      <c r="Z141" s="4721"/>
      <c r="AA141" s="4721"/>
      <c r="AB141" s="4721"/>
      <c r="AC141" s="4721"/>
      <c r="AD141" s="4721"/>
      <c r="AE141" s="4721"/>
      <c r="AF141" s="4721"/>
      <c r="AG141" s="4721"/>
      <c r="AH141" s="4721"/>
      <c r="AI141" s="4721"/>
      <c r="AJ141" s="4721"/>
      <c r="AK141" s="4721"/>
      <c r="AL141" s="4721"/>
      <c r="AM141" s="4721"/>
      <c r="AN141" s="4721"/>
      <c r="AO141" s="4721"/>
      <c r="AP141" s="4721"/>
      <c r="AQ141" s="4721"/>
      <c r="AR141" s="4721"/>
      <c r="AS141" s="4721"/>
      <c r="AT141" s="4721"/>
      <c r="AU141" s="4721"/>
      <c r="AV141" s="4721"/>
      <c r="AW141" s="4721"/>
      <c r="AX141" s="4721"/>
      <c r="AY141" s="4721"/>
      <c r="AZ141" s="4721"/>
      <c r="BA141" s="4721"/>
      <c r="BB141" s="4721"/>
      <c r="BC141" s="4721"/>
      <c r="BD141" s="4721"/>
      <c r="BE141" s="4721"/>
      <c r="BF141" s="4721"/>
      <c r="BG141" s="4721"/>
      <c r="BH141" s="4721"/>
      <c r="BI141" s="4721"/>
      <c r="BJ141" s="4721"/>
      <c r="BK141" s="4721"/>
      <c r="BL141" s="4721"/>
      <c r="BM141" s="4721"/>
      <c r="BN141" s="4721"/>
      <c r="BO141" s="4721"/>
      <c r="BP141" s="4721"/>
      <c r="BQ141" s="4721"/>
      <c r="BR141" s="4721"/>
      <c r="BS141" s="4721"/>
      <c r="BT141" s="4721"/>
      <c r="BU141" s="4721"/>
      <c r="BV141" s="4721"/>
      <c r="BW141" s="4721"/>
      <c r="BX141" s="4721"/>
      <c r="BY141" s="4721"/>
      <c r="BZ141" s="4721"/>
      <c r="CA141" s="4721"/>
      <c r="CB141" s="4721"/>
      <c r="CC141" s="4721"/>
      <c r="CD141" s="4721"/>
      <c r="CE141" s="4721"/>
      <c r="CF141" s="4721"/>
      <c r="CG141" s="4721"/>
      <c r="CH141" s="4721"/>
      <c r="CI141" s="4721"/>
      <c r="CJ141" s="4721"/>
      <c r="CK141" s="4721"/>
      <c r="CL141" s="4721"/>
      <c r="CM141" s="4721"/>
      <c r="CN141" s="4721"/>
      <c r="CO141" s="4721"/>
      <c r="CP141" s="4721"/>
      <c r="CQ141" s="4721"/>
      <c r="CR141" s="4721"/>
      <c r="CS141" s="4721"/>
      <c r="CT141" s="4721"/>
      <c r="CU141" s="4721"/>
      <c r="CV141" s="4721"/>
      <c r="CW141" s="4721"/>
      <c r="CX141" s="4721"/>
      <c r="CY141" s="4721"/>
      <c r="CZ141" s="4721"/>
      <c r="DA141" s="4721"/>
      <c r="DB141" s="4721"/>
      <c r="DC141" s="4721"/>
      <c r="DD141" s="4721"/>
      <c r="DE141" s="4721"/>
      <c r="DF141" s="4721"/>
      <c r="DG141" s="4721"/>
      <c r="DH141" s="4721"/>
      <c r="DI141" s="4721"/>
      <c r="DJ141" s="4721"/>
      <c r="DK141" s="4721"/>
      <c r="DL141" s="4721"/>
      <c r="DM141" s="4721"/>
      <c r="DN141" s="4721"/>
      <c r="DO141" s="4721"/>
      <c r="DP141" s="4721"/>
      <c r="DQ141" s="4721"/>
      <c r="DR141" s="4721"/>
      <c r="DS141" s="4721"/>
      <c r="DT141" s="4721"/>
      <c r="DU141" s="4721"/>
      <c r="DV141" s="4721"/>
      <c r="DW141" s="4721"/>
      <c r="DX141" s="4721"/>
      <c r="DY141" s="4721"/>
      <c r="DZ141" s="4721"/>
      <c r="EA141" s="4721"/>
      <c r="EB141" s="4721"/>
      <c r="EC141" s="4721"/>
      <c r="ED141" s="4721"/>
      <c r="EE141" s="4721"/>
      <c r="EF141" s="4721"/>
      <c r="EG141" s="4721"/>
      <c r="EH141" s="4721"/>
      <c r="EI141" s="4721"/>
      <c r="EJ141" s="4721"/>
      <c r="EK141" s="4721"/>
      <c r="EL141" s="4721"/>
      <c r="EM141" s="4721"/>
      <c r="EN141" s="4721"/>
      <c r="EO141" s="4721"/>
      <c r="EP141" s="4721"/>
    </row>
  </sheetData>
  <mergeCells count="1">
    <mergeCell ref="C1:E1"/>
  </mergeCells>
  <dataValidations disablePrompts="1" count="1">
    <dataValidation type="list" allowBlank="1" showInputMessage="1" showErrorMessage="1" sqref="WVA983051:WVA983069 IO5:IO30 SK5:SK30 ACG5:ACG30 AMC5:AMC30 AVY5:AVY30 BFU5:BFU30 BPQ5:BPQ30 BZM5:BZM30 CJI5:CJI30 CTE5:CTE30 DDA5:DDA30 DMW5:DMW30 DWS5:DWS30 EGO5:EGO30 EQK5:EQK30 FAG5:FAG30 FKC5:FKC30 FTY5:FTY30 GDU5:GDU30 GNQ5:GNQ30 GXM5:GXM30 HHI5:HHI30 HRE5:HRE30 IBA5:IBA30 IKW5:IKW30 IUS5:IUS30 JEO5:JEO30 JOK5:JOK30 JYG5:JYG30 KIC5:KIC30 KRY5:KRY30 LBU5:LBU30 LLQ5:LLQ30 LVM5:LVM30 MFI5:MFI30 MPE5:MPE30 MZA5:MZA30 NIW5:NIW30 NSS5:NSS30 OCO5:OCO30 OMK5:OMK30 OWG5:OWG30 PGC5:PGC30 PPY5:PPY30 PZU5:PZU30 QJQ5:QJQ30 QTM5:QTM30 RDI5:RDI30 RNE5:RNE30 RXA5:RXA30 SGW5:SGW30 SQS5:SQS30 TAO5:TAO30 TKK5:TKK30 TUG5:TUG30 UEC5:UEC30 UNY5:UNY30 UXU5:UXU30 VHQ5:VHQ30 VRM5:VRM30 WBI5:WBI30 WLE5:WLE30 WVA5:WVA30 IO65547:IO65565 SK65547:SK65565 ACG65547:ACG65565 AMC65547:AMC65565 AVY65547:AVY65565 BFU65547:BFU65565 BPQ65547:BPQ65565 BZM65547:BZM65565 CJI65547:CJI65565 CTE65547:CTE65565 DDA65547:DDA65565 DMW65547:DMW65565 DWS65547:DWS65565 EGO65547:EGO65565 EQK65547:EQK65565 FAG65547:FAG65565 FKC65547:FKC65565 FTY65547:FTY65565 GDU65547:GDU65565 GNQ65547:GNQ65565 GXM65547:GXM65565 HHI65547:HHI65565 HRE65547:HRE65565 IBA65547:IBA65565 IKW65547:IKW65565 IUS65547:IUS65565 JEO65547:JEO65565 JOK65547:JOK65565 JYG65547:JYG65565 KIC65547:KIC65565 KRY65547:KRY65565 LBU65547:LBU65565 LLQ65547:LLQ65565 LVM65547:LVM65565 MFI65547:MFI65565 MPE65547:MPE65565 MZA65547:MZA65565 NIW65547:NIW65565 NSS65547:NSS65565 OCO65547:OCO65565 OMK65547:OMK65565 OWG65547:OWG65565 PGC65547:PGC65565 PPY65547:PPY65565 PZU65547:PZU65565 QJQ65547:QJQ65565 QTM65547:QTM65565 RDI65547:RDI65565 RNE65547:RNE65565 RXA65547:RXA65565 SGW65547:SGW65565 SQS65547:SQS65565 TAO65547:TAO65565 TKK65547:TKK65565 TUG65547:TUG65565 UEC65547:UEC65565 UNY65547:UNY65565 UXU65547:UXU65565 VHQ65547:VHQ65565 VRM65547:VRM65565 WBI65547:WBI65565 WLE65547:WLE65565 WVA65547:WVA65565 IO131083:IO131101 SK131083:SK131101 ACG131083:ACG131101 AMC131083:AMC131101 AVY131083:AVY131101 BFU131083:BFU131101 BPQ131083:BPQ131101 BZM131083:BZM131101 CJI131083:CJI131101 CTE131083:CTE131101 DDA131083:DDA131101 DMW131083:DMW131101 DWS131083:DWS131101 EGO131083:EGO131101 EQK131083:EQK131101 FAG131083:FAG131101 FKC131083:FKC131101 FTY131083:FTY131101 GDU131083:GDU131101 GNQ131083:GNQ131101 GXM131083:GXM131101 HHI131083:HHI131101 HRE131083:HRE131101 IBA131083:IBA131101 IKW131083:IKW131101 IUS131083:IUS131101 JEO131083:JEO131101 JOK131083:JOK131101 JYG131083:JYG131101 KIC131083:KIC131101 KRY131083:KRY131101 LBU131083:LBU131101 LLQ131083:LLQ131101 LVM131083:LVM131101 MFI131083:MFI131101 MPE131083:MPE131101 MZA131083:MZA131101 NIW131083:NIW131101 NSS131083:NSS131101 OCO131083:OCO131101 OMK131083:OMK131101 OWG131083:OWG131101 PGC131083:PGC131101 PPY131083:PPY131101 PZU131083:PZU131101 QJQ131083:QJQ131101 QTM131083:QTM131101 RDI131083:RDI131101 RNE131083:RNE131101 RXA131083:RXA131101 SGW131083:SGW131101 SQS131083:SQS131101 TAO131083:TAO131101 TKK131083:TKK131101 TUG131083:TUG131101 UEC131083:UEC131101 UNY131083:UNY131101 UXU131083:UXU131101 VHQ131083:VHQ131101 VRM131083:VRM131101 WBI131083:WBI131101 WLE131083:WLE131101 WVA131083:WVA131101 IO196619:IO196637 SK196619:SK196637 ACG196619:ACG196637 AMC196619:AMC196637 AVY196619:AVY196637 BFU196619:BFU196637 BPQ196619:BPQ196637 BZM196619:BZM196637 CJI196619:CJI196637 CTE196619:CTE196637 DDA196619:DDA196637 DMW196619:DMW196637 DWS196619:DWS196637 EGO196619:EGO196637 EQK196619:EQK196637 FAG196619:FAG196637 FKC196619:FKC196637 FTY196619:FTY196637 GDU196619:GDU196637 GNQ196619:GNQ196637 GXM196619:GXM196637 HHI196619:HHI196637 HRE196619:HRE196637 IBA196619:IBA196637 IKW196619:IKW196637 IUS196619:IUS196637 JEO196619:JEO196637 JOK196619:JOK196637 JYG196619:JYG196637 KIC196619:KIC196637 KRY196619:KRY196637 LBU196619:LBU196637 LLQ196619:LLQ196637 LVM196619:LVM196637 MFI196619:MFI196637 MPE196619:MPE196637 MZA196619:MZA196637 NIW196619:NIW196637 NSS196619:NSS196637 OCO196619:OCO196637 OMK196619:OMK196637 OWG196619:OWG196637 PGC196619:PGC196637 PPY196619:PPY196637 PZU196619:PZU196637 QJQ196619:QJQ196637 QTM196619:QTM196637 RDI196619:RDI196637 RNE196619:RNE196637 RXA196619:RXA196637 SGW196619:SGW196637 SQS196619:SQS196637 TAO196619:TAO196637 TKK196619:TKK196637 TUG196619:TUG196637 UEC196619:UEC196637 UNY196619:UNY196637 UXU196619:UXU196637 VHQ196619:VHQ196637 VRM196619:VRM196637 WBI196619:WBI196637 WLE196619:WLE196637 WVA196619:WVA196637 IO262155:IO262173 SK262155:SK262173 ACG262155:ACG262173 AMC262155:AMC262173 AVY262155:AVY262173 BFU262155:BFU262173 BPQ262155:BPQ262173 BZM262155:BZM262173 CJI262155:CJI262173 CTE262155:CTE262173 DDA262155:DDA262173 DMW262155:DMW262173 DWS262155:DWS262173 EGO262155:EGO262173 EQK262155:EQK262173 FAG262155:FAG262173 FKC262155:FKC262173 FTY262155:FTY262173 GDU262155:GDU262173 GNQ262155:GNQ262173 GXM262155:GXM262173 HHI262155:HHI262173 HRE262155:HRE262173 IBA262155:IBA262173 IKW262155:IKW262173 IUS262155:IUS262173 JEO262155:JEO262173 JOK262155:JOK262173 JYG262155:JYG262173 KIC262155:KIC262173 KRY262155:KRY262173 LBU262155:LBU262173 LLQ262155:LLQ262173 LVM262155:LVM262173 MFI262155:MFI262173 MPE262155:MPE262173 MZA262155:MZA262173 NIW262155:NIW262173 NSS262155:NSS262173 OCO262155:OCO262173 OMK262155:OMK262173 OWG262155:OWG262173 PGC262155:PGC262173 PPY262155:PPY262173 PZU262155:PZU262173 QJQ262155:QJQ262173 QTM262155:QTM262173 RDI262155:RDI262173 RNE262155:RNE262173 RXA262155:RXA262173 SGW262155:SGW262173 SQS262155:SQS262173 TAO262155:TAO262173 TKK262155:TKK262173 TUG262155:TUG262173 UEC262155:UEC262173 UNY262155:UNY262173 UXU262155:UXU262173 VHQ262155:VHQ262173 VRM262155:VRM262173 WBI262155:WBI262173 WLE262155:WLE262173 WVA262155:WVA262173 IO327691:IO327709 SK327691:SK327709 ACG327691:ACG327709 AMC327691:AMC327709 AVY327691:AVY327709 BFU327691:BFU327709 BPQ327691:BPQ327709 BZM327691:BZM327709 CJI327691:CJI327709 CTE327691:CTE327709 DDA327691:DDA327709 DMW327691:DMW327709 DWS327691:DWS327709 EGO327691:EGO327709 EQK327691:EQK327709 FAG327691:FAG327709 FKC327691:FKC327709 FTY327691:FTY327709 GDU327691:GDU327709 GNQ327691:GNQ327709 GXM327691:GXM327709 HHI327691:HHI327709 HRE327691:HRE327709 IBA327691:IBA327709 IKW327691:IKW327709 IUS327691:IUS327709 JEO327691:JEO327709 JOK327691:JOK327709 JYG327691:JYG327709 KIC327691:KIC327709 KRY327691:KRY327709 LBU327691:LBU327709 LLQ327691:LLQ327709 LVM327691:LVM327709 MFI327691:MFI327709 MPE327691:MPE327709 MZA327691:MZA327709 NIW327691:NIW327709 NSS327691:NSS327709 OCO327691:OCO327709 OMK327691:OMK327709 OWG327691:OWG327709 PGC327691:PGC327709 PPY327691:PPY327709 PZU327691:PZU327709 QJQ327691:QJQ327709 QTM327691:QTM327709 RDI327691:RDI327709 RNE327691:RNE327709 RXA327691:RXA327709 SGW327691:SGW327709 SQS327691:SQS327709 TAO327691:TAO327709 TKK327691:TKK327709 TUG327691:TUG327709 UEC327691:UEC327709 UNY327691:UNY327709 UXU327691:UXU327709 VHQ327691:VHQ327709 VRM327691:VRM327709 WBI327691:WBI327709 WLE327691:WLE327709 WVA327691:WVA327709 IO393227:IO393245 SK393227:SK393245 ACG393227:ACG393245 AMC393227:AMC393245 AVY393227:AVY393245 BFU393227:BFU393245 BPQ393227:BPQ393245 BZM393227:BZM393245 CJI393227:CJI393245 CTE393227:CTE393245 DDA393227:DDA393245 DMW393227:DMW393245 DWS393227:DWS393245 EGO393227:EGO393245 EQK393227:EQK393245 FAG393227:FAG393245 FKC393227:FKC393245 FTY393227:FTY393245 GDU393227:GDU393245 GNQ393227:GNQ393245 GXM393227:GXM393245 HHI393227:HHI393245 HRE393227:HRE393245 IBA393227:IBA393245 IKW393227:IKW393245 IUS393227:IUS393245 JEO393227:JEO393245 JOK393227:JOK393245 JYG393227:JYG393245 KIC393227:KIC393245 KRY393227:KRY393245 LBU393227:LBU393245 LLQ393227:LLQ393245 LVM393227:LVM393245 MFI393227:MFI393245 MPE393227:MPE393245 MZA393227:MZA393245 NIW393227:NIW393245 NSS393227:NSS393245 OCO393227:OCO393245 OMK393227:OMK393245 OWG393227:OWG393245 PGC393227:PGC393245 PPY393227:PPY393245 PZU393227:PZU393245 QJQ393227:QJQ393245 QTM393227:QTM393245 RDI393227:RDI393245 RNE393227:RNE393245 RXA393227:RXA393245 SGW393227:SGW393245 SQS393227:SQS393245 TAO393227:TAO393245 TKK393227:TKK393245 TUG393227:TUG393245 UEC393227:UEC393245 UNY393227:UNY393245 UXU393227:UXU393245 VHQ393227:VHQ393245 VRM393227:VRM393245 WBI393227:WBI393245 WLE393227:WLE393245 WVA393227:WVA393245 IO458763:IO458781 SK458763:SK458781 ACG458763:ACG458781 AMC458763:AMC458781 AVY458763:AVY458781 BFU458763:BFU458781 BPQ458763:BPQ458781 BZM458763:BZM458781 CJI458763:CJI458781 CTE458763:CTE458781 DDA458763:DDA458781 DMW458763:DMW458781 DWS458763:DWS458781 EGO458763:EGO458781 EQK458763:EQK458781 FAG458763:FAG458781 FKC458763:FKC458781 FTY458763:FTY458781 GDU458763:GDU458781 GNQ458763:GNQ458781 GXM458763:GXM458781 HHI458763:HHI458781 HRE458763:HRE458781 IBA458763:IBA458781 IKW458763:IKW458781 IUS458763:IUS458781 JEO458763:JEO458781 JOK458763:JOK458781 JYG458763:JYG458781 KIC458763:KIC458781 KRY458763:KRY458781 LBU458763:LBU458781 LLQ458763:LLQ458781 LVM458763:LVM458781 MFI458763:MFI458781 MPE458763:MPE458781 MZA458763:MZA458781 NIW458763:NIW458781 NSS458763:NSS458781 OCO458763:OCO458781 OMK458763:OMK458781 OWG458763:OWG458781 PGC458763:PGC458781 PPY458763:PPY458781 PZU458763:PZU458781 QJQ458763:QJQ458781 QTM458763:QTM458781 RDI458763:RDI458781 RNE458763:RNE458781 RXA458763:RXA458781 SGW458763:SGW458781 SQS458763:SQS458781 TAO458763:TAO458781 TKK458763:TKK458781 TUG458763:TUG458781 UEC458763:UEC458781 UNY458763:UNY458781 UXU458763:UXU458781 VHQ458763:VHQ458781 VRM458763:VRM458781 WBI458763:WBI458781 WLE458763:WLE458781 WVA458763:WVA458781 IO524299:IO524317 SK524299:SK524317 ACG524299:ACG524317 AMC524299:AMC524317 AVY524299:AVY524317 BFU524299:BFU524317 BPQ524299:BPQ524317 BZM524299:BZM524317 CJI524299:CJI524317 CTE524299:CTE524317 DDA524299:DDA524317 DMW524299:DMW524317 DWS524299:DWS524317 EGO524299:EGO524317 EQK524299:EQK524317 FAG524299:FAG524317 FKC524299:FKC524317 FTY524299:FTY524317 GDU524299:GDU524317 GNQ524299:GNQ524317 GXM524299:GXM524317 HHI524299:HHI524317 HRE524299:HRE524317 IBA524299:IBA524317 IKW524299:IKW524317 IUS524299:IUS524317 JEO524299:JEO524317 JOK524299:JOK524317 JYG524299:JYG524317 KIC524299:KIC524317 KRY524299:KRY524317 LBU524299:LBU524317 LLQ524299:LLQ524317 LVM524299:LVM524317 MFI524299:MFI524317 MPE524299:MPE524317 MZA524299:MZA524317 NIW524299:NIW524317 NSS524299:NSS524317 OCO524299:OCO524317 OMK524299:OMK524317 OWG524299:OWG524317 PGC524299:PGC524317 PPY524299:PPY524317 PZU524299:PZU524317 QJQ524299:QJQ524317 QTM524299:QTM524317 RDI524299:RDI524317 RNE524299:RNE524317 RXA524299:RXA524317 SGW524299:SGW524317 SQS524299:SQS524317 TAO524299:TAO524317 TKK524299:TKK524317 TUG524299:TUG524317 UEC524299:UEC524317 UNY524299:UNY524317 UXU524299:UXU524317 VHQ524299:VHQ524317 VRM524299:VRM524317 WBI524299:WBI524317 WLE524299:WLE524317 WVA524299:WVA524317 IO589835:IO589853 SK589835:SK589853 ACG589835:ACG589853 AMC589835:AMC589853 AVY589835:AVY589853 BFU589835:BFU589853 BPQ589835:BPQ589853 BZM589835:BZM589853 CJI589835:CJI589853 CTE589835:CTE589853 DDA589835:DDA589853 DMW589835:DMW589853 DWS589835:DWS589853 EGO589835:EGO589853 EQK589835:EQK589853 FAG589835:FAG589853 FKC589835:FKC589853 FTY589835:FTY589853 GDU589835:GDU589853 GNQ589835:GNQ589853 GXM589835:GXM589853 HHI589835:HHI589853 HRE589835:HRE589853 IBA589835:IBA589853 IKW589835:IKW589853 IUS589835:IUS589853 JEO589835:JEO589853 JOK589835:JOK589853 JYG589835:JYG589853 KIC589835:KIC589853 KRY589835:KRY589853 LBU589835:LBU589853 LLQ589835:LLQ589853 LVM589835:LVM589853 MFI589835:MFI589853 MPE589835:MPE589853 MZA589835:MZA589853 NIW589835:NIW589853 NSS589835:NSS589853 OCO589835:OCO589853 OMK589835:OMK589853 OWG589835:OWG589853 PGC589835:PGC589853 PPY589835:PPY589853 PZU589835:PZU589853 QJQ589835:QJQ589853 QTM589835:QTM589853 RDI589835:RDI589853 RNE589835:RNE589853 RXA589835:RXA589853 SGW589835:SGW589853 SQS589835:SQS589853 TAO589835:TAO589853 TKK589835:TKK589853 TUG589835:TUG589853 UEC589835:UEC589853 UNY589835:UNY589853 UXU589835:UXU589853 VHQ589835:VHQ589853 VRM589835:VRM589853 WBI589835:WBI589853 WLE589835:WLE589853 WVA589835:WVA589853 IO655371:IO655389 SK655371:SK655389 ACG655371:ACG655389 AMC655371:AMC655389 AVY655371:AVY655389 BFU655371:BFU655389 BPQ655371:BPQ655389 BZM655371:BZM655389 CJI655371:CJI655389 CTE655371:CTE655389 DDA655371:DDA655389 DMW655371:DMW655389 DWS655371:DWS655389 EGO655371:EGO655389 EQK655371:EQK655389 FAG655371:FAG655389 FKC655371:FKC655389 FTY655371:FTY655389 GDU655371:GDU655389 GNQ655371:GNQ655389 GXM655371:GXM655389 HHI655371:HHI655389 HRE655371:HRE655389 IBA655371:IBA655389 IKW655371:IKW655389 IUS655371:IUS655389 JEO655371:JEO655389 JOK655371:JOK655389 JYG655371:JYG655389 KIC655371:KIC655389 KRY655371:KRY655389 LBU655371:LBU655389 LLQ655371:LLQ655389 LVM655371:LVM655389 MFI655371:MFI655389 MPE655371:MPE655389 MZA655371:MZA655389 NIW655371:NIW655389 NSS655371:NSS655389 OCO655371:OCO655389 OMK655371:OMK655389 OWG655371:OWG655389 PGC655371:PGC655389 PPY655371:PPY655389 PZU655371:PZU655389 QJQ655371:QJQ655389 QTM655371:QTM655389 RDI655371:RDI655389 RNE655371:RNE655389 RXA655371:RXA655389 SGW655371:SGW655389 SQS655371:SQS655389 TAO655371:TAO655389 TKK655371:TKK655389 TUG655371:TUG655389 UEC655371:UEC655389 UNY655371:UNY655389 UXU655371:UXU655389 VHQ655371:VHQ655389 VRM655371:VRM655389 WBI655371:WBI655389 WLE655371:WLE655389 WVA655371:WVA655389 IO720907:IO720925 SK720907:SK720925 ACG720907:ACG720925 AMC720907:AMC720925 AVY720907:AVY720925 BFU720907:BFU720925 BPQ720907:BPQ720925 BZM720907:BZM720925 CJI720907:CJI720925 CTE720907:CTE720925 DDA720907:DDA720925 DMW720907:DMW720925 DWS720907:DWS720925 EGO720907:EGO720925 EQK720907:EQK720925 FAG720907:FAG720925 FKC720907:FKC720925 FTY720907:FTY720925 GDU720907:GDU720925 GNQ720907:GNQ720925 GXM720907:GXM720925 HHI720907:HHI720925 HRE720907:HRE720925 IBA720907:IBA720925 IKW720907:IKW720925 IUS720907:IUS720925 JEO720907:JEO720925 JOK720907:JOK720925 JYG720907:JYG720925 KIC720907:KIC720925 KRY720907:KRY720925 LBU720907:LBU720925 LLQ720907:LLQ720925 LVM720907:LVM720925 MFI720907:MFI720925 MPE720907:MPE720925 MZA720907:MZA720925 NIW720907:NIW720925 NSS720907:NSS720925 OCO720907:OCO720925 OMK720907:OMK720925 OWG720907:OWG720925 PGC720907:PGC720925 PPY720907:PPY720925 PZU720907:PZU720925 QJQ720907:QJQ720925 QTM720907:QTM720925 RDI720907:RDI720925 RNE720907:RNE720925 RXA720907:RXA720925 SGW720907:SGW720925 SQS720907:SQS720925 TAO720907:TAO720925 TKK720907:TKK720925 TUG720907:TUG720925 UEC720907:UEC720925 UNY720907:UNY720925 UXU720907:UXU720925 VHQ720907:VHQ720925 VRM720907:VRM720925 WBI720907:WBI720925 WLE720907:WLE720925 WVA720907:WVA720925 IO786443:IO786461 SK786443:SK786461 ACG786443:ACG786461 AMC786443:AMC786461 AVY786443:AVY786461 BFU786443:BFU786461 BPQ786443:BPQ786461 BZM786443:BZM786461 CJI786443:CJI786461 CTE786443:CTE786461 DDA786443:DDA786461 DMW786443:DMW786461 DWS786443:DWS786461 EGO786443:EGO786461 EQK786443:EQK786461 FAG786443:FAG786461 FKC786443:FKC786461 FTY786443:FTY786461 GDU786443:GDU786461 GNQ786443:GNQ786461 GXM786443:GXM786461 HHI786443:HHI786461 HRE786443:HRE786461 IBA786443:IBA786461 IKW786443:IKW786461 IUS786443:IUS786461 JEO786443:JEO786461 JOK786443:JOK786461 JYG786443:JYG786461 KIC786443:KIC786461 KRY786443:KRY786461 LBU786443:LBU786461 LLQ786443:LLQ786461 LVM786443:LVM786461 MFI786443:MFI786461 MPE786443:MPE786461 MZA786443:MZA786461 NIW786443:NIW786461 NSS786443:NSS786461 OCO786443:OCO786461 OMK786443:OMK786461 OWG786443:OWG786461 PGC786443:PGC786461 PPY786443:PPY786461 PZU786443:PZU786461 QJQ786443:QJQ786461 QTM786443:QTM786461 RDI786443:RDI786461 RNE786443:RNE786461 RXA786443:RXA786461 SGW786443:SGW786461 SQS786443:SQS786461 TAO786443:TAO786461 TKK786443:TKK786461 TUG786443:TUG786461 UEC786443:UEC786461 UNY786443:UNY786461 UXU786443:UXU786461 VHQ786443:VHQ786461 VRM786443:VRM786461 WBI786443:WBI786461 WLE786443:WLE786461 WVA786443:WVA786461 IO851979:IO851997 SK851979:SK851997 ACG851979:ACG851997 AMC851979:AMC851997 AVY851979:AVY851997 BFU851979:BFU851997 BPQ851979:BPQ851997 BZM851979:BZM851997 CJI851979:CJI851997 CTE851979:CTE851997 DDA851979:DDA851997 DMW851979:DMW851997 DWS851979:DWS851997 EGO851979:EGO851997 EQK851979:EQK851997 FAG851979:FAG851997 FKC851979:FKC851997 FTY851979:FTY851997 GDU851979:GDU851997 GNQ851979:GNQ851997 GXM851979:GXM851997 HHI851979:HHI851997 HRE851979:HRE851997 IBA851979:IBA851997 IKW851979:IKW851997 IUS851979:IUS851997 JEO851979:JEO851997 JOK851979:JOK851997 JYG851979:JYG851997 KIC851979:KIC851997 KRY851979:KRY851997 LBU851979:LBU851997 LLQ851979:LLQ851997 LVM851979:LVM851997 MFI851979:MFI851997 MPE851979:MPE851997 MZA851979:MZA851997 NIW851979:NIW851997 NSS851979:NSS851997 OCO851979:OCO851997 OMK851979:OMK851997 OWG851979:OWG851997 PGC851979:PGC851997 PPY851979:PPY851997 PZU851979:PZU851997 QJQ851979:QJQ851997 QTM851979:QTM851997 RDI851979:RDI851997 RNE851979:RNE851997 RXA851979:RXA851997 SGW851979:SGW851997 SQS851979:SQS851997 TAO851979:TAO851997 TKK851979:TKK851997 TUG851979:TUG851997 UEC851979:UEC851997 UNY851979:UNY851997 UXU851979:UXU851997 VHQ851979:VHQ851997 VRM851979:VRM851997 WBI851979:WBI851997 WLE851979:WLE851997 WVA851979:WVA851997 IO917515:IO917533 SK917515:SK917533 ACG917515:ACG917533 AMC917515:AMC917533 AVY917515:AVY917533 BFU917515:BFU917533 BPQ917515:BPQ917533 BZM917515:BZM917533 CJI917515:CJI917533 CTE917515:CTE917533 DDA917515:DDA917533 DMW917515:DMW917533 DWS917515:DWS917533 EGO917515:EGO917533 EQK917515:EQK917533 FAG917515:FAG917533 FKC917515:FKC917533 FTY917515:FTY917533 GDU917515:GDU917533 GNQ917515:GNQ917533 GXM917515:GXM917533 HHI917515:HHI917533 HRE917515:HRE917533 IBA917515:IBA917533 IKW917515:IKW917533 IUS917515:IUS917533 JEO917515:JEO917533 JOK917515:JOK917533 JYG917515:JYG917533 KIC917515:KIC917533 KRY917515:KRY917533 LBU917515:LBU917533 LLQ917515:LLQ917533 LVM917515:LVM917533 MFI917515:MFI917533 MPE917515:MPE917533 MZA917515:MZA917533 NIW917515:NIW917533 NSS917515:NSS917533 OCO917515:OCO917533 OMK917515:OMK917533 OWG917515:OWG917533 PGC917515:PGC917533 PPY917515:PPY917533 PZU917515:PZU917533 QJQ917515:QJQ917533 QTM917515:QTM917533 RDI917515:RDI917533 RNE917515:RNE917533 RXA917515:RXA917533 SGW917515:SGW917533 SQS917515:SQS917533 TAO917515:TAO917533 TKK917515:TKK917533 TUG917515:TUG917533 UEC917515:UEC917533 UNY917515:UNY917533 UXU917515:UXU917533 VHQ917515:VHQ917533 VRM917515:VRM917533 WBI917515:WBI917533 WLE917515:WLE917533 WVA917515:WVA917533 IO983051:IO983069 SK983051:SK983069 ACG983051:ACG983069 AMC983051:AMC983069 AVY983051:AVY983069 BFU983051:BFU983069 BPQ983051:BPQ983069 BZM983051:BZM983069 CJI983051:CJI983069 CTE983051:CTE983069 DDA983051:DDA983069 DMW983051:DMW983069 DWS983051:DWS983069 EGO983051:EGO983069 EQK983051:EQK983069 FAG983051:FAG983069 FKC983051:FKC983069 FTY983051:FTY983069 GDU983051:GDU983069 GNQ983051:GNQ983069 GXM983051:GXM983069 HHI983051:HHI983069 HRE983051:HRE983069 IBA983051:IBA983069 IKW983051:IKW983069 IUS983051:IUS983069 JEO983051:JEO983069 JOK983051:JOK983069 JYG983051:JYG983069 KIC983051:KIC983069 KRY983051:KRY983069 LBU983051:LBU983069 LLQ983051:LLQ983069 LVM983051:LVM983069 MFI983051:MFI983069 MPE983051:MPE983069 MZA983051:MZA983069 NIW983051:NIW983069 NSS983051:NSS983069 OCO983051:OCO983069 OMK983051:OMK983069 OWG983051:OWG983069 PGC983051:PGC983069 PPY983051:PPY983069 PZU983051:PZU983069 QJQ983051:QJQ983069 QTM983051:QTM983069 RDI983051:RDI983069 RNE983051:RNE983069 RXA983051:RXA983069 SGW983051:SGW983069 SQS983051:SQS983069 TAO983051:TAO983069 TKK983051:TKK983069 TUG983051:TUG983069 UEC983051:UEC983069 UNY983051:UNY983069 UXU983051:UXU983069 VHQ983051:VHQ983069 VRM983051:VRM983069 WBI983051:WBI983069 WLE983051:WLE983069" xr:uid="{00000000-0002-0000-1B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F10"/>
  <sheetViews>
    <sheetView showGridLines="0" workbookViewId="0">
      <selection sqref="A1:F1"/>
    </sheetView>
  </sheetViews>
  <sheetFormatPr baseColWidth="10" defaultRowHeight="15" x14ac:dyDescent="0.25"/>
  <cols>
    <col min="1" max="1" width="15.7109375" customWidth="1"/>
    <col min="2" max="2" width="43.5703125" customWidth="1"/>
    <col min="3" max="3" width="3.42578125" customWidth="1"/>
    <col min="4" max="4" width="3.7109375" customWidth="1"/>
    <col min="5" max="5" width="25.5703125" customWidth="1"/>
    <col min="6" max="6" width="15.7109375" customWidth="1"/>
  </cols>
  <sheetData>
    <row r="1" spans="1:6" ht="48.75" customHeight="1" x14ac:dyDescent="0.25">
      <c r="A1" s="8743" t="s">
        <v>3881</v>
      </c>
      <c r="B1" s="8744"/>
      <c r="C1" s="8744"/>
      <c r="D1" s="8744"/>
      <c r="E1" s="8744"/>
      <c r="F1" s="8745"/>
    </row>
    <row r="3" spans="1:6" x14ac:dyDescent="0.25">
      <c r="A3" s="5602" t="str">
        <f>CONCATENATE("ESTABLECIMIENTO: ",NOMBRE!B3," - ",NOMBRE!C3,NOMBRE!D3,NOMBRE!E3,NOMBRE!F3,NOMBRE!G3,NOMBRE!H3,NOMBRE!I3," 
  "," / MES:  ",NOMBRE!B6,"  / AÑO:  ",NOMBRE!B7)</f>
        <v>ESTABLECIMIENTO:  - Falta Cód. Est. 
   / MES:    / AÑO:  2024</v>
      </c>
    </row>
    <row r="5" spans="1:6" ht="58.5" customHeight="1" x14ac:dyDescent="0.25">
      <c r="B5" s="5603" t="s">
        <v>3882</v>
      </c>
      <c r="E5" s="5603"/>
    </row>
    <row r="7" spans="1:6" x14ac:dyDescent="0.25">
      <c r="B7" s="8746" t="str">
        <f>IF(Control!D31&gt;0,"ANTES DE EJECUTAR LA MACRO REVISE LA HOJA CONTROL, EXISTEN ERRORES","")</f>
        <v>ANTES DE EJECUTAR LA MACRO REVISE LA HOJA CONTROL, EXISTEN ERRORES</v>
      </c>
      <c r="C7" s="8747"/>
      <c r="D7" s="8747"/>
      <c r="E7" s="8748"/>
    </row>
    <row r="8" spans="1:6" x14ac:dyDescent="0.25">
      <c r="B8" s="8749"/>
      <c r="C8" s="8750"/>
      <c r="D8" s="8750"/>
      <c r="E8" s="8751"/>
    </row>
    <row r="10" spans="1:6" x14ac:dyDescent="0.25">
      <c r="B10" s="5872" t="s">
        <v>3887</v>
      </c>
    </row>
  </sheetData>
  <sheetProtection algorithmName="SHA-512" hashValue="2lK48yEcHgEOlZUdN6axXguqhZjfYRJvPYNp5HKqOE/mV770UN252KsZgLgF/+sWdrtWUE0vbJC9RD96LDbMYQ==" saltValue="yrItOML5uOVKhQRmOhM5RQ==" spinCount="100000" sheet="1" objects="1" scenarios="1"/>
  <mergeCells count="2">
    <mergeCell ref="A1:F1"/>
    <mergeCell ref="B7:E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Button 1">
              <controlPr defaultSize="0" print="0" autoFill="0" autoPict="0" macro="[0]!RespaldaArchivo">
                <anchor moveWithCells="1" sizeWithCells="1">
                  <from>
                    <xdr:col>4</xdr:col>
                    <xdr:colOff>133350</xdr:colOff>
                    <xdr:row>4</xdr:row>
                    <xdr:rowOff>123825</xdr:rowOff>
                  </from>
                  <to>
                    <xdr:col>4</xdr:col>
                    <xdr:colOff>1581150</xdr:colOff>
                    <xdr:row>4</xdr:row>
                    <xdr:rowOff>628650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NOMBRE</vt:lpstr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A11</vt:lpstr>
      <vt:lpstr>A11a</vt:lpstr>
      <vt:lpstr>A19a</vt:lpstr>
      <vt:lpstr>A19b</vt:lpstr>
      <vt:lpstr>A21</vt:lpstr>
      <vt:lpstr>A23</vt:lpstr>
      <vt:lpstr>A24</vt:lpstr>
      <vt:lpstr>A25</vt:lpstr>
      <vt:lpstr>A26</vt:lpstr>
      <vt:lpstr>A27</vt:lpstr>
      <vt:lpstr>A28</vt:lpstr>
      <vt:lpstr>A29</vt:lpstr>
      <vt:lpstr>A30</vt:lpstr>
      <vt:lpstr>A30AR</vt:lpstr>
      <vt:lpstr>A31</vt:lpstr>
      <vt:lpstr>A32</vt:lpstr>
      <vt:lpstr>A33</vt:lpstr>
      <vt:lpstr>Control</vt:lpstr>
      <vt:lpstr>MACROS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</dc:creator>
  <cp:lastModifiedBy>Carmen Gloria Sepulveda</cp:lastModifiedBy>
  <dcterms:created xsi:type="dcterms:W3CDTF">2023-04-14T14:34:58Z</dcterms:created>
  <dcterms:modified xsi:type="dcterms:W3CDTF">2024-02-26T14:42:05Z</dcterms:modified>
</cp:coreProperties>
</file>